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20" windowWidth="15330" windowHeight="4305" tabRatio="599" activeTab="1"/>
  </bookViews>
  <sheets>
    <sheet name="コード表" sheetId="1" r:id="rId1"/>
    <sheet name="①カード一覧(入力用)" sheetId="2" r:id="rId2"/>
    <sheet name="②詳細ページ作成" sheetId="3" r:id="rId3"/>
    <sheet name="③ソート作成" sheetId="4" r:id="rId4"/>
  </sheets>
  <definedNames>
    <definedName name="_xlnm._FilterDatabase" localSheetId="1" hidden="1">'①カード一覧(入力用)'!$A$1:$AY$132</definedName>
    <definedName name="_xlnm._FilterDatabase" localSheetId="0" hidden="1">'コード表'!$A$1:$O$155</definedName>
  </definedNames>
  <calcPr fullCalcOnLoad="1"/>
</workbook>
</file>

<file path=xl/comments2.xml><?xml version="1.0" encoding="utf-8"?>
<comments xmlns="http://schemas.openxmlformats.org/spreadsheetml/2006/main">
  <authors>
    <author>都笠　嶺子</author>
  </authors>
  <commentList>
    <comment ref="AS1" authorId="0">
      <text>
        <r>
          <rPr>
            <sz val="9"/>
            <rFont val="ＭＳ Ｐゴシック"/>
            <family val="3"/>
          </rPr>
          <t>レアリティ SP・H＝4 S＝5 N＝6 を入力</t>
        </r>
      </text>
    </comment>
  </commentList>
</comments>
</file>

<file path=xl/sharedStrings.xml><?xml version="1.0" encoding="utf-8"?>
<sst xmlns="http://schemas.openxmlformats.org/spreadsheetml/2006/main" count="4370" uniqueCount="2327">
  <si>
    <t>威力350</t>
  </si>
  <si>
    <t>威力125</t>
  </si>
  <si>
    <t>威力175</t>
  </si>
  <si>
    <t>鎧羅五魂陣</t>
  </si>
  <si>
    <t>鎧羅四魂陣</t>
  </si>
  <si>
    <t>鎧羅四宝陣</t>
  </si>
  <si>
    <t>鎧羅三宝陣</t>
  </si>
  <si>
    <t>gaira5s</t>
  </si>
  <si>
    <t>gaira5k</t>
  </si>
  <si>
    <t>gaira4k</t>
  </si>
  <si>
    <t>gaira4h</t>
  </si>
  <si>
    <t>gaira3h</t>
  </si>
  <si>
    <t>genbu5s</t>
  </si>
  <si>
    <t>genbu5k</t>
  </si>
  <si>
    <t>genbu4k</t>
  </si>
  <si>
    <t>genbu4h</t>
  </si>
  <si>
    <t>genbu3h</t>
  </si>
  <si>
    <t>玄武五神陣</t>
  </si>
  <si>
    <t>玄武五魂陣</t>
  </si>
  <si>
    <t>れんごくらんぶ・ちょうりょうばっこ</t>
  </si>
  <si>
    <t>びゃっかしょうらん・まんじゅしゃげ</t>
  </si>
  <si>
    <t>正面の敵に連続攻撃</t>
  </si>
  <si>
    <t>必殺技威力R(PR/CPのみ手入力)</t>
  </si>
  <si>
    <t>序</t>
  </si>
  <si>
    <t>表示用ランク</t>
  </si>
  <si>
    <t>表示用補足</t>
  </si>
  <si>
    <t>URLの番号</t>
  </si>
  <si>
    <t>百花咲乱・曼珠沙華</t>
  </si>
  <si>
    <t>こうえんじかりん</t>
  </si>
  <si>
    <t>鳳凰学園のHPが10%アップ</t>
  </si>
  <si>
    <t>威力246</t>
  </si>
  <si>
    <t>正面の敵になぎ払い攻撃 クリティカル発生時に大ダメージ</t>
  </si>
  <si>
    <t>神具:太陽剣アマテラス</t>
  </si>
  <si>
    <t>神具:炎玉コンゴウニオウ</t>
  </si>
  <si>
    <t>神具:炎王剣ヒノカグツチ</t>
  </si>
  <si>
    <t>神具:炎鎚タヂカラノオ</t>
  </si>
  <si>
    <t>神具:魔導書オモイカネ</t>
  </si>
  <si>
    <t>無4</t>
  </si>
  <si>
    <t>n4</t>
  </si>
  <si>
    <t>無5</t>
  </si>
  <si>
    <t>n5</t>
  </si>
  <si>
    <t>無6</t>
  </si>
  <si>
    <t>n6</t>
  </si>
  <si>
    <t>LV1刻みのデータはここにコピペしてください。</t>
  </si>
  <si>
    <t>}</t>
  </si>
  <si>
    <t>**限界突破</t>
  </si>
  <si>
    <t>|1段階|40|</t>
  </si>
  <si>
    <t>|+|+|+|h</t>
  </si>
  <si>
    <t>|2段階|60|</t>
  </si>
  <si>
    <t>|3段階|80|</t>
  </si>
  <si>
    <t>|4段階|100|</t>
  </si>
  <si>
    <t>タイプ</t>
  </si>
  <si>
    <t>コスト</t>
  </si>
  <si>
    <t>えんきんあめのうずめ</t>
  </si>
  <si>
    <t>威力180</t>
  </si>
  <si>
    <t>0020</t>
  </si>
  <si>
    <t>&amp;link_anchor(kyuubi,page=勢力){白面九尾}</t>
  </si>
  <si>
    <t>魔剣士アーク</t>
  </si>
  <si>
    <t>セイクリッドフレイム</t>
  </si>
  <si>
    <t>せいくりっどふれいむ</t>
  </si>
  <si>
    <t>蛟龍一閃・大蛇大王</t>
  </si>
  <si>
    <t>「飛天祭」(2012年9月13日～9月20日)期間に
「[[勢力が飛天&gt;勢力_飛天]]」のCP(0056～0061)/H/S/Nカードを引いて、
「フロンティアポイント」を4000ポイント獲得したプレイヤーに配布される期間限定カード。
[[1314_飛天王アレックス]]とイラストは同じのアナザーで、ステータスが異なる。 
技Lvを揃えれば[[強化合成]]が可能。</t>
  </si>
  <si>
    <t>回復量200</t>
  </si>
  <si>
    <t>青龍五神陣</t>
  </si>
  <si>
    <t>朱雀五神陣</t>
  </si>
  <si>
    <t>白虎五神陣</t>
  </si>
  <si>
    <t>麒麟五神陣</t>
  </si>
  <si>
    <t>威力205</t>
  </si>
  <si>
    <t>ペンタヴァイス</t>
  </si>
  <si>
    <t>敵全体の補助効果を打ち消す</t>
  </si>
  <si>
    <t>技</t>
  </si>
  <si>
    <t>正面の敵に連続攻撃 限界突破の回数に応じて威力アップ</t>
  </si>
  <si>
    <t>威力125</t>
  </si>
  <si>
    <t>威力185</t>
  </si>
  <si>
    <t>大魔四魂陣</t>
  </si>
  <si>
    <t>聖龍五霊陣</t>
  </si>
  <si>
    <t>瀕死時に直接攻撃に対して反撃</t>
  </si>
  <si>
    <t>銀麗騎士デヒテラ</t>
  </si>
  <si>
    <t>ルナティック・ドライブ</t>
  </si>
  <si>
    <t>絶対零度</t>
  </si>
  <si>
    <t>星霜月</t>
  </si>
  <si>
    <t>状態異常付与攻撃_威力</t>
  </si>
  <si>
    <t>引用ページ数</t>
  </si>
  <si>
    <t>|&gt;</t>
  </si>
  <si>
    <t>|スクショがあれば貼る</t>
  </si>
  <si>
    <t>飛天四聖陣</t>
  </si>
  <si>
    <t>飛天五霊陣</t>
  </si>
  <si>
    <t>威力300</t>
  </si>
  <si>
    <t>威力420</t>
  </si>
  <si>
    <t>威力450</t>
  </si>
  <si>
    <t>獣牙五神陣</t>
  </si>
  <si>
    <t>麒麟五神陣</t>
  </si>
  <si>
    <t>白澤のメルト</t>
  </si>
  <si>
    <t>白澤の魔除け</t>
  </si>
  <si>
    <t>眠り姫アルマ</t>
  </si>
  <si>
    <t>聖姫の祈り</t>
  </si>
  <si>
    <t>白澤導士メルト</t>
  </si>
  <si>
    <t>皇帝テラス</t>
  </si>
  <si>
    <t>ぶらすときゃのん・いんふぇるの</t>
  </si>
  <si>
    <t>火群カイ</t>
  </si>
  <si>
    <t>太陽王子カナト</t>
  </si>
  <si>
    <t>荊姫シヅカ</t>
  </si>
  <si>
    <t>炎鎚のキリコ</t>
  </si>
  <si>
    <t>ルリ丸</t>
  </si>
  <si>
    <t>魔法少女ルルイエ</t>
  </si>
  <si>
    <t>威力180</t>
  </si>
  <si>
    <t>正面の敵に貫通攻撃 パニッシャーズの枚数によりダメージアップ</t>
  </si>
  <si>
    <t>人間界</t>
  </si>
  <si>
    <t>mazoku2</t>
  </si>
  <si>
    <t>mazoku3</t>
  </si>
  <si>
    <t>mazoku4</t>
  </si>
  <si>
    <t>mazoku5</t>
  </si>
  <si>
    <t>mazoku6</t>
  </si>
  <si>
    <t>mazoku7</t>
  </si>
  <si>
    <t>陣形コード</t>
  </si>
  <si>
    <t>あびりてぃきゃんせる</t>
  </si>
  <si>
    <t>カリン</t>
  </si>
  <si>
    <t>かりん</t>
  </si>
  <si>
    <t>味方全体の被ダメージをダウン</t>
  </si>
  <si>
    <t>効果量44%</t>
  </si>
  <si>
    <t>中央四魂陣</t>
  </si>
  <si>
    <t>byakko4h</t>
  </si>
  <si>
    <t>邪馬都</t>
  </si>
  <si>
    <t>玄武</t>
  </si>
  <si>
    <t>抽出数</t>
  </si>
  <si>
    <t>抽出1</t>
  </si>
  <si>
    <t>抽出2</t>
  </si>
  <si>
    <t>抽出3</t>
  </si>
  <si>
    <t>攻撃_HPに応じてダメージが変化</t>
  </si>
  <si>
    <t>効果量</t>
  </si>
  <si>
    <t>付与ダメージダウン_効果量</t>
  </si>
  <si>
    <t>付与ダメージアップ_効果量</t>
  </si>
  <si>
    <t>付与遅らせる_効果量</t>
  </si>
  <si>
    <t>効果時間</t>
  </si>
  <si>
    <t>付与行動不能_効果時間</t>
  </si>
  <si>
    <t>反撃</t>
  </si>
  <si>
    <t>付与早める_効果量</t>
  </si>
  <si>
    <t>回復</t>
  </si>
  <si>
    <t>常時効果_HPアップ</t>
  </si>
  <si>
    <t>常時効果_与ダメージアップ</t>
  </si>
  <si>
    <t>常時効果_被ダメージダウン</t>
  </si>
  <si>
    <t>常時効果_速アップ</t>
  </si>
  <si>
    <t>00</t>
  </si>
  <si>
    <t>fa</t>
  </si>
  <si>
    <t>威力</t>
  </si>
  <si>
    <t>fa_pd</t>
  </si>
  <si>
    <t>faw</t>
  </si>
  <si>
    <t>fa_th</t>
  </si>
  <si>
    <t>fa_br</t>
  </si>
  <si>
    <t>00-04</t>
  </si>
  <si>
    <t>fa-ad</t>
  </si>
  <si>
    <t>fa-du</t>
  </si>
  <si>
    <t>fa-la</t>
  </si>
  <si>
    <t>fa-st</t>
  </si>
  <si>
    <t>01</t>
  </si>
  <si>
    <t>敵全体を攻撃 クリティカル発生時に大ダメージ</t>
  </si>
  <si>
    <t>敵全体を攻撃 さらに補助効果を打ち消す</t>
  </si>
  <si>
    <t>fa_br_3</t>
  </si>
  <si>
    <t>「七天大武祭」(2012年11月13日～11月20日)期間に
「&amp;link_anchor(7100,page=No){七天の覇者 第1弾}・&amp;link_anchor(7200,page=No){第2弾}」のSP/CP(0093～0098)/H/S/Nカードを引いて、
「フロンティアポイント」を1000ポイント獲得したプレイヤーに配布される期間限定カード。
[[7001_白面火炎童子サイ]]とイラストは同じのアナザーで、ステータスが異なる。 
技Lvを揃えれば[[強化合成]]が可能。</t>
  </si>
  <si>
    <t>「七天大武祭」(2012年11月13日～11月20日)期間に
「&amp;link_anchor(7100,page=No){七天の覇者 第1弾}・&amp;link_anchor(7200,page=No){第2弾}」のSP/CP(0093～0098)/H/S/Nカードを引いて、
「フロンティアポイント」を2000ポイント獲得したプレイヤーに配布される期間限定カード。
[[7004_白面氷炎童子サイ]]とイラストは同じのアナザーで、ステータスが異なる。 
技Lvを揃えれば[[強化合成]]が可能。</t>
  </si>
  <si>
    <t>「七天大武祭」(2012年11月13日～11月20日)期間に
「&amp;link_anchor(7100,page=No){七天の覇者 第1弾}・&amp;link_anchor(7200,page=No){第2弾}」のSP/CP(0093～0098)/H/S/Nカードを引いて、
「フロンティアポイント」を3000ポイント獲得したプレイヤーに配布される期間限定カード。
[[7205_白面輝煌童子サイ]]とイラストは同じのアナザーで、ステータスが異なる。 
技Lvを揃えれば[[強化合成]]が可能。</t>
  </si>
  <si>
    <t>「七天大武祭」(2012年11月13日～11月20日)期間に
「&amp;link_anchor(7100,page=No){七天の覇者 第1弾}・&amp;link_anchor(7200,page=No){第2弾}」のSP/CP(0093～0098)/H/S/Nカードを引いて、
「フロンティアポイント」を3500ポイント獲得したプレイヤーに配布される期間限定カード。
[[7007_白面金剛童子サイ]]とイラストは同じのアナザーで、ステータスが異なる。 
技Lvを揃えれば[[強化合成]]が可能。</t>
  </si>
  <si>
    <t>「七天大武祭」(2012年11月13日～11月20日)期間に
「&amp;link_anchor(7100,page=No){七天の覇者 第1弾}・&amp;link_anchor(7200,page=No){第2弾}」のSP/CP(0093～0098)/H/S/Nカードを引いて、
「フロンティアポイント」を4000ポイント獲得したプレイヤーに配布される期間限定カード。
[[7333_白面五行童子サイ]]とイラストは同じのアナザーで、ステータスが異なる。 
技Lvを揃えれば[[強化合成]]が可能。</t>
  </si>
  <si>
    <t>「七天大武祭」(2012年11月13日～11月20日)期間に
「&amp;link_anchor(7100,page=No){七天の覇者 第1弾}・&amp;link_anchor(7200,page=No){第2弾}」のSP/CP(0093～0098)/H/S/Nカードを引いて、
「フロンティアポイント」を4500ポイント獲得したプレイヤーに配布される期間限定カード。
[[7010_白面阿修羅童子サイ]]とイラストは同じのアナザーで、ステータスが異なる。 
技Lvを揃えれば[[強化合成]]が可能。</t>
  </si>
  <si>
    <t>「七天大武祭」(2012年11月13日～11月20日)期間に
「&amp;link_anchor(7100,page=No){七天の覇者 第1弾}・&amp;link_anchor(7200,page=No){第2弾}」のSP/CP(0093～0098)/H/S/Nカードを引いて、
「フロンティアポイント」を5000ポイント獲得したプレイヤーに配布される期間限定カード。
[[7012_白面六道童子サイ]]とイラストは同じのアナザーで、ステータスが異なる。 
技Lvを揃えれば[[強化合成]]が可能。</t>
  </si>
  <si>
    <t>鎧羅の防が15%アップ</t>
  </si>
  <si>
    <t>#pcomment(reply,1,ステータス掲載依頼 コメント)</t>
  </si>
  <si>
    <t>朱雀四魂陣</t>
  </si>
  <si>
    <t>ランダムに敵を攻撃 パニッシャーズの枚数によりダメージアップ</t>
  </si>
  <si>
    <t>正面の敵を攻撃 パニッシャーズの枚数によりダメージアップ</t>
  </si>
  <si>
    <t>faw_2</t>
  </si>
  <si>
    <t>レアリティ</t>
  </si>
  <si>
    <t>りくどうけんあすら</t>
  </si>
  <si>
    <t>りくどうけんかい</t>
  </si>
  <si>
    <t>カイ</t>
  </si>
  <si>
    <t>かい</t>
  </si>
  <si>
    <t>[[レイドボス]]「神滅呪霊王 鬼哭ドウマン」戦の報酬で手に入る「七天大武祭コイン」を用いて 
カードを引くと出現する可能性のあるカード。 
[[7101_白面のサイ]]のアナザーで、背景とステータスが異なる。 
技Lvを揃えれば[[強化合成]]が可能。</t>
  </si>
  <si>
    <t>「七天大武祭」(2012年11月13日～&amp;s(){11月20日}11月27日)期間に 
「フロンティアポイント」を5000ポイント以上獲得したプレイヤーに、 
イベント終了後に配布された限定カード。 
[[7009_白面金剛九尾イヅナ]]とイラストは同じのアナザーで、背景とステータスが異なる。 
技Lvを揃えれば[[強化合成]]が可能。</t>
  </si>
  <si>
    <t>シオン</t>
  </si>
  <si>
    <t>ナルサス</t>
  </si>
  <si>
    <t>シェイド</t>
  </si>
  <si>
    <t>アスタロット</t>
  </si>
  <si>
    <t>イヅナ</t>
  </si>
  <si>
    <t>デヒテラ・ディルティーレ</t>
  </si>
  <si>
    <t>芽瑠都</t>
  </si>
  <si>
    <t>ユーナ</t>
  </si>
  <si>
    <t>ロック</t>
  </si>
  <si>
    <t>魅津姫</t>
  </si>
  <si>
    <t>アガート・ラウム</t>
  </si>
  <si>
    <t>$AC$35:$AD$50</t>
  </si>
  <si>
    <t>技ランク特殊扱い</t>
  </si>
  <si>
    <t>付与</t>
  </si>
  <si>
    <t>イツキ</t>
  </si>
  <si>
    <t>いつき</t>
  </si>
  <si>
    <t>ごうれつけんかんぎてん</t>
  </si>
  <si>
    <t>ごうれつけんまひる</t>
  </si>
  <si>
    <t>ひなたまひる</t>
  </si>
  <si>
    <t>マヒル</t>
  </si>
  <si>
    <t>まひる</t>
  </si>
  <si>
    <t>すいこけんひるこ</t>
  </si>
  <si>
    <t>すいきょうのけんけん</t>
  </si>
  <si>
    <t>つるぎけん</t>
  </si>
  <si>
    <t>ケンケン</t>
  </si>
  <si>
    <t>けんけん</t>
  </si>
  <si>
    <t>カナト</t>
  </si>
  <si>
    <t>かなと</t>
  </si>
  <si>
    <t>威力336 / 効果時間1.85秒</t>
  </si>
  <si>
    <t>威力222 / 効果時間1.25秒</t>
  </si>
  <si>
    <t>味方全体を状態異常から守る</t>
  </si>
  <si>
    <t>くんぷうそうじゅかぬき</t>
  </si>
  <si>
    <t>威力280 / 効果量37.5%</t>
  </si>
  <si>
    <t>威力185 / 効果量25%</t>
  </si>
  <si>
    <t>威力280 / 効果量175%</t>
  </si>
  <si>
    <t>威力185 / 効果量150%</t>
  </si>
  <si>
    <t>0093</t>
  </si>
  <si>
    <t>0094</t>
  </si>
  <si>
    <t>0095</t>
  </si>
  <si>
    <t>0096</t>
  </si>
  <si>
    <t>0097</t>
  </si>
  <si>
    <t>0098</t>
  </si>
  <si>
    <t>0099</t>
  </si>
  <si>
    <t>0100</t>
  </si>
  <si>
    <t>0101</t>
  </si>
  <si>
    <t>0102</t>
  </si>
  <si>
    <t>0103</t>
  </si>
  <si>
    <t>0104</t>
  </si>
  <si>
    <t>0105</t>
  </si>
  <si>
    <t>「七天大武祭」(2012年11月13日～11月20日)期間限定で
「神羅万象カード」「神羅万象カード・極」から引くことができるカード。
[[7115_紅蓮弓聖ロック]]と絵柄は同じのアナザーで、背景の色とステータスが異なる。
技Lvを揃えれば[[強化合成]]が可能。</t>
  </si>
  <si>
    <t>「七天大武祭」(2012年11月13日～11月20日)期間限定で
「神羅万象カード」「神羅万象カード・極」から引くことができるカード。
[[7116_翆緑深王ミツキ]]と絵柄は同じのアナザーで、背景の色とステータスが異なる。
技Lvを揃えれば[[強化合成]]が可能。</t>
  </si>
  <si>
    <t>「七天大武祭」(2012年11月13日～11月20日)期間限定で
「神羅万象カード」「神羅万象カード・極」から引くことができるカード。
[[7128_黄玉輝星アガート]]と絵柄は同じのアナザーで、背景の色とステータスが異なる。
技Lvを揃えれば[[強化合成]]が可能。</t>
  </si>
  <si>
    <t>「七天大武祭」(2012年11月13日～11月20日)期間限定で
「神羅万象カード」「神羅万象カード・極」から引くことができるカード。
[[7206_金剛豹牙ダレス]]と絵柄は同じのアナザーで、背景の色とステータスが異なる。
技Lvを揃えれば[[強化合成]]が可能。</t>
  </si>
  <si>
    <t>「七天大武祭」(2012年11月13日～11月20日)期間限定で
「神羅万象カード」「神羅万象カード・極」から引くことができるカード。
[[7207_薫風蒼樹カヌキ]]と絵柄は同じのアナザーで、背景の色とステータスが異なる。
技Lvを揃えれば[[強化合成]]が可能。</t>
  </si>
  <si>
    <t>「七天大武祭」(2012年11月13日～11月20日)期間限定で
「神羅万象カード」「神羅万象カード・極」から引くことができるカード。
[[7224_白澤導士メルト]]と絵柄は同じのアナザーで、背景の色とステータスが異なる。
技Lvを揃えれば[[強化合成]]が可能。</t>
  </si>
  <si>
    <t>「聖龍祭」(2012年10月2日～10月9日)期間限定で
「神羅万象カード」「神羅万象カード・極」から引くことができるカード。
[[1304_群雲のザンゲツ]]と絵柄は同じのアナザーで、背景の色とステータスが異なる。
技Lvを揃えれば[[強化合成]]が可能。</t>
  </si>
  <si>
    <t>「聖龍祭」(2012年10月2日～10月9日)期間限定で
「神羅万象カード」「神羅万象カード・極」から引くことができるカード。
[[1305_疾風のイザヨイ]]と絵柄は同じのアナザーで、背景の色とステータスが異なる。
技Lvを揃えれば[[強化合成]]が可能。</t>
  </si>
  <si>
    <t>外海三宝陣</t>
  </si>
  <si>
    <t>力6</t>
  </si>
  <si>
    <t>力3</t>
  </si>
  <si>
    <t>力4</t>
  </si>
  <si>
    <t>力5</t>
  </si>
  <si>
    <t>技6</t>
  </si>
  <si>
    <t>技3</t>
  </si>
  <si>
    <t>九尾三宝陣</t>
  </si>
  <si>
    <t>九尾四魂陣</t>
  </si>
  <si>
    <t>九尾五神陣</t>
  </si>
  <si>
    <t>刑部五神陣</t>
  </si>
  <si>
    <t>刑部五魂陣</t>
  </si>
  <si>
    <t>刑部四宝陣</t>
  </si>
  <si>
    <t>刑部三宝陣</t>
  </si>
  <si>
    <t>アキレス</t>
  </si>
  <si>
    <t>ボレアス</t>
  </si>
  <si>
    <t>カイトス</t>
  </si>
  <si>
    <t>マルス</t>
  </si>
  <si>
    <t>威力128</t>
  </si>
  <si>
    <t>びっぐばん・とるねーど</t>
  </si>
  <si>
    <t>獣牙四魂陣</t>
  </si>
  <si>
    <t>獣牙四宝陣</t>
  </si>
  <si>
    <t>獣牙三宝陣</t>
  </si>
  <si>
    <t>juuga5s</t>
  </si>
  <si>
    <t>juuga5k</t>
  </si>
  <si>
    <t>juuga4k</t>
  </si>
  <si>
    <t>juuga4h</t>
  </si>
  <si>
    <t>juuga3h</t>
  </si>
  <si>
    <t>byakko5s</t>
  </si>
  <si>
    <t>byakko5k</t>
  </si>
  <si>
    <t>byakko4k</t>
  </si>
  <si>
    <t>byakko3h</t>
  </si>
  <si>
    <t>白虎五神陣</t>
  </si>
  <si>
    <t>白虎五魂陣</t>
  </si>
  <si>
    <t>白虎四魂陣</t>
  </si>
  <si>
    <t>白虎四宝陣</t>
  </si>
  <si>
    <t>陸震妖姫アラクネ</t>
  </si>
  <si>
    <t>鋼糸斬破</t>
  </si>
  <si>
    <t>あーく・まてぃうす</t>
  </si>
  <si>
    <t>正面の敵に連続攻撃 クリティカル発生時に大ダメージ</t>
  </si>
  <si>
    <t>faw_3</t>
  </si>
  <si>
    <t>正面の敵になぎ払い攻撃 TYPE:無の相手にクリティカル</t>
  </si>
  <si>
    <t>神魔五皇陣</t>
  </si>
  <si>
    <t>全員のHPが10%アップ、速が7.5%アップ</t>
  </si>
  <si>
    <t>皇魔五皇陣</t>
  </si>
  <si>
    <t>氷翠マヒロ</t>
  </si>
  <si>
    <t>【キャラクター通称名】</t>
  </si>
  <si>
    <t>魔族「ヴァイス」</t>
  </si>
  <si>
    <t>カイが鳳凰学園での生活を回想したカードとなっている。
「夏休み、天ヶ原メンバーで外海の湖水へと強化合宿に出かけた。後で聞いた話だと、
どうやら俺の歓迎会を兼ねたものだったらしい。一人で修行に明け暮れて悪いことをした。
そういえば天ヶ原の合宿なのに、何故か[[委員長&gt;6111_炎鎚のキリコ]]と[[エッジ&gt;6112_エッジ]]と[[ルリ丸&gt;6113_ルリ丸]]まで
参加してたな。よほど暇だったんだろう。」
フロンティアでは、「鳳凰学園夏休み祭」(2012年7月24日～7月31日)期間に
「[[ゼクスファクター&gt;No,6000]]」のSP/CP(0037～0041)/H/S/Nカードを引いて 
「フロンティアポイント」を4000ポイント獲得したプレイヤーに配布される期間限定カードとして登場。</t>
  </si>
  <si>
    <t>フロンティアのレアリティ</t>
  </si>
  <si>
    <t>実カードのレアリティ</t>
  </si>
  <si>
    <t>らいじんのりゅうが</t>
  </si>
  <si>
    <t>リュウガ</t>
  </si>
  <si>
    <t>ひゃっきやこう</t>
  </si>
  <si>
    <t>漆黒のシェイド</t>
  </si>
  <si>
    <t>風輪火斬</t>
  </si>
  <si>
    <t>正面の敵を攻撃</t>
  </si>
  <si>
    <t>正面の敵に連続攻撃</t>
  </si>
  <si>
    <t>正面の敵に貫通攻撃</t>
  </si>
  <si>
    <t>正面の敵になぎ払い攻撃</t>
  </si>
  <si>
    <t>正面の敵を攻撃 さらに対象の被ダメージをアップ</t>
  </si>
  <si>
    <t>正面の敵を攻撃 さらに行動を遅らせる</t>
  </si>
  <si>
    <t>正面の敵を攻撃 さらに行動不能にする</t>
  </si>
  <si>
    <t>正面の敵を攻撃 さらに補助効果を打ち消す</t>
  </si>
  <si>
    <t>敵全体を攻撃</t>
  </si>
  <si>
    <t>敵全体の与ダメージをダウン</t>
  </si>
  <si>
    <t>敵全体の被ダメージをアップ</t>
  </si>
  <si>
    <t>正面の敵に貫通攻撃 央覇封神を持つカードの枚数によりダメージアップ</t>
  </si>
  <si>
    <t>正面の敵を攻撃 央覇封神を持つカードの枚数によりダメージアップ</t>
  </si>
  <si>
    <t>敵全体の行動を遅らせる さらに行動不能にする</t>
  </si>
  <si>
    <t>きょじゅうせいぴぐまりおん</t>
  </si>
  <si>
    <t>げっしょうせいでぃあな</t>
  </si>
  <si>
    <t>威力175</t>
  </si>
  <si>
    <t>威力165</t>
  </si>
  <si>
    <t>威力230</t>
  </si>
  <si>
    <t>facebookのバンダイナムコゲームス公式アカウントにて行われた「オリジナルカラー化キャラクター投票」&amp;br()(投票期間：3月6日～3月13日、結果発表：3月21日、配布4月5日)&amp;br()で最多得票のキャラクターを桜色のオリジナルカラーにリペイントし、&amp;br()4月5日14:00時点での全プレイヤーに配布されたオリジナルカード。現在は入手不可。&amp;br()[[1402_四代絶影クオン]]の色違いアナザーとなっており、ステータスも異なる。</t>
  </si>
  <si>
    <t>回復量168</t>
  </si>
  <si>
    <t>烈火のカリン</t>
  </si>
  <si>
    <t>|~|25|||||h</t>
  </si>
  <si>
    <t>|~|30|||||h</t>
  </si>
  <si>
    <t>「聖龍祭」(2012年10月2日～10月9日)期間限定で
「神羅万象カード」「神羅万象カード・極」から引くことができるカード。
[[1102_桃華仙ミヤビ]]と絵柄は同じのアナザーで、背景の色とステータスが異なる。
技Lvを揃えれば[[強化合成]]が可能。</t>
  </si>
  <si>
    <t>「隠神刑部祭」(2012年10月23日～10月30日)期間限定で
「神羅万象カード」「神羅万象カード・極」から引くことができるカード。
[[7322_海冥獣姫スキュレイ]]と絵柄は同じのアナザーで、背景の色とステータスが異なる。
技Lvを揃えれば[[強化合成]]が可能。</t>
  </si>
  <si>
    <t>「隠神刑部祭」(2012年10月23日～10月30日)期間限定で
「神羅万象カード」「神羅万象カード・極」から引くことができるカード。
[[7324_陸震妖姫アラクネ]]と絵柄は同じのアナザーで、背景の色とステータスが異なる。
技Lvを揃えれば[[強化合成]]が可能。</t>
  </si>
  <si>
    <t>「隠神刑部祭」(2012年10月23日～10月30日)期間限定で
「神羅万象カード」「神羅万象カード・極」から引くことができるカード。
[[7325_空雷翔姫モルガン]]と絵柄は同じのアナザーで、背景の色とステータスが異なる。
技Lvを揃えれば[[強化合成]]が可能。</t>
  </si>
  <si>
    <t>「隠神刑部祭」(2012年10月23日～10月30日)期間限定で
「神羅万象カード」「神羅万象カード・極」から引くことができるカード。
[[7406_絶刀太子ノブヤス]]と絵柄は同じのアナザーで、背景の色とステータスが異なる。
技Lvを揃えれば[[強化合成]]が可能。</t>
  </si>
  <si>
    <t>「隠神刑部祭」(2012年10月23日～10月30日)期間限定で
「神羅万象カード」「神羅万象カード・極」から引くことができるカード。
[[7408_剛力太子ヒデヤス]]と絵柄は同じのアナザーで、背景の色とステータスが異なる。
技Lvを揃えれば[[強化合成]]が可能。</t>
  </si>
  <si>
    <t>「隠神刑部祭」(2012年10月23日～10月30日)期間限定で
「神羅万象カード」「神羅万象カード・極」から引くことができるカード。
[[7410_魔晶太子ヒデタダ]]と絵柄は同じのアナザーで、背景の色とステータスが異なる。
技Lvを揃えれば[[強化合成]]が可能。</t>
  </si>
  <si>
    <t>「隠神刑部祭」(2012年10月23日～10月30日)期間に
「[[隠神刑部&gt;勢力/隠神刑部]]」のSP/CP(0080～0085/H/S/Nカードを引いて、
「フロンティアポイント」を1000ポイント獲得したプレイヤーに配布される期間限定カード。
[[7402_蛟龍戦姫アサギ]]とイラストは同じのアナザーで、ステータスが異なる。 
技Lvを揃えれば[[強化合成]]が可能。</t>
  </si>
  <si>
    <t>「隠神刑部祭」(2012年10月23日～10月30日)期間に
「[[隠神刑部&gt;勢力/隠神刑部]]」のSP/CP(0080～0085/H/S/Nカードを引いて、
「フロンティアポイント」を1000ポイント獲得したプレイヤーに配布される期間限定カード。
[[7003_黒刀斬姫ムジナ]]とイラストは同じのアナザーで、ステータスが異なる。 
技Lvを揃えれば[[強化合成]]が可能。</t>
  </si>
  <si>
    <t>「隠神刑部祭」(2012年10月23日～10月30日)期間に
「[[隠神刑部&gt;勢力/隠神刑部]]」のSP/CP(0080～0085/H/S/Nカードを引いて、
「フロンティアポイント」を1000ポイント獲得したプレイヤーに配布される期間限定カード。
[[7302_武神将軍 大蛇タダカツ]]とイラストは同じのアナザーで、ステータスが異なる。 
技Lvを揃えれば[[強化合成]]が可能。</t>
  </si>
  <si>
    <t>「隠神刑部祭」(2012年10月23日～10月30日)期間に
「[[隠神刑部&gt;勢力/隠神刑部]]」のSP/CP(0080～0085/H/S/Nカードを引いて、
「フロンティアポイント」を1000ポイント獲得したプレイヤーに配布される期間限定カード。
[[7326_天照水滸ムジナ]]とイラストは同じのアナザーで、ステータスが異なる。 
技Lvを揃えれば[[強化合成]]が可能。</t>
  </si>
  <si>
    <t>0079</t>
  </si>
  <si>
    <t>0080</t>
  </si>
  <si>
    <t>0081</t>
  </si>
  <si>
    <t>0082</t>
  </si>
  <si>
    <t>0083</t>
  </si>
  <si>
    <t>0084</t>
  </si>
  <si>
    <t>0085</t>
  </si>
  <si>
    <t>0086</t>
  </si>
  <si>
    <t>0087</t>
  </si>
  <si>
    <t>0088</t>
  </si>
  <si>
    <t>0089</t>
  </si>
  <si>
    <t>よんだいぜつえいくおん</t>
  </si>
  <si>
    <t>クオン</t>
  </si>
  <si>
    <t>くおん</t>
  </si>
  <si>
    <t>鉄心砕鋼</t>
  </si>
  <si>
    <t>てっしんさいこう</t>
  </si>
  <si>
    <t>さいこうけんてっしん</t>
  </si>
  <si>
    <t>「鳳凰学園夏休み祭」(2012年7月24日～7月31日)期間限定で
「神羅万象カード」「神羅万象カード・極」から引くことができるカード。
[[6213_太陽王子カナト]]と絵柄は同じのアナザーで、背景の色とステータスが異なる。
技Lvを揃えれば[[強化合成]]が可能。</t>
  </si>
  <si>
    <t>獣牙五神陣</t>
  </si>
  <si>
    <t>飛天五神陣</t>
  </si>
  <si>
    <t>聖龍五神陣</t>
  </si>
  <si>
    <t>まほうしょうじょるるいえ</t>
  </si>
  <si>
    <t>こくじょうるるいえ</t>
  </si>
  <si>
    <t>外海</t>
  </si>
  <si>
    <t>効果量160% / 効果量52%</t>
  </si>
  <si>
    <t>効果量46.66%</t>
  </si>
  <si>
    <t>効果量44%</t>
  </si>
  <si>
    <t>雷迅斬</t>
  </si>
  <si>
    <t>げっかひょうじん</t>
  </si>
  <si>
    <t>聖龍五魂陣</t>
  </si>
  <si>
    <t>獣牙五神陣</t>
  </si>
  <si>
    <t>飛天五神陣</t>
  </si>
  <si>
    <t>カナト</t>
  </si>
  <si>
    <t>かなと</t>
  </si>
  <si>
    <t>キリコ</t>
  </si>
  <si>
    <t>きりこ</t>
  </si>
  <si>
    <t>ルルイエ</t>
  </si>
  <si>
    <t>るるいえ</t>
  </si>
  <si>
    <t>ムジナ</t>
  </si>
  <si>
    <t>むじな</t>
  </si>
  <si>
    <t>威力260 / 効果量35%</t>
  </si>
  <si>
    <t>熾天烈火カリン</t>
  </si>
  <si>
    <t>特攻天女 又吉郎狂姫</t>
  </si>
  <si>
    <t>大魔界</t>
  </si>
  <si>
    <t>中央都市</t>
  </si>
  <si>
    <t>銀狼のコウヤ</t>
  </si>
  <si>
    <t>【神具名】</t>
  </si>
  <si>
    <t>白虎</t>
  </si>
  <si>
    <t>虎白堂鋼夜</t>
  </si>
  <si>
    <t>チョコカード説明用</t>
  </si>
  <si>
    <t>ムジナ</t>
  </si>
  <si>
    <t>【キャラクター通称名】</t>
  </si>
  <si>
    <t>鎧羅五霊陣</t>
  </si>
  <si>
    <t>中央四魂陣</t>
  </si>
  <si>
    <t>威力280</t>
  </si>
  <si>
    <t>聖龍四聖陣</t>
  </si>
  <si>
    <t>(ステータス掲載用コメントは全カードで共有します。カード名を入れないと、どのカードのステータスか判りません)。</t>
  </si>
  <si>
    <t>だいまどうらいせん</t>
  </si>
  <si>
    <t>らいせん</t>
  </si>
  <si>
    <t>せいらんけんしおん</t>
  </si>
  <si>
    <t>しおん</t>
  </si>
  <si>
    <t>ひゃくじゅうしょうおるてぃが</t>
  </si>
  <si>
    <t>もうしょうこらんだむ</t>
  </si>
  <si>
    <t>こらんだむ</t>
  </si>
  <si>
    <t>なるさす</t>
  </si>
  <si>
    <t>しぇいど</t>
  </si>
  <si>
    <t>くらうでぃあ</t>
  </si>
  <si>
    <t>雷迅のリュウガ</t>
  </si>
  <si>
    <t>金剛のタイガ</t>
  </si>
  <si>
    <t>火炎のショウ</t>
  </si>
  <si>
    <t>水嶺のシズク</t>
  </si>
  <si>
    <t>|~|95|||||h</t>
  </si>
  <si>
    <t>|~|100|||||h</t>
  </si>
  <si>
    <t>#co(){</t>
  </si>
  <si>
    <t>聖龍四魂陣</t>
  </si>
  <si>
    <t>聖龍四宝陣</t>
  </si>
  <si>
    <t>聖龍三宝陣</t>
  </si>
  <si>
    <t>青龍五神陣</t>
  </si>
  <si>
    <t>青龍五魂陣</t>
  </si>
  <si>
    <t>白面九尾</t>
  </si>
  <si>
    <t>皇魔</t>
  </si>
  <si>
    <t>隠神刑部</t>
  </si>
  <si>
    <t>獣牙</t>
  </si>
  <si>
    <t>白虎</t>
  </si>
  <si>
    <t>玄武</t>
  </si>
  <si>
    <t>魂獣界</t>
  </si>
  <si>
    <t>鎧羅</t>
  </si>
  <si>
    <t>ふどうしんけん</t>
  </si>
  <si>
    <t>【固有必殺技名】</t>
  </si>
  <si>
    <t>九尾四魂陣</t>
  </si>
  <si>
    <t>【カード名】</t>
  </si>
  <si>
    <t>【キャラクター名】</t>
  </si>
  <si>
    <t>ふどうしんけん・はちまんだいぼさつ</t>
  </si>
  <si>
    <t>皇魔五神陣</t>
  </si>
  <si>
    <t>刑部五神陣</t>
  </si>
  <si>
    <t>烈将ベリル</t>
  </si>
  <si>
    <t>喧拳剛強</t>
  </si>
  <si>
    <t>けんけんごうごう</t>
  </si>
  <si>
    <t>れっしょうべりる</t>
  </si>
  <si>
    <t>ベリル</t>
  </si>
  <si>
    <t>べりる</t>
  </si>
  <si>
    <t>せんとうざんぱ</t>
  </si>
  <si>
    <t>紅炎寺カリン</t>
  </si>
  <si>
    <t>0028</t>
  </si>
  <si>
    <t>0029</t>
  </si>
  <si>
    <t>0030</t>
  </si>
  <si>
    <t>0031</t>
  </si>
  <si>
    <t>0032</t>
  </si>
  <si>
    <t>0033</t>
  </si>
  <si>
    <t>0034</t>
  </si>
  <si>
    <t>0035</t>
  </si>
  <si>
    <t>威力250</t>
  </si>
  <si>
    <t>威力115</t>
  </si>
  <si>
    <t>ディアナ</t>
  </si>
  <si>
    <t>火炎衝</t>
  </si>
  <si>
    <t>水嶺撃</t>
  </si>
  <si>
    <t>飛天五霊陣</t>
  </si>
  <si>
    <t>[[レイドボス]]「ポラリス＆シリウス」戦の報酬で手に入る「鎧羅コイン」を用いて 
カードを引くと出現する可能性のあるカード。 
[[1122_鎧羅王ポラリス]]のアナザーで、色とステータスが異なる。 
技Lvを揃えれば[[強化合成]]が可能。</t>
  </si>
  <si>
    <t>朱雀四宝陣</t>
  </si>
  <si>
    <t>朱雀三宝陣</t>
  </si>
  <si>
    <t>鎧羅五神陣</t>
  </si>
  <si>
    <t>味方全体を状態異常から守る</t>
  </si>
  <si>
    <t>せんとぷりんせすのいのり</t>
  </si>
  <si>
    <t>グランド・ウェーブ</t>
  </si>
  <si>
    <t>効果量66.66%</t>
  </si>
  <si>
    <t>威力198</t>
  </si>
  <si>
    <t>威力205</t>
  </si>
  <si>
    <t>威力165</t>
  </si>
  <si>
    <t>全員の攻が30%アップ</t>
  </si>
  <si>
    <t>全員の速が15%アップ</t>
  </si>
  <si>
    <t>魔族の速が12%アップ スロット効果:与ダメージが12.5%アップ</t>
  </si>
  <si>
    <t>魔族の速が12%アップ スロット効果:与ダメージが10%アップ</t>
  </si>
  <si>
    <t>魔族のHPが16%アップ スロット効果:HPが125アップ</t>
  </si>
  <si>
    <t>魔族のHPが16%アップ スロット効果:HPが100アップ</t>
  </si>
  <si>
    <t>魔族のHPが10%アップ</t>
  </si>
  <si>
    <t>魔族の攻が24%アップ スロット効果:速が10アップ</t>
  </si>
  <si>
    <t>魔族の攻が15%アップ</t>
  </si>
  <si>
    <t>魔族の防が15%アップ</t>
  </si>
  <si>
    <t>魔族の速が12%アップ スロット効果:速が10アップ</t>
  </si>
  <si>
    <t>魔族の速が7.5%アップ</t>
  </si>
  <si>
    <t>魔族の攻が24%アップ スロット効果:与ダメージが12.5%アップ</t>
  </si>
  <si>
    <t>魔族の攻が24%アップ スロット効果:与ダメージが10%アップ</t>
  </si>
  <si>
    <t>必殺技用レアリティ</t>
  </si>
  <si>
    <t>AR</t>
  </si>
  <si>
    <t>HP</t>
  </si>
  <si>
    <t>攻</t>
  </si>
  <si>
    <t>防</t>
  </si>
  <si>
    <t>速</t>
  </si>
  <si>
    <t>整形前2</t>
  </si>
  <si>
    <t>ナビゲート列作成用</t>
  </si>
  <si>
    <t>整形前3</t>
  </si>
  <si>
    <t>整形前1</t>
  </si>
  <si>
    <t>正面の敵に連続攻撃 ガード不能</t>
  </si>
  <si>
    <t>敵全体を攻撃</t>
  </si>
  <si>
    <t>魔</t>
  </si>
  <si>
    <t>皇魔五霊陣</t>
  </si>
  <si>
    <t>ふぇねきあ</t>
  </si>
  <si>
    <t>スターダスト・シンフォニー</t>
  </si>
  <si>
    <t>すたーだすと・しんふぉにー</t>
  </si>
  <si>
    <t>あるふぃーね</t>
  </si>
  <si>
    <t>アルフィーネ</t>
  </si>
  <si>
    <t>抽出カードNo</t>
  </si>
  <si>
    <t>//補足には攻撃回数・直接間接などの追記事項を入れてください</t>
  </si>
  <si>
    <t>----</t>
  </si>
  <si>
    <t>#right(){&amp;link_up(このページの先頭へ)}</t>
  </si>
  <si>
    <t>|~|5|||||h</t>
  </si>
  <si>
    <t>|~|10|||||h</t>
  </si>
  <si>
    <t>|~|15|||||h</t>
  </si>
  <si>
    <t>|~|20|||||h</t>
  </si>
  <si>
    <t>りんねてんしょう</t>
  </si>
  <si>
    <t>あしゅらしんけん・あふらまずだ</t>
  </si>
  <si>
    <t>初音日比希</t>
  </si>
  <si>
    <t>かえんしょう</t>
  </si>
  <si>
    <t>かえんのしょう</t>
  </si>
  <si>
    <t>ショウ</t>
  </si>
  <si>
    <t>しょう</t>
  </si>
  <si>
    <t>効果量43.33%</t>
  </si>
  <si>
    <t>回復量78</t>
  </si>
  <si>
    <t>効果量165%</t>
  </si>
  <si>
    <t>効果時間1.60秒</t>
  </si>
  <si>
    <t>効果量32.5%</t>
  </si>
  <si>
    <t>回復量84</t>
  </si>
  <si>
    <t>威力140</t>
  </si>
  <si>
    <t>威力222</t>
  </si>
  <si>
    <t>効果量170%</t>
  </si>
  <si>
    <t>威力175</t>
  </si>
  <si>
    <t>回復量140</t>
  </si>
  <si>
    <t>威力372</t>
  </si>
  <si>
    <t>効果量30% / 効果時間1.50秒</t>
  </si>
  <si>
    <t>威力205</t>
  </si>
  <si>
    <t>威力290</t>
  </si>
  <si>
    <t>威力</t>
  </si>
  <si>
    <t>炎獄震鳴衝</t>
  </si>
  <si>
    <t>えんごくしんめいしょう</t>
  </si>
  <si>
    <t>鳳凰四宝陣</t>
  </si>
  <si>
    <t>鳳凰三宝陣</t>
  </si>
  <si>
    <t>ヴァルハラ・ストライク</t>
  </si>
  <si>
    <t>ヴぁるはら・すとらいく</t>
  </si>
  <si>
    <t>燐涅天衝</t>
  </si>
  <si>
    <t>りんねてんしょう</t>
  </si>
  <si>
    <t>九尾虚空陣</t>
  </si>
  <si>
    <t>鳳凰学園のHPが10%アップ</t>
  </si>
  <si>
    <t>全ての陣形効果を打ち消す</t>
  </si>
  <si>
    <t>ランダムに敵を攻撃 相手のHPに応じてダメージが変化</t>
  </si>
  <si>
    <t>光翼聖天キリコ</t>
  </si>
  <si>
    <t>特攻番長エッジ</t>
  </si>
  <si>
    <t>勇者ルリ丸</t>
  </si>
  <si>
    <t>鋼鉄戦姫マリオン</t>
  </si>
  <si>
    <t>白面金剛九尾イヅナ</t>
  </si>
  <si>
    <t>にがっき＜ふゆやすみのおもいで＞</t>
  </si>
  <si>
    <t>HP</t>
  </si>
  <si>
    <t>攻</t>
  </si>
  <si>
    <t>防</t>
  </si>
  <si>
    <t>速</t>
  </si>
  <si>
    <t>基本技</t>
  </si>
  <si>
    <t>PR</t>
  </si>
  <si>
    <t>魔</t>
  </si>
  <si>
    <t>力</t>
  </si>
  <si>
    <t>技</t>
  </si>
  <si>
    <t>H</t>
  </si>
  <si>
    <t>無</t>
  </si>
  <si>
    <t>はくめんのさい</t>
  </si>
  <si>
    <t>はくめんどうじさい</t>
  </si>
  <si>
    <t>はくめんかえんどうじさい</t>
  </si>
  <si>
    <t>はくめんきこうどうじさい</t>
  </si>
  <si>
    <t>はくめんこんごうどうじさい</t>
  </si>
  <si>
    <t>せいりゅうおうさいが</t>
  </si>
  <si>
    <t>とうかせんみやび</t>
  </si>
  <si>
    <t>はがんけんてっしん</t>
  </si>
  <si>
    <t>さい</t>
  </si>
  <si>
    <t>さいが</t>
  </si>
  <si>
    <t>みやび</t>
  </si>
  <si>
    <t>てっしん</t>
  </si>
  <si>
    <t>このは</t>
  </si>
  <si>
    <t>じゅうがおうえどがー</t>
  </si>
  <si>
    <t>えどがー</t>
  </si>
  <si>
    <t>はくめんのせつな</t>
  </si>
  <si>
    <t>せつな</t>
  </si>
  <si>
    <t>おるてぃが</t>
  </si>
  <si>
    <t>なたーじゃ</t>
  </si>
  <si>
    <t>ひてんおうあれっくす</t>
  </si>
  <si>
    <t>あれっくす</t>
  </si>
  <si>
    <t>ねむりひめあるま</t>
  </si>
  <si>
    <t>あるま</t>
  </si>
  <si>
    <t>しーぷ</t>
  </si>
  <si>
    <t>ヴぁんふぁれす</t>
  </si>
  <si>
    <t>がいらおうぽらりす</t>
  </si>
  <si>
    <t>ぽらりす</t>
  </si>
  <si>
    <t>効果量+12.5%</t>
  </si>
  <si>
    <t>あるとすたっかーと</t>
  </si>
  <si>
    <t>るーんないとなるさす</t>
  </si>
  <si>
    <t>りんきおうへん</t>
  </si>
  <si>
    <t>正面の敵を攻撃 さらに補助効果を打ち消す</t>
  </si>
  <si>
    <t>味方全体を回復 さらに状態異常から守る</t>
  </si>
  <si>
    <t>正面の敵を攻撃 さらに行動を遅らせ、行動不能にする</t>
  </si>
  <si>
    <t>ランダムに敵を攻撃 央覇封神を持つカードの枚数によりダメージアップ</t>
  </si>
  <si>
    <t>ランダムに味方の行動を早める</t>
  </si>
  <si>
    <t>ホーリーライト・レクイエム</t>
  </si>
  <si>
    <t>ほーりーらいと・れくいえむ</t>
  </si>
  <si>
    <t>光龍帝サイガ</t>
  </si>
  <si>
    <t>玄武の防が15%アップ</t>
  </si>
  <si>
    <t>玄武の防が30%アップ</t>
  </si>
  <si>
    <t>敵全体の行動を遅らせる</t>
  </si>
  <si>
    <t>威力300</t>
  </si>
  <si>
    <t>獣牙五霊陣</t>
  </si>
  <si>
    <t>聖龍五霊陣</t>
  </si>
  <si>
    <t>獣牙五霊陣</t>
  </si>
  <si>
    <t>魂獣大帝</t>
  </si>
  <si>
    <t>魂獣界</t>
  </si>
  <si>
    <t>ピグマリオン</t>
  </si>
  <si>
    <t>【カード名】</t>
  </si>
  <si>
    <t>こうかくせいあとらす</t>
  </si>
  <si>
    <t>けんかくせいあきれす</t>
  </si>
  <si>
    <t>無</t>
  </si>
  <si>
    <t>力</t>
  </si>
  <si>
    <t>八意紗都理</t>
  </si>
  <si>
    <t>やごころさとり</t>
  </si>
  <si>
    <t>フェネキア</t>
  </si>
  <si>
    <t>0022</t>
  </si>
  <si>
    <t>0023</t>
  </si>
  <si>
    <t>0024</t>
  </si>
  <si>
    <t>0025</t>
  </si>
  <si>
    <t>0026</t>
  </si>
  <si>
    <t>0027</t>
  </si>
  <si>
    <t>CP</t>
  </si>
  <si>
    <t>刑部五神陣</t>
  </si>
  <si>
    <t>朱雀の速が7.5%アップ</t>
  </si>
  <si>
    <t>飛天の速が7.5%アップ</t>
  </si>
  <si>
    <t>隠神刑部の速が7.5%アップ</t>
  </si>
  <si>
    <t>九尾五神陣</t>
  </si>
  <si>
    <t>威力250</t>
  </si>
  <si>
    <t>[[レイドボス]]「イエヤス三姉妹」戦の報酬で手に入る「隠神刑部コイン」を用いて 
カードを引くと出現する可能性のあるカード。 
[[7108_黒刀のムジナ]]のアナザーで、背景とステータスが異なる。 
技Lvを揃えれば[[強化合成]]が可能。</t>
  </si>
  <si>
    <t>瀕死時に直接攻撃に対して反撃</t>
  </si>
  <si>
    <t>敵全体を攻撃</t>
  </si>
  <si>
    <t>タイプ</t>
  </si>
  <si>
    <t>陣形</t>
  </si>
  <si>
    <t>02</t>
  </si>
  <si>
    <t>03</t>
  </si>
  <si>
    <t>04</t>
  </si>
  <si>
    <t>05</t>
  </si>
  <si>
    <t>06</t>
  </si>
  <si>
    <t>07</t>
  </si>
  <si>
    <t>「鳳凰学園夏休み祭」(2012年7月24日～7月31日)期間に「[[ゼクスファクター&gt;No,6000]]」のSP/CP(0037～0041)/H/S/Nカードを引いて 
「フロンティアポイント」を2000ポイント獲得したプレイヤーに配布される期間限定カード。
[[6111_炎鎚のキリコ]]とイラストは同じのアナザーで、ステータスが異なる。 
技Lvを揃えれば[[強化合成]]が可能。</t>
  </si>
  <si>
    <t>ゼクスファクター 第4弾</t>
  </si>
  <si>
    <t>ZX EX1</t>
  </si>
  <si>
    <t>一学期＜夏休みの思い出＞</t>
  </si>
  <si>
    <t>いちがっき＜なつやすみのおもいで＞</t>
  </si>
  <si>
    <t>はくたくのめると</t>
  </si>
  <si>
    <t>めると</t>
  </si>
  <si>
    <t>しゅんじんけんぶゆーな</t>
  </si>
  <si>
    <t>ゆーな</t>
  </si>
  <si>
    <t>ぐれんきゅうせいろっく</t>
  </si>
  <si>
    <t>ろっく</t>
  </si>
  <si>
    <t>すいりょくしんおうみつき</t>
  </si>
  <si>
    <t>みつき</t>
  </si>
  <si>
    <t>効果量46.66%</t>
  </si>
  <si>
    <t>味方全体の与ダメージをアップ</t>
  </si>
  <si>
    <t>獣牙の攻が15%アップ</t>
  </si>
  <si>
    <t>効果量+12.5%</t>
  </si>
  <si>
    <t>邪馬都四宝陣</t>
  </si>
  <si>
    <t>太陽王子カナト</t>
  </si>
  <si>
    <t>麒麟</t>
  </si>
  <si>
    <t>九頭龍破</t>
  </si>
  <si>
    <t>くずりゅうは</t>
  </si>
  <si>
    <t>鎌威太刀</t>
  </si>
  <si>
    <t>かまいたち</t>
  </si>
  <si>
    <t>ゆうしょうげいる</t>
  </si>
  <si>
    <t>ゲイル</t>
  </si>
  <si>
    <t>げいる</t>
  </si>
  <si>
    <t>魔族「グラトニー」</t>
  </si>
  <si>
    <t>魔族「ラスト」</t>
  </si>
  <si>
    <t>「飛天祭」(2012年9月13日～9月20日)期間に
「[[勢力が飛天&gt;勢力_飛天]]」のCP(0056～0061)/H/S/Nカードを引いて、
「フロンティアポイント」を2000ポイント獲得したプレイヤーに配布される期間限定カード。
[[2205_火炎のショウ]]とイラストは同じのアナザーで、ステータスが異なる。 
技Lvを揃えれば[[強化合成]]が可能。</t>
  </si>
  <si>
    <t>「飛天祭」(2012年9月13日～9月20日)期間に
「[[勢力が飛天&gt;勢力_飛天]]」のCP(0056～0061)/H/S/Nカードを引いて、
「フロンティアポイント」を3000ポイント獲得したプレイヤーに配布される期間限定カード。
[[1412_聖姫アルマ]]とイラストは同じのアナザーで、ステータスが異なる。 
技Lvを揃えれば[[強化合成]]が可能。</t>
  </si>
  <si>
    <t>鳳凰院神那人</t>
  </si>
  <si>
    <t>「獣牙祭」(2012年8月28日～9月4日)期間限定で
「神羅万象カード」「神羅万象カード・極」から引くことができるカード。
[[1308_烈将ベリル]]と絵柄は同じのアナザーで、背景の色とステータスが異なる。
技Lvを揃えれば[[強化合成]]が可能。</t>
  </si>
  <si>
    <t>まけんしあーく</t>
  </si>
  <si>
    <t>はくめんこんごうきゅうびいづな</t>
  </si>
  <si>
    <t>白面金剛九尾イヅナ</t>
  </si>
  <si>
    <t>イヅナ</t>
  </si>
  <si>
    <t>正面の敵に連続攻撃 限界突破の回数に応じて威力アップ</t>
  </si>
  <si>
    <t>正面の敵を攻撃 限界突破の回数に応じて威力アップ</t>
  </si>
  <si>
    <t>PR</t>
  </si>
  <si>
    <t>CP</t>
  </si>
  <si>
    <t>じんぎはっこう・ぼたんどうろう</t>
  </si>
  <si>
    <t>こうよくえんぶふぇねきあ</t>
  </si>
  <si>
    <t>ダンス・マカブル</t>
  </si>
  <si>
    <t>だんす・まかぶる</t>
  </si>
  <si>
    <t>正面の敵に連続攻撃</t>
  </si>
  <si>
    <t>正面の敵を攻撃 さらに行動不能にする</t>
  </si>
  <si>
    <t>正面の敵に貫通攻撃</t>
  </si>
  <si>
    <t>正面の敵になぎ払い攻撃</t>
  </si>
  <si>
    <t>正面の敵を攻撃</t>
  </si>
  <si>
    <t>ランダムに敵を攻撃</t>
  </si>
  <si>
    <t>正面の敵を攻撃 さらに行動を遅らせる</t>
  </si>
  <si>
    <t>正面の敵を攻撃 さらに対象の与ダメージをダウン</t>
  </si>
  <si>
    <t>敵全体を行動不能にする</t>
  </si>
  <si>
    <t>ランダムに敵を攻撃 さらに行動不能にする</t>
  </si>
  <si>
    <t>ランダムに敵を攻撃 さらに行動を遅らせる</t>
  </si>
  <si>
    <t>味方全体の行動を早める</t>
  </si>
  <si>
    <t>敵全体の与ダメージをダウン</t>
  </si>
  <si>
    <t>味方全体の与ダメージをアップ</t>
  </si>
  <si>
    <t>りゅうが</t>
  </si>
  <si>
    <t>れっくうせいぼれあす</t>
  </si>
  <si>
    <t>かいじんせいかいとす</t>
  </si>
  <si>
    <t>てんかいせいまるす</t>
  </si>
  <si>
    <t>----</t>
  </si>
  <si>
    <t>飛天王アレックス</t>
  </si>
  <si>
    <t>フレイム・ストーム</t>
  </si>
  <si>
    <t>我龍天聖</t>
  </si>
  <si>
    <t>金剛豹牙ダレス</t>
  </si>
  <si>
    <t>煉獄乱舞・跳梁跋扈</t>
  </si>
  <si>
    <t>征嵐剣シオン</t>
  </si>
  <si>
    <t>阿修羅神拳・アフラマズダ</t>
  </si>
  <si>
    <t>阿修羅神拳</t>
  </si>
  <si>
    <t>破岩拳テッシン</t>
  </si>
  <si>
    <t>破岩一衝</t>
  </si>
  <si>
    <t>甲角星アトラス</t>
  </si>
  <si>
    <t>スターランサー</t>
  </si>
  <si>
    <t>魔将軍アスタロット</t>
  </si>
  <si>
    <t>月禍氷刃</t>
  </si>
  <si>
    <t>鎧羅王ポラリス</t>
  </si>
  <si>
    <t>グランド・ドライブ</t>
  </si>
  <si>
    <t>【キャラクター名】</t>
  </si>
  <si>
    <t>あとらす</t>
  </si>
  <si>
    <t>あきれす</t>
  </si>
  <si>
    <t>ぼれあす</t>
  </si>
  <si>
    <t>かいとす</t>
  </si>
  <si>
    <t>まるす</t>
  </si>
  <si>
    <t>威力115</t>
  </si>
  <si>
    <t>正面の敵を攻撃 さらに補助効果を打ち消す</t>
  </si>
  <si>
    <t>威力222 / 効果時間1.25秒</t>
  </si>
  <si>
    <t>威力222 / 効果量25%</t>
  </si>
  <si>
    <t>獣牙四聖陣</t>
  </si>
  <si>
    <t>飛天四聖陣</t>
  </si>
  <si>
    <t>威力260 / 効果時間1.75秒</t>
  </si>
  <si>
    <t>fa_4</t>
  </si>
  <si>
    <t>正面の敵になぎ払い攻撃</t>
  </si>
  <si>
    <t>威力175</t>
  </si>
  <si>
    <t>ランダムに敵を攻撃 ガード不能</t>
  </si>
  <si>
    <t>正面の敵になぎ払い攻撃 ガード不能</t>
  </si>
  <si>
    <t>08</t>
  </si>
  <si>
    <t>09</t>
  </si>
  <si>
    <t>058</t>
  </si>
  <si>
    <t>059</t>
  </si>
  <si>
    <t>060</t>
  </si>
  <si>
    <t>EDCJ</t>
  </si>
  <si>
    <t>DCBJ</t>
  </si>
  <si>
    <t>OBDCJ</t>
  </si>
  <si>
    <t>PBDCJ</t>
  </si>
  <si>
    <t>QBDCJ</t>
  </si>
  <si>
    <t>RBDCJ</t>
  </si>
  <si>
    <t>GCBDJ</t>
  </si>
  <si>
    <t>FBDCJ</t>
  </si>
  <si>
    <t>弾打断</t>
  </si>
  <si>
    <t>だんだだん</t>
  </si>
  <si>
    <t>いちもうだじん</t>
  </si>
  <si>
    <t>こくとうざんきむじな</t>
  </si>
  <si>
    <t>むじな</t>
  </si>
  <si>
    <t>はくめんひょうえんどうじさい</t>
  </si>
  <si>
    <t>まつひめむじな</t>
  </si>
  <si>
    <t>はくめんこんごうきゅうびいづな</t>
  </si>
  <si>
    <t>「聖龍祭」(2012年10月2日～10月9日)期間限定で
「神羅万象カード」「神羅万象カード・極」から引くことができるカード。
[[1105_コノハ]]と絵柄は同じのアナザーで、背景の色とステータスが異なる。
技Lvを揃えれば[[強化合成]]が可能。</t>
  </si>
  <si>
    <t>「聖龍祭」(2012年10月2日～10月9日)期間限定で
「神羅万象カード」「神羅万象カード・極」から引くことができるカード。
[[1203_征嵐剣シオン]]と絵柄は同じのアナザーで、背景の色とステータスが異なる。
技Lvを揃えれば[[強化合成]]が可能。</t>
  </si>
  <si>
    <t>gekai5k</t>
  </si>
  <si>
    <t>gekai4h</t>
  </si>
  <si>
    <t>gekai3h</t>
  </si>
  <si>
    <t>asyura5o</t>
  </si>
  <si>
    <t>kyuubi5s</t>
  </si>
  <si>
    <t>kyuubi4k</t>
  </si>
  <si>
    <t>kyuubi3h</t>
  </si>
  <si>
    <t>gyoubu5s</t>
  </si>
  <si>
    <t>gyoubu5k</t>
  </si>
  <si>
    <t>gyoubu4h</t>
  </si>
  <si>
    <t>gyoubu3h</t>
  </si>
  <si>
    <t>kaiser5o</t>
  </si>
  <si>
    <t>spirits5s</t>
  </si>
  <si>
    <t>spirits5k</t>
  </si>
  <si>
    <t>spirits4k</t>
  </si>
  <si>
    <t>spirits4h</t>
  </si>
  <si>
    <t>spirits3h</t>
  </si>
  <si>
    <t>human5</t>
  </si>
  <si>
    <t>human4</t>
  </si>
  <si>
    <t>human3</t>
  </si>
  <si>
    <t>mazoku80</t>
  </si>
  <si>
    <t>mazoku85</t>
  </si>
  <si>
    <t>mazoku84</t>
  </si>
  <si>
    <t>mazoku83</t>
  </si>
  <si>
    <t>mazoku15</t>
  </si>
  <si>
    <t>mazoku14</t>
  </si>
  <si>
    <t>mazoku13</t>
  </si>
  <si>
    <t>mazoku25</t>
  </si>
  <si>
    <t>mazoku24</t>
  </si>
  <si>
    <t>mazoku23</t>
  </si>
  <si>
    <t>mazoku35</t>
  </si>
  <si>
    <t>mazoku34</t>
  </si>
  <si>
    <t>mazoku33</t>
  </si>
  <si>
    <t>mazoku45</t>
  </si>
  <si>
    <t>mazoku44</t>
  </si>
  <si>
    <t>mazoku43</t>
  </si>
  <si>
    <t>mazoku55</t>
  </si>
  <si>
    <t>mazoku54</t>
  </si>
  <si>
    <t>mazoku53</t>
  </si>
  <si>
    <t>mazoku65</t>
  </si>
  <si>
    <t>mazoku64</t>
  </si>
  <si>
    <t>mazoku63</t>
  </si>
  <si>
    <t>mazoku75</t>
  </si>
  <si>
    <t>mazoku74</t>
  </si>
  <si>
    <t>mazoku73</t>
  </si>
  <si>
    <t>あるてぃめっとふれあ</t>
  </si>
  <si>
    <t>ヒデヤス</t>
  </si>
  <si>
    <t>ひでやす</t>
  </si>
  <si>
    <t>ヒデタダ</t>
  </si>
  <si>
    <t>ひでただ</t>
  </si>
  <si>
    <t>列番号</t>
  </si>
  <si>
    <t>「鳳凰学園夏休み祭」(2012年7月24日～7月31日)期間限定で
「神羅万象カード」「神羅万象カード・極」から引くことができるカード。
[[6210_四炎聖天マイト]]と絵柄は同じのアナザーで、背景の色とステータスが異なる。
技Lvを揃えれば[[強化合成]]が可能。</t>
  </si>
  <si>
    <t>「鳳凰学園夏休み祭」(2012年7月24日～7月31日)期間限定で
「神羅万象カード」「神羅万象カード・極」から引くことができるカード。
[[6211_剛烈剣マヒル]]と絵柄は同じのアナザーで、背景の色とステータスが異なる。
技Lvを揃えれば[[強化合成]]が可能。</t>
  </si>
  <si>
    <t>MARION-HM08</t>
  </si>
  <si>
    <t>陣形コードベース</t>
  </si>
  <si>
    <t>章分け(0000番台のみ手入力)</t>
  </si>
  <si>
    <t>ソート種別</t>
  </si>
  <si>
    <t>抽出順</t>
  </si>
  <si>
    <t>No</t>
  </si>
  <si>
    <t>勢力・陣形</t>
  </si>
  <si>
    <t>勢力</t>
  </si>
  <si>
    <t>レアリティ</t>
  </si>
  <si>
    <t>必殺技</t>
  </si>
  <si>
    <t>A</t>
  </si>
  <si>
    <t>A</t>
  </si>
  <si>
    <t>F</t>
  </si>
  <si>
    <t>E</t>
  </si>
  <si>
    <t>ソート</t>
  </si>
  <si>
    <t>ソート順位</t>
  </si>
  <si>
    <t>ソート基準</t>
  </si>
  <si>
    <t>D</t>
  </si>
  <si>
    <t>O</t>
  </si>
  <si>
    <t>P</t>
  </si>
  <si>
    <t>Q</t>
  </si>
  <si>
    <t>G</t>
  </si>
  <si>
    <t/>
  </si>
  <si>
    <t>B</t>
  </si>
  <si>
    <t>コスト</t>
  </si>
  <si>
    <t>fa_br_5</t>
  </si>
  <si>
    <t>ra_4</t>
  </si>
  <si>
    <t>敵全体を攻撃 ガード不能</t>
  </si>
  <si>
    <t>aa_2</t>
  </si>
  <si>
    <t>aa_3</t>
  </si>
  <si>
    <t>H・SP・極</t>
  </si>
  <si>
    <t>S・真</t>
  </si>
  <si>
    <t>N・改</t>
  </si>
  <si>
    <t>いづな</t>
  </si>
  <si>
    <t>はくめんあしゅらどうじさい</t>
  </si>
  <si>
    <t>はくめんりくどうどうじさい</t>
  </si>
  <si>
    <t>ぎんれいきしでひてら</t>
  </si>
  <si>
    <t>こくとうのむじな</t>
  </si>
  <si>
    <t>ぜつれいらせんげき</t>
  </si>
  <si>
    <t>かめひめすきゅれい</t>
  </si>
  <si>
    <t>勢力</t>
  </si>
  <si>
    <t>飛天</t>
  </si>
  <si>
    <t>いんがおうほう</t>
  </si>
  <si>
    <t>0009</t>
  </si>
  <si>
    <t>0014</t>
  </si>
  <si>
    <t>CP</t>
  </si>
  <si>
    <t>空雷翔姫モルガン</t>
  </si>
  <si>
    <t>真空烈破</t>
  </si>
  <si>
    <t>薫風蒼樹カヌキ</t>
  </si>
  <si>
    <t>J</t>
  </si>
  <si>
    <t>No(文字列)</t>
  </si>
  <si>
    <t>列番号</t>
  </si>
  <si>
    <t>ソートごとに順位を抽出するためのフラグ</t>
  </si>
  <si>
    <t>～</t>
  </si>
  <si>
    <t xml:space="preserve">列目の </t>
  </si>
  <si>
    <t>参照用
No</t>
  </si>
  <si>
    <t>ソート後</t>
  </si>
  <si>
    <t>行を参照してソート)</t>
  </si>
  <si>
    <t>ソート数式作成補助用データ</t>
  </si>
  <si>
    <t>列順</t>
  </si>
  <si>
    <t>ナビゲート列</t>
  </si>
  <si>
    <t>必殺技(必殺技ソートでは技威力)</t>
  </si>
  <si>
    <t>基本技(基本技ソートでは技威力、必殺技ソートでは技名)</t>
  </si>
  <si>
    <t>威力336 / 効果量40%</t>
  </si>
  <si>
    <t>竜胆イツキ</t>
  </si>
  <si>
    <t>陣形</t>
  </si>
  <si>
    <t>コスト</t>
  </si>
  <si>
    <t>基本技</t>
  </si>
  <si>
    <t>鎧羅</t>
  </si>
  <si>
    <t>#778877</t>
  </si>
  <si>
    <t>アーク・マティウス</t>
  </si>
  <si>
    <t>|~|55|||||h</t>
  </si>
  <si>
    <t>|~|60|||||h</t>
  </si>
  <si>
    <t>|~|65|||||h</t>
  </si>
  <si>
    <t>|~|70|||||h</t>
  </si>
  <si>
    <t>|~|75|||||h</t>
  </si>
  <si>
    <t>|~|80|||||h</t>
  </si>
  <si>
    <t>|~|85|||||h</t>
  </si>
  <si>
    <t>|~|90|||||h</t>
  </si>
  <si>
    <t>ぎんせんふあまつまら</t>
  </si>
  <si>
    <t>ぎんろうのこうや</t>
  </si>
  <si>
    <t>こはくどうこうや</t>
  </si>
  <si>
    <t>コウヤ</t>
  </si>
  <si>
    <t>こうや</t>
  </si>
  <si>
    <t>すいれいそうわたつみ</t>
  </si>
  <si>
    <t>ひょうりんのまひろ</t>
  </si>
  <si>
    <t>ひすいまひろ</t>
  </si>
  <si>
    <t>マヒロ</t>
  </si>
  <si>
    <t>まひろ</t>
  </si>
  <si>
    <t>ぜったいれいど</t>
  </si>
  <si>
    <t>こくようえいは せいそうげつ</t>
  </si>
  <si>
    <t>せいそうげつ</t>
  </si>
  <si>
    <t>れっかのかりん</t>
  </si>
  <si>
    <t>カリン</t>
  </si>
  <si>
    <t>かりん</t>
  </si>
  <si>
    <t>種別(カード名)</t>
  </si>
  <si>
    <t>種別(必殺技名)</t>
  </si>
  <si>
    <t>No_カード名</t>
  </si>
  <si>
    <t>R</t>
  </si>
  <si>
    <t>威力222 / 効果時間1.25秒</t>
  </si>
  <si>
    <t>威力185 / 効果時間1.25秒</t>
  </si>
  <si>
    <t>威力260 / 効果量44%</t>
  </si>
  <si>
    <t>ダレス・パンテイル</t>
  </si>
  <si>
    <t>香貫</t>
  </si>
  <si>
    <t>不動神剣・八幡大菩薩</t>
  </si>
  <si>
    <t>威力246</t>
  </si>
  <si>
    <t>威力372</t>
  </si>
  <si>
    <t>鎧羅五霊陣</t>
  </si>
  <si>
    <t>0036</t>
  </si>
  <si>
    <t>勢力・陣形</t>
  </si>
  <si>
    <t>魂獣五神陣</t>
  </si>
  <si>
    <t>魂獣五魂陣</t>
  </si>
  <si>
    <t>カード名・画像</t>
  </si>
  <si>
    <t>まどうしょおもいかね</t>
  </si>
  <si>
    <t>麒麟四魂陣</t>
  </si>
  <si>
    <t>ぶしんしょうぐんおろちただかつ</t>
  </si>
  <si>
    <t>技4</t>
  </si>
  <si>
    <t>技5</t>
  </si>
  <si>
    <t>魔6</t>
  </si>
  <si>
    <t>魔3</t>
  </si>
  <si>
    <t>魔4</t>
  </si>
  <si>
    <t>魔5</t>
  </si>
  <si>
    <t>t4</t>
  </si>
  <si>
    <t>t5</t>
  </si>
  <si>
    <t>t6</t>
  </si>
  <si>
    <t>w4</t>
  </si>
  <si>
    <t>w5</t>
  </si>
  <si>
    <t>w6</t>
  </si>
  <si>
    <t>m3</t>
  </si>
  <si>
    <t>m4</t>
  </si>
  <si>
    <t>m5</t>
  </si>
  <si>
    <t>無3</t>
  </si>
  <si>
    <t>仁義八行・牡丹燈籠</t>
  </si>
  <si>
    <t>必殺技名</t>
  </si>
  <si>
    <t>必殺技名よみ</t>
  </si>
  <si>
    <t>神魔界の速が15%アップ、それ以外の速が7.5%アップ</t>
  </si>
  <si>
    <t>神魔三宝陣</t>
  </si>
  <si>
    <t>ぴぐまりおん</t>
  </si>
  <si>
    <t>アトラス</t>
  </si>
  <si>
    <t>神具:剛烈剣カンギテン</t>
  </si>
  <si>
    <t>神具:水滸剣ヒルコ</t>
  </si>
  <si>
    <t>神具:太陽剣アマテラス</t>
  </si>
  <si>
    <t>麒麟の防が15%アップ</t>
  </si>
  <si>
    <t>青龍のHPが20%アップ</t>
  </si>
  <si>
    <t>麒麟の防が30%アップ</t>
  </si>
  <si>
    <t>必殺技威力</t>
  </si>
  <si>
    <r>
      <t>H</t>
    </r>
    <r>
      <rPr>
        <b/>
        <sz val="10"/>
        <rFont val="ＭＳ Ｐゴシック"/>
        <family val="3"/>
      </rPr>
      <t>AR</t>
    </r>
    <r>
      <rPr>
        <sz val="10"/>
        <rFont val="ＭＳ Ｐゴシック"/>
        <family val="3"/>
      </rPr>
      <t>BDJ</t>
    </r>
  </si>
  <si>
    <t>白虎五神陣</t>
  </si>
  <si>
    <t>たいだるうぇいぶ・でぃざすたー</t>
  </si>
  <si>
    <t>玄武五神陣</t>
  </si>
  <si>
    <t>にくたいえんか</t>
  </si>
  <si>
    <t>はつねひびき</t>
  </si>
  <si>
    <t>ぐらんど・どらいぶ</t>
  </si>
  <si>
    <t>鎧羅五神陣</t>
  </si>
  <si>
    <t>テラス</t>
  </si>
  <si>
    <t>てらす</t>
  </si>
  <si>
    <t>武神将軍 大蛇タダカツ</t>
  </si>
  <si>
    <t>タダカツ</t>
  </si>
  <si>
    <t>ただかつ</t>
  </si>
  <si>
    <t>四炎聖天マイト</t>
  </si>
  <si>
    <t>暗黒騎士シェイド</t>
  </si>
  <si>
    <t>臨鬼応変</t>
  </si>
  <si>
    <t>紅蓮弓聖ロック</t>
  </si>
  <si>
    <t>ブラストキャノン・インフェルノ</t>
  </si>
  <si>
    <t>ヴァンファレス</t>
  </si>
  <si>
    <t>ビックバン・トルネード</t>
  </si>
  <si>
    <t>らいおうけんたけみかづち</t>
  </si>
  <si>
    <t>青龍五神陣</t>
  </si>
  <si>
    <t>効果量+125</t>
  </si>
  <si>
    <t>白虎五神陣</t>
  </si>
  <si>
    <t>効果量+10</t>
  </si>
  <si>
    <t>玄武五神陣</t>
  </si>
  <si>
    <t>威力222</t>
  </si>
  <si>
    <t>[[レイドボス]]「獣王フェンリル」戦の報酬で手に入る「獣牙コイン」を用いて 
カードを引くと出現する可能性のあるカード。 
[[1108__獣牙王エドガー]]のアナザーで、背景とステータスが異なる。 
技Lvを揃えれば[[強化合成]]が可能。</t>
  </si>
  <si>
    <t>玄武四魂陣</t>
  </si>
  <si>
    <t>玄武四宝陣</t>
  </si>
  <si>
    <t>玄武三宝陣</t>
  </si>
  <si>
    <t>皇魔五神陣</t>
  </si>
  <si>
    <t>皇魔五魂陣</t>
  </si>
  <si>
    <t>皇魔四魂陣</t>
  </si>
  <si>
    <t>皇魔四宝陣</t>
  </si>
  <si>
    <t>皇魔三宝陣</t>
  </si>
  <si>
    <t>皇魔覇王陣</t>
  </si>
  <si>
    <t>皇魔無双陣</t>
  </si>
  <si>
    <t>白面九尾</t>
  </si>
  <si>
    <t>けりわざしゅたいのがりゅうかくとうじゅつ</t>
  </si>
  <si>
    <t>朱雀四魂陣</t>
  </si>
  <si>
    <t>効果量+8</t>
  </si>
  <si>
    <t>効果量+10%</t>
  </si>
  <si>
    <t>効果量-10%</t>
  </si>
  <si>
    <t>|&gt;|</t>
  </si>
  <si>
    <t>すたーらんさー</t>
  </si>
  <si>
    <t>がりゅうてんせい</t>
  </si>
  <si>
    <t>てんがいちかく</t>
  </si>
  <si>
    <t>紫雷一閃</t>
  </si>
  <si>
    <t>しらいいっせん</t>
  </si>
  <si>
    <t>正面の敵を攻撃 クリティカル発生時に大ダメージ</t>
  </si>
  <si>
    <t>威力375</t>
  </si>
  <si>
    <t>威力222 / 効果量60%</t>
  </si>
  <si>
    <t>威力185 / 効果量60%</t>
  </si>
  <si>
    <t>威力222 / 効果量150%</t>
  </si>
  <si>
    <t>威力185 / 効果量25%</t>
  </si>
  <si>
    <t>スキュレイ</t>
  </si>
  <si>
    <t>アラクネ</t>
  </si>
  <si>
    <t>モルガン</t>
  </si>
  <si>
    <t>モエギ</t>
  </si>
  <si>
    <t>蹴り技主体の我流格闘術</t>
  </si>
  <si>
    <t>鎧羅四聖陣</t>
  </si>
  <si>
    <t>ランダムに味方の行動を早める</t>
  </si>
  <si>
    <t>正面の敵になぎ払い攻撃 パニッシャーズの枚数によりダメージアップ</t>
  </si>
  <si>
    <t>敵全体を攻撃 パニッシャーズの枚数によりダメージアップ</t>
  </si>
  <si>
    <t>アサギ</t>
  </si>
  <si>
    <t>ノブヤス</t>
  </si>
  <si>
    <t>のぶやす</t>
  </si>
  <si>
    <t>技Lv</t>
  </si>
  <si>
    <t>ぐらんど・うぇーぶ</t>
  </si>
  <si>
    <t>せんとぷりんせすあるま</t>
  </si>
  <si>
    <t>えんおうけんひのかぐつち</t>
  </si>
  <si>
    <t>してんれっかかりん</t>
  </si>
  <si>
    <t>こうえんじかりん</t>
  </si>
  <si>
    <t>「隠神刑部祭」(2012年10月23日～&amp;s(){10月30日}11月6日)期間に 
「フロンティアポイント」を4000ポイント以上獲得したプレイヤーに、 
イベント終了後に配布された限定カード。 
[[7016_黒耀聖天ムジナ]]とイラストは同じのアナザーで、背景とステータスが異なる。 
技Lvを揃えれば[[強化合成]]が可能。</t>
  </si>
  <si>
    <t>威力250</t>
  </si>
  <si>
    <t>回復量120</t>
  </si>
  <si>
    <t>威力150</t>
  </si>
  <si>
    <t>効果時間2.50秒</t>
  </si>
  <si>
    <t>効果量20%</t>
  </si>
  <si>
    <t>効果量200%</t>
  </si>
  <si>
    <t>威力120</t>
  </si>
  <si>
    <t>威力300</t>
  </si>
  <si>
    <t>威力248</t>
  </si>
  <si>
    <t>威力184</t>
  </si>
  <si>
    <t>威力148</t>
  </si>
  <si>
    <t>威力280</t>
  </si>
  <si>
    <t>威力232</t>
  </si>
  <si>
    <t>威力112</t>
  </si>
  <si>
    <t>POWER</t>
  </si>
  <si>
    <t>チョコ弾</t>
  </si>
  <si>
    <t>色</t>
  </si>
  <si>
    <t>陣形アンカー</t>
  </si>
  <si>
    <t>聖龍のHPが20%アップ、それ以外のHPが10%アップ</t>
  </si>
  <si>
    <t>獣牙の攻が30%アップ、それ以外の攻が15%アップ</t>
  </si>
  <si>
    <t>飛天の速が15%アップ、それ以外の速が7.5%アップ</t>
  </si>
  <si>
    <t>鎧羅の防が30%アップ、それ以外の防が15%アップ</t>
  </si>
  <si>
    <t>皇魔のHPが20%アップ、それ以外のHPが10%アップ</t>
  </si>
  <si>
    <t>全員の攻が20%アップ 防が20%アップ</t>
  </si>
  <si>
    <t>中央都市のHPが20%アップ、それ以外のHPが10%アップ</t>
  </si>
  <si>
    <t>中央都市のHPが10％アップ</t>
  </si>
  <si>
    <t>魔界の防が15%アップ</t>
  </si>
  <si>
    <t>大魔界の攻が30%アップ、それ以外の攻が15%アップ</t>
  </si>
  <si>
    <t>大魔界の攻が15%アップ</t>
  </si>
  <si>
    <t>鳳凰学園のHPが20%アップ</t>
  </si>
  <si>
    <t>邪馬都の攻が30%アップ</t>
  </si>
  <si>
    <t>邪馬都の攻が15%アップ</t>
  </si>
  <si>
    <t>外海の防が30%アップ</t>
  </si>
  <si>
    <t>「獣牙祭」(2012年8月28日～9月4日)期間に
「[[勢力が獣牙&gt;勢力_獣牙]]」のCP(0048～0052)/H/S/Nカードを引いて、
「フロンティアポイント」を2500ポイント、4000ポイント獲得したプレイヤーに配布される期間限定カード。
[[1307_獣牙王エドガー]]とイラストは同じのアナザーで、ステータスが異なる。 
技Lvを揃えれば[[強化合成]]が可能。</t>
  </si>
  <si>
    <t>白面六道童子サイ</t>
  </si>
  <si>
    <t>R</t>
  </si>
  <si>
    <t>T</t>
  </si>
  <si>
    <t>C</t>
  </si>
  <si>
    <t>「飛天祭」(2012年9月13日～9月20日)期間限定で
「神羅万象カード」「神羅万象カード・極」から引くことができるカード。
[[1116_眠り姫アルマ]]と絵柄は同じのアナザーで、背景の色とステータスが異なる。
技Lvを揃えれば[[強化合成]]が可能。</t>
  </si>
  <si>
    <t>「飛天祭」(2012年9月13日～9月20日)期間限定で
「神羅万象カード」「神羅万象カード・極」から引くことができるカード。
[[1213_神聖騎士ナルサス]]と絵柄は同じのアナザーで、背景の色とステータスが異なる。
技Lvを揃えれば[[強化合成]]が可能。</t>
  </si>
  <si>
    <t>「飛天祭」(2012年9月13日～9月20日)期間限定で
「神羅万象カード」「神羅万象カード・極」から引くことができるカード。
[[1215_クラウディア]]と絵柄は同じのアナザーで、背景の色とステータスが異なる。
技Lvを揃えれば[[強化合成]]が可能。</t>
  </si>
  <si>
    <t>「飛天祭」(2012年9月13日～9月20日)期間限定で
「神羅万象カード」「神羅万象カード・極」から引くことができるカード。
[[1315_剣聖シープ]]と絵柄は同じのアナザーで、背景の色とステータスが異なる。
技Lvを揃えれば[[強化合成]]が可能。</t>
  </si>
  <si>
    <t>「飛天祭」(2012年9月13日～9月20日)期間限定で
「神羅万象カード」「神羅万象カード・極」から引くことができるカード。
[[1316_紅蓮騎士ラモン]]と絵柄は同じのアナザーで、背景の色とステータスが異なる。
技Lvを揃えれば[[強化合成]]が可能。</t>
  </si>
  <si>
    <t>「飛天祭」(2012年9月13日～9月20日)期間限定で
「神羅万象カード」「神羅万象カード・極」から引くことができるカード。
[[1317_アンディル]]と絵柄は同じのアナザーで、背景の色とステータスが異なる。
技Lvを揃えれば[[強化合成]]が可能。</t>
  </si>
  <si>
    <t>「飛天祭」(2012年9月13日～9月20日)期間に
「[[勢力が飛天&gt;勢力_飛天]]」のCP(0056～0061)/H/S/Nカードを引いて、
「フロンティアポイント」を1000ポイント獲得したプレイヤーに配布される期間限定カード。
[[1121_ヴァンファレス]]とイラストは同じのアナザーで、ステータスが異なる。 
技Lvを揃えれば[[強化合成]]が可能。</t>
  </si>
  <si>
    <t>[[レイドボス]]「鳳王フルスベルグ」戦の報酬で手に入る「飛天コイン」を用いて 
カードを引くと出現する可能性のあるカード。 
[[1115_飛天王アレックス]]のアナザーで、背景とステータスが異なる。 
技Lvを揃えれば[[強化合成]]が可能。</t>
  </si>
  <si>
    <t>0066</t>
  </si>
  <si>
    <t>ルリ丸</t>
  </si>
  <si>
    <t>るりまる</t>
  </si>
  <si>
    <t>えっじ</t>
  </si>
  <si>
    <t>2012年10月30日「ハロウィンキャンペーン」として
同日のメンテナンス直前時点で「30人以上で構成されるギルドに所属している」プレイヤー全員に
配布された限定カード。現在は入手不可。
[[6327_慧光仙女 八意紗都理]]とイラストは同じのアナザーで、背景とステータスが異なる。 
技Lvを揃えれば[[強化合成]]が可能。</t>
  </si>
  <si>
    <t>0090</t>
  </si>
  <si>
    <t>0091</t>
  </si>
  <si>
    <t>0092</t>
  </si>
  <si>
    <t>麒麟四聖陣</t>
  </si>
  <si>
    <t>麒麟の防が30%アップ、それ以外の防が15%アップ</t>
  </si>
  <si>
    <t>肉体炎化</t>
  </si>
  <si>
    <t>獣牙王エドガー</t>
  </si>
  <si>
    <t>猛虎乱舞</t>
  </si>
  <si>
    <t>因果応報</t>
  </si>
  <si>
    <t>松姫無慈那</t>
  </si>
  <si>
    <t>黒刀のムジナ</t>
  </si>
  <si>
    <t>suzaku3h</t>
  </si>
  <si>
    <t>朱雀五神陣</t>
  </si>
  <si>
    <t>朱雀五魂陣</t>
  </si>
  <si>
    <t>「鳳凰学園夏休み祭　後半戦」(2012年8月7日～8月14日)期間に
「[[ゼクスファクター&gt;No,6000]]」(邪馬都・外海を除く)のSP/CP(0037～0041)/H/S/Nカードを引いて、
「フロンティアポイント」を3000ポイント獲得したプレイヤーに配布される期間限定カード。
[[6201_銀狼のコウヤ]]とイラストは同じのアナザーで、ステータスが異なる。 
技Lvを揃えれば[[強化合成]]が可能。</t>
  </si>
  <si>
    <t>「鳳凰学園夏休み祭　後半戦」(2012年8月7日～8月14日)期間に
「[[ゼクスファクター&gt;No,6000]]」(邪馬都・外海を除く)のSP/CP(0037～0041)/H/S/Nカードを引いて、
「フロンティアポイント」を4000ポイント獲得したプレイヤーに配布される期間限定カード。
[[6204_氷輪のマヒロ]]の色違い・背景違いとなるアナザーで、ステータスが異なる。 
技Lvを揃えれば[[強化合成]]が可能。</t>
  </si>
  <si>
    <t>kouma_musou</t>
  </si>
  <si>
    <t>kouma_kongou</t>
  </si>
  <si>
    <t>kouma_sippuu</t>
  </si>
  <si>
    <t>kirin5s</t>
  </si>
  <si>
    <t>kirin5k</t>
  </si>
  <si>
    <t>kirin4k</t>
  </si>
  <si>
    <t>kirin4h</t>
  </si>
  <si>
    <t>kirin3h</t>
  </si>
  <si>
    <t>麒麟五神陣</t>
  </si>
  <si>
    <t>麒麟五魂陣</t>
  </si>
  <si>
    <t>麒麟四魂陣</t>
  </si>
  <si>
    <t>麒麟四宝陣</t>
  </si>
  <si>
    <t>麒麟三宝陣</t>
  </si>
  <si>
    <t>鳳凰五魂陣</t>
  </si>
  <si>
    <t>ra</t>
  </si>
  <si>
    <t>raw</t>
  </si>
  <si>
    <t>01-04</t>
  </si>
  <si>
    <t>ra-du</t>
  </si>
  <si>
    <t>ra-la</t>
  </si>
  <si>
    <t>ra-st</t>
  </si>
  <si>
    <t>aa</t>
  </si>
  <si>
    <t>ca</t>
  </si>
  <si>
    <t>ad</t>
  </si>
  <si>
    <t>du</t>
  </si>
  <si>
    <t>la</t>
  </si>
  <si>
    <t>st</t>
  </si>
  <si>
    <t>au</t>
  </si>
  <si>
    <t>dd</t>
  </si>
  <si>
    <t>ea</t>
  </si>
  <si>
    <t>hp</t>
  </si>
  <si>
    <t>回復量</t>
  </si>
  <si>
    <t>hp_1</t>
  </si>
  <si>
    <t>ehp</t>
  </si>
  <si>
    <t>eau</t>
  </si>
  <si>
    <t>edd</t>
  </si>
  <si>
    <t>eea</t>
  </si>
  <si>
    <t>引用ページ1</t>
  </si>
  <si>
    <t>引用ページ2</t>
  </si>
  <si>
    <t>引用ページ3</t>
  </si>
  <si>
    <t>|~</t>
  </si>
  <si>
    <t>|~</t>
  </si>
  <si>
    <t>|~</t>
  </si>
  <si>
    <t>|</t>
  </si>
  <si>
    <t>|&gt;</t>
  </si>
  <si>
    <t>旧必殺技欄</t>
  </si>
  <si>
    <t>新必殺技欄</t>
  </si>
  <si>
    <t>外海五神陣</t>
  </si>
  <si>
    <t>外海四宝陣</t>
  </si>
  <si>
    <t>外海五魂陣</t>
  </si>
  <si>
    <t>黒曜影波 星霜月</t>
  </si>
  <si>
    <t>fa_3</t>
  </si>
  <si>
    <t>魂獣五神陣</t>
  </si>
  <si>
    <t>ヒビキ</t>
  </si>
  <si>
    <t>ひびき</t>
  </si>
  <si>
    <t>本陀汰蛇蝎</t>
  </si>
  <si>
    <t>0044</t>
  </si>
  <si>
    <t>0045</t>
  </si>
  <si>
    <t>0046</t>
  </si>
  <si>
    <t>「鳳凰学園夏休み祭」(2012年7月24日～7月31日)期間限定で
「神羅万象カード」「神羅万象カード・極」から引くことができるカード。
[[6108_荊姫シヅカ]]と絵柄は同じのアナザーで、背景の色とステータスが異なる。
技Lvを揃えれば[[強化合成]]が可能。</t>
  </si>
  <si>
    <t>聖龍五神陣</t>
  </si>
  <si>
    <t>聖龍五魂陣</t>
  </si>
  <si>
    <t>力</t>
  </si>
  <si>
    <t>技</t>
  </si>
  <si>
    <t>無</t>
  </si>
  <si>
    <t>五神陣</t>
  </si>
  <si>
    <t>五魂陣</t>
  </si>
  <si>
    <t>五霊陣</t>
  </si>
  <si>
    <t>正面の敵に貫通攻撃 クリティカル発生時に大ダメージ</t>
  </si>
  <si>
    <t>味方全体を回復</t>
  </si>
  <si>
    <t>回復量140</t>
  </si>
  <si>
    <t>威力205</t>
  </si>
  <si>
    <t>タイプ・コスト</t>
  </si>
  <si>
    <t>「聖龍祭」(2012年10月2日～10月9日)期間に
「[[勢力が聖龍&gt;勢力_聖龍]]」のSP/CP(0068～0073)/H/S/Nカードを引いて、
「フロンティアポイント」を1000ポイント獲得したプレイヤーに配布される期間限定カード。
[[1402_四代絶影クオン]]とイラストは同じのアナザーで、ステータスが異なる。 
技Lvを揃えれば[[強化合成]]が可能。</t>
  </si>
  <si>
    <t>「聖龍祭」(2012年10月2日～10月9日)期間に
「[[勢力が聖龍&gt;勢力_聖龍]]」のSP/CP(0068～0073)/H/S/Nカードを引いて、
「フロンティアポイント」を2000ポイント獲得したプレイヤーに配布される期間限定カード。
[[2201_雷迅のリュウガ]]とイラストは同じのアナザーで、ステータスが異なる。 
技Lvを揃えれば[[強化合成]]が可能。</t>
  </si>
  <si>
    <t>0010</t>
  </si>
  <si>
    <t>0011</t>
  </si>
  <si>
    <t>0012</t>
  </si>
  <si>
    <t>0013</t>
  </si>
  <si>
    <t>聖龍王サイガ</t>
  </si>
  <si>
    <t>七天伐刀</t>
  </si>
  <si>
    <t>四代絶影クオン</t>
  </si>
  <si>
    <t>砕鋼拳テッシン</t>
  </si>
  <si>
    <t>勇将ゲイル</t>
  </si>
  <si>
    <t>聖姫アルマ</t>
  </si>
  <si>
    <t>威力200</t>
  </si>
  <si>
    <t>威力132</t>
  </si>
  <si>
    <t>威力164</t>
  </si>
  <si>
    <t>直接</t>
  </si>
  <si>
    <t>間接</t>
  </si>
  <si>
    <t>ランダムに敵を攻撃 さらに対象の被ダメージをアップ</t>
  </si>
  <si>
    <t>ランダムに敵を連続攻撃</t>
  </si>
  <si>
    <t>味方全体の与ダメージをアップ さらに被ダメージをダウン</t>
  </si>
  <si>
    <t>敵全体の行動を遅らせる</t>
  </si>
  <si>
    <t>キャラフルネーム読み</t>
  </si>
  <si>
    <t>キャラ通称(正式名で引きづらい場合のみ)</t>
  </si>
  <si>
    <t>キャラ通称読み</t>
  </si>
  <si>
    <t>百獣将オルティガ</t>
  </si>
  <si>
    <t>猛将コランダム</t>
  </si>
  <si>
    <t>一網打刃</t>
  </si>
  <si>
    <t>瞬刃剣舞ユーナ</t>
  </si>
  <si>
    <t>閃刃斬破</t>
  </si>
  <si>
    <t>白面鬼吼童子サイ</t>
  </si>
  <si>
    <t>しずく</t>
  </si>
  <si>
    <t>じあいのひかり</t>
  </si>
  <si>
    <t>こうていてらす</t>
  </si>
  <si>
    <t>正面の敵を攻撃 さらに行動不能にする</t>
  </si>
  <si>
    <t>ランダムに敵を行動不能にする</t>
  </si>
  <si>
    <t>アルフィーネ</t>
  </si>
  <si>
    <t>邪馬都四魂陣</t>
  </si>
  <si>
    <t>邪馬都三宝陣</t>
  </si>
  <si>
    <t>0021</t>
  </si>
  <si>
    <t>友達招待キャンペーンで紹介されてゲームを始めた新規ユーザに配布されたアナザーカード。</t>
  </si>
  <si>
    <t>「獣牙祭」(2012年8月28日～9月4日)期間限定で
「神羅万象カード」「神羅万象カード・極」から引くことができるカード。
[[1109_白面のセツナ]]と絵柄は同じのアナザーで、背景の色とステータスが異なる。
技Lvを揃えれば[[強化合成]]が可能。</t>
  </si>
  <si>
    <t>「獣牙祭」(2012年8月28日～9月4日)期間限定で
「神羅万象カード」「神羅万象カード・極」から引くことができるカード。
[[1111_ナタージャ]]と絵柄は同じのアナザーで、背景の色とステータスが異なる。
技Lvを揃えれば[[強化合成]]が可能。</t>
  </si>
  <si>
    <t>「獣牙祭」(2012年8月28日～9月4日)期間限定で
「神羅万象カード」「神羅万象カード・極」から引くことができるカード。
[[1309_漆黒のシェイド]]と絵柄は同じのアナザーで、背景の色とステータスが異なる。
技Lvを揃えれば[[強化合成]]が可能。</t>
  </si>
  <si>
    <t>「獣牙祭」(2012年8月28日～9月4日)期間限定で
「神羅万象カード」「神羅万象カード・極」から引くことができるカード。
[[1207_百獣将オルティガ]]と絵柄は同じのアナザーで、背景の色とステータスが異なる。
技Lvを揃えれば[[強化合成]]が可能。</t>
  </si>
  <si>
    <t>トライプライド</t>
  </si>
  <si>
    <t>トライヒューム</t>
  </si>
  <si>
    <t>トライヴァイス</t>
  </si>
  <si>
    <t>トライラース</t>
  </si>
  <si>
    <t>トライエンヴィー</t>
  </si>
  <si>
    <t>トライスロゥス</t>
  </si>
  <si>
    <t>トライグリード</t>
  </si>
  <si>
    <t>トライグラトニー</t>
  </si>
  <si>
    <t>トライラスト</t>
  </si>
  <si>
    <t>正面の敵を攻撃 さらに行動不能にする</t>
  </si>
  <si>
    <t>威力150</t>
  </si>
  <si>
    <t>効果量200%</t>
  </si>
  <si>
    <t>外海の防が15%アップ</t>
  </si>
  <si>
    <t>全員のHPが20%アップ</t>
  </si>
  <si>
    <t>魂獣界のHPが10%アップ</t>
  </si>
  <si>
    <t>青龍のHPが10%アップ</t>
  </si>
  <si>
    <t>白虎の攻が15%アップ</t>
  </si>
  <si>
    <t>こうよくせいてんきりこ</t>
  </si>
  <si>
    <t>とっこうばんちょうえっじ</t>
  </si>
  <si>
    <t>ゆうしゃるりまる</t>
  </si>
  <si>
    <t>夢想火炎撃</t>
  </si>
  <si>
    <t>むそうかえんげき</t>
  </si>
  <si>
    <t>六道輪廻</t>
  </si>
  <si>
    <t>ろくどうりんね</t>
  </si>
  <si>
    <t>味方全体を回復</t>
  </si>
  <si>
    <t>威力290</t>
  </si>
  <si>
    <t>威力350</t>
  </si>
  <si>
    <t>威力230</t>
  </si>
  <si>
    <t>威力450</t>
  </si>
  <si>
    <t>ムジナ</t>
  </si>
  <si>
    <t>能力へのアンカー</t>
  </si>
  <si>
    <t>玄武の坊が30%アップ</t>
  </si>
  <si>
    <t>魂獣界のHPが20%アップ</t>
  </si>
  <si>
    <t>鎧羅の防が30%アップ</t>
  </si>
  <si>
    <t>飛天の速が15%アップ</t>
  </si>
  <si>
    <t>聖龍のHPが20%アップ</t>
  </si>
  <si>
    <t>聖龍のHPが10%アップ</t>
  </si>
  <si>
    <t>皇魔のHPが10%アップ</t>
  </si>
  <si>
    <t>皇魔の防が30%アップ</t>
  </si>
  <si>
    <t>皇魔の攻が30%アップ</t>
  </si>
  <si>
    <t>皇魔の速が15%アップ</t>
  </si>
  <si>
    <t>白面九尾の攻が15%アップ</t>
  </si>
  <si>
    <t>朱雀の速が15%アップ</t>
  </si>
  <si>
    <t>#999A84</t>
  </si>
  <si>
    <t>juuga</t>
  </si>
  <si>
    <t>効果量66.66%</t>
  </si>
  <si>
    <t>力</t>
  </si>
  <si>
    <t>魔族の速が12%アップ スロット効果:速が8アップ</t>
  </si>
  <si>
    <t>魔族のHPが16%アップ スロット効果:速が10アップ</t>
  </si>
  <si>
    <t>魔族のHPが16%アップ スロット効果:速が8アップ</t>
  </si>
  <si>
    <t>敵全体を行動不能にする</t>
  </si>
  <si>
    <t>味方全体の与ダメージをアップ</t>
  </si>
  <si>
    <t>味方全体の被ダメージをダウン</t>
  </si>
  <si>
    <t>味方全体の行動を早める</t>
  </si>
  <si>
    <t>必殺技コード</t>
  </si>
  <si>
    <t>必殺技</t>
  </si>
  <si>
    <t>PR</t>
  </si>
  <si>
    <t>0078</t>
  </si>
  <si>
    <t>[[レイドボス]]「竜王ファフニール」戦の報酬で手に入る「聖龍コイン」を用いて 
カードを引くと出現する可能性のあるカード。 
[[1201_聖龍王サイガ]]のアナザーで、背景とステータスが異なる。 
技Lvを揃えれば[[強化合成]]が可能。</t>
  </si>
  <si>
    <t>こうみょうじかい</t>
  </si>
  <si>
    <t>なんじょういんきりこ</t>
  </si>
  <si>
    <t>にったえいじ</t>
  </si>
  <si>
    <t>しばいるりまる</t>
  </si>
  <si>
    <t>金剛弾</t>
  </si>
  <si>
    <t>慈愛の光</t>
  </si>
  <si>
    <t>魂獣四魂陣</t>
  </si>
  <si>
    <t>魂獣四宝陣</t>
  </si>
  <si>
    <t>魂獣三宝陣</t>
  </si>
  <si>
    <t>正面の敵に連続なぎ払い攻撃</t>
  </si>
  <si>
    <t>白面九尾の攻が30%アップ</t>
  </si>
  <si>
    <t>皇魔のHPが20%アップ</t>
  </si>
  <si>
    <t>隠神刑部の速が15%アップ</t>
  </si>
  <si>
    <t>獣牙の攻が30%アップ</t>
  </si>
  <si>
    <t>白虎の攻が30%アップ</t>
  </si>
  <si>
    <t>テトラグリード</t>
  </si>
  <si>
    <t>魔族「ラース」</t>
  </si>
  <si>
    <t>魔族「エンヴィー」</t>
  </si>
  <si>
    <t>コノハ</t>
  </si>
  <si>
    <t>癒しのそよ風</t>
  </si>
  <si>
    <t>鳳凰院神那人</t>
  </si>
  <si>
    <t>冴樹志津華</t>
  </si>
  <si>
    <t>南条院キリコ</t>
  </si>
  <si>
    <t>柴居瑠璃丸</t>
  </si>
  <si>
    <t>黒条流瑠家</t>
  </si>
  <si>
    <t>黒耀聖天ムジナ</t>
  </si>
  <si>
    <t>黒耀影覇</t>
  </si>
  <si>
    <t>こくようえいは</t>
  </si>
  <si>
    <t>こくようせいてんむじな</t>
  </si>
  <si>
    <t>ランダムに味方の与ダメージをアップ</t>
  </si>
  <si>
    <t>朱雀五神陣</t>
  </si>
  <si>
    <t>威力140</t>
  </si>
  <si>
    <t>玄武五神陣</t>
  </si>
  <si>
    <t>麒麟五霊陣</t>
  </si>
  <si>
    <t>白虎五霊陣</t>
  </si>
  <si>
    <t>青龍五霊陣</t>
  </si>
  <si>
    <t>回復量84</t>
  </si>
  <si>
    <t>九尾四聖陣</t>
  </si>
  <si>
    <t>白面九尾の攻が30%アップ、それ以外の攻が15%アップ</t>
  </si>
  <si>
    <t>九尾五霊陣</t>
  </si>
  <si>
    <t>青龍五霊陣</t>
  </si>
  <si>
    <t>青龍のHPが20%アップ、それ以外のHPが10%アップ</t>
  </si>
  <si>
    <t>白虎五霊陣</t>
  </si>
  <si>
    <t>白虎の攻が30%アップ、それ以外の攻が15%アップ</t>
  </si>
  <si>
    <t>麒麟五霊陣</t>
  </si>
  <si>
    <t>九尾五霊陣</t>
  </si>
  <si>
    <t>九尾四聖陣</t>
  </si>
  <si>
    <t>0106</t>
  </si>
  <si>
    <t>0107</t>
  </si>
  <si>
    <t>11</t>
  </si>
  <si>
    <t>12</t>
  </si>
  <si>
    <t>13</t>
  </si>
  <si>
    <t>14</t>
  </si>
  <si>
    <t>15</t>
  </si>
  <si>
    <t>16</t>
  </si>
  <si>
    <t>17</t>
  </si>
  <si>
    <t>18</t>
  </si>
  <si>
    <t>19</t>
  </si>
  <si>
    <t>20</t>
  </si>
  <si>
    <t>21</t>
  </si>
  <si>
    <t>22</t>
  </si>
  <si>
    <t>23</t>
  </si>
  <si>
    <t>24</t>
  </si>
  <si>
    <t>25</t>
  </si>
  <si>
    <t>26</t>
  </si>
  <si>
    <t>27</t>
  </si>
  <si>
    <t>28</t>
  </si>
  <si>
    <t>29</t>
  </si>
  <si>
    <t>30</t>
  </si>
  <si>
    <t>31</t>
  </si>
  <si>
    <t>32</t>
  </si>
  <si>
    <t>33</t>
  </si>
  <si>
    <t>人間界のHPが16%アップ スロット効果:被ダメージが10%ダウン</t>
  </si>
  <si>
    <t>魔族の防が24%アップ スロット効果:被ダメージが12.5%ダウン</t>
  </si>
  <si>
    <t>魔族の防が24%アップ スロット効果:被ダメージが10%ダウン</t>
  </si>
  <si>
    <t>魔族の攻が24%アップ スロット効果:速が8アップ</t>
  </si>
  <si>
    <t>人間界のHPが16%アップ スロット効果:被ダメージが12.5%ダウン</t>
  </si>
  <si>
    <t>アンカー</t>
  </si>
  <si>
    <t>#647693</t>
  </si>
  <si>
    <t>#BA7F83</t>
  </si>
  <si>
    <t>hiten</t>
  </si>
  <si>
    <t>gaira</t>
  </si>
  <si>
    <t>聖龍のHPが20%アップ、それ以外のHPが10%アップ</t>
  </si>
  <si>
    <t>皇魔</t>
  </si>
  <si>
    <t>#6A586B</t>
  </si>
  <si>
    <t>kouma</t>
  </si>
  <si>
    <t>#C0B472</t>
  </si>
  <si>
    <t>chuou</t>
  </si>
  <si>
    <t>#BB96A2</t>
  </si>
  <si>
    <t>makai</t>
  </si>
  <si>
    <t>#67989B</t>
  </si>
  <si>
    <t>daima</t>
  </si>
  <si>
    <t>いづな</t>
  </si>
  <si>
    <t>仏血斬り・地獄変</t>
  </si>
  <si>
    <t>ぶっちぎり・じごくへん</t>
  </si>
  <si>
    <t>0055</t>
  </si>
  <si>
    <t>行目</t>
  </si>
  <si>
    <t>正面の敵を攻撃 さらに対象の被ダメージをアップ</t>
  </si>
  <si>
    <t>あしゅらしんけん</t>
  </si>
  <si>
    <t>基本技種</t>
  </si>
  <si>
    <t>必殺技種</t>
  </si>
  <si>
    <t>勢力種</t>
  </si>
  <si>
    <t>勢力コード</t>
  </si>
  <si>
    <t>獣牙</t>
  </si>
  <si>
    <t>●</t>
  </si>
  <si>
    <t>fa-du</t>
  </si>
  <si>
    <t>くろすせいばー</t>
  </si>
  <si>
    <t>技種類</t>
  </si>
  <si>
    <t>ランダムに敵の与ダメージをダウン</t>
  </si>
  <si>
    <t>ランダムに敵の被ダメージをアップ</t>
  </si>
  <si>
    <t>ランダムに敵の行動を遅らせる</t>
  </si>
  <si>
    <t>ランダムに敵を行動不能にする</t>
  </si>
  <si>
    <t>正面の敵の与ダメージをダウン</t>
  </si>
  <si>
    <t>正面の敵の被ダメージをアップ</t>
  </si>
  <si>
    <t>正面の敵の行動を遅らせる</t>
  </si>
  <si>
    <t>正面の敵を行動不能にする</t>
  </si>
  <si>
    <t>ランダムに味方の与ダメージをアップ</t>
  </si>
  <si>
    <t>聖龍</t>
  </si>
  <si>
    <t>獣牙</t>
  </si>
  <si>
    <t>るなてぃっく・どらいぶ</t>
  </si>
  <si>
    <t>でひてら・でぃるてぃーれ</t>
  </si>
  <si>
    <t>はくたくのまよけ</t>
  </si>
  <si>
    <t>効果量170%</t>
  </si>
  <si>
    <t>麗鳥艶舞Fダンスター</t>
  </si>
  <si>
    <t>技</t>
  </si>
  <si>
    <t>鳳凰五神陣</t>
  </si>
  <si>
    <t>南条院マイト</t>
  </si>
  <si>
    <t>剛烈剣マヒル</t>
  </si>
  <si>
    <t>水鏡のケンケン</t>
  </si>
  <si>
    <t>日向真昼</t>
  </si>
  <si>
    <t>剣剣</t>
  </si>
  <si>
    <t>らいじんざん</t>
  </si>
  <si>
    <t>行最大値</t>
  </si>
  <si>
    <t>抽出最大値</t>
  </si>
  <si>
    <t>「鳳凰学園夏休み祭　後半戦」(2012年8月7日～8月14日)期間に
「[[ゼクスファクター&gt;No,6000]]」(邪馬都・外海を除く)のSP/CP(0037～0041)/H/S/Nカードを引いて、
「フロンティアポイント」を2000ポイント獲得したプレイヤーに配布される期間限定カード。
[[6122_雷刃のイツキ]]とイラストは同じのアナザーで、ステータスが異なる。 
技Lvを揃えれば[[強化合成]]が可能。</t>
  </si>
  <si>
    <t>外海</t>
  </si>
  <si>
    <t>ふうりんかざん</t>
  </si>
  <si>
    <t>しっこくのしぇいど</t>
  </si>
  <si>
    <t>聖龍四聖陣</t>
  </si>
  <si>
    <t>威力215</t>
  </si>
  <si>
    <t>威力120</t>
  </si>
  <si>
    <t>威力180</t>
  </si>
  <si>
    <t>あがーと</t>
  </si>
  <si>
    <t>だれす</t>
  </si>
  <si>
    <t>かぬき</t>
  </si>
  <si>
    <t>正面の敵に連続攻撃</t>
  </si>
  <si>
    <t>魔界</t>
  </si>
  <si>
    <t>魔界</t>
  </si>
  <si>
    <t>魔界三宝陣</t>
  </si>
  <si>
    <t>正面の敵を攻撃 ベジアタックを持つカードの枚数によりダメージアップ</t>
  </si>
  <si>
    <t>#contents()</t>
  </si>
  <si>
    <t>聖龍</t>
  </si>
  <si>
    <t>しちてんばっとう</t>
  </si>
  <si>
    <t>びゃっかりょうらん</t>
  </si>
  <si>
    <t>はがんいっしょう</t>
  </si>
  <si>
    <t>いやしのそよかぜ</t>
  </si>
  <si>
    <t>もうこらんぶ</t>
  </si>
  <si>
    <t>九印衝破</t>
  </si>
  <si>
    <t>くいんしょうは</t>
  </si>
  <si>
    <t>そにっくすぱいらる</t>
  </si>
  <si>
    <t>ふれいむ・すとーむ</t>
  </si>
  <si>
    <t>飛天</t>
  </si>
  <si>
    <t>裂空星ボレアス</t>
  </si>
  <si>
    <t>フライングスティンガー</t>
  </si>
  <si>
    <t>ふらいんぐすてぃんがー</t>
  </si>
  <si>
    <t>海迅星カイトス</t>
  </si>
  <si>
    <t>スクリュー・ブレイカー</t>
  </si>
  <si>
    <t>すくりゅーぶれいかー</t>
  </si>
  <si>
    <t>天魁星マルス</t>
  </si>
  <si>
    <t>ギャラクシアン・テンペスト</t>
  </si>
  <si>
    <t>「聖龍祭」(2012年10月2日～10月9日)期間限定で
「神羅万象カード」「神羅万象カード・極」から引くことができるカード。
[[1103破岩拳テッシン]]と絵柄は同じのアナザーで、背景の色とステータスが異なる。
技Lvを揃えれば[[強化合成]]が可能。</t>
  </si>
  <si>
    <t>二学期＜冬休みの思い出＞</t>
  </si>
  <si>
    <t>エッジ</t>
  </si>
  <si>
    <t>効果量+100</t>
  </si>
  <si>
    <t>効果量+8</t>
  </si>
  <si>
    <t>効果量-7.5%</t>
  </si>
  <si>
    <t>効果量+7.5%</t>
  </si>
  <si>
    <t>効果量-12.5%</t>
  </si>
  <si>
    <t>たいようけんあまてらす</t>
  </si>
  <si>
    <t>麒麟</t>
  </si>
  <si>
    <t>麒麟五魂陣</t>
  </si>
  <si>
    <t>たいようおうじかなと</t>
  </si>
  <si>
    <t>ほうおういんかなと</t>
  </si>
  <si>
    <t>青龍</t>
  </si>
  <si>
    <t>いばらひめしづか</t>
  </si>
  <si>
    <t>さえきしづか</t>
  </si>
  <si>
    <t>えんついたぢからのお</t>
  </si>
  <si>
    <t>えんついのきりこ</t>
  </si>
  <si>
    <t>なんじょういんきりこ</t>
  </si>
  <si>
    <t>えんぎょくこんごうにおう</t>
  </si>
  <si>
    <t>るりまる</t>
  </si>
  <si>
    <t>しばいるりまる</t>
  </si>
  <si>
    <t>神魔</t>
  </si>
  <si>
    <t>種別(通称名)</t>
  </si>
  <si>
    <t>種別(キャラ名)</t>
  </si>
  <si>
    <t>|~|35|||||h</t>
  </si>
  <si>
    <t>|~|40|||||h</t>
  </si>
  <si>
    <t>|~|45|||||h</t>
  </si>
  <si>
    <t>|~|50|||||h</t>
  </si>
  <si>
    <t>白面金剛童子サイ</t>
  </si>
  <si>
    <t>蚊龍連撃・石見神楽</t>
  </si>
  <si>
    <t>剣角星アキレス</t>
  </si>
  <si>
    <t>クロスセイバー</t>
  </si>
  <si>
    <t>黒刀斬姫ムジナ</t>
  </si>
  <si>
    <t>天照水滸ムジナ</t>
  </si>
  <si>
    <t>畏駕流忍術・両界曼荼羅</t>
  </si>
  <si>
    <t>0003</t>
  </si>
  <si>
    <t>0004</t>
  </si>
  <si>
    <t>0005</t>
  </si>
  <si>
    <t>0007</t>
  </si>
  <si>
    <t>陣形名</t>
  </si>
  <si>
    <t>陣形効果</t>
  </si>
  <si>
    <t>抽出開始行</t>
  </si>
  <si>
    <t>抽出終了行</t>
  </si>
  <si>
    <t>朱雀</t>
  </si>
  <si>
    <t>すたーだすと・えくすぷろーじょん</t>
  </si>
  <si>
    <t>0067</t>
  </si>
  <si>
    <t>0068</t>
  </si>
  <si>
    <t>0069</t>
  </si>
  <si>
    <t>0070</t>
  </si>
  <si>
    <t>0071</t>
  </si>
  <si>
    <t>0072</t>
  </si>
  <si>
    <t>0073</t>
  </si>
  <si>
    <t>0074</t>
  </si>
  <si>
    <t>0075</t>
  </si>
  <si>
    <t>0076</t>
  </si>
  <si>
    <t>0077</t>
  </si>
  <si>
    <t>必殺技</t>
  </si>
  <si>
    <t>コランダム</t>
  </si>
  <si>
    <t>サイ</t>
  </si>
  <si>
    <t>サイガ</t>
  </si>
  <si>
    <t>ミヤビ</t>
  </si>
  <si>
    <t>テッシン</t>
  </si>
  <si>
    <t>エドガー</t>
  </si>
  <si>
    <t>セツナ</t>
  </si>
  <si>
    <t>オルティガ</t>
  </si>
  <si>
    <t>アレックス</t>
  </si>
  <si>
    <t>アルマ</t>
  </si>
  <si>
    <t>シープ</t>
  </si>
  <si>
    <t>ポラリス</t>
  </si>
  <si>
    <t>ライセン</t>
  </si>
  <si>
    <t>「聖龍祭」(2012年10月2日～10月9日)期間に
「[[勢力が聖龍&gt;勢力_聖龍]]」のSP/CP(0068～0073)/H/S/Nカードを引いて、
「フロンティアポイント」を3000ポイント獲得したプレイヤーに配布される期間限定カード。
[[1202_大魔導ライセン]]とイラストは同じのアナザーで、ステータスが異なる。 
技Lvを揃えれば[[強化合成]]が可能。</t>
  </si>
  <si>
    <t>「聖龍祭」(2012年10月2日～10月9日)期間に
「[[勢力が聖龍&gt;勢力_聖龍]]」のSP/CP(0068～0073)/H/S/Nカードを引いて、
「フロンティアポイント」を4000ポイント獲得したプレイヤーに配布される期間限定カード。
[[1301_聖龍王サイガ]]とイラストは同じのアナザーで、ステータスが異なる。 
技Lvを揃えれば[[強化合成]]が可能。</t>
  </si>
  <si>
    <t>レアリティ</t>
  </si>
  <si>
    <t>タイプ</t>
  </si>
  <si>
    <t>コスト</t>
  </si>
  <si>
    <t>No</t>
  </si>
  <si>
    <t>キャラフルネーム</t>
  </si>
  <si>
    <t>0001</t>
  </si>
  <si>
    <t>0002</t>
  </si>
  <si>
    <t>人間界のHPが10%アップ</t>
  </si>
  <si>
    <t>魔族の防が24%アップ スロット効果:HPが125アップ</t>
  </si>
  <si>
    <t>魔族の防が24%アップ スロット効果:HPが100アップ</t>
  </si>
  <si>
    <t>威力290</t>
  </si>
  <si>
    <t>威力198</t>
  </si>
  <si>
    <t>威力276</t>
  </si>
  <si>
    <t>獣牙五霊陣</t>
  </si>
  <si>
    <t>テトラヴァイス</t>
  </si>
  <si>
    <t>ぎゃらくしあん・てんぺすと</t>
  </si>
  <si>
    <t>#hr(height=2,color=#cccccc)</t>
  </si>
  <si>
    <t>&amp;sizex(4){&amp;b(){[[ステータス/技威力等の追加掲載依頼&gt;ステータス掲載依頼]]は以下↓↓にご記入ください}}</t>
  </si>
  <si>
    <t>でぃあな</t>
  </si>
  <si>
    <t>ランダムに敵を攻撃 クリティカル発生時に大ダメージ</t>
  </si>
  <si>
    <t>敵全体を攻撃</t>
  </si>
  <si>
    <t>威力120</t>
  </si>
  <si>
    <t>神具:雷王剣タケミカヅチ</t>
  </si>
  <si>
    <t>神具:銀戦斧アマツマラ</t>
  </si>
  <si>
    <t>神具:水嶺槍ワタツミ</t>
  </si>
  <si>
    <t>神具:炎琴アメノウズメ</t>
  </si>
  <si>
    <t>効果量+100</t>
  </si>
  <si>
    <t>ランダムに敵を攻撃 さらに補助効果を打ち消す</t>
  </si>
  <si>
    <t>威力336 / 効果時間1.85秒</t>
  </si>
  <si>
    <t>ナタージャ</t>
  </si>
  <si>
    <t>ソニックスパイラル</t>
  </si>
  <si>
    <t>クラウディア</t>
  </si>
  <si>
    <t>ノゼルメンテ</t>
  </si>
  <si>
    <t>神聖騎士ナルサス</t>
  </si>
  <si>
    <t>アルトスタッカート</t>
  </si>
  <si>
    <t>味方全体を回復 パニッシャーズの枚数により回復量アップ</t>
  </si>
  <si>
    <t>威力165</t>
  </si>
  <si>
    <t>正面の敵に貫通攻撃</t>
  </si>
  <si>
    <t>威力230</t>
  </si>
  <si>
    <t>らいじんのいつき</t>
  </si>
  <si>
    <t>りんどういつき</t>
  </si>
  <si>
    <t>桃華仙ミヤビ</t>
  </si>
  <si>
    <t>百花繚乱</t>
  </si>
  <si>
    <t>翠緑深王ミツキ</t>
  </si>
  <si>
    <t>タイダルウェイブ・ディザスター</t>
  </si>
  <si>
    <t>大魔導ライセン</t>
  </si>
  <si>
    <t>天涯地核</t>
  </si>
  <si>
    <t>黄玉輝星アガート</t>
  </si>
  <si>
    <t>スターダスト・エクスプロージョン</t>
  </si>
  <si>
    <t>白面五行童子サイ</t>
  </si>
  <si>
    <t>陰陽五行・星明輝鏡印</t>
  </si>
  <si>
    <t>響天声ヒビキ</t>
  </si>
  <si>
    <t>月照星ディアナ</t>
  </si>
  <si>
    <t>白面火炎童子サイ</t>
  </si>
  <si>
    <t>不動神剣</t>
  </si>
  <si>
    <t>白面氷炎童子サイ</t>
  </si>
  <si>
    <t>白面のサイ</t>
  </si>
  <si>
    <t>白面童子サイ</t>
  </si>
  <si>
    <t>白面輝煌童子サイ</t>
  </si>
  <si>
    <t>白面のセツナ</t>
  </si>
  <si>
    <t>海冥獣姫スキュレイ</t>
  </si>
  <si>
    <t>絶零螺旋撃</t>
  </si>
  <si>
    <t>白虎三宝陣</t>
  </si>
  <si>
    <t>飛天五神陣</t>
  </si>
  <si>
    <t>飛天五魂陣</t>
  </si>
  <si>
    <t>飛天四魂陣</t>
  </si>
  <si>
    <t>飛天四宝陣</t>
  </si>
  <si>
    <t>飛天三宝陣</t>
  </si>
  <si>
    <t>hiten5s</t>
  </si>
  <si>
    <t>hiten5k</t>
  </si>
  <si>
    <t>hiten4k</t>
  </si>
  <si>
    <t>hiten4h</t>
  </si>
  <si>
    <t>hiten3h</t>
  </si>
  <si>
    <t>suzaku5s</t>
  </si>
  <si>
    <t>suzaku5k</t>
  </si>
  <si>
    <t>suzaku4k</t>
  </si>
  <si>
    <t>suzaku4h</t>
  </si>
  <si>
    <t>朱雀五神陣</t>
  </si>
  <si>
    <t>威力250</t>
  </si>
  <si>
    <t>巨重星ピグマリオン</t>
  </si>
  <si>
    <t>神魔界の速が7.5%アップ</t>
  </si>
  <si>
    <t>正面の敵に貫通攻撃 TYPE:無の相手にクリティカル</t>
  </si>
  <si>
    <t>kouma5o</t>
  </si>
  <si>
    <t>神魔四魂陣</t>
  </si>
  <si>
    <t>shinma</t>
  </si>
  <si>
    <t>#662F2F</t>
  </si>
  <si>
    <t>10</t>
  </si>
  <si>
    <t>#7C7657</t>
  </si>
  <si>
    <t>#656769</t>
  </si>
  <si>
    <t>yamato</t>
  </si>
  <si>
    <t>#BA7F83</t>
  </si>
  <si>
    <t>suzaku</t>
  </si>
  <si>
    <t>genbu</t>
  </si>
  <si>
    <t>麒麟</t>
  </si>
  <si>
    <t>#C0B472</t>
  </si>
  <si>
    <t>kirin</t>
  </si>
  <si>
    <t>白面九尾</t>
  </si>
  <si>
    <t>#AB95B1</t>
  </si>
  <si>
    <t>kyuubi</t>
  </si>
  <si>
    <t>隠神刑部</t>
  </si>
  <si>
    <t>#A0977A</t>
  </si>
  <si>
    <t>gyoubu</t>
  </si>
  <si>
    <t>#656769</t>
  </si>
  <si>
    <t>spirits</t>
  </si>
  <si>
    <t>#7E6B58</t>
  </si>
  <si>
    <t>kaiser</t>
  </si>
  <si>
    <t>#B79E52</t>
  </si>
  <si>
    <t>human</t>
  </si>
  <si>
    <t>ヒューム</t>
  </si>
  <si>
    <t>#85713A</t>
  </si>
  <si>
    <t>mazoku8</t>
  </si>
  <si>
    <t>ヴァイス</t>
  </si>
  <si>
    <t>#513351</t>
  </si>
  <si>
    <t>mazoku1</t>
  </si>
  <si>
    <t>プライド</t>
  </si>
  <si>
    <t>#662F2F</t>
  </si>
  <si>
    <t>ラース</t>
  </si>
  <si>
    <t>#5A6466</t>
  </si>
  <si>
    <t>エンヴィー</t>
  </si>
  <si>
    <t>049</t>
  </si>
  <si>
    <t>全員のHPが10%アップ、速が7.5%アップ</t>
  </si>
  <si>
    <t>#BD8E1A</t>
  </si>
  <si>
    <t>スロゥス</t>
  </si>
  <si>
    <t>#4B566E</t>
  </si>
  <si>
    <t>グリード</t>
  </si>
  <si>
    <t>#7DA493</t>
  </si>
  <si>
    <t>グラトニー</t>
  </si>
  <si>
    <t>#A94D5A</t>
  </si>
  <si>
    <t>ラスト</t>
  </si>
  <si>
    <t>タイプ・コスト</t>
  </si>
  <si>
    <t>アンカー</t>
  </si>
  <si>
    <t>レアリティ</t>
  </si>
  <si>
    <t>057</t>
  </si>
  <si>
    <t>t3</t>
  </si>
  <si>
    <t>PR</t>
  </si>
  <si>
    <t>CP</t>
  </si>
  <si>
    <t>SP</t>
  </si>
  <si>
    <t>H</t>
  </si>
  <si>
    <t>w3</t>
  </si>
  <si>
    <t>S</t>
  </si>
  <si>
    <t>N</t>
  </si>
  <si>
    <t>コスト</t>
  </si>
  <si>
    <t>m6</t>
  </si>
  <si>
    <t>n3</t>
  </si>
  <si>
    <t>タイプ</t>
  </si>
  <si>
    <t>houou4h</t>
  </si>
  <si>
    <t>houou3h</t>
  </si>
  <si>
    <t>SP</t>
  </si>
  <si>
    <t>H</t>
  </si>
  <si>
    <t>S</t>
  </si>
  <si>
    <t>N</t>
  </si>
  <si>
    <t>aoryu5r</t>
  </si>
  <si>
    <t>byakko5r</t>
  </si>
  <si>
    <t>クイン</t>
  </si>
  <si>
    <t>ペンタ</t>
  </si>
  <si>
    <t>テトラ</t>
  </si>
  <si>
    <t>トライ</t>
  </si>
  <si>
    <t>kirin5r</t>
  </si>
  <si>
    <t>kirin4sei</t>
  </si>
  <si>
    <t>kyuubi_koku</t>
  </si>
  <si>
    <t>kyuubi5r</t>
  </si>
  <si>
    <t>kyuubi4sei</t>
  </si>
  <si>
    <t>gyoubu5r</t>
  </si>
  <si>
    <t>隠神刑部の速が15%アップ、それ以外の速が7.5%アップ</t>
  </si>
  <si>
    <t>gyoubu4sei</t>
  </si>
  <si>
    <t>ペンタヒューム</t>
  </si>
  <si>
    <t>テトラヒューム</t>
  </si>
  <si>
    <t>クインヴァイス</t>
  </si>
  <si>
    <t>ペンタヴァイス</t>
  </si>
  <si>
    <t>テトラヴァイス</t>
  </si>
  <si>
    <t>ペンタプライド</t>
  </si>
  <si>
    <t>テトラプライド</t>
  </si>
  <si>
    <t>ペンタラース</t>
  </si>
  <si>
    <t>テトララース</t>
  </si>
  <si>
    <t>ペンタエンヴィー</t>
  </si>
  <si>
    <t>テトラエンヴィー</t>
  </si>
  <si>
    <t>ペンタスロゥス</t>
  </si>
  <si>
    <t>テトラスロゥス</t>
  </si>
  <si>
    <t>ペンタグリード</t>
  </si>
  <si>
    <t>テトラグリード</t>
  </si>
  <si>
    <t>ペンタグラトニー</t>
  </si>
  <si>
    <t>テトラグラトニー</t>
  </si>
  <si>
    <t>ペンタラスト</t>
  </si>
  <si>
    <t>テトララスト</t>
  </si>
  <si>
    <t>レアリティコード</t>
  </si>
  <si>
    <t>聖龍</t>
  </si>
  <si>
    <t>#647693</t>
  </si>
  <si>
    <t>seiryu</t>
  </si>
  <si>
    <t>01</t>
  </si>
  <si>
    <t>鳳凰学園</t>
  </si>
  <si>
    <t>#7E6B58</t>
  </si>
  <si>
    <t>houou</t>
  </si>
  <si>
    <t>#5F5741</t>
  </si>
  <si>
    <t>gekai</t>
  </si>
  <si>
    <t>青龍</t>
  </si>
  <si>
    <t>aoryu</t>
  </si>
  <si>
    <t>白虎</t>
  </si>
  <si>
    <t>#999A84</t>
  </si>
  <si>
    <t>byakko</t>
  </si>
  <si>
    <t>ソートへのアンカー</t>
  </si>
  <si>
    <t>●</t>
  </si>
  <si>
    <t>fa</t>
  </si>
  <si>
    <t>fa_1</t>
  </si>
  <si>
    <t>正面の敵を攻撃 限界突破の回数に応じて威力アップ</t>
  </si>
  <si>
    <t>fa_2</t>
  </si>
  <si>
    <t>fa_5</t>
  </si>
  <si>
    <t>正面の敵を攻撃 TYPE:無の相手にクリティカル</t>
  </si>
  <si>
    <t>fa_nc</t>
  </si>
  <si>
    <t>正面の敵を攻撃 相手のHPに応じてダメージが変化</t>
  </si>
  <si>
    <t>fa_pd</t>
  </si>
  <si>
    <t>●</t>
  </si>
  <si>
    <t>fa-bk</t>
  </si>
  <si>
    <t>fa-bk_1</t>
  </si>
  <si>
    <t>fa</t>
  </si>
  <si>
    <t>faw</t>
  </si>
  <si>
    <t>faw_1</t>
  </si>
  <si>
    <t>fa_th</t>
  </si>
  <si>
    <t>fa_th_1</t>
  </si>
  <si>
    <t>正面の敵に貫通攻撃 限界突破の回数に応じて威力アップ</t>
  </si>
  <si>
    <t>fa_th_2</t>
  </si>
  <si>
    <t>fa_th_3</t>
  </si>
  <si>
    <t>fa_th_nc</t>
  </si>
  <si>
    <t>fa_br</t>
  </si>
  <si>
    <t>fa_br_1</t>
  </si>
  <si>
    <t>正面の敵になぎ払い攻撃 限界突破の回数に応じて威力アップ</t>
  </si>
  <si>
    <t>fa_br_2</t>
  </si>
  <si>
    <t>fa_br_4</t>
  </si>
  <si>
    <t>fa_br_nc</t>
  </si>
  <si>
    <t>正面の敵に連続なぎ払い攻撃 クリティカル発生時に大ダメージ</t>
  </si>
  <si>
    <t>fa_brw_1</t>
  </si>
  <si>
    <t>fa_brw</t>
  </si>
  <si>
    <t>威力</t>
  </si>
  <si>
    <t>fa-ad</t>
  </si>
  <si>
    <t>正面の敵を攻撃 さらに対象の与ダメージ&amp;被ダメージ弱体</t>
  </si>
  <si>
    <t>fa-ad-du</t>
  </si>
  <si>
    <t>●</t>
  </si>
  <si>
    <t>fa-la</t>
  </si>
  <si>
    <t>fa-la-st</t>
  </si>
  <si>
    <t>fa-st</t>
  </si>
  <si>
    <t>ra</t>
  </si>
  <si>
    <t>ra_1</t>
  </si>
  <si>
    <t>●</t>
  </si>
  <si>
    <t>ra_2</t>
  </si>
  <si>
    <t>ra_3</t>
  </si>
  <si>
    <t>ra-bk</t>
  </si>
  <si>
    <t>ra</t>
  </si>
  <si>
    <t>ra_pd</t>
  </si>
  <si>
    <t>？</t>
  </si>
  <si>
    <t>raw</t>
  </si>
  <si>
    <t>ra-du</t>
  </si>
  <si>
    <t>付与ダメージアップ_効果量</t>
  </si>
  <si>
    <t>ra-la</t>
  </si>
  <si>
    <t>ra-st</t>
  </si>
  <si>
    <t>aa</t>
  </si>
  <si>
    <t>aa_1</t>
  </si>
  <si>
    <t>aa-bk</t>
  </si>
  <si>
    <t>ca</t>
  </si>
  <si>
    <t>fad</t>
  </si>
  <si>
    <t>fdu</t>
  </si>
  <si>
    <t>fla</t>
  </si>
  <si>
    <t>fst</t>
  </si>
  <si>
    <t>rad</t>
  </si>
  <si>
    <t>rdu</t>
  </si>
  <si>
    <t>rla</t>
  </si>
  <si>
    <t>rst</t>
  </si>
  <si>
    <t>ad</t>
  </si>
  <si>
    <t>du</t>
  </si>
  <si>
    <t>la</t>
  </si>
  <si>
    <t>la-st</t>
  </si>
  <si>
    <t>st</t>
  </si>
  <si>
    <t>敵全体を行動不能にする さらにランダムで攻撃</t>
  </si>
  <si>
    <t>st-ra</t>
  </si>
  <si>
    <t>効果時間</t>
  </si>
  <si>
    <t>abk</t>
  </si>
  <si>
    <t>●</t>
  </si>
  <si>
    <t>rau</t>
  </si>
  <si>
    <t>rdd</t>
  </si>
  <si>
    <t>rea</t>
  </si>
  <si>
    <t>ランダムに味方の行動を早める さらに与ダメージアップ</t>
  </si>
  <si>
    <t>rea-au</t>
  </si>
  <si>
    <t>rhp</t>
  </si>
  <si>
    <t>au</t>
  </si>
  <si>
    <t>au-dd</t>
  </si>
  <si>
    <t>dd</t>
  </si>
  <si>
    <t>ea</t>
  </si>
  <si>
    <t>味方全体の行動を早める さらに与ダメージをアップ</t>
  </si>
  <si>
    <t>ea-au</t>
  </si>
  <si>
    <t>hp</t>
  </si>
  <si>
    <t>hp_1</t>
  </si>
  <si>
    <t>hp-re</t>
  </si>
  <si>
    <t>are</t>
  </si>
  <si>
    <t>ehp</t>
  </si>
  <si>
    <t>●</t>
  </si>
  <si>
    <t>ehp-abk</t>
  </si>
  <si>
    <t>eau</t>
  </si>
  <si>
    <t>eadu</t>
  </si>
  <si>
    <t>edd</t>
  </si>
  <si>
    <t>eea</t>
  </si>
  <si>
    <t>基本連続</t>
  </si>
  <si>
    <t>必殺連続</t>
  </si>
  <si>
    <t>必殺直接/間接</t>
  </si>
  <si>
    <t>基本直接/間接</t>
  </si>
  <si>
    <t>実装数集計用</t>
  </si>
  <si>
    <t>電光刹華</t>
  </si>
  <si>
    <t>でんこうせっか</t>
  </si>
  <si>
    <t>軌至界生</t>
  </si>
  <si>
    <t>きしかいせい</t>
  </si>
  <si>
    <t>群雲のザンゲツ</t>
  </si>
  <si>
    <t>鬼焔万浄</t>
  </si>
  <si>
    <t>きえんばんじょう</t>
  </si>
  <si>
    <t>むらくものざんげつ</t>
  </si>
  <si>
    <t>ザンゲツ</t>
  </si>
  <si>
    <t>ざんげつ</t>
  </si>
  <si>
    <t>疾風のイザヨイ</t>
  </si>
  <si>
    <t>花蝶風月</t>
  </si>
  <si>
    <t>かちょうふうげつ</t>
  </si>
  <si>
    <t>しっぷうのいざよい</t>
  </si>
  <si>
    <t>イザヨイ</t>
  </si>
  <si>
    <t>いざよい</t>
  </si>
  <si>
    <t>百鬼夜吼</t>
  </si>
  <si>
    <t>ランダムに敵の与ダメージをダウン</t>
  </si>
  <si>
    <t>ランダムに味方の与ダメージをアップ</t>
  </si>
  <si>
    <t>ランダムに味方を回復</t>
  </si>
  <si>
    <t>ランダムに味方の被ダメージをダウン</t>
  </si>
  <si>
    <t>バーニングブレード</t>
  </si>
  <si>
    <t>ばーにんぐぶれーど</t>
  </si>
  <si>
    <t>剣聖シープ</t>
  </si>
  <si>
    <t>マーヴェラス・ラッシュ</t>
  </si>
  <si>
    <t>まーヴぇらす・らっしゅ</t>
  </si>
  <si>
    <t>けんせいしーぷ</t>
  </si>
  <si>
    <t>紅蓮騎士ラモン</t>
  </si>
  <si>
    <t>アルティメットフレア</t>
  </si>
  <si>
    <t>くりむぞんないとらもん</t>
  </si>
  <si>
    <t>ラモン</t>
  </si>
  <si>
    <t>らもん</t>
  </si>
  <si>
    <t>アンディル</t>
  </si>
  <si>
    <t>テンペストーソ</t>
  </si>
  <si>
    <t>てんぺすとーそ</t>
  </si>
  <si>
    <t>あんでぃる</t>
  </si>
  <si>
    <t>四魂陣</t>
  </si>
  <si>
    <t>四宝陣</t>
  </si>
  <si>
    <t>四聖陣</t>
  </si>
  <si>
    <t>三宝陣</t>
  </si>
  <si>
    <t>九尾</t>
  </si>
  <si>
    <t>刑部</t>
  </si>
  <si>
    <t>万物</t>
  </si>
  <si>
    <t>中央</t>
  </si>
  <si>
    <t>鳳凰</t>
  </si>
  <si>
    <t>邪馬</t>
  </si>
  <si>
    <t>魂獣</t>
  </si>
  <si>
    <t>正面の敵に連続攻撃 限界突破の回数に応じて威力アップ</t>
  </si>
  <si>
    <t>刑部四聖陣</t>
  </si>
  <si>
    <t>刑部四聖陣</t>
  </si>
  <si>
    <t>威力210</t>
  </si>
  <si>
    <t>刑部五霊陣</t>
  </si>
  <si>
    <t>刑部五霊陣</t>
  </si>
  <si>
    <t>「聖龍祭」(2012年10月2日～&amp;s(){10月9日}10月15日)期間に
「フロンティアポイント」を4000ポイント以上獲得したプレイヤーに、イベント終了後に配布された限定カード。
[[1101_聖龍王サイガ]]とイラストは同じのアナザーで、背景とステータスが異なる。 
技Lvを揃えれば[[強化合成]]が可能。</t>
  </si>
  <si>
    <t>聖龍五霊陣</t>
  </si>
  <si>
    <t>seiryu4sei</t>
  </si>
  <si>
    <t>seiryu5r</t>
  </si>
  <si>
    <t>seiryu5s</t>
  </si>
  <si>
    <t>seiryu5k</t>
  </si>
  <si>
    <t>seiryu4k</t>
  </si>
  <si>
    <t>seiryu4h</t>
  </si>
  <si>
    <t>seiryu3h</t>
  </si>
  <si>
    <t>juuga5r</t>
  </si>
  <si>
    <t>juuga4sei</t>
  </si>
  <si>
    <t>hiten5r</t>
  </si>
  <si>
    <t>hiten4sei</t>
  </si>
  <si>
    <t>gaira5r</t>
  </si>
  <si>
    <t>gaira4sei</t>
  </si>
  <si>
    <t>kouma5r</t>
  </si>
  <si>
    <t>kouma4sei</t>
  </si>
  <si>
    <t>chuou5o</t>
  </si>
  <si>
    <t>chuou4k</t>
  </si>
  <si>
    <t>chuou3h</t>
  </si>
  <si>
    <t>makai3h</t>
  </si>
  <si>
    <t>daima5r</t>
  </si>
  <si>
    <t>daima4k</t>
  </si>
  <si>
    <t>daima3h</t>
  </si>
  <si>
    <t>shinma5o</t>
  </si>
  <si>
    <t>shinma4k</t>
  </si>
  <si>
    <t>shinma3h</t>
  </si>
  <si>
    <t>houou5s</t>
  </si>
  <si>
    <t>houou5k</t>
  </si>
  <si>
    <t>yamato4k</t>
  </si>
  <si>
    <t>yamato4h</t>
  </si>
  <si>
    <t>yamato3h</t>
  </si>
  <si>
    <t>gekai5s</t>
  </si>
  <si>
    <t>「鳳凰学園夏休み祭」(2012年7月24日～7月31日)期間限定で
「神羅万象カード」「神羅万象カード・極」から引くことができるカード。
[[6212_水鏡のケンケン]]と絵柄は同じのアナザーで、背景の色とステータスが異なる。
技Lvを揃えれば[[強化合成]]が可能。</t>
  </si>
  <si>
    <t>皇魔金剛陣</t>
  </si>
  <si>
    <t>皇魔疾風陣</t>
  </si>
  <si>
    <t>kouma5s</t>
  </si>
  <si>
    <t>kouma5k</t>
  </si>
  <si>
    <t>kouma4k</t>
  </si>
  <si>
    <t>kouma4h</t>
  </si>
  <si>
    <t>kouma3h</t>
  </si>
  <si>
    <t>kouma_haou</t>
  </si>
  <si>
    <t>南条院キリコ</t>
  </si>
  <si>
    <t>新田鋭児</t>
  </si>
  <si>
    <t>柴居瑠璃丸</t>
  </si>
  <si>
    <t>威力250</t>
  </si>
  <si>
    <t>ランダムに味方の被ダメージをダウン</t>
  </si>
  <si>
    <t>ランダムに味方の行動を早める</t>
  </si>
  <si>
    <t>ランダムに味方を回復</t>
  </si>
  <si>
    <t>味方全体を状態異常から守る</t>
  </si>
  <si>
    <t>0015</t>
  </si>
  <si>
    <t>0016</t>
  </si>
  <si>
    <t>0017</t>
  </si>
  <si>
    <t>0018</t>
  </si>
  <si>
    <t>0019</t>
  </si>
  <si>
    <t>正面の敵に貫通攻撃</t>
  </si>
  <si>
    <t>0047</t>
  </si>
  <si>
    <t>熾天烈火カリン</t>
  </si>
  <si>
    <t>[[レイドボス]]「黄金竜エメリウス」戦の報酬で手に入る「朱雀コイン」を用いて 
カードを引くと出現する可能性のあるカード。 
[[6103_熾天烈火カリン]]のアナザーで、色とステータスが異なる。 
技Lvを揃えれば[[強化合成]]が可能。</t>
  </si>
  <si>
    <t>慧光仙女 八意紗都理</t>
  </si>
  <si>
    <t>未来革変</t>
  </si>
  <si>
    <t>みらいかくへん</t>
  </si>
  <si>
    <t>えこうせんにょ やごころさとり</t>
  </si>
  <si>
    <t>正面の敵になぎ払い攻撃 央覇封神を持つカードの枚数によりダメージアップ</t>
  </si>
  <si>
    <t>敵全体の被ダメージをアップ</t>
  </si>
  <si>
    <t>かいめいじゅうきすきゅれい</t>
  </si>
  <si>
    <t>りくしんようきあらくね</t>
  </si>
  <si>
    <t>くうらいしょうきもるがん</t>
  </si>
  <si>
    <t>てんしょうすいこむじな</t>
  </si>
  <si>
    <t>いちひめもえぎ</t>
  </si>
  <si>
    <t>いなひめあさぎ</t>
  </si>
  <si>
    <t>はくめんごぎょうどうじさい</t>
  </si>
  <si>
    <t>雷刃のイツキ</t>
  </si>
  <si>
    <t>0056</t>
  </si>
  <si>
    <t>0057</t>
  </si>
  <si>
    <t>0058</t>
  </si>
  <si>
    <t>0059</t>
  </si>
  <si>
    <t>0060</t>
  </si>
  <si>
    <t>0061</t>
  </si>
  <si>
    <t>0062</t>
  </si>
  <si>
    <t>0063</t>
  </si>
  <si>
    <t>0064</t>
  </si>
  <si>
    <t>0065</t>
  </si>
  <si>
    <t>こんごうだん</t>
  </si>
  <si>
    <t>こんごうのたいが</t>
  </si>
  <si>
    <t>タイガ</t>
  </si>
  <si>
    <t>たいが</t>
  </si>
  <si>
    <t>すいれいげき</t>
  </si>
  <si>
    <t>すいれいのしずく</t>
  </si>
  <si>
    <t>シズク</t>
  </si>
  <si>
    <t>No</t>
  </si>
  <si>
    <t>表示用NO</t>
  </si>
  <si>
    <t>こうしざんぱ</t>
  </si>
  <si>
    <t>とくひめあらくね</t>
  </si>
  <si>
    <t>しんくうれっぱ</t>
  </si>
  <si>
    <t>ふりひめもるがん</t>
  </si>
  <si>
    <t>いがりゅうにんじゅつ・りょうかいまんだら</t>
  </si>
  <si>
    <t>こうりゅうれんげき・いわみかぐら</t>
  </si>
  <si>
    <t>おんみょうごぎょう・せいめいききょういん</t>
  </si>
  <si>
    <t>統照神姫モエギ</t>
  </si>
  <si>
    <t>幻想儚歌・無何有郷</t>
  </si>
  <si>
    <t>げんそうぼうか・むかゆうきょう</t>
  </si>
  <si>
    <t>とうしょうしんきもえぎ</t>
  </si>
  <si>
    <t>蛟龍戦姫アサギ</t>
  </si>
  <si>
    <t>こうりゅうせんきあさぎ</t>
  </si>
  <si>
    <t>閃影瞬神ムジナ</t>
  </si>
  <si>
    <t>畏駕流忍術・三千大千世界</t>
  </si>
  <si>
    <t>いがりゅうにんじゅつ・さんぜんだいせんせかい</t>
  </si>
  <si>
    <t>せんえいしゅんじんむじな</t>
  </si>
  <si>
    <t>絶刀太子ノブヤス</t>
  </si>
  <si>
    <t>柳生真影流・心眼剣</t>
  </si>
  <si>
    <t>やぎゅうしんかげりゅう・しんがんけん</t>
  </si>
  <si>
    <t>ぜっとうたいしのぶやす</t>
  </si>
  <si>
    <t>摩津醍羅乃武耶主</t>
  </si>
  <si>
    <t>まつだいらのぶやす</t>
  </si>
  <si>
    <t>剛力太子ヒデヤス</t>
  </si>
  <si>
    <t>轟衝圧殺・龍虎嵐撃</t>
  </si>
  <si>
    <t>ごうしょうあっさつ・りゅうこれんげき</t>
  </si>
  <si>
    <t>ごうりきたいしひでやす</t>
  </si>
  <si>
    <t>勇鬼日出耶主</t>
  </si>
  <si>
    <t>ゆうきひでやす</t>
  </si>
  <si>
    <t>魔晶太子ヒデタダ</t>
  </si>
  <si>
    <t>暗黒術法・界帰日蝕</t>
  </si>
  <si>
    <t>あんこくじゅっぽう・かいきにっしょく</t>
  </si>
  <si>
    <t>ましょうたいしひでただ</t>
  </si>
  <si>
    <t>徳我輪日出多陀</t>
  </si>
  <si>
    <t>とくがわひでただ</t>
  </si>
  <si>
    <t>単体攻撃</t>
  </si>
  <si>
    <t>大魔</t>
  </si>
  <si>
    <t>大魔五霊陣</t>
  </si>
  <si>
    <t>0006</t>
  </si>
  <si>
    <t>0008</t>
  </si>
  <si>
    <t>紅炎寺カリン</t>
  </si>
  <si>
    <t>正面の敵になぎ払い攻撃 限界突破の回数に応じて威力アップ</t>
  </si>
  <si>
    <t>鎧羅五霊陣</t>
  </si>
  <si>
    <t>正面の敵を攻撃 TYPE:無の相手にクリティカル</t>
  </si>
  <si>
    <t>威力450</t>
  </si>
  <si>
    <t>効果量20%</t>
  </si>
  <si>
    <t>アルカナ・トラスト</t>
  </si>
  <si>
    <t>あるかな・とらすと</t>
  </si>
  <si>
    <t>魔族「プライド」</t>
  </si>
  <si>
    <t>魔族「スロゥス」</t>
  </si>
  <si>
    <t>魔族「グリード」</t>
  </si>
  <si>
    <t>プラズマ・ストライク</t>
  </si>
  <si>
    <t>ぷらずま・すとらいく</t>
  </si>
  <si>
    <t>アーク・ストラッシュ</t>
  </si>
  <si>
    <t>あーく・すとらっしゅ</t>
  </si>
  <si>
    <t>威力336 / 効果量175%</t>
  </si>
  <si>
    <t>0037</t>
  </si>
  <si>
    <t>0038</t>
  </si>
  <si>
    <t>0039</t>
  </si>
  <si>
    <t>0040</t>
  </si>
  <si>
    <t>0041</t>
  </si>
  <si>
    <t>0042</t>
  </si>
  <si>
    <t>0043</t>
  </si>
  <si>
    <t>シヅカ</t>
  </si>
  <si>
    <t>しづか</t>
  </si>
  <si>
    <t>キリコ</t>
  </si>
  <si>
    <t>きりこ</t>
  </si>
  <si>
    <t>「獣牙祭」(2012年8月28日～9月4日)期間に
「[[勢力が獣牙&gt;勢力_獣牙]]」のCP(0048～0052)/H/S/Nカードを引いて、
「フロンティアポイント」を1000ポイント獲得したプレイヤーに配布される期間限定カード。
[[1407_白面のセツナ]]とイラストは同じのアナザーで、ステータスが異なる。 
技Lvを揃えれば[[強化合成]]が可能。</t>
  </si>
  <si>
    <t>あいあんヴぁるきりーまりおん</t>
  </si>
  <si>
    <t>まりおんえいちえむぜろはち</t>
  </si>
  <si>
    <t>|&gt;</t>
  </si>
  <si>
    <t>|~</t>
  </si>
  <si>
    <t>|&gt;</t>
  </si>
  <si>
    <t>とっこうてんにょ またきちろうくるひめ</t>
  </si>
  <si>
    <t>又吉郎狂姫</t>
  </si>
  <si>
    <t>またきちろうくるひめ</t>
  </si>
  <si>
    <t>華艶舞踊</t>
  </si>
  <si>
    <t>かえんぶよう</t>
  </si>
  <si>
    <t>フレイムダンスター</t>
  </si>
  <si>
    <t>ふれいむだんすたー</t>
  </si>
  <si>
    <t>れいちょうえんぶふれいむだんすたー</t>
  </si>
  <si>
    <t>[[レイドボス]]「魔王マステリオン」戦の報酬で手に入る「四部族王コイン」を用いて 
カードを引くと出現する可能性のあるカード。 
[[1429_光龍帝サイガ]]のアナザーで、背景とステータスが異なる。 
技Lvを揃えれば[[強化合成]]が可能。</t>
  </si>
  <si>
    <t>正面の敵に貫通攻撃 限界突破の回数に応じて威力アップ</t>
  </si>
  <si>
    <t>威力310</t>
  </si>
  <si>
    <t>中央三宝陣</t>
  </si>
  <si>
    <t>氷輪のマヒロ</t>
  </si>
  <si>
    <t>だーくないとしぇいど</t>
  </si>
  <si>
    <t>のぜるめんて</t>
  </si>
  <si>
    <t>ましょうぐんあすたろっと</t>
  </si>
  <si>
    <t>あすたろっと</t>
  </si>
  <si>
    <t>封印魔破</t>
  </si>
  <si>
    <t>ふういんまは</t>
  </si>
  <si>
    <t>こうりゅうていさいが</t>
  </si>
  <si>
    <t>はぐれ魂獣イヅナ</t>
  </si>
  <si>
    <t>能力無効化</t>
  </si>
  <si>
    <t>はぐれすぴりっついづな</t>
  </si>
  <si>
    <t>火群流戦闘術</t>
  </si>
  <si>
    <t>ほむらりゅうせんとうじゅつ</t>
  </si>
  <si>
    <t>九尾五神陣</t>
  </si>
  <si>
    <t>ほむらかい</t>
  </si>
  <si>
    <t>えんおうけんひのかぐつち</t>
  </si>
  <si>
    <t>【神具名】</t>
  </si>
  <si>
    <t>朱雀</t>
  </si>
  <si>
    <t>朱雀五神陣</t>
  </si>
  <si>
    <t>してんれっかかりん</t>
  </si>
  <si>
    <t>仏血斬り</t>
  </si>
  <si>
    <t>ぶっちぎり</t>
  </si>
  <si>
    <t>神魔界</t>
  </si>
  <si>
    <t>(ソートの目安用)</t>
  </si>
  <si>
    <t>ソート前</t>
  </si>
  <si>
    <t>行No</t>
  </si>
  <si>
    <t>カードNo</t>
  </si>
  <si>
    <t>青龍四魂陣</t>
  </si>
  <si>
    <t>青龍四宝陣</t>
  </si>
  <si>
    <t>青龍三宝陣</t>
  </si>
  <si>
    <t>aoryu5s</t>
  </si>
  <si>
    <t>aoryu5k</t>
  </si>
  <si>
    <t>aoryu4k</t>
  </si>
  <si>
    <t>aoryu4h</t>
  </si>
  <si>
    <t>aoryu3h</t>
  </si>
  <si>
    <t>獣牙五神陣</t>
  </si>
  <si>
    <t>獣牙五魂陣</t>
  </si>
  <si>
    <t>威力350</t>
  </si>
  <si>
    <t>大魔三宝陣</t>
  </si>
  <si>
    <t>しえんせいてんまいと</t>
  </si>
  <si>
    <t>なんじょういんまいと</t>
  </si>
  <si>
    <t>マイト</t>
  </si>
  <si>
    <t>まいと</t>
  </si>
  <si>
    <t>光明司魁</t>
  </si>
  <si>
    <t>こうりゅういっせん・おろちだいおう</t>
  </si>
  <si>
    <t>ほんだただかつ</t>
  </si>
  <si>
    <t>六道拳カイ</t>
  </si>
  <si>
    <t>威力200</t>
  </si>
  <si>
    <t>皇魔四聖陣</t>
  </si>
  <si>
    <t>技</t>
  </si>
  <si>
    <t>正面の敵を攻撃 限界突破の回数に応じて威力アップ</t>
  </si>
  <si>
    <t>すきゅれい</t>
  </si>
  <si>
    <t>あらくね</t>
  </si>
  <si>
    <t>もるがん</t>
  </si>
  <si>
    <t>もえぎ</t>
  </si>
  <si>
    <t>あさぎ</t>
  </si>
  <si>
    <t>きょうてんせいひびき</t>
  </si>
  <si>
    <t>こうぎょくきせいあがーと</t>
  </si>
  <si>
    <t>こんごうひょうがだれす</t>
  </si>
  <si>
    <t>はくたくどうしめると</t>
  </si>
  <si>
    <t>0048</t>
  </si>
  <si>
    <t>0049</t>
  </si>
  <si>
    <t>0050</t>
  </si>
  <si>
    <t>0051</t>
  </si>
  <si>
    <t>0052</t>
  </si>
  <si>
    <t>0053</t>
  </si>
  <si>
    <t>0054</t>
  </si>
  <si>
    <t>亀姫須玖麗</t>
  </si>
  <si>
    <t>督姫荒久根</t>
  </si>
  <si>
    <t>振姫藻瑠頑</t>
  </si>
  <si>
    <t>市姫萌葱</t>
  </si>
  <si>
    <t>稲姫浅葱</t>
  </si>
  <si>
    <t>カード名</t>
  </si>
  <si>
    <t>カード名読み</t>
  </si>
  <si>
    <t>白零聖天メルト</t>
  </si>
  <si>
    <t>白零光波</t>
  </si>
  <si>
    <t>はくれいこうは</t>
  </si>
  <si>
    <t>はくれいせいてんめると</t>
  </si>
  <si>
    <t>白面金剛九尾イヅナ</t>
  </si>
  <si>
    <t>燐涅天衝</t>
  </si>
  <si>
    <t>白面阿修羅童子サイ</t>
  </si>
  <si>
    <t>ソート
順位</t>
  </si>
  <si>
    <t>列名</t>
  </si>
  <si>
    <t>威力100</t>
  </si>
  <si>
    <t>阿修羅五皇陣</t>
  </si>
  <si>
    <t>中央五皇陣</t>
  </si>
  <si>
    <t>五皇陣</t>
  </si>
  <si>
    <t>万物五皇陣</t>
  </si>
  <si>
    <t>神具:六道拳アスラ</t>
  </si>
  <si>
    <t>神具:炎王剣ヒノカグツチ</t>
  </si>
  <si>
    <t>かちょうせんこのはさくや</t>
  </si>
  <si>
    <t>風呂実装日</t>
  </si>
  <si>
    <t>ランダムに敵の与ダメージをダウン さらに被ダメージをアップ</t>
  </si>
  <si>
    <t>敵全体の与ダメージをダウン さらに被ダメージをアップ</t>
  </si>
  <si>
    <t>正面の敵に連続攻撃</t>
  </si>
  <si>
    <t>正面の敵に連続攻撃 五霊神滅・央覇崩神を持つカードの枚数によりダメージアップ</t>
  </si>
  <si>
    <t>ランダムに味方の与ダメージをアップ</t>
  </si>
  <si>
    <t>味方全体の与ダメージをアップ</t>
  </si>
  <si>
    <t>魔界四魂陣</t>
  </si>
  <si>
    <t>創造神</t>
  </si>
  <si>
    <t>破壊神</t>
  </si>
  <si>
    <t>souzou</t>
  </si>
  <si>
    <t>メビウス</t>
  </si>
  <si>
    <t>mebius</t>
  </si>
  <si>
    <t>hakai</t>
  </si>
  <si>
    <t>メビウス</t>
  </si>
  <si>
    <t>創造</t>
  </si>
  <si>
    <t>破壊</t>
  </si>
  <si>
    <t>makai4k</t>
  </si>
  <si>
    <t>メビウスリング</t>
  </si>
  <si>
    <t>mebius_o</t>
  </si>
  <si>
    <t>創造五皇陣</t>
  </si>
  <si>
    <t>souzou5o</t>
  </si>
  <si>
    <t>中央五霊陣</t>
  </si>
  <si>
    <t>chuou5r</t>
  </si>
  <si>
    <t>全員の攻が20%アップ、速が7.5%アップ</t>
  </si>
  <si>
    <t>faw_4</t>
  </si>
  <si>
    <t>正面の敵を攻撃 五霊神滅・央覇崩神を持つカードの枚数によりダメージアップ</t>
  </si>
  <si>
    <t>fa_6</t>
  </si>
  <si>
    <t>fa_th_4</t>
  </si>
  <si>
    <t>fa_th_5</t>
  </si>
  <si>
    <t>正面の敵に貫通攻撃 五霊神滅・央覇崩神を持つカードの枚数によりダメージアップ</t>
  </si>
  <si>
    <t>fa_br_6</t>
  </si>
  <si>
    <t>正面の敵になぎ払い攻撃 五霊神滅・央覇崩神を持つカードの枚数によりダメージアップ</t>
  </si>
  <si>
    <t>正面の敵に無特効攻撃 五霊神滅・央覇崩神を持つカードの枚数によりダメージアップ</t>
  </si>
  <si>
    <t>ランダムに敵を攻撃 さらに対象の与ダメージをダウン</t>
  </si>
  <si>
    <t>ra-ad</t>
  </si>
  <si>
    <t>付与ダメージダウン_効果量</t>
  </si>
  <si>
    <t>正面の敵を攻撃 トライ・ガーディアンを持つカードの枚数によりダメージアップ</t>
  </si>
  <si>
    <t>fa_7</t>
  </si>
  <si>
    <t>fa_th_6</t>
  </si>
  <si>
    <t>正面の敵に貫通攻撃 トライ・ガーディアンを持つカードの枚数によりダメージアップ</t>
  </si>
  <si>
    <t>ra_5</t>
  </si>
  <si>
    <t>ランダムに敵を攻撃 トライ・ガーディアンを持つカードの枚数によりダメージアップ</t>
  </si>
  <si>
    <t>ランダムに味方を回復&amp;状態異常耐性&amp;被ダメージダウン</t>
  </si>
  <si>
    <t>hp-re_1</t>
  </si>
  <si>
    <t>味方全体を回復&amp;状態異常耐性&amp;被ダメージダウン</t>
  </si>
  <si>
    <t>rad-du</t>
  </si>
  <si>
    <t>ad-du</t>
  </si>
  <si>
    <t>効果量</t>
  </si>
  <si>
    <t>付与ダメージアップ_効果量</t>
  </si>
  <si>
    <t>#C5BE98</t>
  </si>
  <si>
    <t>#1A243A</t>
  </si>
  <si>
    <t>序</t>
  </si>
  <si>
    <t>序</t>
  </si>
  <si>
    <t>rhp-re-dd</t>
  </si>
  <si>
    <t>fa_nc_1</t>
  </si>
  <si>
    <t>魔界の防が30%アップ、それ以外の防が15%アップ</t>
  </si>
  <si>
    <t>中央都市のHPが20%アップ、それ以外のHPが10%アップ</t>
  </si>
  <si>
    <t>全員のHPが10%アップ、防が20%アップ</t>
  </si>
  <si>
    <t>クリスマスプレゼント</t>
  </si>
  <si>
    <t>くりすますぷれぜんと</t>
  </si>
  <si>
    <t>0108</t>
  </si>
  <si>
    <t>0109</t>
  </si>
  <si>
    <t>0110</t>
  </si>
  <si>
    <t>0111</t>
  </si>
  <si>
    <t>0112</t>
  </si>
  <si>
    <t>0113</t>
  </si>
  <si>
    <t>0114</t>
  </si>
  <si>
    <t>0115</t>
  </si>
  <si>
    <t>0116</t>
  </si>
  <si>
    <t>0117</t>
  </si>
  <si>
    <t xml:space="preserve">「鳳凰学園冬休み祭」(2012年12月11日～12月18日)期間に
「&amp;link_anchor(6300,page=No){ゼクスファクター 第3弾}・&amp;link_anchor(6400,page=No){第4弾}」のSP/CP(0108～0113)/H/S/Nカードを引いて、
「フロンティアポイント」を4000ポイント獲得したプレイヤーに配布される期間限定カード。
[[6430_二学期＜冬休みの思い出＞]]とイラストは同じのアナザーで、背景とステータスが異なる。 </t>
  </si>
  <si>
    <t xml:space="preserve">「鳳凰学園冬休み祭」(2012年12月11日～12月18日)期間に
「&amp;link_anchor(6300,page=No){ゼクスファクター 第3弾}・&amp;link_anchor(6400,page=No){第4弾}」のSP/CP(0108～0113)/H/S/Nカードを引いて、
「フロンティアポイント」を2000ポイント獲得したプレイヤーに配布される期間限定カード。
[[6205_黒曜影波 星霜月]]とイラストは同じのアナザーで、背景とステータスが異なる。 </t>
  </si>
  <si>
    <t xml:space="preserve">「鳳凰学園冬休み祭」(2012年12月11日～12月18日)期間に
「&amp;link_anchor(6300,page=No){ゼクスファクター 第3弾}・&amp;link_anchor(6400,page=No){第4弾}」のSP/CP(0108～0113)/H/S/Nカードを引いて、
「フロンティアポイント」を1000ポイント獲得したプレイヤーに配布される期間限定カード。
[[6301_熾天烈火カリン]]とイラストは同じのアナザーで、背景とステータスが異なる。 </t>
  </si>
  <si>
    <t>「鳳凰学園冬休み祭」(2012年12月11日～12月18日)期間限定で
「神羅万象カード」「神羅万象カード・極」から引くことができるカード。
[[6418_鋼鉄戦姫マリオン]]と絵柄は同じのアナザーで、背景とステータスが異なる。
技Lvを揃えれば[[強化合成]]が可能。</t>
  </si>
  <si>
    <t>「鳳凰学園冬休み祭」(2012年12月11日～12月18日)期間限定で
「神羅万象カード」「神羅万象カード・極」から引くことができるカード。
[[6316_特効天女 又吉郎狂姫]]と絵柄は同じのアナザーで、背景とステータスが異なる。
技Lvを揃えれば[[強化合成]]が可能。</t>
  </si>
  <si>
    <t>「鳳凰学園冬休み祭」(2012年12月11日～12月18日)期間限定で
「神羅万象カード」「神羅万象カード・極」から引くことができるカード。
[[6319_麗鳥艶舞Fダンスター]]と絵柄は同じのアナザーで、背景とステータスが異なる。
技Lvを揃えれば[[強化合成]]が可能。</t>
  </si>
  <si>
    <t>「鳳凰学園冬休み祭」(2012年12月11日～12月18日)期間限定で
「神羅万象カード」「神羅万象カード・極」から引くことができるカード。
[[6410_光翼聖天キリコ]]と絵柄は同じのアナザーで、背景とステータスが異なる。
技Lvを揃えれば[[強化合成]]が可能。</t>
  </si>
  <si>
    <t>「鳳凰学園冬休み祭」(2012年12月11日～12月18日)期間限定で
「神羅万象カード」「神羅万象カード・極」から引くことができるカード。
[[6411_特効番長エッジ]]と絵柄は同じのアナザーで、背景とステータスが異なる。
技Lvを揃えれば[[強化合成]]が可能。</t>
  </si>
  <si>
    <t>「鳳凰学園冬休み祭」(2012年12月11日～12月18日)期間限定で
「神羅万象カード」「神羅万象カード・極」から引くことができるカード。
[[6412_勇者ルリ丸]]と絵柄は同じのアナザーで、背景とステータスが異なる。
技Lvを揃えれば[[強化合成]]が可能。</t>
  </si>
  <si>
    <t>玄武</t>
  </si>
  <si>
    <t>常時効果:自身のHPがアップ さらに状態異常:被ダメージアップを無効化する</t>
  </si>
  <si>
    <t>常時効果:自身の与ダメージがアップ</t>
  </si>
  <si>
    <t>常時効果:自身の速がアップ さらに状態異常:与ダメージダウンを無効化する</t>
  </si>
  <si>
    <t>常時効果:自身の与ダメージがアップ さらに状態異常:行動不能を無効化する</t>
  </si>
  <si>
    <t>常時効果:自身の被ダメージがダウン さらに状態異常:行動遅延を無効化する</t>
  </si>
  <si>
    <t>常時効果:自身の被ダメージがダウン</t>
  </si>
  <si>
    <t>常時効果:自身の速がアップ</t>
  </si>
  <si>
    <t>常時効果:自身のHPがアップ</t>
  </si>
  <si>
    <t>神具:花蝶扇コノハサクヤ</t>
  </si>
  <si>
    <t>威力270</t>
  </si>
  <si>
    <t>朱雀四聖陣</t>
  </si>
  <si>
    <t>朱雀五聖陣</t>
  </si>
  <si>
    <t>魔</t>
  </si>
  <si>
    <t>玄武五聖陣</t>
  </si>
  <si>
    <t>玄武の防が30%アップ、それ以外の防が15%アップ</t>
  </si>
  <si>
    <t>技</t>
  </si>
  <si>
    <t>九尾五霊陣</t>
  </si>
  <si>
    <t>無</t>
  </si>
  <si>
    <t>正面の敵を攻撃 さらに行動不能にする</t>
  </si>
  <si>
    <t>威力222 / 効果時間1.25秒</t>
  </si>
  <si>
    <t>味方全体の行動を早める さらに与ダメージをアップ</t>
  </si>
  <si>
    <t>効果量40% / 効果量160%</t>
  </si>
  <si>
    <t>genbu5sei</t>
  </si>
  <si>
    <t>suzaku4zei</t>
  </si>
  <si>
    <t>朱雀の速が15%アップ、それ以外の速が7.5%アップ</t>
  </si>
  <si>
    <t>suzaku5sei</t>
  </si>
  <si>
    <t>常時効果:自身のHPがアップ さらに全ての状態異常を無効化する</t>
  </si>
  <si>
    <t>常時効果:与ダメージ&amp;被ダメージ強化 状態異常:行動不能&amp;遅延を無効化</t>
  </si>
  <si>
    <t>「鳳凰学園冬休み祭」(2012年12月11日～12月18日)期間に
「&amp;link_anchor(6300,page=No){ゼクスファクター 第3弾}・&amp;link_anchor(6400,page=No){第4弾}」のSP/CP(0108～0113)/H/S/Nカードを引いて、
「フロンティアポイント」を3000ポイント獲得したプレイヤーに配布される期間限定カード。
[[6303_六道拳カイ]]とイラストは同じのアナザーで、背景とステータスが異なる。 
技Lvを揃えれば[[強化合成]]が可能。</t>
  </si>
  <si>
    <t>[[レイドボス]]「輝煌男爵ガイ＆不動鬼神 沙々羅明王」戦の報酬で手に入る「冬休みコイン」を用いて 
カードを引くと出現する可能性のあるカード。 
[[6100_はぐれ魂獣イヅナ]]のアナザーで、背景とステータスが異なる。 
技Lvを揃えれば[[強化合成]]が可能。</t>
  </si>
  <si>
    <t>[[レイドボス]]「輝煌男爵ガイ＆不動鬼神 沙々羅明王」戦の報酬で手に入る「冬休みコイン」を用いて 
カードを引くと出現する可能性のあるカード。 
[[6102_火群カイ]]のアナザーで、背景とステータスが異なる。 
技Lvを揃えれば[[強化合成]]が可能。</t>
  </si>
  <si>
    <t>0118</t>
  </si>
  <si>
    <t>0119</t>
  </si>
  <si>
    <t>威力300</t>
  </si>
  <si>
    <t>威力450</t>
  </si>
  <si>
    <t>九尾五霊陣</t>
  </si>
  <si>
    <t>九尾四聖陣</t>
  </si>
  <si>
    <t>「鳳凰学園冬休み祭」(2012年12月11日～&amp;s(){12月18日}12月25日)期間に 
「フロンティアポイント」を4000ポイント以上獲得したプレイヤーに、 
イベント終了後に配布された限定カード。 
[[0008_魔将軍アスタロット]]とイラストは同じのアナザーで、背景とステータスが異なる。 
技Lvを揃えれば[[強化合成]]が可能。</t>
  </si>
  <si>
    <t>「鳳凰学園冬休み祭」(2012年12月11日～&amp;s(){12月18日}12月25日)期間に 
「フロンティアポイント」を4000ポイント以上獲得したプレイヤーに、 
イベント終了後に配布された限定カード。 
[[0009_松姫無慈那]]とイラストは同じのアナザーで、背景とステータスが異なる。 
技Lvを揃えれば[[強化合成]]が可能。</t>
  </si>
  <si>
    <t>0120</t>
  </si>
  <si>
    <t>0121</t>
  </si>
  <si>
    <t>威力198</t>
  </si>
  <si>
    <t>威力276</t>
  </si>
  <si>
    <t>威力300</t>
  </si>
  <si>
    <t>威力222</t>
  </si>
  <si>
    <t>皇魔五霊陣</t>
  </si>
  <si>
    <t>刑部五霊陣</t>
  </si>
  <si>
    <t>綺羅星天アルカナ</t>
  </si>
  <si>
    <t>きらせいてんあるかな</t>
  </si>
  <si>
    <t>魔族「ヴァイス」</t>
  </si>
  <si>
    <t>ネビュラス・マックス</t>
  </si>
  <si>
    <t>ねびゅらす・まっくす</t>
  </si>
  <si>
    <t>光翼炎舞フェネキア</t>
  </si>
  <si>
    <t>正面の敵に連続攻撃 ガード不能</t>
  </si>
  <si>
    <t>正面の敵を攻撃&amp;補助効果消滅 パニッシャーズの枚数によりダメージアップ</t>
  </si>
  <si>
    <t>fa_th_7</t>
  </si>
  <si>
    <t>正面の敵にガード不能貫通攻撃 パニッシャーズの枚数によりダメージアップ</t>
  </si>
  <si>
    <t>ra-bk_1</t>
  </si>
  <si>
    <t>ra</t>
  </si>
  <si>
    <t>ca_1</t>
  </si>
  <si>
    <t>ランダムに敵を連続攻撃 ガード不能</t>
  </si>
  <si>
    <t>raw_1</t>
  </si>
  <si>
    <t>正面の敵に連続貫通攻撃</t>
  </si>
  <si>
    <t>fa_thw</t>
  </si>
  <si>
    <t>fa_th</t>
  </si>
  <si>
    <t>fa_thw_1</t>
  </si>
  <si>
    <t>正面の敵に連続貫通攻撃 クリティカル発生時に大ダメージ</t>
  </si>
  <si>
    <t>●</t>
  </si>
  <si>
    <t>ランダムに敵を攻撃&amp;補助効果消滅 パニッシャーズの枚数によりダメージ上昇</t>
  </si>
  <si>
    <t>瀕死時に直接攻撃に対して反撃 クリティカル発生時に大ダメージ</t>
  </si>
  <si>
    <t>●</t>
  </si>
  <si>
    <t>レイド</t>
  </si>
  <si>
    <t>イベント後配布</t>
  </si>
  <si>
    <t>実装日備考</t>
  </si>
  <si>
    <t>0122</t>
  </si>
  <si>
    <t>0123</t>
  </si>
  <si>
    <t>0124</t>
  </si>
  <si>
    <t>0125</t>
  </si>
  <si>
    <t>0126</t>
  </si>
  <si>
    <t>0127</t>
  </si>
  <si>
    <t>0128</t>
  </si>
  <si>
    <t>0129</t>
  </si>
  <si>
    <t>0130</t>
  </si>
  <si>
    <t>0131</t>
  </si>
  <si>
    <t>PR</t>
  </si>
  <si>
    <t>CP</t>
  </si>
  <si>
    <t>「バレンタイン祭」(2013年2月5日～2月12日)期間限定で
「神羅万象カード」「神羅万象カード・極」から引くことができるカード。
[[1302_桃華仙ミヤビ]]と絵柄は同じのアナザーで、背景とステータスが異なる。
技Lvを揃えれば[[強化合成]]が可能。</t>
  </si>
  <si>
    <t>「バレンタイン祭」(2013年2月5日～2月12日)期間限定で
「神羅万象カード」「神羅万象カード・極」から引くことができるカード。
[[2107_皇帝テラス]]と絵柄は同じのアナザーで、背景とステータスが異なる。
技Lvを揃えれば[[強化合成]]が可能。</t>
  </si>
  <si>
    <t>「バレンタイン祭」(2013年2月5日～2月12日)期間限定で
「神羅万象カード」「神羅万象カード・極」から引くことができるカード。
[[6206_烈火のカリン]]と絵柄は同じのアナザーで、背景とステータスが異なる。
技Lvを揃えれば[[強化合成]]が可能。</t>
  </si>
  <si>
    <t>「バレンタイン祭」(2013年2月5日～2月12日)期間限定で
「神羅万象カード」「神羅万象カード・極」から引くことができるカード。
[[6114_魔法少女ルルイエ]]と絵柄は同じのアナザーで、背景とステータスが異なる。
技Lvを揃えれば[[強化合成]]が可能。</t>
  </si>
  <si>
    <t>「バレンタイン祭」(2013年2月5日～2月12日)期間限定で
「神羅万象カード」「神羅万象カード・極」から引くことができるカード。
[[7107_銀麗騎士デヒテラ]]と絵柄は同じのアナザーで、背景とステータスが異なる。
技Lvを揃えれば[[強化合成]]が可能。</t>
  </si>
  <si>
    <t>「バレンタイン祭」(2013年2月5日～2月12日)期間限定で
「神羅万象カード」「神羅万象カード・極」から引くことができるカード。
[[8116_光翼炎舞フェネキア]]と絵柄は同じのアナザーで、背景とステータスが異なる。
技Lvを揃えれば[[強化合成]]が可能。</t>
  </si>
  <si>
    <t xml:space="preserve">「バレンタイン祭」(2013年2月5日～2月12日)期間に
指定の女の子カード(CPは0122～0127)を引いて、
「フロンティアポイント」を1000ポイント獲得したプレイヤーに配布される期間限定カード。
[[2422_アルフィーネ]]とイラストは同じのアナザーで、背景とステータスが異なる。 </t>
  </si>
  <si>
    <t xml:space="preserve">「バレンタイン祭」(2013年2月5日～2月12日)期間に
指定の女の子カード(CPは0122～0127)を引いて、
「フロンティアポイント」を2000ポイント獲得したプレイヤーに配布される期間限定カード。
[[6424_白面金剛九尾イヅナ]]とイラストは同じのアナザーで、背景とステータスが異なる。 </t>
  </si>
  <si>
    <t xml:space="preserve">「バレンタイン祭」(2013年2月5日～2月12日)期間に
指定の女の子カード(CPは0122～0127)を引いて、
「フロンティアポイント」を3000ポイント獲得したプレイヤーに配布される期間限定カード。
[[7404_閃影瞬神ムジナ]]とイラストは同じのアナザーで、背景とステータスが異なる。 </t>
  </si>
  <si>
    <t xml:space="preserve">「バレンタイン祭」(2013年2月5日～2月12日)期間に
指定の女の子カード(CPは0122～0127)を引いて、
「フロンティアポイント」を4000ポイント獲得したプレイヤーに配布される期間限定カード。
[[8429_綺羅星天アルカナ]]とイラストは同じのアナザーで、背景とステータスが異なる。 </t>
  </si>
  <si>
    <t>技威力へのアンカー</t>
  </si>
  <si>
    <t>ランク係数７</t>
  </si>
  <si>
    <t>必殺技威力/効果</t>
  </si>
  <si>
    <t>基本技威力/効果</t>
  </si>
  <si>
    <t>陣形効果は入力しなくてもよいです</t>
  </si>
  <si>
    <t>※マクロ無効の場合は、
B1～B81を
コピーして
ください</t>
  </si>
  <si>
    <t>青い色のセルに値を入力</t>
  </si>
  <si>
    <t>タイプ、コスト、HP、攻、防、速</t>
  </si>
  <si>
    <t>右→に陣形名も入力してださい</t>
  </si>
  <si>
    <t>基本的に上のデータを見ながら入れて頂ければ大丈夫。</t>
  </si>
  <si>
    <t>もし技名や技構成が変わっていたら、それも入力してください</t>
  </si>
  <si>
    <t>技はおそらく威力修正だけでいけると思いますが、</t>
  </si>
  <si>
    <t>入力が終わったら、「詳細ページ作成」タブを開いてください</t>
  </si>
  <si>
    <t>コピーしたデータを直接Wikiの編集画面に貼ります</t>
  </si>
  <si>
    <t>↑にカードNoを入力後、
下のボタンをクリック</t>
  </si>
  <si>
    <t>貼ったデータは、必ずプレビューして確認してください</t>
  </si>
  <si>
    <t>※オレンジ見出しの列をTeraPadにコピペ→タブを置換で削除、『改行』を改行に置換</t>
  </si>
  <si>
    <t>ソートを作ります。(今回はNo122～132のデータで作成)
とりあえずNoだけならば、No_カード名　より右をコピーしてそのまま編集画面に貼るだけになります。
タブが残るのですごく間延びしますが表示には影響ないはず。(可能ならばタブや改行の追加削除可能なテキストエディタでタブのみ削除してください。)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</si>
</sst>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sz val="9"/>
      <name val="ＭＳ Ｐゴシック"/>
      <family val="3"/>
    </font>
    <font>
      <sz val="7"/>
      <name val="ＭＳ Ｐゴシック"/>
      <family val="3"/>
    </font>
    <font>
      <sz val="12"/>
      <name val="ＭＳ Ｐゴシック"/>
      <family val="3"/>
    </font>
    <font>
      <sz val="9"/>
      <name val="Arial"/>
      <family val="2"/>
    </font>
    <font>
      <b/>
      <sz val="9"/>
      <name val="ＭＳ Ｐゴシック"/>
      <family val="3"/>
    </font>
    <font>
      <b/>
      <sz val="10"/>
      <name val="ＭＳ Ｐゴシック"/>
      <family val="3"/>
    </font>
    <font>
      <b/>
      <sz val="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52"/>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9900"/>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indexed="47"/>
        <bgColor indexed="64"/>
      </patternFill>
    </fill>
    <fill>
      <patternFill patternType="solid">
        <fgColor rgb="FF99CCFF"/>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double"/>
    </border>
    <border>
      <left style="thin"/>
      <right style="thin"/>
      <top style="thin"/>
      <bottom style="double"/>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227">
    <xf numFmtId="0" fontId="0" fillId="0" borderId="0" xfId="0" applyAlignment="1">
      <alignment vertical="center"/>
    </xf>
    <xf numFmtId="0" fontId="0" fillId="33" borderId="10" xfId="0" applyFill="1" applyBorder="1" applyAlignment="1" applyProtection="1">
      <alignment vertical="center"/>
      <protection locked="0"/>
    </xf>
    <xf numFmtId="0" fontId="4" fillId="0" borderId="0" xfId="0" applyFont="1" applyBorder="1" applyAlignment="1" applyProtection="1">
      <alignment vertical="center"/>
      <protection/>
    </xf>
    <xf numFmtId="0" fontId="0" fillId="0" borderId="0" xfId="0" applyFill="1" applyBorder="1" applyAlignment="1" applyProtection="1">
      <alignment vertical="center"/>
      <protection/>
    </xf>
    <xf numFmtId="0" fontId="0" fillId="0" borderId="0" xfId="0" applyBorder="1" applyAlignment="1" applyProtection="1">
      <alignment horizontal="center" vertical="center"/>
      <protection/>
    </xf>
    <xf numFmtId="0" fontId="4"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vertical="center"/>
      <protection/>
    </xf>
    <xf numFmtId="0" fontId="5" fillId="34" borderId="0" xfId="0" applyFont="1" applyFill="1" applyBorder="1" applyAlignment="1" applyProtection="1">
      <alignment vertical="center"/>
      <protection/>
    </xf>
    <xf numFmtId="0" fontId="5" fillId="0" borderId="0" xfId="0" applyFont="1" applyBorder="1" applyAlignment="1" applyProtection="1">
      <alignment vertical="center"/>
      <protection/>
    </xf>
    <xf numFmtId="0" fontId="5" fillId="34" borderId="1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5" fillId="34" borderId="11" xfId="0" applyFont="1" applyFill="1" applyBorder="1" applyAlignment="1" applyProtection="1">
      <alignment horizontal="left" vertical="center"/>
      <protection/>
    </xf>
    <xf numFmtId="0" fontId="5" fillId="34" borderId="0"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right" vertical="center"/>
      <protection/>
    </xf>
    <xf numFmtId="0" fontId="0" fillId="0" borderId="0" xfId="0" applyBorder="1" applyAlignment="1" applyProtection="1">
      <alignment vertical="center"/>
      <protection/>
    </xf>
    <xf numFmtId="0" fontId="0" fillId="0" borderId="0" xfId="0" applyBorder="1" applyAlignment="1" applyProtection="1">
      <alignment vertical="center"/>
      <protection/>
    </xf>
    <xf numFmtId="0" fontId="5" fillId="0" borderId="0" xfId="0" applyFont="1" applyAlignment="1" applyProtection="1">
      <alignment vertical="center"/>
      <protection/>
    </xf>
    <xf numFmtId="0" fontId="5" fillId="0" borderId="11" xfId="0" applyFont="1" applyBorder="1" applyAlignment="1" applyProtection="1">
      <alignment vertical="center"/>
      <protection/>
    </xf>
    <xf numFmtId="0" fontId="6" fillId="0" borderId="11" xfId="0" applyFont="1" applyBorder="1" applyAlignment="1" applyProtection="1">
      <alignment vertical="center"/>
      <protection/>
    </xf>
    <xf numFmtId="0" fontId="6" fillId="35"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36"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35" borderId="11"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0" fontId="6" fillId="37" borderId="11" xfId="0" applyFont="1" applyFill="1" applyBorder="1" applyAlignment="1">
      <alignment horizontal="center" vertical="center"/>
    </xf>
    <xf numFmtId="0" fontId="6" fillId="36" borderId="11" xfId="0" applyFont="1" applyFill="1" applyBorder="1" applyAlignment="1">
      <alignment vertical="center"/>
    </xf>
    <xf numFmtId="0" fontId="6" fillId="38" borderId="11" xfId="0" applyFont="1" applyFill="1" applyBorder="1" applyAlignment="1">
      <alignment vertical="center"/>
    </xf>
    <xf numFmtId="0" fontId="6" fillId="0" borderId="11" xfId="0" applyFont="1" applyFill="1" applyBorder="1" applyAlignment="1">
      <alignment horizontal="right" vertical="center"/>
    </xf>
    <xf numFmtId="0" fontId="6" fillId="0" borderId="11" xfId="0" applyFont="1" applyBorder="1" applyAlignment="1">
      <alignment vertical="center"/>
    </xf>
    <xf numFmtId="0" fontId="8" fillId="33" borderId="10" xfId="0" applyFont="1" applyFill="1" applyBorder="1" applyAlignment="1" applyProtection="1">
      <alignment horizontal="center" vertical="center"/>
      <protection locked="0"/>
    </xf>
    <xf numFmtId="0" fontId="4" fillId="0" borderId="12" xfId="0" applyFont="1" applyFill="1" applyBorder="1" applyAlignment="1" applyProtection="1">
      <alignment wrapText="1"/>
      <protection/>
    </xf>
    <xf numFmtId="0" fontId="4" fillId="0" borderId="0" xfId="0" applyFont="1" applyBorder="1" applyAlignment="1" applyProtection="1">
      <alignment vertical="center"/>
      <protection/>
    </xf>
    <xf numFmtId="0" fontId="0" fillId="0" borderId="0" xfId="0" applyFill="1" applyBorder="1" applyAlignment="1" applyProtection="1">
      <alignment horizontal="center" vertical="center"/>
      <protection/>
    </xf>
    <xf numFmtId="0" fontId="4" fillId="34" borderId="11" xfId="0" applyFont="1" applyFill="1" applyBorder="1" applyAlignment="1" applyProtection="1">
      <alignment horizontal="left" vertical="center"/>
      <protection/>
    </xf>
    <xf numFmtId="0" fontId="4" fillId="34" borderId="11" xfId="0" applyFont="1" applyFill="1" applyBorder="1" applyAlignment="1" applyProtection="1">
      <alignment horizontal="right" vertical="center"/>
      <protection/>
    </xf>
    <xf numFmtId="0" fontId="4" fillId="34" borderId="11" xfId="0" applyFont="1" applyFill="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3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4" fillId="34" borderId="11" xfId="0" applyFont="1" applyFill="1" applyBorder="1" applyAlignment="1" applyProtection="1">
      <alignment vertical="center"/>
      <protection/>
    </xf>
    <xf numFmtId="0" fontId="6" fillId="36" borderId="11" xfId="0" applyFont="1" applyFill="1" applyBorder="1" applyAlignment="1" applyProtection="1">
      <alignment vertical="center"/>
      <protection/>
    </xf>
    <xf numFmtId="0" fontId="6" fillId="36" borderId="11" xfId="0" applyFont="1" applyFill="1" applyBorder="1" applyAlignment="1" applyProtection="1">
      <alignment horizontal="center" vertical="center"/>
      <protection/>
    </xf>
    <xf numFmtId="0" fontId="6" fillId="36" borderId="11" xfId="0" applyFont="1" applyFill="1" applyBorder="1" applyAlignment="1" applyProtection="1">
      <alignment horizontal="right" vertical="center"/>
      <protection/>
    </xf>
    <xf numFmtId="0" fontId="6" fillId="36" borderId="13" xfId="0" applyFont="1" applyFill="1" applyBorder="1" applyAlignment="1" applyProtection="1">
      <alignment horizontal="center" vertical="center"/>
      <protection/>
    </xf>
    <xf numFmtId="0" fontId="6" fillId="34" borderId="11"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6" fillId="34" borderId="11" xfId="0" applyFont="1" applyFill="1" applyBorder="1" applyAlignment="1" applyProtection="1">
      <alignment vertical="center"/>
      <protection/>
    </xf>
    <xf numFmtId="0" fontId="6" fillId="34" borderId="0" xfId="0" applyFont="1" applyFill="1" applyBorder="1" applyAlignment="1" applyProtection="1">
      <alignment horizontal="center" vertical="center"/>
      <protection/>
    </xf>
    <xf numFmtId="0" fontId="6" fillId="34" borderId="11" xfId="0" applyFont="1" applyFill="1" applyBorder="1" applyAlignment="1" applyProtection="1">
      <alignment vertical="center"/>
      <protection/>
    </xf>
    <xf numFmtId="0" fontId="9" fillId="34" borderId="11" xfId="0" applyNumberFormat="1" applyFont="1" applyFill="1" applyBorder="1" applyAlignment="1" applyProtection="1">
      <alignment vertical="center"/>
      <protection/>
    </xf>
    <xf numFmtId="0" fontId="9" fillId="34" borderId="11" xfId="0" applyNumberFormat="1" applyFont="1" applyFill="1" applyBorder="1" applyAlignment="1" applyProtection="1">
      <alignment horizontal="center" vertical="center"/>
      <protection/>
    </xf>
    <xf numFmtId="0" fontId="6" fillId="34" borderId="11" xfId="0" applyNumberFormat="1" applyFont="1" applyFill="1" applyBorder="1" applyAlignment="1" applyProtection="1">
      <alignment horizontal="center" vertical="center"/>
      <protection/>
    </xf>
    <xf numFmtId="0" fontId="6" fillId="34" borderId="11" xfId="0" applyFont="1" applyFill="1" applyBorder="1" applyAlignment="1" applyProtection="1">
      <alignment horizontal="left" vertical="center"/>
      <protection/>
    </xf>
    <xf numFmtId="0" fontId="6" fillId="34" borderId="11" xfId="0" applyFont="1" applyFill="1" applyBorder="1" applyAlignment="1" applyProtection="1">
      <alignment horizontal="righ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1" xfId="0" applyFont="1" applyBorder="1" applyAlignment="1" applyProtection="1">
      <alignment horizontal="left" vertical="center"/>
      <protection/>
    </xf>
    <xf numFmtId="0" fontId="4" fillId="0" borderId="11" xfId="0" applyFont="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6" fillId="0" borderId="0" xfId="0" applyFont="1" applyBorder="1" applyAlignment="1" applyProtection="1">
      <alignment horizontal="left" vertical="center"/>
      <protection/>
    </xf>
    <xf numFmtId="0" fontId="6" fillId="0" borderId="0" xfId="0" applyFont="1" applyFill="1" applyBorder="1" applyAlignment="1">
      <alignment horizontal="right" vertical="center"/>
    </xf>
    <xf numFmtId="0" fontId="6" fillId="0" borderId="0" xfId="0" applyFont="1" applyFill="1" applyBorder="1" applyAlignment="1" applyProtection="1">
      <alignment vertical="center"/>
      <protection/>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11" xfId="0" applyFont="1" applyFill="1" applyBorder="1" applyAlignment="1" applyProtection="1">
      <alignment vertical="center"/>
      <protection/>
    </xf>
    <xf numFmtId="0" fontId="6" fillId="0" borderId="11" xfId="0" applyFont="1" applyBorder="1" applyAlignment="1" applyProtection="1">
      <alignment horizontal="center" vertical="center"/>
      <protection/>
    </xf>
    <xf numFmtId="0" fontId="10" fillId="0" borderId="11" xfId="0" applyFont="1" applyFill="1" applyBorder="1" applyAlignment="1">
      <alignment vertical="center"/>
    </xf>
    <xf numFmtId="0" fontId="6" fillId="38" borderId="11" xfId="0" applyFont="1" applyFill="1" applyBorder="1" applyAlignment="1">
      <alignment horizontal="right" vertical="center"/>
    </xf>
    <xf numFmtId="49" fontId="6" fillId="0" borderId="11" xfId="0" applyNumberFormat="1" applyFont="1" applyFill="1" applyBorder="1" applyAlignment="1">
      <alignment horizontal="center" vertical="center"/>
    </xf>
    <xf numFmtId="49" fontId="6" fillId="0" borderId="11" xfId="0" applyNumberFormat="1" applyFont="1" applyBorder="1" applyAlignment="1" applyProtection="1">
      <alignment horizontal="center" vertical="center"/>
      <protection/>
    </xf>
    <xf numFmtId="49" fontId="6" fillId="37" borderId="1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8" fillId="34" borderId="16" xfId="0" applyFont="1" applyFill="1" applyBorder="1" applyAlignment="1" applyProtection="1">
      <alignment horizontal="center" vertical="center" shrinkToFit="1"/>
      <protection/>
    </xf>
    <xf numFmtId="0" fontId="5" fillId="0" borderId="0" xfId="0" applyFont="1" applyBorder="1" applyAlignment="1" applyProtection="1">
      <alignment horizontal="center" vertical="center"/>
      <protection/>
    </xf>
    <xf numFmtId="0" fontId="5" fillId="34" borderId="0" xfId="0" applyFont="1" applyFill="1" applyBorder="1" applyAlignment="1" applyProtection="1">
      <alignment vertical="center"/>
      <protection/>
    </xf>
    <xf numFmtId="0" fontId="5" fillId="34" borderId="17" xfId="0" applyFont="1" applyFill="1" applyBorder="1" applyAlignment="1" applyProtection="1">
      <alignment vertical="center" shrinkToFit="1"/>
      <protection/>
    </xf>
    <xf numFmtId="0" fontId="5" fillId="34" borderId="18" xfId="0" applyFont="1" applyFill="1" applyBorder="1" applyAlignment="1" applyProtection="1">
      <alignment vertical="center" shrinkToFit="1"/>
      <protection/>
    </xf>
    <xf numFmtId="0" fontId="5" fillId="34" borderId="18" xfId="0" applyFont="1" applyFill="1" applyBorder="1" applyAlignment="1" applyProtection="1">
      <alignment horizontal="right" vertical="center"/>
      <protection/>
    </xf>
    <xf numFmtId="0" fontId="5" fillId="34" borderId="18" xfId="0" applyFont="1" applyFill="1" applyBorder="1" applyAlignment="1" applyProtection="1">
      <alignment horizontal="center" vertical="center"/>
      <protection/>
    </xf>
    <xf numFmtId="0" fontId="5" fillId="34" borderId="0" xfId="0" applyFont="1" applyFill="1" applyBorder="1" applyAlignment="1" applyProtection="1">
      <alignment horizontal="distributed" vertical="center"/>
      <protection/>
    </xf>
    <xf numFmtId="0" fontId="4" fillId="34" borderId="0" xfId="0" applyFont="1" applyFill="1" applyBorder="1" applyAlignment="1" applyProtection="1">
      <alignment horizontal="center" vertical="center"/>
      <protection/>
    </xf>
    <xf numFmtId="0" fontId="6" fillId="0" borderId="19" xfId="0" applyFont="1" applyBorder="1" applyAlignment="1" applyProtection="1">
      <alignment vertical="center"/>
      <protection/>
    </xf>
    <xf numFmtId="0" fontId="5" fillId="0" borderId="0" xfId="0" applyNumberFormat="1" applyFont="1" applyBorder="1" applyAlignment="1" applyProtection="1">
      <alignment vertical="center"/>
      <protection/>
    </xf>
    <xf numFmtId="0" fontId="5" fillId="34" borderId="12" xfId="0" applyFont="1" applyFill="1" applyBorder="1" applyAlignment="1" applyProtection="1">
      <alignment horizontal="center" vertical="center" shrinkToFit="1"/>
      <protection/>
    </xf>
    <xf numFmtId="0" fontId="12" fillId="0" borderId="0" xfId="0" applyFont="1" applyBorder="1" applyAlignment="1" applyProtection="1">
      <alignment horizontal="center" vertical="center" wrapText="1"/>
      <protection/>
    </xf>
    <xf numFmtId="0" fontId="4" fillId="34" borderId="0" xfId="0" applyFont="1" applyFill="1" applyBorder="1" applyAlignment="1" applyProtection="1">
      <alignment horizontal="center" vertical="center" shrinkToFit="1"/>
      <protection/>
    </xf>
    <xf numFmtId="0" fontId="4" fillId="36" borderId="0" xfId="0" applyFont="1" applyFill="1" applyBorder="1" applyAlignment="1" applyProtection="1">
      <alignment horizontal="center" vertical="center" shrinkToFit="1"/>
      <protection/>
    </xf>
    <xf numFmtId="0" fontId="5" fillId="36" borderId="12" xfId="0" applyFont="1" applyFill="1" applyBorder="1" applyAlignment="1" applyProtection="1">
      <alignment vertical="center"/>
      <protection/>
    </xf>
    <xf numFmtId="0" fontId="5" fillId="36" borderId="12" xfId="0" applyFont="1" applyFill="1" applyBorder="1" applyAlignment="1" applyProtection="1">
      <alignment horizontal="center" vertical="center"/>
      <protection/>
    </xf>
    <xf numFmtId="0" fontId="5" fillId="36" borderId="11" xfId="0" applyFont="1" applyFill="1" applyBorder="1" applyAlignment="1" applyProtection="1">
      <alignment vertical="center"/>
      <protection/>
    </xf>
    <xf numFmtId="0" fontId="5" fillId="0" borderId="11" xfId="0" applyFont="1" applyBorder="1" applyAlignment="1" applyProtection="1">
      <alignment vertical="center"/>
      <protection/>
    </xf>
    <xf numFmtId="0" fontId="5" fillId="0" borderId="11" xfId="0" applyFont="1" applyBorder="1" applyAlignment="1" applyProtection="1">
      <alignment horizontal="center" vertical="center"/>
      <protection/>
    </xf>
    <xf numFmtId="0" fontId="5" fillId="0" borderId="17" xfId="0" applyFont="1" applyBorder="1" applyAlignment="1" applyProtection="1">
      <alignment vertical="center"/>
      <protection/>
    </xf>
    <xf numFmtId="0" fontId="5" fillId="34" borderId="20" xfId="0" applyFont="1" applyFill="1" applyBorder="1" applyAlignment="1" applyProtection="1">
      <alignment horizontal="center" vertical="center"/>
      <protection/>
    </xf>
    <xf numFmtId="0" fontId="4" fillId="36" borderId="0" xfId="0" applyFont="1" applyFill="1" applyBorder="1" applyAlignment="1" applyProtection="1">
      <alignment horizontal="center" vertical="center"/>
      <protection/>
    </xf>
    <xf numFmtId="0" fontId="5" fillId="36" borderId="21" xfId="0" applyFont="1" applyFill="1" applyBorder="1" applyAlignment="1" applyProtection="1">
      <alignment vertical="center"/>
      <protection/>
    </xf>
    <xf numFmtId="0" fontId="5" fillId="36" borderId="21" xfId="0" applyFont="1" applyFill="1" applyBorder="1" applyAlignment="1" applyProtection="1">
      <alignment horizontal="right" vertical="center"/>
      <protection/>
    </xf>
    <xf numFmtId="0" fontId="5" fillId="36" borderId="21" xfId="0" applyFont="1" applyFill="1" applyBorder="1" applyAlignment="1" applyProtection="1">
      <alignment horizontal="center" vertical="center"/>
      <protection/>
    </xf>
    <xf numFmtId="0" fontId="5" fillId="36" borderId="22" xfId="0" applyFont="1" applyFill="1" applyBorder="1" applyAlignment="1" applyProtection="1">
      <alignment vertical="center"/>
      <protection/>
    </xf>
    <xf numFmtId="0" fontId="5" fillId="0" borderId="11" xfId="0" applyFont="1" applyBorder="1" applyAlignment="1" applyProtection="1">
      <alignment horizontal="left" vertical="center"/>
      <protection/>
    </xf>
    <xf numFmtId="0" fontId="5" fillId="0" borderId="14" xfId="0" applyFont="1" applyBorder="1" applyAlignment="1" applyProtection="1">
      <alignment horizontal="right" vertical="center"/>
      <protection/>
    </xf>
    <xf numFmtId="0" fontId="5" fillId="0" borderId="14"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5" fillId="0" borderId="11" xfId="0" applyFont="1" applyBorder="1" applyAlignment="1" applyProtection="1">
      <alignment horizontal="right" vertical="center"/>
      <protection/>
    </xf>
    <xf numFmtId="0" fontId="5" fillId="0" borderId="0" xfId="0" applyFont="1" applyBorder="1" applyAlignment="1" applyProtection="1">
      <alignment vertical="center"/>
      <protection/>
    </xf>
    <xf numFmtId="0" fontId="5" fillId="34" borderId="13"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34" borderId="0" xfId="0" applyFont="1" applyFill="1" applyBorder="1" applyAlignment="1" applyProtection="1">
      <alignment horizontal="center" vertical="center"/>
      <protection/>
    </xf>
    <xf numFmtId="0" fontId="7" fillId="34" borderId="0" xfId="0" applyFont="1" applyFill="1" applyBorder="1" applyAlignment="1" applyProtection="1">
      <alignment vertical="center"/>
      <protection/>
    </xf>
    <xf numFmtId="0" fontId="6" fillId="37" borderId="11" xfId="0" applyNumberFormat="1" applyFont="1" applyFill="1" applyBorder="1" applyAlignment="1">
      <alignment vertical="center"/>
    </xf>
    <xf numFmtId="0" fontId="6" fillId="0" borderId="11" xfId="0" applyNumberFormat="1" applyFont="1" applyFill="1" applyBorder="1" applyAlignment="1">
      <alignment vertical="center"/>
    </xf>
    <xf numFmtId="0" fontId="6" fillId="0" borderId="0" xfId="0" applyNumberFormat="1" applyFont="1" applyFill="1" applyBorder="1" applyAlignment="1">
      <alignment vertical="center"/>
    </xf>
    <xf numFmtId="0" fontId="6" fillId="37" borderId="11" xfId="0" applyFont="1" applyFill="1" applyBorder="1" applyAlignment="1">
      <alignment vertical="center"/>
    </xf>
    <xf numFmtId="0" fontId="6" fillId="37" borderId="1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10" fillId="0" borderId="17" xfId="0" applyFont="1" applyFill="1" applyBorder="1" applyAlignment="1">
      <alignment horizontal="center" vertical="center"/>
    </xf>
    <xf numFmtId="49" fontId="10" fillId="0" borderId="17" xfId="0" applyNumberFormat="1" applyFont="1" applyFill="1" applyBorder="1" applyAlignment="1">
      <alignment horizontal="center" vertical="center"/>
    </xf>
    <xf numFmtId="0" fontId="5" fillId="34" borderId="14" xfId="0" applyFont="1" applyFill="1" applyBorder="1" applyAlignment="1" applyProtection="1">
      <alignment horizontal="center" vertical="center"/>
      <protection/>
    </xf>
    <xf numFmtId="0" fontId="6" fillId="0" borderId="23" xfId="0" applyFont="1" applyFill="1" applyBorder="1" applyAlignment="1">
      <alignment vertical="center"/>
    </xf>
    <xf numFmtId="0" fontId="6" fillId="0" borderId="11" xfId="0" applyFont="1" applyFill="1" applyBorder="1" applyAlignment="1">
      <alignment horizontal="center" vertical="center" wrapText="1"/>
    </xf>
    <xf numFmtId="0" fontId="0" fillId="0" borderId="0" xfId="0" applyFill="1" applyAlignment="1">
      <alignment vertical="center"/>
    </xf>
    <xf numFmtId="0" fontId="4" fillId="0" borderId="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14" xfId="0" applyFont="1" applyFill="1" applyBorder="1" applyAlignment="1" applyProtection="1">
      <alignment horizontal="left" vertical="center"/>
      <protection/>
    </xf>
    <xf numFmtId="0" fontId="6" fillId="0" borderId="11" xfId="0" applyFont="1" applyFill="1" applyBorder="1" applyAlignment="1" applyProtection="1">
      <alignment horizontal="center" vertical="center"/>
      <protection/>
    </xf>
    <xf numFmtId="0" fontId="4" fillId="0" borderId="11" xfId="0" applyFont="1" applyFill="1" applyBorder="1" applyAlignment="1">
      <alignment vertical="center"/>
    </xf>
    <xf numFmtId="0" fontId="4" fillId="0" borderId="23" xfId="0" applyFont="1" applyFill="1" applyBorder="1" applyAlignment="1" applyProtection="1">
      <alignment horizontal="left" vertical="center"/>
      <protection/>
    </xf>
    <xf numFmtId="0" fontId="6" fillId="37" borderId="11" xfId="0" applyFont="1" applyFill="1" applyBorder="1" applyAlignment="1">
      <alignment vertical="center"/>
    </xf>
    <xf numFmtId="0" fontId="0" fillId="33" borderId="0" xfId="0" applyFill="1" applyAlignment="1">
      <alignment vertical="center"/>
    </xf>
    <xf numFmtId="0" fontId="6" fillId="0" borderId="11" xfId="0" applyFont="1" applyFill="1" applyBorder="1" applyAlignment="1">
      <alignment vertical="top" wrapText="1"/>
    </xf>
    <xf numFmtId="0" fontId="6" fillId="38" borderId="11" xfId="0" applyFont="1" applyFill="1" applyBorder="1" applyAlignment="1">
      <alignment vertical="top"/>
    </xf>
    <xf numFmtId="0" fontId="6" fillId="0" borderId="11" xfId="0" applyFont="1" applyFill="1" applyBorder="1" applyAlignment="1">
      <alignment vertical="top"/>
    </xf>
    <xf numFmtId="0" fontId="6" fillId="0" borderId="0" xfId="0" applyFont="1" applyFill="1" applyBorder="1" applyAlignment="1">
      <alignment vertical="top"/>
    </xf>
    <xf numFmtId="0" fontId="4" fillId="0" borderId="23" xfId="0" applyFont="1" applyFill="1" applyBorder="1" applyAlignment="1">
      <alignment vertical="center"/>
    </xf>
    <xf numFmtId="0" fontId="6" fillId="0" borderId="11" xfId="0" applyFont="1" applyFill="1" applyBorder="1" applyAlignment="1" applyProtection="1">
      <alignment vertical="center"/>
      <protection/>
    </xf>
    <xf numFmtId="0" fontId="6" fillId="0" borderId="11" xfId="0" applyFont="1" applyBorder="1" applyAlignment="1">
      <alignment vertical="center"/>
    </xf>
    <xf numFmtId="0" fontId="4" fillId="0" borderId="0" xfId="0" applyFont="1" applyFill="1" applyAlignment="1">
      <alignment vertical="center"/>
    </xf>
    <xf numFmtId="0" fontId="4" fillId="0" borderId="0" xfId="0" applyFont="1" applyAlignment="1">
      <alignment vertical="center"/>
    </xf>
    <xf numFmtId="0" fontId="4" fillId="0" borderId="11" xfId="0" applyFont="1" applyFill="1" applyBorder="1" applyAlignment="1">
      <alignment horizontal="center" vertical="center"/>
    </xf>
    <xf numFmtId="0" fontId="4" fillId="0" borderId="0" xfId="0" applyFont="1" applyFill="1" applyAlignment="1">
      <alignment horizontal="right" vertical="center"/>
    </xf>
    <xf numFmtId="0" fontId="6" fillId="38" borderId="11" xfId="0" applyFont="1" applyFill="1" applyBorder="1" applyAlignment="1">
      <alignment vertical="center"/>
    </xf>
    <xf numFmtId="0" fontId="10" fillId="0" borderId="17" xfId="0" applyFont="1" applyFill="1" applyBorder="1" applyAlignment="1" quotePrefix="1">
      <alignment horizontal="center" vertical="center"/>
    </xf>
    <xf numFmtId="0" fontId="4" fillId="0" borderId="11" xfId="0" applyFont="1" applyBorder="1" applyAlignment="1">
      <alignment vertical="center"/>
    </xf>
    <xf numFmtId="0" fontId="4" fillId="0" borderId="14" xfId="0" applyFont="1" applyBorder="1" applyAlignment="1">
      <alignment horizontal="center" vertical="center"/>
    </xf>
    <xf numFmtId="0" fontId="4" fillId="0" borderId="10" xfId="0" applyFont="1" applyFill="1" applyBorder="1" applyAlignment="1">
      <alignment horizontal="center" vertical="center"/>
    </xf>
    <xf numFmtId="0" fontId="4" fillId="0" borderId="0" xfId="0" applyFont="1" applyAlignment="1">
      <alignment horizontal="right" vertical="center"/>
    </xf>
    <xf numFmtId="0" fontId="6" fillId="0" borderId="0" xfId="0" applyFont="1" applyFill="1" applyBorder="1" applyAlignment="1" applyProtection="1">
      <alignment horizontal="center" vertical="center"/>
      <protection/>
    </xf>
    <xf numFmtId="0" fontId="4" fillId="33" borderId="0" xfId="0" applyFont="1" applyFill="1" applyAlignment="1">
      <alignment vertical="center"/>
    </xf>
    <xf numFmtId="0" fontId="4" fillId="39" borderId="11" xfId="0" applyFont="1" applyFill="1" applyBorder="1" applyAlignment="1">
      <alignment horizontal="center" vertical="center"/>
    </xf>
    <xf numFmtId="0" fontId="4" fillId="39" borderId="11" xfId="0" applyFont="1" applyFill="1" applyBorder="1" applyAlignment="1">
      <alignment vertical="center"/>
    </xf>
    <xf numFmtId="0" fontId="4" fillId="36" borderId="11" xfId="0" applyFont="1" applyFill="1" applyBorder="1" applyAlignment="1">
      <alignment horizontal="left" vertical="center"/>
    </xf>
    <xf numFmtId="0" fontId="4" fillId="36" borderId="11" xfId="0" applyFont="1" applyFill="1" applyBorder="1" applyAlignment="1">
      <alignment horizontal="center" vertical="center"/>
    </xf>
    <xf numFmtId="0" fontId="6" fillId="36" borderId="0" xfId="0" applyFont="1" applyFill="1" applyBorder="1" applyAlignment="1" applyProtection="1">
      <alignment horizontal="center" vertical="center"/>
      <protection/>
    </xf>
    <xf numFmtId="0" fontId="4" fillId="33" borderId="0" xfId="0" applyFont="1" applyFill="1" applyAlignment="1">
      <alignment horizontal="center" vertical="center"/>
    </xf>
    <xf numFmtId="0" fontId="4" fillId="0" borderId="11"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vertical="center"/>
      <protection/>
    </xf>
    <xf numFmtId="0" fontId="6" fillId="0" borderId="17" xfId="0" applyFont="1" applyFill="1" applyBorder="1" applyAlignment="1">
      <alignment horizontal="left" vertical="center"/>
    </xf>
    <xf numFmtId="0" fontId="6" fillId="0" borderId="11" xfId="0" applyFont="1" applyBorder="1" applyAlignment="1" quotePrefix="1">
      <alignment vertical="center"/>
    </xf>
    <xf numFmtId="0" fontId="6" fillId="0" borderId="11" xfId="0" applyFont="1" applyBorder="1" applyAlignment="1">
      <alignment horizontal="left" vertical="center"/>
    </xf>
    <xf numFmtId="0" fontId="6" fillId="0" borderId="17" xfId="0" applyFont="1" applyBorder="1" applyAlignment="1" applyProtection="1">
      <alignment vertical="center"/>
      <protection/>
    </xf>
    <xf numFmtId="0" fontId="10" fillId="0" borderId="17" xfId="0" applyFont="1" applyBorder="1" applyAlignment="1" applyProtection="1">
      <alignment vertical="center"/>
      <protection/>
    </xf>
    <xf numFmtId="0" fontId="6" fillId="0" borderId="17" xfId="0" applyFont="1" applyFill="1" applyBorder="1" applyAlignment="1" applyProtection="1">
      <alignment vertical="center"/>
      <protection/>
    </xf>
    <xf numFmtId="0" fontId="6" fillId="0" borderId="11" xfId="0" applyFont="1" applyFill="1" applyBorder="1" applyAlignment="1" applyProtection="1">
      <alignment horizontal="left" vertical="center"/>
      <protection/>
    </xf>
    <xf numFmtId="0" fontId="6" fillId="0" borderId="11" xfId="0" applyFont="1" applyFill="1" applyBorder="1" applyAlignment="1" applyProtection="1">
      <alignment horizontal="right" vertical="center"/>
      <protection/>
    </xf>
    <xf numFmtId="14" fontId="6" fillId="37" borderId="11" xfId="0" applyNumberFormat="1" applyFont="1" applyFill="1" applyBorder="1" applyAlignment="1">
      <alignment horizontal="center" vertical="center"/>
    </xf>
    <xf numFmtId="14" fontId="6" fillId="0" borderId="11" xfId="0" applyNumberFormat="1" applyFont="1" applyFill="1" applyBorder="1" applyAlignment="1">
      <alignment horizontal="center" vertical="center"/>
    </xf>
    <xf numFmtId="0" fontId="6" fillId="13" borderId="11" xfId="0" applyFont="1" applyFill="1" applyBorder="1" applyAlignment="1">
      <alignment vertical="center"/>
    </xf>
    <xf numFmtId="0" fontId="6" fillId="13" borderId="11" xfId="0" applyFont="1" applyFill="1" applyBorder="1" applyAlignment="1">
      <alignment horizontal="center" vertical="center"/>
    </xf>
    <xf numFmtId="0" fontId="6" fillId="13" borderId="0" xfId="0" applyFont="1" applyFill="1" applyAlignment="1">
      <alignment vertical="center"/>
    </xf>
    <xf numFmtId="0" fontId="50" fillId="13" borderId="11" xfId="0" applyFont="1" applyFill="1" applyBorder="1" applyAlignment="1">
      <alignment horizontal="center" vertical="center"/>
    </xf>
    <xf numFmtId="0" fontId="6" fillId="13" borderId="11" xfId="0" applyFont="1" applyFill="1" applyBorder="1" applyAlignment="1">
      <alignment vertical="top" wrapText="1"/>
    </xf>
    <xf numFmtId="14" fontId="6" fillId="37" borderId="11" xfId="0" applyNumberFormat="1" applyFont="1" applyFill="1" applyBorder="1" applyAlignment="1">
      <alignment vertical="center"/>
    </xf>
    <xf numFmtId="14" fontId="6" fillId="0" borderId="11" xfId="0" applyNumberFormat="1" applyFont="1" applyFill="1" applyBorder="1" applyAlignment="1">
      <alignment vertical="center"/>
    </xf>
    <xf numFmtId="14" fontId="6" fillId="13" borderId="11" xfId="0" applyNumberFormat="1" applyFont="1" applyFill="1" applyBorder="1" applyAlignment="1">
      <alignment vertical="center"/>
    </xf>
    <xf numFmtId="14" fontId="6" fillId="0" borderId="0" xfId="0" applyNumberFormat="1" applyFont="1" applyFill="1" applyBorder="1" applyAlignment="1">
      <alignment vertical="center"/>
    </xf>
    <xf numFmtId="14" fontId="6" fillId="13" borderId="11"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xf>
    <xf numFmtId="0" fontId="6" fillId="0" borderId="11" xfId="0" applyFont="1" applyFill="1" applyBorder="1" applyAlignment="1" quotePrefix="1">
      <alignment horizontal="center" vertical="center"/>
    </xf>
    <xf numFmtId="0" fontId="6" fillId="13" borderId="11" xfId="0" applyNumberFormat="1" applyFont="1" applyFill="1" applyBorder="1" applyAlignment="1">
      <alignment horizontal="center" vertical="center"/>
    </xf>
    <xf numFmtId="49" fontId="6" fillId="13" borderId="11" xfId="0" applyNumberFormat="1" applyFont="1" applyFill="1" applyBorder="1" applyAlignment="1">
      <alignment horizontal="center" vertical="center"/>
    </xf>
    <xf numFmtId="0" fontId="6" fillId="13" borderId="11" xfId="0" applyFont="1" applyFill="1" applyBorder="1" applyAlignment="1">
      <alignment horizontal="right" vertical="center"/>
    </xf>
    <xf numFmtId="0" fontId="6" fillId="13" borderId="11" xfId="0" applyFont="1" applyFill="1" applyBorder="1" applyAlignment="1">
      <alignment vertical="center"/>
    </xf>
    <xf numFmtId="0" fontId="6" fillId="13" borderId="0" xfId="0" applyFont="1" applyFill="1" applyBorder="1" applyAlignment="1">
      <alignment vertical="center"/>
    </xf>
    <xf numFmtId="0" fontId="6" fillId="13" borderId="11" xfId="0" applyFont="1" applyFill="1" applyBorder="1" applyAlignment="1">
      <alignment horizontal="center" vertical="center" wrapText="1"/>
    </xf>
    <xf numFmtId="0" fontId="5" fillId="40" borderId="0" xfId="0" applyFont="1" applyFill="1" applyBorder="1" applyAlignment="1" applyProtection="1">
      <alignment vertical="center"/>
      <protection/>
    </xf>
    <xf numFmtId="0" fontId="6" fillId="40" borderId="0" xfId="0"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protection/>
    </xf>
    <xf numFmtId="0" fontId="5" fillId="34" borderId="19" xfId="0" applyFont="1" applyFill="1" applyBorder="1" applyAlignment="1" applyProtection="1">
      <alignment horizontal="distributed" vertical="center"/>
      <protection/>
    </xf>
    <xf numFmtId="0" fontId="13" fillId="33" borderId="24" xfId="0" applyFont="1" applyFill="1" applyBorder="1" applyAlignment="1" applyProtection="1">
      <alignment horizontal="center" vertical="center" shrinkToFit="1"/>
      <protection locked="0"/>
    </xf>
    <xf numFmtId="0" fontId="13" fillId="33" borderId="25" xfId="0" applyFont="1" applyFill="1" applyBorder="1" applyAlignment="1" applyProtection="1">
      <alignment horizontal="center" vertical="center" shrinkToFit="1"/>
      <protection locked="0"/>
    </xf>
    <xf numFmtId="0" fontId="13" fillId="33" borderId="26" xfId="0" applyFont="1" applyFill="1" applyBorder="1" applyAlignment="1" applyProtection="1">
      <alignment horizontal="center" vertical="center" shrinkToFit="1"/>
      <protection locked="0"/>
    </xf>
    <xf numFmtId="0" fontId="13" fillId="33" borderId="27" xfId="0" applyFont="1" applyFill="1" applyBorder="1" applyAlignment="1" applyProtection="1">
      <alignment horizontal="center" vertical="center" shrinkToFit="1"/>
      <protection locked="0"/>
    </xf>
    <xf numFmtId="0" fontId="13" fillId="33" borderId="28" xfId="0" applyFont="1" applyFill="1" applyBorder="1" applyAlignment="1" applyProtection="1">
      <alignment horizontal="center" vertical="center" shrinkToFit="1"/>
      <protection locked="0"/>
    </xf>
    <xf numFmtId="0" fontId="13" fillId="33" borderId="29" xfId="0" applyFont="1" applyFill="1" applyBorder="1" applyAlignment="1" applyProtection="1">
      <alignment horizontal="center" vertical="center" shrinkToFit="1"/>
      <protection locked="0"/>
    </xf>
    <xf numFmtId="0" fontId="5" fillId="41" borderId="11" xfId="0" applyFont="1" applyFill="1" applyBorder="1" applyAlignment="1" applyProtection="1">
      <alignment horizontal="center" vertical="center"/>
      <protection/>
    </xf>
    <xf numFmtId="0" fontId="11" fillId="0" borderId="11" xfId="0" applyFont="1" applyBorder="1" applyAlignment="1" applyProtection="1">
      <alignment horizontal="center" vertical="center" wrapText="1"/>
      <protection/>
    </xf>
    <xf numFmtId="0" fontId="11" fillId="0" borderId="11" xfId="0" applyFont="1" applyBorder="1" applyAlignment="1" applyProtection="1">
      <alignment horizontal="center" vertical="center"/>
      <protection/>
    </xf>
    <xf numFmtId="0" fontId="12" fillId="0" borderId="11" xfId="0" applyFont="1" applyBorder="1" applyAlignment="1" applyProtection="1">
      <alignment horizontal="center" vertical="center" wrapText="1"/>
      <protection/>
    </xf>
    <xf numFmtId="0" fontId="12" fillId="0" borderId="11" xfId="0" applyFont="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6" fillId="42" borderId="11" xfId="0" applyFont="1" applyFill="1" applyBorder="1" applyAlignment="1">
      <alignment horizontal="center" vertical="center"/>
    </xf>
    <xf numFmtId="0" fontId="6" fillId="42" borderId="11" xfId="0" applyFont="1" applyFill="1" applyBorder="1" applyAlignment="1">
      <alignment vertical="center"/>
    </xf>
    <xf numFmtId="0" fontId="6" fillId="0" borderId="0" xfId="0" applyFont="1" applyFill="1" applyBorder="1" applyAlignment="1">
      <alignment horizontal="left" vertical="center"/>
    </xf>
    <xf numFmtId="0" fontId="6" fillId="40" borderId="2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top" wrapText="1"/>
      <protection/>
    </xf>
    <xf numFmtId="0" fontId="4" fillId="34" borderId="0" xfId="0" applyFont="1" applyFill="1" applyBorder="1" applyAlignment="1" applyProtection="1">
      <alignment horizontal="center"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4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AC149"/>
  <sheetViews>
    <sheetView zoomScalePageLayoutView="0" workbookViewId="0" topLeftCell="A1">
      <pane ySplit="1" topLeftCell="A2" activePane="bottomLeft" state="frozen"/>
      <selection pane="topLeft" activeCell="A1" sqref="A1"/>
      <selection pane="bottomLeft" activeCell="AG15" sqref="AG15"/>
    </sheetView>
  </sheetViews>
  <sheetFormatPr defaultColWidth="9.00390625" defaultRowHeight="13.5"/>
  <cols>
    <col min="1" max="1" width="30.75390625" style="28" customWidth="1"/>
    <col min="2" max="3" width="5.125" style="30" customWidth="1"/>
    <col min="4" max="4" width="4.50390625" style="31" customWidth="1"/>
    <col min="5" max="5" width="7.00390625" style="28" customWidth="1"/>
    <col min="6" max="6" width="4.00390625" style="28" customWidth="1"/>
    <col min="7" max="7" width="5.875" style="28" customWidth="1"/>
    <col min="8" max="8" width="3.75390625" style="30" customWidth="1"/>
    <col min="9" max="9" width="6.75390625" style="28" customWidth="1"/>
    <col min="10" max="10" width="4.75390625" style="28" customWidth="1"/>
    <col min="11" max="11" width="4.375" style="28" customWidth="1"/>
    <col min="12" max="13" width="4.50390625" style="28" customWidth="1"/>
    <col min="14" max="14" width="5.125" style="28" customWidth="1"/>
    <col min="15" max="15" width="5.125" style="30" customWidth="1"/>
    <col min="16" max="16" width="5.125" style="27" customWidth="1"/>
    <col min="17" max="17" width="4.875" style="28" customWidth="1"/>
    <col min="18" max="18" width="6.625" style="27" customWidth="1"/>
    <col min="19" max="19" width="5.375" style="27" customWidth="1"/>
    <col min="20" max="22" width="9.00390625" style="28" customWidth="1"/>
    <col min="23" max="23" width="4.375" style="28" customWidth="1"/>
    <col min="24" max="24" width="2.875" style="30" customWidth="1"/>
    <col min="25" max="25" width="11.375" style="28" customWidth="1"/>
    <col min="26" max="26" width="8.50390625" style="28" customWidth="1"/>
    <col min="27" max="27" width="4.75390625" style="30" customWidth="1"/>
    <col min="28" max="28" width="26.875" style="28" customWidth="1"/>
    <col min="29" max="29" width="6.50390625" style="28" customWidth="1"/>
    <col min="30" max="16384" width="9.00390625" style="28" customWidth="1"/>
  </cols>
  <sheetData>
    <row r="1" spans="1:29" ht="24" customHeight="1">
      <c r="A1" s="25" t="s">
        <v>1372</v>
      </c>
      <c r="B1" s="23" t="s">
        <v>869</v>
      </c>
      <c r="C1" s="23" t="s">
        <v>1261</v>
      </c>
      <c r="D1" s="26" t="s">
        <v>1260</v>
      </c>
      <c r="E1" s="25" t="s">
        <v>1707</v>
      </c>
      <c r="F1" s="25" t="s">
        <v>1236</v>
      </c>
      <c r="G1" s="25" t="s">
        <v>2309</v>
      </c>
      <c r="H1" s="23" t="s">
        <v>124</v>
      </c>
      <c r="I1" s="25" t="s">
        <v>125</v>
      </c>
      <c r="J1" s="25" t="s">
        <v>125</v>
      </c>
      <c r="K1" s="25" t="s">
        <v>126</v>
      </c>
      <c r="L1" s="25" t="s">
        <v>126</v>
      </c>
      <c r="M1" s="25" t="s">
        <v>127</v>
      </c>
      <c r="N1" s="25" t="s">
        <v>127</v>
      </c>
      <c r="O1" s="23" t="s">
        <v>191</v>
      </c>
      <c r="Q1" s="182" t="s">
        <v>1692</v>
      </c>
      <c r="R1" s="183"/>
      <c r="S1" s="78"/>
      <c r="T1" s="37" t="s">
        <v>842</v>
      </c>
      <c r="U1" s="37" t="s">
        <v>1039</v>
      </c>
      <c r="V1" s="37" t="s">
        <v>1342</v>
      </c>
      <c r="W1" s="37"/>
      <c r="X1" s="178" t="s">
        <v>1367</v>
      </c>
      <c r="Z1" s="25" t="s">
        <v>1040</v>
      </c>
      <c r="AA1" s="23" t="s">
        <v>114</v>
      </c>
      <c r="AB1" s="25" t="s">
        <v>1476</v>
      </c>
      <c r="AC1" s="27"/>
    </row>
    <row r="2" spans="1:28" ht="11.25">
      <c r="A2" s="81" t="s">
        <v>291</v>
      </c>
      <c r="B2" s="23" t="s">
        <v>1708</v>
      </c>
      <c r="C2" s="23" t="s">
        <v>1708</v>
      </c>
      <c r="D2" s="26">
        <v>100</v>
      </c>
      <c r="E2" s="25" t="s">
        <v>1709</v>
      </c>
      <c r="F2" s="25" t="s">
        <v>142</v>
      </c>
      <c r="G2" s="25" t="s">
        <v>143</v>
      </c>
      <c r="H2" s="23">
        <v>1</v>
      </c>
      <c r="I2" s="25" t="s">
        <v>144</v>
      </c>
      <c r="J2" s="25" t="s">
        <v>1991</v>
      </c>
      <c r="K2" s="25"/>
      <c r="L2" s="25"/>
      <c r="M2" s="25"/>
      <c r="N2" s="25"/>
      <c r="O2" s="23" t="s">
        <v>1708</v>
      </c>
      <c r="Q2" s="151">
        <v>4</v>
      </c>
      <c r="R2" s="151" t="s">
        <v>832</v>
      </c>
      <c r="T2" s="21" t="s">
        <v>1693</v>
      </c>
      <c r="U2" s="21" t="s">
        <v>1694</v>
      </c>
      <c r="V2" s="21" t="s">
        <v>1695</v>
      </c>
      <c r="W2" s="21" t="s">
        <v>1416</v>
      </c>
      <c r="X2" s="84" t="s">
        <v>1696</v>
      </c>
      <c r="Y2" s="179" t="s">
        <v>591</v>
      </c>
      <c r="Z2" s="25" t="s">
        <v>1867</v>
      </c>
      <c r="AA2" s="131" t="str">
        <f aca="true" t="shared" si="0" ref="AA2:AA29">VLOOKUP(LEFT(Y2,2),$W$2:$X$34,2,0)&amp;VLOOKUP(RIGHT(Y2,3),$V$71:$W$82,2,0)</f>
        <v>011</v>
      </c>
      <c r="AB2" s="25" t="s">
        <v>1041</v>
      </c>
    </row>
    <row r="3" spans="1:28" ht="11.25">
      <c r="A3" s="25" t="s">
        <v>303</v>
      </c>
      <c r="B3" s="23"/>
      <c r="C3" s="23" t="s">
        <v>1708</v>
      </c>
      <c r="D3" s="26">
        <v>101</v>
      </c>
      <c r="E3" s="25" t="s">
        <v>1710</v>
      </c>
      <c r="F3" s="25" t="s">
        <v>142</v>
      </c>
      <c r="G3" s="25" t="s">
        <v>143</v>
      </c>
      <c r="H3" s="23">
        <v>1</v>
      </c>
      <c r="I3" s="25" t="s">
        <v>144</v>
      </c>
      <c r="J3" s="25" t="s">
        <v>1991</v>
      </c>
      <c r="K3" s="25"/>
      <c r="L3" s="25"/>
      <c r="M3" s="25"/>
      <c r="N3" s="25"/>
      <c r="O3" s="23"/>
      <c r="Q3" s="152">
        <v>5</v>
      </c>
      <c r="R3" s="151" t="s">
        <v>833</v>
      </c>
      <c r="T3" s="21" t="s">
        <v>1368</v>
      </c>
      <c r="U3" s="79" t="s">
        <v>1249</v>
      </c>
      <c r="V3" s="21" t="s">
        <v>1250</v>
      </c>
      <c r="W3" s="21" t="s">
        <v>408</v>
      </c>
      <c r="X3" s="84" t="s">
        <v>622</v>
      </c>
      <c r="Y3" s="179" t="s">
        <v>1149</v>
      </c>
      <c r="Z3" s="25" t="s">
        <v>1868</v>
      </c>
      <c r="AA3" s="131" t="str">
        <f t="shared" si="0"/>
        <v>012</v>
      </c>
      <c r="AB3" s="25" t="s">
        <v>1241</v>
      </c>
    </row>
    <row r="4" spans="1:28" ht="11.25">
      <c r="A4" s="25" t="s">
        <v>1711</v>
      </c>
      <c r="B4" s="23" t="s">
        <v>1708</v>
      </c>
      <c r="C4" s="23" t="s">
        <v>1708</v>
      </c>
      <c r="D4" s="26">
        <v>102</v>
      </c>
      <c r="E4" s="25" t="s">
        <v>1712</v>
      </c>
      <c r="F4" s="25" t="s">
        <v>142</v>
      </c>
      <c r="G4" s="25" t="s">
        <v>143</v>
      </c>
      <c r="H4" s="23">
        <v>1</v>
      </c>
      <c r="I4" s="25" t="s">
        <v>144</v>
      </c>
      <c r="J4" s="25" t="s">
        <v>1991</v>
      </c>
      <c r="K4" s="25"/>
      <c r="L4" s="25"/>
      <c r="M4" s="25"/>
      <c r="N4" s="25"/>
      <c r="O4" s="23"/>
      <c r="Q4" s="26">
        <v>6</v>
      </c>
      <c r="R4" s="26" t="s">
        <v>834</v>
      </c>
      <c r="T4" s="79" t="s">
        <v>843</v>
      </c>
      <c r="U4" s="79" t="s">
        <v>1344</v>
      </c>
      <c r="V4" s="21" t="s">
        <v>1345</v>
      </c>
      <c r="W4" s="21" t="s">
        <v>1426</v>
      </c>
      <c r="X4" s="84" t="s">
        <v>623</v>
      </c>
      <c r="Y4" s="179" t="s">
        <v>1150</v>
      </c>
      <c r="Z4" s="25" t="s">
        <v>1869</v>
      </c>
      <c r="AA4" s="131" t="str">
        <f t="shared" si="0"/>
        <v>013</v>
      </c>
      <c r="AB4" s="25" t="s">
        <v>1242</v>
      </c>
    </row>
    <row r="5" spans="1:28" ht="11.25">
      <c r="A5" s="25" t="s">
        <v>1414</v>
      </c>
      <c r="B5" s="23"/>
      <c r="C5" s="23" t="s">
        <v>1708</v>
      </c>
      <c r="D5" s="26">
        <v>103</v>
      </c>
      <c r="E5" s="25" t="s">
        <v>1140</v>
      </c>
      <c r="F5" s="25" t="s">
        <v>142</v>
      </c>
      <c r="G5" s="25" t="s">
        <v>143</v>
      </c>
      <c r="H5" s="23">
        <v>1</v>
      </c>
      <c r="I5" s="25" t="s">
        <v>144</v>
      </c>
      <c r="J5" s="25" t="s">
        <v>1991</v>
      </c>
      <c r="K5" s="25"/>
      <c r="L5" s="25"/>
      <c r="M5" s="25"/>
      <c r="N5" s="25"/>
      <c r="O5" s="23"/>
      <c r="Q5" s="26">
        <v>7</v>
      </c>
      <c r="R5" s="26" t="s">
        <v>23</v>
      </c>
      <c r="T5" s="79" t="s">
        <v>870</v>
      </c>
      <c r="U5" s="21" t="s">
        <v>871</v>
      </c>
      <c r="V5" s="21" t="s">
        <v>1346</v>
      </c>
      <c r="W5" s="21" t="s">
        <v>412</v>
      </c>
      <c r="X5" s="84" t="s">
        <v>624</v>
      </c>
      <c r="Y5" s="179" t="s">
        <v>381</v>
      </c>
      <c r="Z5" s="25" t="s">
        <v>1866</v>
      </c>
      <c r="AA5" s="131" t="str">
        <f t="shared" si="0"/>
        <v>014</v>
      </c>
      <c r="AB5" s="25" t="s">
        <v>1347</v>
      </c>
    </row>
    <row r="6" spans="1:28" ht="11.25">
      <c r="A6" s="25" t="s">
        <v>998</v>
      </c>
      <c r="B6" s="23"/>
      <c r="C6" s="23" t="s">
        <v>1708</v>
      </c>
      <c r="D6" s="26">
        <v>104</v>
      </c>
      <c r="E6" s="25" t="s">
        <v>721</v>
      </c>
      <c r="F6" s="25" t="s">
        <v>142</v>
      </c>
      <c r="G6" s="25" t="s">
        <v>143</v>
      </c>
      <c r="H6" s="23">
        <v>1</v>
      </c>
      <c r="I6" s="25" t="s">
        <v>144</v>
      </c>
      <c r="J6" s="25" t="s">
        <v>1991</v>
      </c>
      <c r="K6" s="25"/>
      <c r="L6" s="25"/>
      <c r="M6" s="25"/>
      <c r="N6" s="25"/>
      <c r="O6" s="23"/>
      <c r="Q6" s="37"/>
      <c r="R6" s="37"/>
      <c r="T6" s="79" t="s">
        <v>1348</v>
      </c>
      <c r="U6" s="79" t="s">
        <v>1349</v>
      </c>
      <c r="V6" s="21" t="s">
        <v>1350</v>
      </c>
      <c r="W6" s="21" t="s">
        <v>406</v>
      </c>
      <c r="X6" s="84" t="s">
        <v>625</v>
      </c>
      <c r="Y6" s="179" t="s">
        <v>400</v>
      </c>
      <c r="Z6" s="25" t="s">
        <v>1870</v>
      </c>
      <c r="AA6" s="131" t="str">
        <f t="shared" si="0"/>
        <v>015</v>
      </c>
      <c r="AB6" s="25" t="s">
        <v>1241</v>
      </c>
    </row>
    <row r="7" spans="1:28" ht="11.25">
      <c r="A7" s="25" t="s">
        <v>169</v>
      </c>
      <c r="B7" s="23" t="s">
        <v>2280</v>
      </c>
      <c r="C7" s="23" t="s">
        <v>1708</v>
      </c>
      <c r="D7" s="26">
        <v>105</v>
      </c>
      <c r="E7" s="25" t="s">
        <v>1713</v>
      </c>
      <c r="F7" s="25" t="s">
        <v>142</v>
      </c>
      <c r="G7" s="25" t="s">
        <v>143</v>
      </c>
      <c r="H7" s="23">
        <v>1</v>
      </c>
      <c r="I7" s="25" t="s">
        <v>144</v>
      </c>
      <c r="J7" s="25" t="s">
        <v>1991</v>
      </c>
      <c r="K7" s="25"/>
      <c r="L7" s="25"/>
      <c r="M7" s="25"/>
      <c r="N7" s="25"/>
      <c r="O7" s="23"/>
      <c r="Q7" s="37" t="s">
        <v>190</v>
      </c>
      <c r="R7" s="37"/>
      <c r="T7" s="25" t="s">
        <v>370</v>
      </c>
      <c r="U7" s="79" t="s">
        <v>1351</v>
      </c>
      <c r="V7" s="21" t="s">
        <v>1352</v>
      </c>
      <c r="W7" s="21" t="s">
        <v>1854</v>
      </c>
      <c r="X7" s="84" t="s">
        <v>626</v>
      </c>
      <c r="Y7" s="179" t="s">
        <v>401</v>
      </c>
      <c r="Z7" s="25" t="s">
        <v>1871</v>
      </c>
      <c r="AA7" s="131" t="str">
        <f t="shared" si="0"/>
        <v>016</v>
      </c>
      <c r="AB7" s="25" t="s">
        <v>1242</v>
      </c>
    </row>
    <row r="8" spans="1:28" ht="11.25">
      <c r="A8" s="25" t="s">
        <v>2158</v>
      </c>
      <c r="B8" s="23"/>
      <c r="C8" s="23" t="s">
        <v>1369</v>
      </c>
      <c r="D8" s="26">
        <v>106</v>
      </c>
      <c r="E8" s="25" t="s">
        <v>2159</v>
      </c>
      <c r="F8" s="25" t="s">
        <v>142</v>
      </c>
      <c r="G8" s="25" t="s">
        <v>143</v>
      </c>
      <c r="H8" s="23">
        <v>1</v>
      </c>
      <c r="I8" s="25" t="s">
        <v>144</v>
      </c>
      <c r="J8" s="25" t="s">
        <v>1991</v>
      </c>
      <c r="K8" s="25"/>
      <c r="L8" s="25"/>
      <c r="M8" s="25"/>
      <c r="N8" s="25"/>
      <c r="O8" s="23"/>
      <c r="Q8" s="37">
        <v>67</v>
      </c>
      <c r="R8" s="26" t="s">
        <v>23</v>
      </c>
      <c r="T8" s="25" t="s">
        <v>1412</v>
      </c>
      <c r="U8" s="79" t="s">
        <v>1353</v>
      </c>
      <c r="V8" s="21" t="s">
        <v>1354</v>
      </c>
      <c r="W8" s="21" t="s">
        <v>1411</v>
      </c>
      <c r="X8" s="84" t="s">
        <v>627</v>
      </c>
      <c r="Y8" s="179" t="s">
        <v>402</v>
      </c>
      <c r="Z8" s="25" t="s">
        <v>1872</v>
      </c>
      <c r="AA8" s="131" t="str">
        <f t="shared" si="0"/>
        <v>017</v>
      </c>
      <c r="AB8" s="25" t="s">
        <v>1242</v>
      </c>
    </row>
    <row r="9" spans="1:28" ht="11.25">
      <c r="A9" s="25" t="s">
        <v>2169</v>
      </c>
      <c r="B9" s="23"/>
      <c r="C9" s="23" t="s">
        <v>1369</v>
      </c>
      <c r="D9" s="26">
        <v>107</v>
      </c>
      <c r="E9" s="25" t="s">
        <v>2170</v>
      </c>
      <c r="F9" s="25" t="s">
        <v>142</v>
      </c>
      <c r="G9" s="25" t="s">
        <v>143</v>
      </c>
      <c r="H9" s="23">
        <v>1</v>
      </c>
      <c r="I9" s="25" t="s">
        <v>144</v>
      </c>
      <c r="J9" s="25" t="s">
        <v>1991</v>
      </c>
      <c r="K9" s="25"/>
      <c r="L9" s="25"/>
      <c r="M9" s="25"/>
      <c r="N9" s="25"/>
      <c r="O9" s="23"/>
      <c r="Q9" s="177">
        <v>91</v>
      </c>
      <c r="R9" s="26" t="s">
        <v>23</v>
      </c>
      <c r="T9" s="25" t="s">
        <v>369</v>
      </c>
      <c r="U9" s="79" t="s">
        <v>1355</v>
      </c>
      <c r="V9" s="21" t="s">
        <v>1356</v>
      </c>
      <c r="W9" s="21" t="s">
        <v>1992</v>
      </c>
      <c r="X9" s="84" t="s">
        <v>726</v>
      </c>
      <c r="Y9" s="179" t="s">
        <v>592</v>
      </c>
      <c r="Z9" s="25" t="s">
        <v>1873</v>
      </c>
      <c r="AA9" s="131" t="str">
        <f t="shared" si="0"/>
        <v>021</v>
      </c>
      <c r="AB9" s="25" t="s">
        <v>1042</v>
      </c>
    </row>
    <row r="10" spans="1:28" ht="12" customHeight="1">
      <c r="A10" s="81" t="s">
        <v>1714</v>
      </c>
      <c r="B10" s="23" t="s">
        <v>1708</v>
      </c>
      <c r="C10" s="23" t="s">
        <v>1708</v>
      </c>
      <c r="D10" s="26">
        <v>108</v>
      </c>
      <c r="E10" s="25" t="s">
        <v>1715</v>
      </c>
      <c r="F10" s="25" t="s">
        <v>142</v>
      </c>
      <c r="G10" s="25" t="s">
        <v>143</v>
      </c>
      <c r="H10" s="23">
        <v>1</v>
      </c>
      <c r="I10" s="25" t="s">
        <v>144</v>
      </c>
      <c r="J10" s="25" t="s">
        <v>1991</v>
      </c>
      <c r="K10" s="25"/>
      <c r="L10" s="25"/>
      <c r="M10" s="25"/>
      <c r="N10" s="25"/>
      <c r="O10" s="23" t="s">
        <v>1708</v>
      </c>
      <c r="Q10" s="25">
        <v>1429</v>
      </c>
      <c r="R10" s="26" t="s">
        <v>23</v>
      </c>
      <c r="T10" s="25" t="s">
        <v>2063</v>
      </c>
      <c r="U10" s="79" t="s">
        <v>2183</v>
      </c>
      <c r="V10" s="21" t="s">
        <v>1592</v>
      </c>
      <c r="W10" s="21" t="s">
        <v>1457</v>
      </c>
      <c r="X10" s="84" t="s">
        <v>727</v>
      </c>
      <c r="Y10" s="179" t="s">
        <v>2076</v>
      </c>
      <c r="Z10" s="25" t="s">
        <v>258</v>
      </c>
      <c r="AA10" s="131" t="str">
        <f t="shared" si="0"/>
        <v>022</v>
      </c>
      <c r="AB10" s="25" t="s">
        <v>1278</v>
      </c>
    </row>
    <row r="11" spans="1:28" ht="12" customHeight="1">
      <c r="A11" s="25" t="s">
        <v>2165</v>
      </c>
      <c r="B11" s="23"/>
      <c r="C11" s="23" t="s">
        <v>1369</v>
      </c>
      <c r="D11" s="26">
        <v>108</v>
      </c>
      <c r="E11" s="25" t="s">
        <v>2187</v>
      </c>
      <c r="F11" s="25" t="s">
        <v>142</v>
      </c>
      <c r="G11" s="25" t="s">
        <v>143</v>
      </c>
      <c r="H11" s="23">
        <v>1</v>
      </c>
      <c r="I11" s="25" t="s">
        <v>144</v>
      </c>
      <c r="J11" s="25" t="s">
        <v>1991</v>
      </c>
      <c r="K11" s="25"/>
      <c r="L11" s="25"/>
      <c r="M11" s="25"/>
      <c r="N11" s="25"/>
      <c r="O11" s="23"/>
      <c r="Q11" s="25">
        <v>2005</v>
      </c>
      <c r="R11" s="25" t="s">
        <v>2184</v>
      </c>
      <c r="T11" s="25" t="s">
        <v>2143</v>
      </c>
      <c r="U11" s="79" t="s">
        <v>1593</v>
      </c>
      <c r="V11" s="21" t="s">
        <v>2144</v>
      </c>
      <c r="W11" s="21" t="s">
        <v>2146</v>
      </c>
      <c r="X11" s="84" t="s">
        <v>1594</v>
      </c>
      <c r="Y11" s="179" t="s">
        <v>2077</v>
      </c>
      <c r="Z11" s="25" t="s">
        <v>259</v>
      </c>
      <c r="AA11" s="131" t="str">
        <f t="shared" si="0"/>
        <v>023</v>
      </c>
      <c r="AB11" s="25" t="s">
        <v>643</v>
      </c>
    </row>
    <row r="12" spans="1:28" ht="12" customHeight="1">
      <c r="A12" s="81" t="s">
        <v>1716</v>
      </c>
      <c r="B12" s="23"/>
      <c r="C12" s="23" t="s">
        <v>1708</v>
      </c>
      <c r="D12" s="26">
        <v>109</v>
      </c>
      <c r="E12" s="25" t="s">
        <v>1717</v>
      </c>
      <c r="F12" s="25" t="s">
        <v>142</v>
      </c>
      <c r="G12" s="25" t="s">
        <v>145</v>
      </c>
      <c r="H12" s="23">
        <v>1</v>
      </c>
      <c r="I12" s="25" t="s">
        <v>144</v>
      </c>
      <c r="J12" s="25" t="s">
        <v>128</v>
      </c>
      <c r="K12" s="25"/>
      <c r="L12" s="25"/>
      <c r="M12" s="25"/>
      <c r="N12" s="25"/>
      <c r="O12" s="23" t="s">
        <v>1708</v>
      </c>
      <c r="Q12" s="25">
        <v>2117</v>
      </c>
      <c r="R12" s="26" t="s">
        <v>23</v>
      </c>
      <c r="T12" s="25" t="s">
        <v>2140</v>
      </c>
      <c r="U12" s="79" t="s">
        <v>2182</v>
      </c>
      <c r="V12" s="21" t="s">
        <v>2142</v>
      </c>
      <c r="W12" s="21" t="s">
        <v>2147</v>
      </c>
      <c r="X12" s="84" t="s">
        <v>1314</v>
      </c>
      <c r="Y12" s="179" t="s">
        <v>718</v>
      </c>
      <c r="Z12" s="25" t="s">
        <v>1874</v>
      </c>
      <c r="AA12" s="131" t="str">
        <f t="shared" si="0"/>
        <v>024</v>
      </c>
      <c r="AB12" s="25" t="s">
        <v>1042</v>
      </c>
    </row>
    <row r="13" spans="1:28" ht="12" customHeight="1">
      <c r="A13" s="81" t="s">
        <v>298</v>
      </c>
      <c r="B13" s="23" t="s">
        <v>1718</v>
      </c>
      <c r="C13" s="23" t="s">
        <v>1718</v>
      </c>
      <c r="D13" s="26">
        <v>180</v>
      </c>
      <c r="E13" s="25" t="s">
        <v>1719</v>
      </c>
      <c r="F13" s="25" t="s">
        <v>142</v>
      </c>
      <c r="G13" s="25" t="s">
        <v>143</v>
      </c>
      <c r="H13" s="23">
        <v>1</v>
      </c>
      <c r="I13" s="25" t="s">
        <v>144</v>
      </c>
      <c r="J13" s="25" t="s">
        <v>1991</v>
      </c>
      <c r="K13" s="25"/>
      <c r="L13" s="25"/>
      <c r="M13" s="25"/>
      <c r="N13" s="25"/>
      <c r="O13" s="23" t="s">
        <v>2283</v>
      </c>
      <c r="Q13" s="25">
        <v>2216</v>
      </c>
      <c r="R13" s="26" t="s">
        <v>23</v>
      </c>
      <c r="T13" s="25" t="s">
        <v>2141</v>
      </c>
      <c r="U13" s="79" t="s">
        <v>1595</v>
      </c>
      <c r="V13" s="21" t="s">
        <v>2145</v>
      </c>
      <c r="W13" s="21" t="s">
        <v>2148</v>
      </c>
      <c r="X13" s="84" t="s">
        <v>1315</v>
      </c>
      <c r="Y13" s="179" t="s">
        <v>255</v>
      </c>
      <c r="Z13" s="25" t="s">
        <v>260</v>
      </c>
      <c r="AA13" s="131" t="str">
        <f t="shared" si="0"/>
        <v>025</v>
      </c>
      <c r="AB13" s="25" t="s">
        <v>1278</v>
      </c>
    </row>
    <row r="14" spans="1:28" ht="12" customHeight="1">
      <c r="A14" s="25" t="s">
        <v>2267</v>
      </c>
      <c r="B14" s="23"/>
      <c r="C14" s="23" t="s">
        <v>1718</v>
      </c>
      <c r="D14" s="26">
        <v>181</v>
      </c>
      <c r="E14" s="25" t="s">
        <v>1720</v>
      </c>
      <c r="F14" s="25" t="s">
        <v>142</v>
      </c>
      <c r="G14" s="25" t="s">
        <v>1721</v>
      </c>
      <c r="H14" s="23">
        <v>1</v>
      </c>
      <c r="I14" s="25" t="s">
        <v>144</v>
      </c>
      <c r="J14" s="25" t="s">
        <v>1991</v>
      </c>
      <c r="K14" s="25"/>
      <c r="L14" s="25"/>
      <c r="M14" s="25"/>
      <c r="N14" s="25"/>
      <c r="O14" s="23"/>
      <c r="Q14" s="25">
        <v>2225</v>
      </c>
      <c r="R14" s="26" t="s">
        <v>23</v>
      </c>
      <c r="T14" s="21" t="s">
        <v>1697</v>
      </c>
      <c r="U14" s="79" t="s">
        <v>1698</v>
      </c>
      <c r="V14" s="21" t="s">
        <v>1699</v>
      </c>
      <c r="W14" s="21" t="s">
        <v>1855</v>
      </c>
      <c r="X14" s="84" t="s">
        <v>1316</v>
      </c>
      <c r="Y14" s="179" t="s">
        <v>256</v>
      </c>
      <c r="Z14" s="25" t="s">
        <v>261</v>
      </c>
      <c r="AA14" s="131" t="str">
        <f t="shared" si="0"/>
        <v>026</v>
      </c>
      <c r="AB14" s="25" t="s">
        <v>643</v>
      </c>
    </row>
    <row r="15" spans="1:28" ht="12" customHeight="1">
      <c r="A15" s="81" t="s">
        <v>292</v>
      </c>
      <c r="B15" s="23" t="s">
        <v>1708</v>
      </c>
      <c r="C15" s="23" t="s">
        <v>1708</v>
      </c>
      <c r="D15" s="26">
        <v>110</v>
      </c>
      <c r="E15" s="25" t="s">
        <v>1722</v>
      </c>
      <c r="F15" s="25" t="s">
        <v>146</v>
      </c>
      <c r="G15" s="25" t="s">
        <v>146</v>
      </c>
      <c r="H15" s="23">
        <v>1</v>
      </c>
      <c r="I15" s="25" t="s">
        <v>144</v>
      </c>
      <c r="J15" s="25" t="s">
        <v>673</v>
      </c>
      <c r="K15" s="25"/>
      <c r="L15" s="25"/>
      <c r="M15" s="25"/>
      <c r="N15" s="25"/>
      <c r="O15" s="23" t="s">
        <v>1708</v>
      </c>
      <c r="Q15" s="25">
        <v>2305</v>
      </c>
      <c r="R15" s="26" t="s">
        <v>23</v>
      </c>
      <c r="T15" s="21" t="s">
        <v>122</v>
      </c>
      <c r="U15" s="79" t="s">
        <v>1596</v>
      </c>
      <c r="V15" s="21" t="s">
        <v>1597</v>
      </c>
      <c r="W15" s="21" t="s">
        <v>1856</v>
      </c>
      <c r="X15" s="84" t="s">
        <v>1317</v>
      </c>
      <c r="Y15" s="179" t="s">
        <v>257</v>
      </c>
      <c r="Z15" s="25" t="s">
        <v>262</v>
      </c>
      <c r="AA15" s="131" t="str">
        <f t="shared" si="0"/>
        <v>027</v>
      </c>
      <c r="AB15" s="25" t="s">
        <v>643</v>
      </c>
    </row>
    <row r="16" spans="1:28" ht="11.25">
      <c r="A16" s="25" t="s">
        <v>1858</v>
      </c>
      <c r="B16" s="23" t="s">
        <v>1708</v>
      </c>
      <c r="C16" s="23" t="s">
        <v>1708</v>
      </c>
      <c r="D16" s="26">
        <v>111</v>
      </c>
      <c r="E16" s="25" t="s">
        <v>1723</v>
      </c>
      <c r="F16" s="25" t="s">
        <v>146</v>
      </c>
      <c r="G16" s="25" t="s">
        <v>146</v>
      </c>
      <c r="H16" s="23">
        <v>1</v>
      </c>
      <c r="I16" s="25" t="s">
        <v>144</v>
      </c>
      <c r="J16" s="25" t="s">
        <v>673</v>
      </c>
      <c r="K16" s="25"/>
      <c r="L16" s="25"/>
      <c r="M16" s="25"/>
      <c r="N16" s="25"/>
      <c r="O16" s="23"/>
      <c r="Q16" s="25">
        <v>2431</v>
      </c>
      <c r="R16" s="25" t="s">
        <v>2185</v>
      </c>
      <c r="T16" s="21" t="s">
        <v>1400</v>
      </c>
      <c r="U16" s="79" t="s">
        <v>1700</v>
      </c>
      <c r="V16" s="21" t="s">
        <v>1701</v>
      </c>
      <c r="W16" s="21" t="s">
        <v>349</v>
      </c>
      <c r="X16" s="84" t="s">
        <v>1318</v>
      </c>
      <c r="Y16" s="179" t="s">
        <v>442</v>
      </c>
      <c r="Z16" s="25" t="s">
        <v>1875</v>
      </c>
      <c r="AA16" s="131" t="str">
        <f t="shared" si="0"/>
        <v>031</v>
      </c>
      <c r="AB16" s="25" t="s">
        <v>1043</v>
      </c>
    </row>
    <row r="17" spans="1:28" ht="11.25">
      <c r="A17" s="25" t="s">
        <v>478</v>
      </c>
      <c r="B17" s="23"/>
      <c r="C17" s="23" t="s">
        <v>1708</v>
      </c>
      <c r="D17" s="26">
        <v>112</v>
      </c>
      <c r="E17" s="25" t="s">
        <v>170</v>
      </c>
      <c r="F17" s="25" t="s">
        <v>146</v>
      </c>
      <c r="G17" s="25" t="s">
        <v>146</v>
      </c>
      <c r="H17" s="23">
        <v>1</v>
      </c>
      <c r="I17" s="25" t="s">
        <v>144</v>
      </c>
      <c r="J17" s="25" t="s">
        <v>673</v>
      </c>
      <c r="K17" s="25"/>
      <c r="L17" s="25"/>
      <c r="M17" s="25"/>
      <c r="N17" s="25"/>
      <c r="O17" s="23"/>
      <c r="Q17" s="25">
        <v>6225</v>
      </c>
      <c r="R17" s="151" t="s">
        <v>832</v>
      </c>
      <c r="T17" s="79" t="s">
        <v>1702</v>
      </c>
      <c r="U17" s="21" t="s">
        <v>1343</v>
      </c>
      <c r="V17" s="21" t="s">
        <v>1703</v>
      </c>
      <c r="W17" s="21" t="s">
        <v>1448</v>
      </c>
      <c r="X17" s="84" t="s">
        <v>1319</v>
      </c>
      <c r="Y17" s="179" t="s">
        <v>1571</v>
      </c>
      <c r="Z17" s="25" t="s">
        <v>1576</v>
      </c>
      <c r="AA17" s="131" t="str">
        <f t="shared" si="0"/>
        <v>032</v>
      </c>
      <c r="AB17" s="25" t="s">
        <v>1240</v>
      </c>
    </row>
    <row r="18" spans="1:28" ht="11.25">
      <c r="A18" s="25" t="s">
        <v>274</v>
      </c>
      <c r="B18" s="23"/>
      <c r="C18" s="23" t="s">
        <v>1708</v>
      </c>
      <c r="D18" s="26">
        <v>113</v>
      </c>
      <c r="E18" s="25" t="s">
        <v>275</v>
      </c>
      <c r="F18" s="25" t="s">
        <v>146</v>
      </c>
      <c r="G18" s="25" t="s">
        <v>146</v>
      </c>
      <c r="H18" s="23">
        <v>1</v>
      </c>
      <c r="I18" s="25" t="s">
        <v>144</v>
      </c>
      <c r="J18" s="25" t="s">
        <v>673</v>
      </c>
      <c r="K18" s="25"/>
      <c r="L18" s="25"/>
      <c r="M18" s="25"/>
      <c r="N18" s="25"/>
      <c r="O18" s="23"/>
      <c r="Q18" s="25">
        <v>6401</v>
      </c>
      <c r="R18" s="25" t="s">
        <v>23</v>
      </c>
      <c r="T18" s="79" t="s">
        <v>1704</v>
      </c>
      <c r="U18" s="79" t="s">
        <v>1705</v>
      </c>
      <c r="V18" s="21" t="s">
        <v>1706</v>
      </c>
      <c r="W18" s="21" t="s">
        <v>409</v>
      </c>
      <c r="X18" s="84" t="s">
        <v>1320</v>
      </c>
      <c r="Y18" s="179" t="s">
        <v>1572</v>
      </c>
      <c r="Z18" s="25" t="s">
        <v>1577</v>
      </c>
      <c r="AA18" s="131" t="str">
        <f t="shared" si="0"/>
        <v>033</v>
      </c>
      <c r="AB18" s="25" t="s">
        <v>613</v>
      </c>
    </row>
    <row r="19" spans="1:28" ht="11.25">
      <c r="A19" s="25" t="s">
        <v>2136</v>
      </c>
      <c r="B19" s="23"/>
      <c r="C19" s="23" t="s">
        <v>1369</v>
      </c>
      <c r="D19" s="26">
        <v>114</v>
      </c>
      <c r="E19" s="25" t="s">
        <v>2157</v>
      </c>
      <c r="F19" s="25" t="s">
        <v>146</v>
      </c>
      <c r="G19" s="25" t="s">
        <v>146</v>
      </c>
      <c r="H19" s="23">
        <v>1</v>
      </c>
      <c r="I19" s="25" t="s">
        <v>144</v>
      </c>
      <c r="J19" s="25" t="s">
        <v>673</v>
      </c>
      <c r="K19" s="25"/>
      <c r="L19" s="25"/>
      <c r="M19" s="25"/>
      <c r="N19" s="25"/>
      <c r="O19" s="23"/>
      <c r="Q19" s="25">
        <v>6404</v>
      </c>
      <c r="R19" s="25" t="s">
        <v>23</v>
      </c>
      <c r="T19" s="79" t="s">
        <v>1479</v>
      </c>
      <c r="U19" s="79" t="s">
        <v>1598</v>
      </c>
      <c r="V19" s="21" t="s">
        <v>1599</v>
      </c>
      <c r="W19" s="21" t="s">
        <v>2058</v>
      </c>
      <c r="X19" s="84" t="s">
        <v>1321</v>
      </c>
      <c r="Y19" s="179" t="s">
        <v>719</v>
      </c>
      <c r="Z19" s="25" t="s">
        <v>1876</v>
      </c>
      <c r="AA19" s="131" t="str">
        <f t="shared" si="0"/>
        <v>034</v>
      </c>
      <c r="AB19" s="25" t="s">
        <v>1043</v>
      </c>
    </row>
    <row r="20" spans="1:28" ht="11.25">
      <c r="A20" s="81" t="s">
        <v>293</v>
      </c>
      <c r="B20" s="23" t="s">
        <v>1708</v>
      </c>
      <c r="C20" s="23" t="s">
        <v>1708</v>
      </c>
      <c r="D20" s="26">
        <v>120</v>
      </c>
      <c r="E20" s="25" t="s">
        <v>1724</v>
      </c>
      <c r="F20" s="25" t="s">
        <v>147</v>
      </c>
      <c r="G20" s="25" t="s">
        <v>147</v>
      </c>
      <c r="H20" s="23">
        <v>1</v>
      </c>
      <c r="I20" s="25" t="s">
        <v>144</v>
      </c>
      <c r="J20" s="25" t="s">
        <v>675</v>
      </c>
      <c r="K20" s="25"/>
      <c r="L20" s="25"/>
      <c r="M20" s="25"/>
      <c r="N20" s="25"/>
      <c r="O20" s="23" t="s">
        <v>1708</v>
      </c>
      <c r="Q20" s="25">
        <v>7016</v>
      </c>
      <c r="R20" s="26" t="s">
        <v>23</v>
      </c>
      <c r="T20" s="79" t="s">
        <v>123</v>
      </c>
      <c r="U20" s="21" t="s">
        <v>871</v>
      </c>
      <c r="V20" s="21" t="s">
        <v>1600</v>
      </c>
      <c r="W20" s="21" t="s">
        <v>410</v>
      </c>
      <c r="X20" s="84" t="s">
        <v>1322</v>
      </c>
      <c r="Y20" s="179" t="s">
        <v>1573</v>
      </c>
      <c r="Z20" s="25" t="s">
        <v>1578</v>
      </c>
      <c r="AA20" s="131" t="str">
        <f t="shared" si="0"/>
        <v>035</v>
      </c>
      <c r="AB20" s="25" t="s">
        <v>1240</v>
      </c>
    </row>
    <row r="21" spans="1:28" ht="11.25">
      <c r="A21" s="25" t="s">
        <v>302</v>
      </c>
      <c r="B21" s="23"/>
      <c r="C21" s="23" t="s">
        <v>1708</v>
      </c>
      <c r="D21" s="26">
        <v>121</v>
      </c>
      <c r="E21" s="25" t="s">
        <v>1725</v>
      </c>
      <c r="F21" s="25" t="s">
        <v>147</v>
      </c>
      <c r="G21" s="25" t="s">
        <v>147</v>
      </c>
      <c r="H21" s="23">
        <v>1</v>
      </c>
      <c r="I21" s="25" t="s">
        <v>144</v>
      </c>
      <c r="J21" s="25" t="s">
        <v>675</v>
      </c>
      <c r="K21" s="25"/>
      <c r="L21" s="25"/>
      <c r="M21" s="25"/>
      <c r="N21" s="25"/>
      <c r="O21" s="23"/>
      <c r="Q21" s="25">
        <v>7419</v>
      </c>
      <c r="R21" s="26" t="s">
        <v>23</v>
      </c>
      <c r="T21" s="79" t="s">
        <v>1601</v>
      </c>
      <c r="U21" s="79" t="s">
        <v>1602</v>
      </c>
      <c r="V21" s="21" t="s">
        <v>1603</v>
      </c>
      <c r="W21" s="21" t="s">
        <v>1444</v>
      </c>
      <c r="X21" s="84" t="s">
        <v>1323</v>
      </c>
      <c r="Y21" s="179" t="s">
        <v>1574</v>
      </c>
      <c r="Z21" s="25" t="s">
        <v>1579</v>
      </c>
      <c r="AA21" s="131" t="str">
        <f t="shared" si="0"/>
        <v>036</v>
      </c>
      <c r="AB21" s="25" t="s">
        <v>613</v>
      </c>
    </row>
    <row r="22" spans="1:28" ht="11.25">
      <c r="A22" s="25" t="s">
        <v>1726</v>
      </c>
      <c r="B22" s="23" t="s">
        <v>1708</v>
      </c>
      <c r="C22" s="23" t="s">
        <v>1708</v>
      </c>
      <c r="D22" s="26">
        <v>122</v>
      </c>
      <c r="E22" s="25" t="s">
        <v>1727</v>
      </c>
      <c r="F22" s="25" t="s">
        <v>147</v>
      </c>
      <c r="G22" s="25" t="s">
        <v>147</v>
      </c>
      <c r="H22" s="23">
        <v>1</v>
      </c>
      <c r="I22" s="25" t="s">
        <v>144</v>
      </c>
      <c r="J22" s="25" t="s">
        <v>675</v>
      </c>
      <c r="K22" s="25"/>
      <c r="L22" s="25"/>
      <c r="M22" s="25"/>
      <c r="N22" s="25"/>
      <c r="O22" s="23"/>
      <c r="Q22" s="25">
        <v>8419</v>
      </c>
      <c r="R22" s="26" t="s">
        <v>2310</v>
      </c>
      <c r="T22" s="21" t="s">
        <v>1604</v>
      </c>
      <c r="U22" s="21" t="s">
        <v>1605</v>
      </c>
      <c r="V22" s="21" t="s">
        <v>1606</v>
      </c>
      <c r="W22" s="21" t="s">
        <v>1851</v>
      </c>
      <c r="X22" s="84" t="s">
        <v>1324</v>
      </c>
      <c r="Y22" s="179" t="s">
        <v>1575</v>
      </c>
      <c r="Z22" s="25" t="s">
        <v>1580</v>
      </c>
      <c r="AA22" s="131" t="str">
        <f t="shared" si="0"/>
        <v>037</v>
      </c>
      <c r="AB22" s="25" t="s">
        <v>613</v>
      </c>
    </row>
    <row r="23" spans="1:28" ht="11.25">
      <c r="A23" s="25" t="s">
        <v>106</v>
      </c>
      <c r="B23" s="23"/>
      <c r="C23" s="23" t="s">
        <v>1708</v>
      </c>
      <c r="D23" s="26">
        <v>123</v>
      </c>
      <c r="E23" s="25" t="s">
        <v>1728</v>
      </c>
      <c r="F23" s="25" t="s">
        <v>147</v>
      </c>
      <c r="G23" s="25" t="s">
        <v>147</v>
      </c>
      <c r="H23" s="23">
        <v>1</v>
      </c>
      <c r="I23" s="25" t="s">
        <v>144</v>
      </c>
      <c r="J23" s="25" t="s">
        <v>675</v>
      </c>
      <c r="K23" s="25"/>
      <c r="L23" s="25"/>
      <c r="M23" s="25"/>
      <c r="N23" s="25"/>
      <c r="O23" s="23"/>
      <c r="Q23" s="27"/>
      <c r="T23" s="21" t="s">
        <v>1607</v>
      </c>
      <c r="U23" s="21" t="s">
        <v>1608</v>
      </c>
      <c r="V23" s="21" t="s">
        <v>1609</v>
      </c>
      <c r="W23" s="21" t="s">
        <v>1852</v>
      </c>
      <c r="X23" s="84" t="s">
        <v>1325</v>
      </c>
      <c r="Y23" s="179" t="s">
        <v>378</v>
      </c>
      <c r="Z23" s="25" t="s">
        <v>1877</v>
      </c>
      <c r="AA23" s="131" t="str">
        <f t="shared" si="0"/>
        <v>041</v>
      </c>
      <c r="AB23" s="25" t="s">
        <v>1044</v>
      </c>
    </row>
    <row r="24" spans="1:28" ht="11.25">
      <c r="A24" s="25" t="s">
        <v>1157</v>
      </c>
      <c r="B24" s="23"/>
      <c r="C24" s="23" t="s">
        <v>1708</v>
      </c>
      <c r="D24" s="26">
        <v>124</v>
      </c>
      <c r="E24" s="25" t="s">
        <v>2160</v>
      </c>
      <c r="F24" s="25" t="s">
        <v>147</v>
      </c>
      <c r="G24" s="25" t="s">
        <v>147</v>
      </c>
      <c r="H24" s="23">
        <v>1</v>
      </c>
      <c r="I24" s="25" t="s">
        <v>144</v>
      </c>
      <c r="J24" s="25" t="s">
        <v>675</v>
      </c>
      <c r="K24" s="25"/>
      <c r="L24" s="25"/>
      <c r="M24" s="25"/>
      <c r="N24" s="25"/>
      <c r="O24" s="23"/>
      <c r="Q24" s="27"/>
      <c r="T24" s="21" t="s">
        <v>594</v>
      </c>
      <c r="U24" s="79" t="s">
        <v>1610</v>
      </c>
      <c r="V24" s="21" t="s">
        <v>1611</v>
      </c>
      <c r="W24" s="21" t="s">
        <v>1857</v>
      </c>
      <c r="X24" s="84" t="s">
        <v>1326</v>
      </c>
      <c r="Y24" s="179" t="s">
        <v>446</v>
      </c>
      <c r="Z24" s="25" t="s">
        <v>7</v>
      </c>
      <c r="AA24" s="131" t="str">
        <f t="shared" si="0"/>
        <v>042</v>
      </c>
      <c r="AB24" s="25" t="s">
        <v>1239</v>
      </c>
    </row>
    <row r="25" spans="1:28" ht="11.25">
      <c r="A25" s="25" t="s">
        <v>2162</v>
      </c>
      <c r="B25" s="23"/>
      <c r="C25" s="23" t="s">
        <v>1369</v>
      </c>
      <c r="D25" s="26">
        <v>125</v>
      </c>
      <c r="E25" s="25" t="s">
        <v>2161</v>
      </c>
      <c r="F25" s="25" t="s">
        <v>147</v>
      </c>
      <c r="G25" s="25" t="s">
        <v>147</v>
      </c>
      <c r="H25" s="23">
        <v>1</v>
      </c>
      <c r="I25" s="25" t="s">
        <v>144</v>
      </c>
      <c r="J25" s="25" t="s">
        <v>675</v>
      </c>
      <c r="K25" s="25"/>
      <c r="L25" s="25"/>
      <c r="M25" s="25"/>
      <c r="N25" s="25"/>
      <c r="O25" s="23"/>
      <c r="Q25" s="27"/>
      <c r="T25" s="21" t="s">
        <v>593</v>
      </c>
      <c r="U25" s="79" t="s">
        <v>1612</v>
      </c>
      <c r="V25" s="21" t="s">
        <v>1613</v>
      </c>
      <c r="W25" s="21" t="s">
        <v>1853</v>
      </c>
      <c r="X25" s="84" t="s">
        <v>1327</v>
      </c>
      <c r="Y25" s="179" t="s">
        <v>3</v>
      </c>
      <c r="Z25" s="25" t="s">
        <v>8</v>
      </c>
      <c r="AA25" s="131" t="str">
        <f t="shared" si="0"/>
        <v>043</v>
      </c>
      <c r="AB25" s="25" t="s">
        <v>165</v>
      </c>
    </row>
    <row r="26" spans="1:28" ht="11.25">
      <c r="A26" s="25" t="s">
        <v>2172</v>
      </c>
      <c r="B26" s="23"/>
      <c r="C26" s="23" t="s">
        <v>1369</v>
      </c>
      <c r="D26" s="26">
        <v>126</v>
      </c>
      <c r="E26" s="25" t="s">
        <v>2171</v>
      </c>
      <c r="F26" s="25" t="s">
        <v>147</v>
      </c>
      <c r="G26" s="25" t="s">
        <v>147</v>
      </c>
      <c r="H26" s="23">
        <v>1</v>
      </c>
      <c r="I26" s="25" t="s">
        <v>144</v>
      </c>
      <c r="J26" s="25" t="s">
        <v>675</v>
      </c>
      <c r="K26" s="25"/>
      <c r="L26" s="25"/>
      <c r="M26" s="25"/>
      <c r="N26" s="25"/>
      <c r="O26" s="23"/>
      <c r="Q26" s="27"/>
      <c r="T26" s="21" t="s">
        <v>107</v>
      </c>
      <c r="U26" s="79" t="s">
        <v>1614</v>
      </c>
      <c r="V26" s="21" t="s">
        <v>1615</v>
      </c>
      <c r="W26" s="21" t="s">
        <v>1616</v>
      </c>
      <c r="X26" s="84" t="s">
        <v>1328</v>
      </c>
      <c r="Y26" s="179" t="s">
        <v>1009</v>
      </c>
      <c r="Z26" s="25" t="s">
        <v>1878</v>
      </c>
      <c r="AA26" s="131" t="str">
        <f t="shared" si="0"/>
        <v>044</v>
      </c>
      <c r="AB26" s="25" t="s">
        <v>1044</v>
      </c>
    </row>
    <row r="27" spans="1:28" ht="11.25">
      <c r="A27" s="25" t="s">
        <v>2269</v>
      </c>
      <c r="B27" s="23"/>
      <c r="C27" s="23" t="s">
        <v>1369</v>
      </c>
      <c r="D27" s="26">
        <v>127</v>
      </c>
      <c r="E27" s="25" t="s">
        <v>2268</v>
      </c>
      <c r="F27" s="25" t="s">
        <v>147</v>
      </c>
      <c r="G27" s="25" t="s">
        <v>147</v>
      </c>
      <c r="H27" s="23">
        <v>1</v>
      </c>
      <c r="I27" s="25" t="s">
        <v>144</v>
      </c>
      <c r="J27" s="25" t="s">
        <v>675</v>
      </c>
      <c r="K27" s="25"/>
      <c r="L27" s="25"/>
      <c r="M27" s="25"/>
      <c r="N27" s="25"/>
      <c r="O27" s="23"/>
      <c r="Q27" s="27"/>
      <c r="S27" s="77"/>
      <c r="T27" s="21" t="s">
        <v>282</v>
      </c>
      <c r="U27" s="66" t="s">
        <v>1617</v>
      </c>
      <c r="V27" s="21" t="s">
        <v>1618</v>
      </c>
      <c r="W27" s="21" t="s">
        <v>1619</v>
      </c>
      <c r="X27" s="84" t="s">
        <v>1329</v>
      </c>
      <c r="Y27" s="179" t="s">
        <v>4</v>
      </c>
      <c r="Z27" s="25" t="s">
        <v>9</v>
      </c>
      <c r="AA27" s="131" t="str">
        <f t="shared" si="0"/>
        <v>045</v>
      </c>
      <c r="AB27" s="25" t="s">
        <v>1239</v>
      </c>
    </row>
    <row r="28" spans="1:28" ht="11.25">
      <c r="A28" s="81" t="s">
        <v>1589</v>
      </c>
      <c r="B28" s="23" t="s">
        <v>1708</v>
      </c>
      <c r="C28" s="23" t="s">
        <v>1708</v>
      </c>
      <c r="D28" s="26">
        <v>128</v>
      </c>
      <c r="E28" s="25" t="s">
        <v>1729</v>
      </c>
      <c r="F28" s="25" t="s">
        <v>147</v>
      </c>
      <c r="G28" s="25" t="s">
        <v>147</v>
      </c>
      <c r="H28" s="23">
        <v>1</v>
      </c>
      <c r="I28" s="25" t="s">
        <v>144</v>
      </c>
      <c r="J28" s="25" t="s">
        <v>675</v>
      </c>
      <c r="K28" s="25"/>
      <c r="L28" s="25"/>
      <c r="M28" s="25"/>
      <c r="N28" s="25"/>
      <c r="O28" s="23"/>
      <c r="Q28" s="27"/>
      <c r="T28" s="21" t="s">
        <v>2004</v>
      </c>
      <c r="U28" s="79" t="s">
        <v>1620</v>
      </c>
      <c r="V28" s="21" t="s">
        <v>1621</v>
      </c>
      <c r="W28" s="79" t="s">
        <v>1622</v>
      </c>
      <c r="X28" s="84" t="s">
        <v>1330</v>
      </c>
      <c r="Y28" s="179" t="s">
        <v>5</v>
      </c>
      <c r="Z28" s="25" t="s">
        <v>10</v>
      </c>
      <c r="AA28" s="131" t="str">
        <f t="shared" si="0"/>
        <v>046</v>
      </c>
      <c r="AB28" s="25" t="s">
        <v>165</v>
      </c>
    </row>
    <row r="29" spans="1:28" ht="11.25">
      <c r="A29" s="81" t="s">
        <v>2279</v>
      </c>
      <c r="B29" s="23"/>
      <c r="C29" s="23" t="s">
        <v>1369</v>
      </c>
      <c r="D29" s="26">
        <v>129</v>
      </c>
      <c r="E29" s="25" t="s">
        <v>2278</v>
      </c>
      <c r="F29" s="25" t="s">
        <v>2277</v>
      </c>
      <c r="G29" s="25" t="s">
        <v>2276</v>
      </c>
      <c r="H29" s="23">
        <v>1</v>
      </c>
      <c r="I29" s="25" t="s">
        <v>144</v>
      </c>
      <c r="J29" s="25" t="s">
        <v>2275</v>
      </c>
      <c r="K29" s="25"/>
      <c r="L29" s="25"/>
      <c r="M29" s="25"/>
      <c r="N29" s="25"/>
      <c r="O29" s="23" t="s">
        <v>1369</v>
      </c>
      <c r="Q29" s="27"/>
      <c r="T29" s="21" t="s">
        <v>1281</v>
      </c>
      <c r="U29" s="79" t="s">
        <v>1623</v>
      </c>
      <c r="V29" s="21" t="s">
        <v>108</v>
      </c>
      <c r="W29" s="79" t="s">
        <v>1624</v>
      </c>
      <c r="X29" s="84" t="s">
        <v>1331</v>
      </c>
      <c r="Y29" s="179" t="s">
        <v>6</v>
      </c>
      <c r="Z29" s="25" t="s">
        <v>11</v>
      </c>
      <c r="AA29" s="131" t="str">
        <f t="shared" si="0"/>
        <v>047</v>
      </c>
      <c r="AB29" s="25" t="s">
        <v>165</v>
      </c>
    </row>
    <row r="30" spans="1:28" ht="11.25">
      <c r="A30" s="81" t="s">
        <v>294</v>
      </c>
      <c r="B30" s="23" t="s">
        <v>1708</v>
      </c>
      <c r="C30" s="23" t="s">
        <v>1708</v>
      </c>
      <c r="D30" s="26">
        <v>130</v>
      </c>
      <c r="E30" s="25" t="s">
        <v>1730</v>
      </c>
      <c r="F30" s="25" t="s">
        <v>148</v>
      </c>
      <c r="G30" s="25" t="s">
        <v>148</v>
      </c>
      <c r="H30" s="23">
        <v>1</v>
      </c>
      <c r="I30" s="25" t="s">
        <v>144</v>
      </c>
      <c r="J30" s="25" t="s">
        <v>676</v>
      </c>
      <c r="K30" s="25"/>
      <c r="L30" s="25"/>
      <c r="M30" s="25"/>
      <c r="N30" s="25"/>
      <c r="O30" s="23" t="s">
        <v>1708</v>
      </c>
      <c r="Q30" s="27"/>
      <c r="T30" s="21" t="s">
        <v>1282</v>
      </c>
      <c r="U30" s="79" t="s">
        <v>1625</v>
      </c>
      <c r="V30" s="21" t="s">
        <v>109</v>
      </c>
      <c r="W30" s="79" t="s">
        <v>1626</v>
      </c>
      <c r="X30" s="84" t="s">
        <v>1332</v>
      </c>
      <c r="Y30" s="180" t="s">
        <v>279</v>
      </c>
      <c r="Z30" s="25" t="s">
        <v>1590</v>
      </c>
      <c r="AA30" s="158" t="s">
        <v>1627</v>
      </c>
      <c r="AB30" s="25" t="s">
        <v>1628</v>
      </c>
    </row>
    <row r="31" spans="1:28" ht="11.25">
      <c r="A31" s="25" t="s">
        <v>1927</v>
      </c>
      <c r="B31" s="23"/>
      <c r="C31" s="23" t="s">
        <v>1708</v>
      </c>
      <c r="D31" s="26">
        <v>131</v>
      </c>
      <c r="E31" s="25" t="s">
        <v>1731</v>
      </c>
      <c r="F31" s="25" t="s">
        <v>148</v>
      </c>
      <c r="G31" s="25" t="s">
        <v>148</v>
      </c>
      <c r="H31" s="23">
        <v>1</v>
      </c>
      <c r="I31" s="25" t="s">
        <v>144</v>
      </c>
      <c r="J31" s="25" t="s">
        <v>676</v>
      </c>
      <c r="K31" s="25"/>
      <c r="L31" s="25"/>
      <c r="M31" s="25"/>
      <c r="N31" s="25"/>
      <c r="O31" s="23"/>
      <c r="Q31" s="27"/>
      <c r="T31" s="21" t="s">
        <v>2005</v>
      </c>
      <c r="U31" s="79" t="s">
        <v>1629</v>
      </c>
      <c r="V31" s="21" t="s">
        <v>110</v>
      </c>
      <c r="W31" s="79" t="s">
        <v>1630</v>
      </c>
      <c r="X31" s="84" t="s">
        <v>1333</v>
      </c>
      <c r="Y31" s="180" t="s">
        <v>481</v>
      </c>
      <c r="Z31" s="25" t="s">
        <v>1879</v>
      </c>
      <c r="AA31" s="132" t="str">
        <f aca="true" t="shared" si="1" ref="AA31:AA37">VLOOKUP(LEFT(Y31,2),$W$2:$X$34,2,0)&amp;VLOOKUP(RIGHT(Y31,3),$V$71:$W$82,2,0)-1</f>
        <v>050</v>
      </c>
      <c r="AB31" s="25" t="s">
        <v>1045</v>
      </c>
    </row>
    <row r="32" spans="1:28" ht="11.25">
      <c r="A32" s="25" t="s">
        <v>1732</v>
      </c>
      <c r="B32" s="23" t="s">
        <v>1708</v>
      </c>
      <c r="C32" s="23" t="s">
        <v>1708</v>
      </c>
      <c r="D32" s="26">
        <v>132</v>
      </c>
      <c r="E32" s="25" t="s">
        <v>1733</v>
      </c>
      <c r="F32" s="25" t="s">
        <v>148</v>
      </c>
      <c r="G32" s="25" t="s">
        <v>148</v>
      </c>
      <c r="H32" s="23">
        <v>1</v>
      </c>
      <c r="I32" s="25" t="s">
        <v>144</v>
      </c>
      <c r="J32" s="25" t="s">
        <v>676</v>
      </c>
      <c r="K32" s="25"/>
      <c r="L32" s="25"/>
      <c r="M32" s="25"/>
      <c r="N32" s="25"/>
      <c r="O32" s="23"/>
      <c r="Q32" s="27"/>
      <c r="R32" s="77"/>
      <c r="T32" s="21" t="s">
        <v>2006</v>
      </c>
      <c r="U32" s="21" t="s">
        <v>1631</v>
      </c>
      <c r="V32" s="21" t="s">
        <v>111</v>
      </c>
      <c r="W32" s="21" t="s">
        <v>1632</v>
      </c>
      <c r="X32" s="84" t="s">
        <v>1334</v>
      </c>
      <c r="Y32" s="180" t="s">
        <v>979</v>
      </c>
      <c r="Z32" s="25" t="s">
        <v>1900</v>
      </c>
      <c r="AA32" s="132" t="str">
        <f t="shared" si="1"/>
        <v>051</v>
      </c>
      <c r="AB32" s="25" t="s">
        <v>1276</v>
      </c>
    </row>
    <row r="33" spans="1:28" ht="11.25">
      <c r="A33" s="25" t="s">
        <v>1011</v>
      </c>
      <c r="B33" s="23"/>
      <c r="C33" s="23" t="s">
        <v>1708</v>
      </c>
      <c r="D33" s="26">
        <v>133</v>
      </c>
      <c r="E33" s="25" t="s">
        <v>157</v>
      </c>
      <c r="F33" s="25" t="s">
        <v>148</v>
      </c>
      <c r="G33" s="25" t="s">
        <v>148</v>
      </c>
      <c r="H33" s="23">
        <v>1</v>
      </c>
      <c r="I33" s="25" t="s">
        <v>144</v>
      </c>
      <c r="J33" s="25" t="s">
        <v>676</v>
      </c>
      <c r="K33" s="25"/>
      <c r="L33" s="25"/>
      <c r="M33" s="25"/>
      <c r="N33" s="25"/>
      <c r="O33" s="23"/>
      <c r="Q33" s="27"/>
      <c r="T33" s="21" t="s">
        <v>655</v>
      </c>
      <c r="U33" s="79" t="s">
        <v>1633</v>
      </c>
      <c r="V33" s="21" t="s">
        <v>112</v>
      </c>
      <c r="W33" s="79" t="s">
        <v>1634</v>
      </c>
      <c r="X33" s="84" t="s">
        <v>1335</v>
      </c>
      <c r="Y33" s="180" t="s">
        <v>980</v>
      </c>
      <c r="Z33" s="25" t="s">
        <v>1901</v>
      </c>
      <c r="AA33" s="132" t="str">
        <f t="shared" si="1"/>
        <v>052</v>
      </c>
      <c r="AB33" s="25" t="s">
        <v>1243</v>
      </c>
    </row>
    <row r="34" spans="1:28" ht="11.25">
      <c r="A34" s="25" t="s">
        <v>31</v>
      </c>
      <c r="B34" s="23"/>
      <c r="C34" s="23" t="s">
        <v>1708</v>
      </c>
      <c r="D34" s="26">
        <v>134</v>
      </c>
      <c r="E34" s="25" t="s">
        <v>1734</v>
      </c>
      <c r="F34" s="25" t="s">
        <v>148</v>
      </c>
      <c r="G34" s="25" t="s">
        <v>148</v>
      </c>
      <c r="H34" s="23">
        <v>1</v>
      </c>
      <c r="I34" s="25" t="s">
        <v>144</v>
      </c>
      <c r="J34" s="25" t="s">
        <v>676</v>
      </c>
      <c r="K34" s="25"/>
      <c r="L34" s="25"/>
      <c r="M34" s="25"/>
      <c r="N34" s="25"/>
      <c r="O34" s="23"/>
      <c r="Q34" s="27"/>
      <c r="T34" s="21" t="s">
        <v>656</v>
      </c>
      <c r="U34" s="79" t="s">
        <v>1635</v>
      </c>
      <c r="V34" s="21" t="s">
        <v>113</v>
      </c>
      <c r="W34" s="79" t="s">
        <v>1636</v>
      </c>
      <c r="X34" s="84" t="s">
        <v>1336</v>
      </c>
      <c r="Y34" s="180" t="s">
        <v>2089</v>
      </c>
      <c r="Z34" s="25" t="s">
        <v>1880</v>
      </c>
      <c r="AA34" s="132" t="str">
        <f t="shared" si="1"/>
        <v>053</v>
      </c>
      <c r="AB34" s="25" t="s">
        <v>1045</v>
      </c>
    </row>
    <row r="35" spans="1:28" ht="11.25">
      <c r="A35" s="25" t="s">
        <v>725</v>
      </c>
      <c r="B35" s="23"/>
      <c r="C35" s="23" t="s">
        <v>1708</v>
      </c>
      <c r="D35" s="26">
        <v>135</v>
      </c>
      <c r="E35" s="25" t="s">
        <v>827</v>
      </c>
      <c r="F35" s="25" t="s">
        <v>148</v>
      </c>
      <c r="G35" s="25" t="s">
        <v>148</v>
      </c>
      <c r="H35" s="23">
        <v>1</v>
      </c>
      <c r="I35" s="25" t="s">
        <v>144</v>
      </c>
      <c r="J35" s="25" t="s">
        <v>676</v>
      </c>
      <c r="K35" s="25"/>
      <c r="L35" s="25"/>
      <c r="M35" s="25"/>
      <c r="N35" s="25"/>
      <c r="O35" s="23"/>
      <c r="Q35" s="27"/>
      <c r="T35" s="25"/>
      <c r="U35" s="25"/>
      <c r="V35" s="25"/>
      <c r="W35" s="25"/>
      <c r="X35" s="80"/>
      <c r="Y35" s="180" t="s">
        <v>981</v>
      </c>
      <c r="Z35" s="25" t="s">
        <v>1902</v>
      </c>
      <c r="AA35" s="132" t="str">
        <f t="shared" si="1"/>
        <v>054</v>
      </c>
      <c r="AB35" s="25"/>
    </row>
    <row r="36" spans="1:28" ht="11.25">
      <c r="A36" s="25" t="s">
        <v>2164</v>
      </c>
      <c r="B36" s="23"/>
      <c r="C36" s="23" t="s">
        <v>1369</v>
      </c>
      <c r="D36" s="26">
        <v>136</v>
      </c>
      <c r="E36" s="25" t="s">
        <v>2163</v>
      </c>
      <c r="F36" s="25" t="s">
        <v>148</v>
      </c>
      <c r="G36" s="25" t="s">
        <v>148</v>
      </c>
      <c r="H36" s="23">
        <v>1</v>
      </c>
      <c r="I36" s="25" t="s">
        <v>144</v>
      </c>
      <c r="J36" s="25" t="s">
        <v>676</v>
      </c>
      <c r="K36" s="25"/>
      <c r="L36" s="25"/>
      <c r="M36" s="25"/>
      <c r="N36" s="25"/>
      <c r="O36" s="23"/>
      <c r="Q36" s="27"/>
      <c r="T36" s="21"/>
      <c r="U36" s="21"/>
      <c r="V36" s="21"/>
      <c r="W36" s="21"/>
      <c r="X36" s="80"/>
      <c r="Y36" s="180" t="s">
        <v>982</v>
      </c>
      <c r="Z36" s="25" t="s">
        <v>1903</v>
      </c>
      <c r="AA36" s="132" t="str">
        <f t="shared" si="1"/>
        <v>055</v>
      </c>
      <c r="AB36" s="25" t="s">
        <v>1243</v>
      </c>
    </row>
    <row r="37" spans="1:28" ht="11.25">
      <c r="A37" s="81" t="s">
        <v>276</v>
      </c>
      <c r="B37" s="23"/>
      <c r="C37" s="23" t="s">
        <v>1708</v>
      </c>
      <c r="D37" s="26">
        <v>138</v>
      </c>
      <c r="E37" s="25" t="s">
        <v>1735</v>
      </c>
      <c r="F37" s="25" t="s">
        <v>148</v>
      </c>
      <c r="G37" s="25" t="s">
        <v>148</v>
      </c>
      <c r="H37" s="23">
        <v>1</v>
      </c>
      <c r="I37" s="25" t="s">
        <v>144</v>
      </c>
      <c r="J37" s="25" t="s">
        <v>676</v>
      </c>
      <c r="K37" s="25"/>
      <c r="L37" s="25"/>
      <c r="M37" s="25"/>
      <c r="N37" s="25"/>
      <c r="O37" s="23"/>
      <c r="Q37" s="27"/>
      <c r="Y37" s="180" t="s">
        <v>983</v>
      </c>
      <c r="Z37" s="25" t="s">
        <v>1904</v>
      </c>
      <c r="AA37" s="132" t="str">
        <f t="shared" si="1"/>
        <v>056</v>
      </c>
      <c r="AB37" s="25" t="s">
        <v>1243</v>
      </c>
    </row>
    <row r="38" spans="1:28" ht="11.25">
      <c r="A38" s="25" t="s">
        <v>1736</v>
      </c>
      <c r="B38" s="23"/>
      <c r="C38" s="23" t="s">
        <v>1708</v>
      </c>
      <c r="D38" s="26">
        <v>191</v>
      </c>
      <c r="E38" s="25" t="s">
        <v>1737</v>
      </c>
      <c r="F38" s="25" t="s">
        <v>1730</v>
      </c>
      <c r="G38" s="25" t="s">
        <v>1738</v>
      </c>
      <c r="H38" s="23">
        <v>1</v>
      </c>
      <c r="I38" s="25" t="s">
        <v>1739</v>
      </c>
      <c r="J38" s="25" t="s">
        <v>1274</v>
      </c>
      <c r="K38" s="25"/>
      <c r="L38" s="25"/>
      <c r="M38" s="25"/>
      <c r="N38" s="25"/>
      <c r="O38" s="23"/>
      <c r="Q38" s="27"/>
      <c r="T38" s="21" t="s">
        <v>1637</v>
      </c>
      <c r="U38" s="21" t="s">
        <v>1638</v>
      </c>
      <c r="W38" s="25" t="s">
        <v>1639</v>
      </c>
      <c r="X38" s="23"/>
      <c r="Y38" s="180" t="s">
        <v>984</v>
      </c>
      <c r="Z38" s="25" t="s">
        <v>1905</v>
      </c>
      <c r="AA38" s="133" t="s">
        <v>1640</v>
      </c>
      <c r="AB38" s="25" t="s">
        <v>1276</v>
      </c>
    </row>
    <row r="39" spans="1:28" ht="11.25">
      <c r="A39" s="81" t="s">
        <v>680</v>
      </c>
      <c r="B39" s="23" t="s">
        <v>1708</v>
      </c>
      <c r="C39" s="23" t="s">
        <v>1708</v>
      </c>
      <c r="D39" s="26">
        <v>140</v>
      </c>
      <c r="E39" s="25" t="s">
        <v>1740</v>
      </c>
      <c r="F39" s="25" t="s">
        <v>149</v>
      </c>
      <c r="G39" s="25" t="s">
        <v>150</v>
      </c>
      <c r="H39" s="23">
        <v>2</v>
      </c>
      <c r="I39" s="25" t="s">
        <v>144</v>
      </c>
      <c r="J39" s="25" t="s">
        <v>81</v>
      </c>
      <c r="K39" s="25" t="s">
        <v>129</v>
      </c>
      <c r="L39" s="25" t="s">
        <v>130</v>
      </c>
      <c r="M39" s="25"/>
      <c r="N39" s="25"/>
      <c r="O39" s="23" t="s">
        <v>1708</v>
      </c>
      <c r="Q39" s="27"/>
      <c r="T39" s="21" t="s">
        <v>237</v>
      </c>
      <c r="U39" s="21" t="s">
        <v>1641</v>
      </c>
      <c r="W39" s="25" t="s">
        <v>1642</v>
      </c>
      <c r="X39" s="23">
        <v>1</v>
      </c>
      <c r="Y39" s="180" t="s">
        <v>985</v>
      </c>
      <c r="Z39" s="25" t="s">
        <v>1090</v>
      </c>
      <c r="AA39" s="133" t="s">
        <v>728</v>
      </c>
      <c r="AB39" s="25" t="s">
        <v>1245</v>
      </c>
    </row>
    <row r="40" spans="1:28" ht="11.25">
      <c r="A40" s="25" t="s">
        <v>1741</v>
      </c>
      <c r="B40" s="23"/>
      <c r="C40" s="23" t="s">
        <v>1708</v>
      </c>
      <c r="D40" s="26">
        <v>145</v>
      </c>
      <c r="E40" s="25" t="s">
        <v>1742</v>
      </c>
      <c r="F40" s="25" t="s">
        <v>149</v>
      </c>
      <c r="G40" s="25" t="s">
        <v>150</v>
      </c>
      <c r="H40" s="23">
        <v>3</v>
      </c>
      <c r="I40" s="25" t="s">
        <v>144</v>
      </c>
      <c r="J40" s="25" t="s">
        <v>81</v>
      </c>
      <c r="K40" s="25" t="s">
        <v>129</v>
      </c>
      <c r="L40" s="25" t="s">
        <v>130</v>
      </c>
      <c r="M40" s="25" t="s">
        <v>129</v>
      </c>
      <c r="N40" s="25" t="s">
        <v>131</v>
      </c>
      <c r="O40" s="23"/>
      <c r="Q40" s="27"/>
      <c r="T40" s="21" t="s">
        <v>238</v>
      </c>
      <c r="U40" s="21" t="s">
        <v>924</v>
      </c>
      <c r="W40" s="25" t="s">
        <v>1643</v>
      </c>
      <c r="X40" s="23">
        <v>2</v>
      </c>
      <c r="Y40" s="180" t="s">
        <v>1898</v>
      </c>
      <c r="Z40" s="25" t="s">
        <v>1091</v>
      </c>
      <c r="AA40" s="133" t="s">
        <v>729</v>
      </c>
      <c r="AB40" s="25" t="s">
        <v>1244</v>
      </c>
    </row>
    <row r="41" spans="1:28" ht="11.25">
      <c r="A41" s="81" t="s">
        <v>295</v>
      </c>
      <c r="B41" s="23" t="s">
        <v>1369</v>
      </c>
      <c r="C41" s="23" t="s">
        <v>1369</v>
      </c>
      <c r="D41" s="26">
        <v>150</v>
      </c>
      <c r="E41" s="25" t="s">
        <v>1370</v>
      </c>
      <c r="F41" s="25" t="s">
        <v>149</v>
      </c>
      <c r="G41" s="25" t="s">
        <v>151</v>
      </c>
      <c r="H41" s="23">
        <v>2</v>
      </c>
      <c r="I41" s="25" t="s">
        <v>144</v>
      </c>
      <c r="J41" s="25" t="s">
        <v>81</v>
      </c>
      <c r="K41" s="25" t="s">
        <v>129</v>
      </c>
      <c r="L41" s="25" t="s">
        <v>131</v>
      </c>
      <c r="M41" s="25"/>
      <c r="N41" s="25"/>
      <c r="O41" s="23" t="s">
        <v>1369</v>
      </c>
      <c r="Q41" s="27"/>
      <c r="T41" s="21" t="s">
        <v>239</v>
      </c>
      <c r="U41" s="21" t="s">
        <v>925</v>
      </c>
      <c r="W41" s="25" t="s">
        <v>1644</v>
      </c>
      <c r="X41" s="23">
        <v>3</v>
      </c>
      <c r="Y41" s="180" t="s">
        <v>1899</v>
      </c>
      <c r="Z41" s="25" t="s">
        <v>1092</v>
      </c>
      <c r="AA41" s="133" t="s">
        <v>730</v>
      </c>
      <c r="AB41" s="25" t="s">
        <v>1246</v>
      </c>
    </row>
    <row r="42" spans="1:28" ht="12.75" customHeight="1">
      <c r="A42" s="81" t="s">
        <v>296</v>
      </c>
      <c r="B42" s="23" t="s">
        <v>1743</v>
      </c>
      <c r="C42" s="23" t="s">
        <v>1743</v>
      </c>
      <c r="D42" s="26">
        <v>160</v>
      </c>
      <c r="E42" s="25" t="s">
        <v>1744</v>
      </c>
      <c r="F42" s="25" t="s">
        <v>149</v>
      </c>
      <c r="G42" s="25" t="s">
        <v>152</v>
      </c>
      <c r="H42" s="23">
        <v>2</v>
      </c>
      <c r="I42" s="25" t="s">
        <v>144</v>
      </c>
      <c r="J42" s="25" t="s">
        <v>81</v>
      </c>
      <c r="K42" s="25" t="s">
        <v>129</v>
      </c>
      <c r="L42" s="25" t="s">
        <v>132</v>
      </c>
      <c r="M42" s="25"/>
      <c r="N42" s="25"/>
      <c r="O42" s="23" t="s">
        <v>1743</v>
      </c>
      <c r="Q42" s="27"/>
      <c r="T42" s="21" t="s">
        <v>236</v>
      </c>
      <c r="U42" s="21" t="s">
        <v>926</v>
      </c>
      <c r="W42" s="25" t="s">
        <v>1645</v>
      </c>
      <c r="X42" s="23">
        <v>4</v>
      </c>
      <c r="Y42" s="179" t="s">
        <v>2126</v>
      </c>
      <c r="Z42" s="25" t="s">
        <v>1881</v>
      </c>
      <c r="AA42" s="131" t="str">
        <f aca="true" t="shared" si="2" ref="AA42:AA53">VLOOKUP(LEFT(Y42,2),$W$2:$X$34,2,0)&amp;VLOOKUP(RIGHT(Y42,3),$V$71:$W$82,2,0)</f>
        <v>060</v>
      </c>
      <c r="AB42" s="25" t="s">
        <v>1046</v>
      </c>
    </row>
    <row r="43" spans="1:28" ht="11.25">
      <c r="A43" s="25" t="s">
        <v>580</v>
      </c>
      <c r="B43" s="23"/>
      <c r="C43" s="23" t="s">
        <v>1743</v>
      </c>
      <c r="D43" s="26">
        <v>161</v>
      </c>
      <c r="E43" s="25" t="s">
        <v>1745</v>
      </c>
      <c r="F43" s="25" t="s">
        <v>149</v>
      </c>
      <c r="G43" s="25" t="s">
        <v>152</v>
      </c>
      <c r="H43" s="23">
        <v>3</v>
      </c>
      <c r="I43" s="25" t="s">
        <v>144</v>
      </c>
      <c r="J43" s="25" t="s">
        <v>81</v>
      </c>
      <c r="K43" s="25" t="s">
        <v>129</v>
      </c>
      <c r="L43" s="25" t="s">
        <v>132</v>
      </c>
      <c r="M43" s="25" t="s">
        <v>133</v>
      </c>
      <c r="N43" s="25" t="s">
        <v>134</v>
      </c>
      <c r="O43" s="23"/>
      <c r="Q43" s="27"/>
      <c r="T43" s="21" t="s">
        <v>241</v>
      </c>
      <c r="U43" s="21" t="s">
        <v>1646</v>
      </c>
      <c r="W43" s="25" t="s">
        <v>1647</v>
      </c>
      <c r="X43" s="23">
        <v>5</v>
      </c>
      <c r="Y43" s="179" t="s">
        <v>2154</v>
      </c>
      <c r="Z43" s="25" t="s">
        <v>2155</v>
      </c>
      <c r="AA43" s="131" t="str">
        <f t="shared" si="2"/>
        <v>061</v>
      </c>
      <c r="AB43" s="25" t="s">
        <v>2189</v>
      </c>
    </row>
    <row r="44" spans="1:28" ht="11.25">
      <c r="A44" s="81" t="s">
        <v>297</v>
      </c>
      <c r="B44" s="23" t="s">
        <v>1743</v>
      </c>
      <c r="C44" s="23" t="s">
        <v>1743</v>
      </c>
      <c r="D44" s="26">
        <v>170</v>
      </c>
      <c r="E44" s="25" t="s">
        <v>1746</v>
      </c>
      <c r="F44" s="25" t="s">
        <v>149</v>
      </c>
      <c r="G44" s="25" t="s">
        <v>153</v>
      </c>
      <c r="H44" s="23">
        <v>2</v>
      </c>
      <c r="I44" s="25" t="s">
        <v>144</v>
      </c>
      <c r="J44" s="25" t="s">
        <v>81</v>
      </c>
      <c r="K44" s="25" t="s">
        <v>133</v>
      </c>
      <c r="L44" s="25" t="s">
        <v>134</v>
      </c>
      <c r="M44" s="25"/>
      <c r="N44" s="25"/>
      <c r="O44" s="23" t="s">
        <v>1743</v>
      </c>
      <c r="Q44" s="27"/>
      <c r="T44" s="21" t="s">
        <v>918</v>
      </c>
      <c r="U44" s="21" t="s">
        <v>927</v>
      </c>
      <c r="W44" s="25" t="s">
        <v>1648</v>
      </c>
      <c r="X44" s="23">
        <v>6</v>
      </c>
      <c r="Y44" s="179" t="s">
        <v>379</v>
      </c>
      <c r="Z44" s="25" t="s">
        <v>1882</v>
      </c>
      <c r="AA44" s="131" t="str">
        <f t="shared" si="2"/>
        <v>065</v>
      </c>
      <c r="AB44" s="25" t="s">
        <v>1047</v>
      </c>
    </row>
    <row r="45" spans="1:28" ht="11.25">
      <c r="A45" s="81" t="s">
        <v>678</v>
      </c>
      <c r="B45" s="23" t="s">
        <v>1743</v>
      </c>
      <c r="C45" s="23" t="s">
        <v>1743</v>
      </c>
      <c r="D45" s="26">
        <v>300</v>
      </c>
      <c r="E45" s="25" t="s">
        <v>1747</v>
      </c>
      <c r="F45" s="25" t="s">
        <v>154</v>
      </c>
      <c r="G45" s="25" t="s">
        <v>1104</v>
      </c>
      <c r="H45" s="23">
        <v>1</v>
      </c>
      <c r="I45" s="25" t="s">
        <v>144</v>
      </c>
      <c r="J45" s="25" t="s">
        <v>1991</v>
      </c>
      <c r="K45" s="25"/>
      <c r="L45" s="25"/>
      <c r="M45" s="25"/>
      <c r="N45" s="25"/>
      <c r="O45" s="23" t="s">
        <v>1743</v>
      </c>
      <c r="Q45" s="27"/>
      <c r="T45" s="21" t="s">
        <v>919</v>
      </c>
      <c r="U45" s="21" t="s">
        <v>928</v>
      </c>
      <c r="Y45" s="179" t="s">
        <v>2040</v>
      </c>
      <c r="Z45" s="25" t="s">
        <v>1883</v>
      </c>
      <c r="AA45" s="131" t="str">
        <f t="shared" si="2"/>
        <v>067</v>
      </c>
      <c r="AB45" s="25" t="s">
        <v>1048</v>
      </c>
    </row>
    <row r="46" spans="1:28" ht="11.25">
      <c r="A46" s="25" t="s">
        <v>581</v>
      </c>
      <c r="B46" s="23"/>
      <c r="C46" s="23" t="s">
        <v>1743</v>
      </c>
      <c r="D46" s="26">
        <v>301</v>
      </c>
      <c r="E46" s="25" t="s">
        <v>1748</v>
      </c>
      <c r="F46" s="25" t="s">
        <v>154</v>
      </c>
      <c r="G46" s="25" t="s">
        <v>1104</v>
      </c>
      <c r="H46" s="23">
        <v>1</v>
      </c>
      <c r="I46" s="25" t="s">
        <v>144</v>
      </c>
      <c r="J46" s="25" t="s">
        <v>1991</v>
      </c>
      <c r="K46" s="25"/>
      <c r="L46" s="25"/>
      <c r="M46" s="25"/>
      <c r="N46" s="25"/>
      <c r="O46" s="23"/>
      <c r="Q46" s="27"/>
      <c r="T46" s="21" t="s">
        <v>240</v>
      </c>
      <c r="U46" s="21" t="s">
        <v>929</v>
      </c>
      <c r="W46" s="25" t="s">
        <v>1649</v>
      </c>
      <c r="X46" s="23"/>
      <c r="Y46" s="179" t="s">
        <v>2139</v>
      </c>
      <c r="Z46" s="25" t="s">
        <v>2149</v>
      </c>
      <c r="AA46" s="131" t="str">
        <f t="shared" si="2"/>
        <v>075</v>
      </c>
      <c r="AB46" s="25" t="s">
        <v>2188</v>
      </c>
    </row>
    <row r="47" spans="1:28" ht="11.25">
      <c r="A47" s="25" t="s">
        <v>1527</v>
      </c>
      <c r="B47" s="23"/>
      <c r="C47" s="23" t="s">
        <v>1749</v>
      </c>
      <c r="D47" s="26">
        <v>302</v>
      </c>
      <c r="E47" s="25" t="s">
        <v>1750</v>
      </c>
      <c r="F47" s="25" t="s">
        <v>154</v>
      </c>
      <c r="G47" s="25" t="s">
        <v>1104</v>
      </c>
      <c r="H47" s="23">
        <v>1</v>
      </c>
      <c r="I47" s="25" t="s">
        <v>144</v>
      </c>
      <c r="J47" s="25" t="s">
        <v>1991</v>
      </c>
      <c r="K47" s="25"/>
      <c r="L47" s="25"/>
      <c r="M47" s="25"/>
      <c r="N47" s="25"/>
      <c r="O47" s="23"/>
      <c r="Q47" s="27"/>
      <c r="T47" s="21" t="s">
        <v>921</v>
      </c>
      <c r="U47" s="21" t="s">
        <v>930</v>
      </c>
      <c r="W47" s="23">
        <v>6</v>
      </c>
      <c r="X47" s="23">
        <v>1</v>
      </c>
      <c r="Y47" s="179" t="s">
        <v>1413</v>
      </c>
      <c r="Z47" s="25" t="s">
        <v>1884</v>
      </c>
      <c r="AA47" s="131" t="str">
        <f t="shared" si="2"/>
        <v>077</v>
      </c>
      <c r="AB47" s="25" t="s">
        <v>1049</v>
      </c>
    </row>
    <row r="48" spans="1:28" ht="11.25">
      <c r="A48" s="25" t="s">
        <v>168</v>
      </c>
      <c r="B48" s="23"/>
      <c r="C48" s="23" t="s">
        <v>1749</v>
      </c>
      <c r="D48" s="26">
        <v>303</v>
      </c>
      <c r="E48" s="25" t="s">
        <v>1751</v>
      </c>
      <c r="F48" s="25" t="s">
        <v>154</v>
      </c>
      <c r="G48" s="25" t="s">
        <v>1104</v>
      </c>
      <c r="H48" s="23">
        <v>1</v>
      </c>
      <c r="I48" s="25" t="s">
        <v>144</v>
      </c>
      <c r="J48" s="25" t="s">
        <v>1991</v>
      </c>
      <c r="K48" s="25"/>
      <c r="L48" s="25"/>
      <c r="M48" s="25"/>
      <c r="N48" s="25"/>
      <c r="O48" s="23"/>
      <c r="Q48" s="27"/>
      <c r="T48" s="21" t="s">
        <v>922</v>
      </c>
      <c r="U48" s="21" t="s">
        <v>931</v>
      </c>
      <c r="W48" s="23">
        <v>5</v>
      </c>
      <c r="X48" s="23">
        <v>2</v>
      </c>
      <c r="Y48" s="179" t="s">
        <v>1993</v>
      </c>
      <c r="Z48" s="25" t="s">
        <v>1885</v>
      </c>
      <c r="AA48" s="131" t="str">
        <f t="shared" si="2"/>
        <v>081</v>
      </c>
      <c r="AB48" s="25" t="s">
        <v>1050</v>
      </c>
    </row>
    <row r="49" spans="1:28" ht="11.25">
      <c r="A49" s="25" t="s">
        <v>724</v>
      </c>
      <c r="B49" s="23"/>
      <c r="C49" s="23" t="s">
        <v>1749</v>
      </c>
      <c r="D49" s="26">
        <v>304</v>
      </c>
      <c r="E49" s="25" t="s">
        <v>828</v>
      </c>
      <c r="F49" s="25" t="s">
        <v>154</v>
      </c>
      <c r="G49" s="25" t="s">
        <v>1104</v>
      </c>
      <c r="H49" s="23">
        <v>1</v>
      </c>
      <c r="I49" s="25" t="s">
        <v>144</v>
      </c>
      <c r="J49" s="25" t="s">
        <v>1991</v>
      </c>
      <c r="K49" s="25"/>
      <c r="L49" s="25"/>
      <c r="M49" s="25"/>
      <c r="N49" s="25"/>
      <c r="O49" s="23"/>
      <c r="Q49" s="27"/>
      <c r="T49" s="21" t="s">
        <v>923</v>
      </c>
      <c r="U49" s="21" t="s">
        <v>932</v>
      </c>
      <c r="W49" s="23">
        <v>4</v>
      </c>
      <c r="X49" s="23">
        <v>3</v>
      </c>
      <c r="Y49" s="179" t="s">
        <v>74</v>
      </c>
      <c r="Z49" s="25" t="s">
        <v>1886</v>
      </c>
      <c r="AA49" s="131" t="str">
        <f t="shared" si="2"/>
        <v>085</v>
      </c>
      <c r="AB49" s="25" t="s">
        <v>1050</v>
      </c>
    </row>
    <row r="50" spans="1:28" ht="11.25">
      <c r="A50" s="25" t="s">
        <v>2174</v>
      </c>
      <c r="B50" s="23"/>
      <c r="C50" s="23" t="s">
        <v>1369</v>
      </c>
      <c r="D50" s="26">
        <v>305</v>
      </c>
      <c r="E50" s="25" t="s">
        <v>2173</v>
      </c>
      <c r="F50" s="25" t="s">
        <v>154</v>
      </c>
      <c r="G50" s="25" t="s">
        <v>1104</v>
      </c>
      <c r="H50" s="23">
        <v>1</v>
      </c>
      <c r="I50" s="25" t="s">
        <v>144</v>
      </c>
      <c r="J50" s="25" t="s">
        <v>1991</v>
      </c>
      <c r="K50" s="25"/>
      <c r="L50" s="25"/>
      <c r="M50" s="25"/>
      <c r="N50" s="25"/>
      <c r="O50" s="23"/>
      <c r="Q50" s="27"/>
      <c r="T50" s="21" t="s">
        <v>920</v>
      </c>
      <c r="U50" s="21" t="s">
        <v>1650</v>
      </c>
      <c r="W50" s="23">
        <v>3</v>
      </c>
      <c r="X50" s="23">
        <v>4</v>
      </c>
      <c r="Y50" s="179" t="s">
        <v>2079</v>
      </c>
      <c r="Z50" s="25" t="s">
        <v>1887</v>
      </c>
      <c r="AA50" s="131" t="str">
        <f t="shared" si="2"/>
        <v>087</v>
      </c>
      <c r="AB50" s="25" t="s">
        <v>1051</v>
      </c>
    </row>
    <row r="51" spans="1:28" ht="11.25">
      <c r="A51" s="25" t="s">
        <v>1535</v>
      </c>
      <c r="B51" s="23" t="s">
        <v>1749</v>
      </c>
      <c r="C51" s="23"/>
      <c r="D51" s="26">
        <v>380</v>
      </c>
      <c r="E51" s="25" t="s">
        <v>1752</v>
      </c>
      <c r="F51" s="25" t="s">
        <v>154</v>
      </c>
      <c r="G51" s="25" t="s">
        <v>1753</v>
      </c>
      <c r="H51" s="23">
        <v>1</v>
      </c>
      <c r="I51" s="25" t="s">
        <v>144</v>
      </c>
      <c r="J51" s="25" t="s">
        <v>1991</v>
      </c>
      <c r="K51" s="25"/>
      <c r="L51" s="25"/>
      <c r="M51" s="25"/>
      <c r="N51" s="25"/>
      <c r="O51" s="23"/>
      <c r="Q51" s="27"/>
      <c r="T51" s="21" t="s">
        <v>933</v>
      </c>
      <c r="U51" s="21" t="s">
        <v>1651</v>
      </c>
      <c r="Y51" s="179" t="s">
        <v>277</v>
      </c>
      <c r="Z51" s="25" t="s">
        <v>1888</v>
      </c>
      <c r="AA51" s="131" t="str">
        <f t="shared" si="2"/>
        <v>090</v>
      </c>
      <c r="AB51" s="25" t="s">
        <v>278</v>
      </c>
    </row>
    <row r="52" spans="1:28" ht="11.25">
      <c r="A52" s="25" t="s">
        <v>2281</v>
      </c>
      <c r="B52" s="23"/>
      <c r="C52" s="23" t="s">
        <v>1369</v>
      </c>
      <c r="D52" s="26">
        <v>381</v>
      </c>
      <c r="E52" s="25" t="s">
        <v>2270</v>
      </c>
      <c r="F52" s="25" t="s">
        <v>154</v>
      </c>
      <c r="G52" s="25" t="s">
        <v>2271</v>
      </c>
      <c r="H52" s="23">
        <v>1</v>
      </c>
      <c r="I52" s="25" t="s">
        <v>144</v>
      </c>
      <c r="J52" s="25" t="s">
        <v>1991</v>
      </c>
      <c r="K52" s="25"/>
      <c r="L52" s="25"/>
      <c r="M52" s="25"/>
      <c r="N52" s="25"/>
      <c r="O52" s="23"/>
      <c r="Q52" s="27"/>
      <c r="T52" s="21" t="s">
        <v>37</v>
      </c>
      <c r="U52" s="21" t="s">
        <v>38</v>
      </c>
      <c r="W52" s="25" t="s">
        <v>1652</v>
      </c>
      <c r="X52" s="23"/>
      <c r="Y52" s="179" t="s">
        <v>1591</v>
      </c>
      <c r="Z52" s="25" t="s">
        <v>1889</v>
      </c>
      <c r="AA52" s="131" t="str">
        <f t="shared" si="2"/>
        <v>095</v>
      </c>
      <c r="AB52" s="25" t="s">
        <v>937</v>
      </c>
    </row>
    <row r="53" spans="1:28" ht="11.25">
      <c r="A53" s="81" t="s">
        <v>529</v>
      </c>
      <c r="B53" s="23"/>
      <c r="C53" s="23" t="s">
        <v>1749</v>
      </c>
      <c r="D53" s="26">
        <v>309</v>
      </c>
      <c r="E53" s="25" t="s">
        <v>1754</v>
      </c>
      <c r="F53" s="25" t="s">
        <v>154</v>
      </c>
      <c r="G53" s="25" t="s">
        <v>1754</v>
      </c>
      <c r="H53" s="23">
        <v>1</v>
      </c>
      <c r="I53" s="25" t="s">
        <v>144</v>
      </c>
      <c r="J53" s="25" t="s">
        <v>128</v>
      </c>
      <c r="K53" s="25"/>
      <c r="L53" s="25"/>
      <c r="M53" s="25"/>
      <c r="N53" s="25"/>
      <c r="O53" s="23" t="s">
        <v>1755</v>
      </c>
      <c r="Q53" s="27"/>
      <c r="T53" s="21" t="s">
        <v>39</v>
      </c>
      <c r="U53" s="21" t="s">
        <v>40</v>
      </c>
      <c r="W53" s="23" t="s">
        <v>1151</v>
      </c>
      <c r="X53" s="23">
        <v>1</v>
      </c>
      <c r="Y53" s="179" t="s">
        <v>938</v>
      </c>
      <c r="Z53" s="25" t="s">
        <v>1890</v>
      </c>
      <c r="AA53" s="131" t="str">
        <f t="shared" si="2"/>
        <v>097</v>
      </c>
      <c r="AB53" s="25" t="s">
        <v>1588</v>
      </c>
    </row>
    <row r="54" spans="1:28" ht="11.25">
      <c r="A54" s="81" t="s">
        <v>1180</v>
      </c>
      <c r="B54" s="23"/>
      <c r="C54" s="23" t="s">
        <v>1749</v>
      </c>
      <c r="D54" s="26">
        <v>310</v>
      </c>
      <c r="E54" s="25" t="s">
        <v>1756</v>
      </c>
      <c r="F54" s="25" t="s">
        <v>154</v>
      </c>
      <c r="G54" s="25" t="s">
        <v>1105</v>
      </c>
      <c r="H54" s="23">
        <v>1</v>
      </c>
      <c r="I54" s="25" t="s">
        <v>144</v>
      </c>
      <c r="J54" s="25" t="s">
        <v>673</v>
      </c>
      <c r="K54" s="25"/>
      <c r="L54" s="25"/>
      <c r="M54" s="25"/>
      <c r="N54" s="25"/>
      <c r="O54" s="23" t="s">
        <v>1749</v>
      </c>
      <c r="Q54" s="27"/>
      <c r="T54" s="21" t="s">
        <v>41</v>
      </c>
      <c r="U54" s="21" t="s">
        <v>42</v>
      </c>
      <c r="W54" s="23" t="s">
        <v>1152</v>
      </c>
      <c r="X54" s="23">
        <v>2</v>
      </c>
      <c r="Y54" s="179" t="s">
        <v>2150</v>
      </c>
      <c r="Z54" s="81" t="s">
        <v>2151</v>
      </c>
      <c r="AA54" s="132">
        <v>100</v>
      </c>
      <c r="AB54" s="25" t="s">
        <v>2156</v>
      </c>
    </row>
    <row r="55" spans="1:28" ht="11.25">
      <c r="A55" s="25" t="s">
        <v>2273</v>
      </c>
      <c r="B55" s="23"/>
      <c r="C55" s="23" t="s">
        <v>1369</v>
      </c>
      <c r="D55" s="26">
        <v>311</v>
      </c>
      <c r="E55" s="25" t="s">
        <v>2274</v>
      </c>
      <c r="F55" s="25" t="s">
        <v>154</v>
      </c>
      <c r="G55" s="25" t="s">
        <v>1105</v>
      </c>
      <c r="H55" s="23">
        <v>1</v>
      </c>
      <c r="I55" s="25" t="s">
        <v>144</v>
      </c>
      <c r="J55" s="25" t="s">
        <v>673</v>
      </c>
      <c r="K55" s="25"/>
      <c r="L55" s="25"/>
      <c r="M55" s="25"/>
      <c r="N55" s="25"/>
      <c r="O55" s="23"/>
      <c r="Q55" s="27"/>
      <c r="W55" s="23" t="s">
        <v>480</v>
      </c>
      <c r="X55" s="23">
        <v>3</v>
      </c>
      <c r="Y55" s="179" t="s">
        <v>2152</v>
      </c>
      <c r="Z55" s="25" t="s">
        <v>2153</v>
      </c>
      <c r="AA55" s="131" t="str">
        <f>VLOOKUP(LEFT(Y55,2),$W$2:$X$34,2,0)&amp;VLOOKUP(RIGHT(Y55,3),$V$71:$W$82,2,0)</f>
        <v>110</v>
      </c>
      <c r="AB55" s="25" t="s">
        <v>2190</v>
      </c>
    </row>
    <row r="56" spans="1:28" ht="11.25">
      <c r="A56" s="81" t="s">
        <v>2166</v>
      </c>
      <c r="B56" s="23" t="s">
        <v>1369</v>
      </c>
      <c r="C56" s="23" t="s">
        <v>1369</v>
      </c>
      <c r="D56" s="26">
        <v>340</v>
      </c>
      <c r="E56" s="25" t="s">
        <v>2167</v>
      </c>
      <c r="F56" s="25" t="s">
        <v>1106</v>
      </c>
      <c r="G56" s="25" t="s">
        <v>2167</v>
      </c>
      <c r="H56" s="23">
        <v>2</v>
      </c>
      <c r="I56" s="25" t="s">
        <v>144</v>
      </c>
      <c r="J56" s="25" t="s">
        <v>81</v>
      </c>
      <c r="K56" s="25" t="s">
        <v>129</v>
      </c>
      <c r="L56" s="25" t="s">
        <v>2168</v>
      </c>
      <c r="M56" s="25"/>
      <c r="N56" s="25"/>
      <c r="O56" s="23" t="s">
        <v>1369</v>
      </c>
      <c r="Q56" s="27"/>
      <c r="W56" s="23" t="s">
        <v>1153</v>
      </c>
      <c r="X56" s="23">
        <v>4</v>
      </c>
      <c r="Y56" s="179" t="s">
        <v>1390</v>
      </c>
      <c r="Z56" s="25" t="s">
        <v>1891</v>
      </c>
      <c r="AA56" s="131" t="str">
        <f>VLOOKUP(LEFT(Y56,2),$W$2:$X$34,2,0)&amp;VLOOKUP(RIGHT(Y56,3),$V$71:$W$82,2,0)</f>
        <v>132</v>
      </c>
      <c r="AB56" s="25" t="s">
        <v>1052</v>
      </c>
    </row>
    <row r="57" spans="1:28" ht="11.25">
      <c r="A57" s="81" t="s">
        <v>1179</v>
      </c>
      <c r="B57" s="23" t="s">
        <v>1749</v>
      </c>
      <c r="C57" s="23" t="s">
        <v>1749</v>
      </c>
      <c r="D57" s="26">
        <v>350</v>
      </c>
      <c r="E57" s="25" t="s">
        <v>1757</v>
      </c>
      <c r="F57" s="25" t="s">
        <v>1106</v>
      </c>
      <c r="G57" s="25" t="s">
        <v>1107</v>
      </c>
      <c r="H57" s="23">
        <v>2</v>
      </c>
      <c r="I57" s="25" t="s">
        <v>144</v>
      </c>
      <c r="J57" s="25" t="s">
        <v>81</v>
      </c>
      <c r="K57" s="25" t="s">
        <v>129</v>
      </c>
      <c r="L57" s="25" t="s">
        <v>1758</v>
      </c>
      <c r="M57" s="25"/>
      <c r="N57" s="25"/>
      <c r="O57" s="23" t="s">
        <v>1749</v>
      </c>
      <c r="Q57" s="77"/>
      <c r="W57" s="30"/>
      <c r="Y57" s="179" t="s">
        <v>1103</v>
      </c>
      <c r="Z57" s="25" t="s">
        <v>1892</v>
      </c>
      <c r="AA57" s="131">
        <f aca="true" t="shared" si="3" ref="AA57:AA98">VLOOKUP(LEFT(Y57,2),$W$2:$X$34,2,0)*10+VLOOKUP(RIGHT(Y57,3),$V$71:$W$82,2,0)</f>
        <v>133</v>
      </c>
      <c r="AB57" s="25" t="s">
        <v>29</v>
      </c>
    </row>
    <row r="58" spans="1:28" ht="11.25">
      <c r="A58" s="81" t="s">
        <v>683</v>
      </c>
      <c r="B58" s="23" t="s">
        <v>1749</v>
      </c>
      <c r="C58" s="23" t="s">
        <v>1749</v>
      </c>
      <c r="D58" s="26">
        <v>360</v>
      </c>
      <c r="E58" s="25" t="s">
        <v>1759</v>
      </c>
      <c r="F58" s="25" t="s">
        <v>1106</v>
      </c>
      <c r="G58" s="25" t="s">
        <v>1108</v>
      </c>
      <c r="H58" s="23">
        <v>2</v>
      </c>
      <c r="I58" s="25" t="s">
        <v>144</v>
      </c>
      <c r="J58" s="25" t="s">
        <v>81</v>
      </c>
      <c r="K58" s="25" t="s">
        <v>129</v>
      </c>
      <c r="L58" s="25" t="s">
        <v>132</v>
      </c>
      <c r="M58" s="25"/>
      <c r="N58" s="25"/>
      <c r="O58" s="23" t="s">
        <v>1749</v>
      </c>
      <c r="Q58" s="27"/>
      <c r="W58" s="176" t="s">
        <v>468</v>
      </c>
      <c r="X58" s="135"/>
      <c r="Y58" s="179" t="s">
        <v>520</v>
      </c>
      <c r="Z58" s="25" t="s">
        <v>1653</v>
      </c>
      <c r="AA58" s="131">
        <f t="shared" si="3"/>
        <v>136</v>
      </c>
      <c r="AB58" s="25" t="s">
        <v>527</v>
      </c>
    </row>
    <row r="59" spans="1:28" ht="11.25">
      <c r="A59" s="81" t="s">
        <v>682</v>
      </c>
      <c r="B59" s="23" t="s">
        <v>1749</v>
      </c>
      <c r="C59" s="23" t="s">
        <v>1749</v>
      </c>
      <c r="D59" s="26">
        <v>370</v>
      </c>
      <c r="E59" s="25" t="s">
        <v>1760</v>
      </c>
      <c r="F59" s="25" t="s">
        <v>1106</v>
      </c>
      <c r="G59" s="25" t="s">
        <v>1109</v>
      </c>
      <c r="H59" s="23">
        <v>2</v>
      </c>
      <c r="I59" s="25" t="s">
        <v>144</v>
      </c>
      <c r="J59" s="25" t="s">
        <v>81</v>
      </c>
      <c r="K59" s="25" t="s">
        <v>133</v>
      </c>
      <c r="L59" s="25" t="s">
        <v>134</v>
      </c>
      <c r="M59" s="25"/>
      <c r="N59" s="25"/>
      <c r="O59" s="23" t="s">
        <v>1749</v>
      </c>
      <c r="Q59" s="27"/>
      <c r="W59" s="23" t="s">
        <v>1655</v>
      </c>
      <c r="X59" s="23">
        <v>4</v>
      </c>
      <c r="Y59" s="179" t="s">
        <v>521</v>
      </c>
      <c r="Z59" s="25" t="s">
        <v>1654</v>
      </c>
      <c r="AA59" s="131">
        <f t="shared" si="3"/>
        <v>137</v>
      </c>
      <c r="AB59" s="25" t="s">
        <v>527</v>
      </c>
    </row>
    <row r="60" spans="1:28" ht="11.25">
      <c r="A60" s="81" t="s">
        <v>299</v>
      </c>
      <c r="B60" s="23" t="s">
        <v>1749</v>
      </c>
      <c r="C60" s="23" t="s">
        <v>1749</v>
      </c>
      <c r="D60" s="26">
        <v>400</v>
      </c>
      <c r="E60" s="25" t="s">
        <v>1761</v>
      </c>
      <c r="F60" s="25" t="s">
        <v>622</v>
      </c>
      <c r="G60" s="25" t="s">
        <v>1110</v>
      </c>
      <c r="H60" s="23">
        <v>1</v>
      </c>
      <c r="I60" s="25" t="s">
        <v>144</v>
      </c>
      <c r="J60" s="25" t="s">
        <v>479</v>
      </c>
      <c r="K60" s="25"/>
      <c r="L60" s="25"/>
      <c r="M60" s="25"/>
      <c r="N60" s="25"/>
      <c r="O60" s="23" t="s">
        <v>1749</v>
      </c>
      <c r="Q60" s="27"/>
      <c r="W60" s="23" t="s">
        <v>1656</v>
      </c>
      <c r="X60" s="23">
        <v>4</v>
      </c>
      <c r="Y60" s="179" t="s">
        <v>1198</v>
      </c>
      <c r="Z60" s="25" t="s">
        <v>1893</v>
      </c>
      <c r="AA60" s="131">
        <f t="shared" si="3"/>
        <v>145</v>
      </c>
      <c r="AB60" s="25" t="s">
        <v>1053</v>
      </c>
    </row>
    <row r="61" spans="1:28" ht="11.25">
      <c r="A61" s="25" t="s">
        <v>1012</v>
      </c>
      <c r="B61" s="23"/>
      <c r="C61" s="23" t="s">
        <v>1749</v>
      </c>
      <c r="D61" s="26">
        <v>401</v>
      </c>
      <c r="E61" s="25" t="s">
        <v>1762</v>
      </c>
      <c r="F61" s="25" t="s">
        <v>622</v>
      </c>
      <c r="G61" s="25" t="s">
        <v>1110</v>
      </c>
      <c r="H61" s="23">
        <v>1</v>
      </c>
      <c r="I61" s="25" t="s">
        <v>144</v>
      </c>
      <c r="J61" s="25" t="s">
        <v>479</v>
      </c>
      <c r="K61" s="25"/>
      <c r="L61" s="25"/>
      <c r="M61" s="25"/>
      <c r="N61" s="25"/>
      <c r="O61" s="23"/>
      <c r="Q61" s="27"/>
      <c r="W61" s="23" t="s">
        <v>1657</v>
      </c>
      <c r="X61" s="23">
        <v>5</v>
      </c>
      <c r="Y61" s="179" t="s">
        <v>645</v>
      </c>
      <c r="Z61" s="25" t="s">
        <v>1894</v>
      </c>
      <c r="AA61" s="131">
        <f t="shared" si="3"/>
        <v>146</v>
      </c>
      <c r="AB61" s="25" t="s">
        <v>1054</v>
      </c>
    </row>
    <row r="62" spans="1:28" ht="11.25">
      <c r="A62" s="25" t="s">
        <v>155</v>
      </c>
      <c r="B62" s="23"/>
      <c r="C62" s="23" t="s">
        <v>1749</v>
      </c>
      <c r="D62" s="26">
        <v>402</v>
      </c>
      <c r="E62" s="25" t="s">
        <v>830</v>
      </c>
      <c r="F62" s="25" t="s">
        <v>622</v>
      </c>
      <c r="G62" s="25" t="s">
        <v>1110</v>
      </c>
      <c r="H62" s="23">
        <v>1</v>
      </c>
      <c r="I62" s="25" t="s">
        <v>144</v>
      </c>
      <c r="J62" s="25" t="s">
        <v>479</v>
      </c>
      <c r="K62" s="25"/>
      <c r="L62" s="25"/>
      <c r="M62" s="25"/>
      <c r="N62" s="25"/>
      <c r="O62" s="23"/>
      <c r="Q62" s="27"/>
      <c r="W62" s="23" t="s">
        <v>1658</v>
      </c>
      <c r="X62" s="23">
        <v>6</v>
      </c>
      <c r="Y62" s="179" t="s">
        <v>1199</v>
      </c>
      <c r="Z62" s="25" t="s">
        <v>1895</v>
      </c>
      <c r="AA62" s="131">
        <f t="shared" si="3"/>
        <v>147</v>
      </c>
      <c r="AB62" s="25" t="s">
        <v>1054</v>
      </c>
    </row>
    <row r="63" spans="1:28" ht="11.25">
      <c r="A63" s="25" t="s">
        <v>829</v>
      </c>
      <c r="B63" s="23"/>
      <c r="C63" s="23" t="s">
        <v>1749</v>
      </c>
      <c r="D63" s="26">
        <v>403</v>
      </c>
      <c r="E63" s="25" t="s">
        <v>831</v>
      </c>
      <c r="F63" s="25" t="s">
        <v>622</v>
      </c>
      <c r="G63" s="25" t="s">
        <v>1110</v>
      </c>
      <c r="H63" s="23">
        <v>1</v>
      </c>
      <c r="I63" s="25" t="s">
        <v>144</v>
      </c>
      <c r="J63" s="25" t="s">
        <v>479</v>
      </c>
      <c r="K63" s="25"/>
      <c r="L63" s="25"/>
      <c r="M63" s="25"/>
      <c r="N63" s="25"/>
      <c r="O63" s="23"/>
      <c r="Q63" s="27"/>
      <c r="Y63" s="179" t="s">
        <v>1136</v>
      </c>
      <c r="Z63" s="25" t="s">
        <v>1896</v>
      </c>
      <c r="AA63" s="131">
        <f t="shared" si="3"/>
        <v>152</v>
      </c>
      <c r="AB63" s="25" t="s">
        <v>1055</v>
      </c>
    </row>
    <row r="64" spans="1:28" ht="11.25">
      <c r="A64" s="81" t="s">
        <v>156</v>
      </c>
      <c r="B64" s="23" t="s">
        <v>2280</v>
      </c>
      <c r="C64" s="23" t="s">
        <v>1749</v>
      </c>
      <c r="D64" s="26">
        <v>410</v>
      </c>
      <c r="E64" s="25" t="s">
        <v>1763</v>
      </c>
      <c r="F64" s="25" t="s">
        <v>622</v>
      </c>
      <c r="G64" s="25" t="s">
        <v>1110</v>
      </c>
      <c r="H64" s="23">
        <v>1</v>
      </c>
      <c r="I64" s="25" t="s">
        <v>144</v>
      </c>
      <c r="J64" s="25" t="s">
        <v>479</v>
      </c>
      <c r="K64" s="25"/>
      <c r="L64" s="25"/>
      <c r="M64" s="25"/>
      <c r="N64" s="25"/>
      <c r="O64" s="23" t="s">
        <v>1749</v>
      </c>
      <c r="Q64" s="27"/>
      <c r="Y64" s="179" t="s">
        <v>1138</v>
      </c>
      <c r="Z64" s="25" t="s">
        <v>749</v>
      </c>
      <c r="AA64" s="131">
        <f t="shared" si="3"/>
        <v>153</v>
      </c>
      <c r="AB64" s="25" t="s">
        <v>1218</v>
      </c>
    </row>
    <row r="65" spans="1:28" ht="11.25">
      <c r="A65" s="81" t="s">
        <v>76</v>
      </c>
      <c r="B65" s="23"/>
      <c r="C65" s="23" t="s">
        <v>1749</v>
      </c>
      <c r="D65" s="26">
        <v>450</v>
      </c>
      <c r="E65" s="25" t="s">
        <v>1764</v>
      </c>
      <c r="F65" s="25" t="s">
        <v>623</v>
      </c>
      <c r="G65" s="25" t="s">
        <v>1111</v>
      </c>
      <c r="H65" s="23">
        <v>1</v>
      </c>
      <c r="I65" s="25" t="s">
        <v>144</v>
      </c>
      <c r="J65" s="25" t="s">
        <v>135</v>
      </c>
      <c r="K65" s="25"/>
      <c r="L65" s="25"/>
      <c r="M65" s="25"/>
      <c r="N65" s="25"/>
      <c r="O65" s="23" t="s">
        <v>1749</v>
      </c>
      <c r="Q65" s="27"/>
      <c r="Y65" s="179" t="s">
        <v>1137</v>
      </c>
      <c r="Z65" s="25" t="s">
        <v>750</v>
      </c>
      <c r="AA65" s="131">
        <f t="shared" si="3"/>
        <v>156</v>
      </c>
      <c r="AB65" s="25" t="s">
        <v>1218</v>
      </c>
    </row>
    <row r="66" spans="1:28" ht="11.25">
      <c r="A66" s="25" t="s">
        <v>2282</v>
      </c>
      <c r="B66" s="23"/>
      <c r="C66" s="23" t="s">
        <v>1369</v>
      </c>
      <c r="D66" s="26">
        <v>451</v>
      </c>
      <c r="E66" s="25" t="s">
        <v>2272</v>
      </c>
      <c r="F66" s="25" t="s">
        <v>623</v>
      </c>
      <c r="G66" s="25" t="s">
        <v>1111</v>
      </c>
      <c r="H66" s="23">
        <v>1</v>
      </c>
      <c r="I66" s="25" t="s">
        <v>144</v>
      </c>
      <c r="J66" s="25" t="s">
        <v>135</v>
      </c>
      <c r="K66" s="25"/>
      <c r="L66" s="25"/>
      <c r="M66" s="25"/>
      <c r="N66" s="25"/>
      <c r="O66" s="23"/>
      <c r="Q66" s="27"/>
      <c r="Y66" s="179" t="s">
        <v>235</v>
      </c>
      <c r="Z66" s="25" t="s">
        <v>751</v>
      </c>
      <c r="AA66" s="131">
        <f t="shared" si="3"/>
        <v>157</v>
      </c>
      <c r="AB66" s="25" t="s">
        <v>1218</v>
      </c>
    </row>
    <row r="67" spans="1:28" ht="11.25">
      <c r="A67" s="25" t="s">
        <v>1377</v>
      </c>
      <c r="B67" s="23" t="s">
        <v>1708</v>
      </c>
      <c r="C67" s="25"/>
      <c r="D67" s="26">
        <v>541</v>
      </c>
      <c r="E67" s="25" t="s">
        <v>1765</v>
      </c>
      <c r="F67" s="25"/>
      <c r="G67" s="25"/>
      <c r="H67" s="23"/>
      <c r="I67" s="25"/>
      <c r="J67" s="25"/>
      <c r="K67" s="25"/>
      <c r="L67" s="25"/>
      <c r="M67" s="25"/>
      <c r="N67" s="25"/>
      <c r="O67" s="23"/>
      <c r="Q67" s="27"/>
      <c r="Y67" s="179" t="s">
        <v>1305</v>
      </c>
      <c r="Z67" s="25" t="s">
        <v>1659</v>
      </c>
      <c r="AA67" s="131">
        <f t="shared" si="3"/>
        <v>161</v>
      </c>
      <c r="AB67" s="25" t="s">
        <v>1306</v>
      </c>
    </row>
    <row r="68" spans="1:28" ht="11.25">
      <c r="A68" s="25" t="s">
        <v>1378</v>
      </c>
      <c r="B68" s="23" t="s">
        <v>1749</v>
      </c>
      <c r="C68" s="25"/>
      <c r="D68" s="26">
        <v>551</v>
      </c>
      <c r="E68" s="25" t="s">
        <v>1766</v>
      </c>
      <c r="F68" s="25"/>
      <c r="G68" s="25"/>
      <c r="H68" s="23"/>
      <c r="I68" s="25"/>
      <c r="J68" s="25"/>
      <c r="K68" s="25"/>
      <c r="L68" s="25"/>
      <c r="M68" s="25"/>
      <c r="N68" s="25"/>
      <c r="O68" s="23"/>
      <c r="Q68" s="27"/>
      <c r="Y68" s="179" t="s">
        <v>403</v>
      </c>
      <c r="Z68" s="25" t="s">
        <v>2071</v>
      </c>
      <c r="AA68" s="131">
        <f t="shared" si="3"/>
        <v>162</v>
      </c>
      <c r="AB68" s="25" t="s">
        <v>945</v>
      </c>
    </row>
    <row r="69" spans="1:28" ht="11.25">
      <c r="A69" s="25" t="s">
        <v>1379</v>
      </c>
      <c r="B69" s="23" t="s">
        <v>1749</v>
      </c>
      <c r="C69" s="25"/>
      <c r="D69" s="26">
        <v>561</v>
      </c>
      <c r="E69" s="25" t="s">
        <v>1767</v>
      </c>
      <c r="F69" s="25"/>
      <c r="G69" s="25"/>
      <c r="H69" s="23"/>
      <c r="I69" s="25"/>
      <c r="J69" s="25"/>
      <c r="K69" s="25"/>
      <c r="L69" s="25"/>
      <c r="M69" s="25"/>
      <c r="N69" s="25"/>
      <c r="O69" s="23"/>
      <c r="Q69" s="27"/>
      <c r="Y69" s="179" t="s">
        <v>404</v>
      </c>
      <c r="Z69" s="25" t="s">
        <v>2072</v>
      </c>
      <c r="AA69" s="131">
        <f t="shared" si="3"/>
        <v>163</v>
      </c>
      <c r="AB69" s="25" t="s">
        <v>1221</v>
      </c>
    </row>
    <row r="70" spans="1:28" ht="11.25">
      <c r="A70" s="25" t="s">
        <v>1380</v>
      </c>
      <c r="B70" s="23" t="s">
        <v>1749</v>
      </c>
      <c r="C70" s="23"/>
      <c r="D70" s="26">
        <v>571</v>
      </c>
      <c r="E70" s="25" t="s">
        <v>1768</v>
      </c>
      <c r="F70" s="25"/>
      <c r="G70" s="25"/>
      <c r="H70" s="23"/>
      <c r="I70" s="25"/>
      <c r="J70" s="25"/>
      <c r="K70" s="25"/>
      <c r="L70" s="25"/>
      <c r="M70" s="25"/>
      <c r="N70" s="25"/>
      <c r="O70" s="23"/>
      <c r="Q70" s="27"/>
      <c r="V70" s="26" t="s">
        <v>803</v>
      </c>
      <c r="W70" s="23"/>
      <c r="Y70" s="181" t="s">
        <v>2068</v>
      </c>
      <c r="Z70" s="25" t="s">
        <v>2073</v>
      </c>
      <c r="AA70" s="131">
        <f t="shared" si="3"/>
        <v>165</v>
      </c>
      <c r="AB70" s="25" t="s">
        <v>945</v>
      </c>
    </row>
    <row r="71" spans="1:28" ht="11.25">
      <c r="A71" s="25" t="s">
        <v>1373</v>
      </c>
      <c r="B71" s="23" t="s">
        <v>1749</v>
      </c>
      <c r="C71" s="23"/>
      <c r="D71" s="26">
        <v>542</v>
      </c>
      <c r="E71" s="26" t="s">
        <v>1769</v>
      </c>
      <c r="F71" s="25"/>
      <c r="G71" s="25"/>
      <c r="H71" s="23"/>
      <c r="I71" s="25"/>
      <c r="J71" s="25"/>
      <c r="K71" s="25"/>
      <c r="L71" s="25"/>
      <c r="M71" s="25"/>
      <c r="N71" s="25"/>
      <c r="O71" s="23"/>
      <c r="Q71" s="27"/>
      <c r="V71" s="80" t="s">
        <v>2127</v>
      </c>
      <c r="W71" s="23">
        <v>0</v>
      </c>
      <c r="Y71" s="181" t="s">
        <v>2069</v>
      </c>
      <c r="Z71" s="25" t="s">
        <v>2074</v>
      </c>
      <c r="AA71" s="131">
        <f t="shared" si="3"/>
        <v>166</v>
      </c>
      <c r="AB71" s="25" t="s">
        <v>1221</v>
      </c>
    </row>
    <row r="72" spans="1:28" ht="11.25">
      <c r="A72" s="25" t="s">
        <v>2133</v>
      </c>
      <c r="B72" s="23" t="s">
        <v>1369</v>
      </c>
      <c r="C72" s="23"/>
      <c r="D72" s="26">
        <v>543</v>
      </c>
      <c r="E72" s="26" t="s">
        <v>2178</v>
      </c>
      <c r="F72" s="25"/>
      <c r="G72" s="25"/>
      <c r="H72" s="23"/>
      <c r="I72" s="25"/>
      <c r="J72" s="25"/>
      <c r="K72" s="25"/>
      <c r="L72" s="25"/>
      <c r="M72" s="25"/>
      <c r="N72" s="25"/>
      <c r="O72" s="23"/>
      <c r="Q72" s="27"/>
      <c r="V72" s="80" t="s">
        <v>1156</v>
      </c>
      <c r="W72" s="23">
        <v>1</v>
      </c>
      <c r="Y72" s="181" t="s">
        <v>2070</v>
      </c>
      <c r="Z72" s="25" t="s">
        <v>2075</v>
      </c>
      <c r="AA72" s="131">
        <f t="shared" si="3"/>
        <v>167</v>
      </c>
      <c r="AB72" s="25" t="s">
        <v>1221</v>
      </c>
    </row>
    <row r="73" spans="1:28" ht="11.25">
      <c r="A73" s="25" t="s">
        <v>1374</v>
      </c>
      <c r="B73" s="23" t="s">
        <v>1749</v>
      </c>
      <c r="C73" s="23"/>
      <c r="D73" s="26">
        <v>552</v>
      </c>
      <c r="E73" s="25" t="s">
        <v>1770</v>
      </c>
      <c r="F73" s="25"/>
      <c r="G73" s="25"/>
      <c r="H73" s="23"/>
      <c r="I73" s="25"/>
      <c r="J73" s="25"/>
      <c r="K73" s="25"/>
      <c r="L73" s="25"/>
      <c r="M73" s="25"/>
      <c r="N73" s="25"/>
      <c r="O73" s="23"/>
      <c r="Q73" s="27"/>
      <c r="V73" s="23" t="s">
        <v>1154</v>
      </c>
      <c r="W73" s="23">
        <v>2</v>
      </c>
      <c r="Y73" s="181" t="s">
        <v>1307</v>
      </c>
      <c r="Z73" s="25" t="s">
        <v>1660</v>
      </c>
      <c r="AA73" s="131">
        <f t="shared" si="3"/>
        <v>171</v>
      </c>
      <c r="AB73" s="25" t="s">
        <v>1308</v>
      </c>
    </row>
    <row r="74" spans="1:28" ht="11.25">
      <c r="A74" s="25" t="s">
        <v>1375</v>
      </c>
      <c r="B74" s="23" t="s">
        <v>1749</v>
      </c>
      <c r="C74" s="23"/>
      <c r="D74" s="26">
        <v>562</v>
      </c>
      <c r="E74" s="25" t="s">
        <v>1771</v>
      </c>
      <c r="F74" s="25"/>
      <c r="G74" s="25"/>
      <c r="H74" s="23"/>
      <c r="I74" s="25"/>
      <c r="J74" s="25"/>
      <c r="K74" s="25"/>
      <c r="L74" s="25"/>
      <c r="M74" s="25"/>
      <c r="N74" s="25"/>
      <c r="O74" s="23"/>
      <c r="Q74" s="27"/>
      <c r="V74" s="80" t="s">
        <v>1155</v>
      </c>
      <c r="W74" s="23">
        <v>3</v>
      </c>
      <c r="Y74" s="181" t="s">
        <v>267</v>
      </c>
      <c r="Z74" s="25" t="s">
        <v>263</v>
      </c>
      <c r="AA74" s="131">
        <f t="shared" si="3"/>
        <v>172</v>
      </c>
      <c r="AB74" s="25" t="s">
        <v>1279</v>
      </c>
    </row>
    <row r="75" spans="1:28" ht="11.25">
      <c r="A75" s="25" t="s">
        <v>1376</v>
      </c>
      <c r="B75" s="23" t="s">
        <v>1749</v>
      </c>
      <c r="C75" s="23"/>
      <c r="D75" s="26">
        <v>572</v>
      </c>
      <c r="E75" s="25" t="s">
        <v>1772</v>
      </c>
      <c r="F75" s="25"/>
      <c r="G75" s="25"/>
      <c r="H75" s="23"/>
      <c r="I75" s="25"/>
      <c r="J75" s="25"/>
      <c r="K75" s="25"/>
      <c r="L75" s="25"/>
      <c r="M75" s="25"/>
      <c r="N75" s="25"/>
      <c r="O75" s="23"/>
      <c r="Q75" s="27"/>
      <c r="V75" s="80" t="s">
        <v>1849</v>
      </c>
      <c r="W75" s="23">
        <v>4</v>
      </c>
      <c r="Y75" s="181" t="s">
        <v>268</v>
      </c>
      <c r="Z75" s="25" t="s">
        <v>264</v>
      </c>
      <c r="AA75" s="131">
        <f t="shared" si="3"/>
        <v>173</v>
      </c>
      <c r="AB75" s="25" t="s">
        <v>1222</v>
      </c>
    </row>
    <row r="76" spans="1:28" ht="11.25">
      <c r="A76" s="25" t="s">
        <v>69</v>
      </c>
      <c r="B76" s="23" t="s">
        <v>1749</v>
      </c>
      <c r="C76" s="23"/>
      <c r="D76" s="26">
        <v>580</v>
      </c>
      <c r="E76" s="25" t="s">
        <v>1781</v>
      </c>
      <c r="F76" s="25"/>
      <c r="G76" s="25"/>
      <c r="H76" s="23"/>
      <c r="I76" s="25"/>
      <c r="J76" s="25"/>
      <c r="K76" s="25"/>
      <c r="L76" s="25"/>
      <c r="M76" s="25"/>
      <c r="N76" s="25"/>
      <c r="O76" s="23"/>
      <c r="Q76" s="27"/>
      <c r="V76" s="80" t="s">
        <v>1847</v>
      </c>
      <c r="W76" s="23">
        <v>5</v>
      </c>
      <c r="Y76" s="181" t="s">
        <v>269</v>
      </c>
      <c r="Z76" s="25" t="s">
        <v>265</v>
      </c>
      <c r="AA76" s="131">
        <f t="shared" si="3"/>
        <v>175</v>
      </c>
      <c r="AB76" s="25" t="s">
        <v>1279</v>
      </c>
    </row>
    <row r="77" spans="1:28" ht="11.25">
      <c r="A77" s="81" t="s">
        <v>300</v>
      </c>
      <c r="B77" s="23"/>
      <c r="C77" s="23" t="s">
        <v>1749</v>
      </c>
      <c r="D77" s="26">
        <v>540</v>
      </c>
      <c r="E77" s="25" t="s">
        <v>1773</v>
      </c>
      <c r="F77" s="25" t="s">
        <v>624</v>
      </c>
      <c r="G77" s="25" t="s">
        <v>1112</v>
      </c>
      <c r="H77" s="23">
        <v>1</v>
      </c>
      <c r="I77" s="25" t="s">
        <v>129</v>
      </c>
      <c r="J77" s="25" t="s">
        <v>130</v>
      </c>
      <c r="K77" s="25"/>
      <c r="L77" s="25"/>
      <c r="M77" s="25"/>
      <c r="N77" s="25"/>
      <c r="O77" s="23" t="s">
        <v>1749</v>
      </c>
      <c r="Q77" s="27"/>
      <c r="V77" s="80" t="s">
        <v>1848</v>
      </c>
      <c r="W77" s="23">
        <v>6</v>
      </c>
      <c r="Y77" s="181" t="s">
        <v>270</v>
      </c>
      <c r="Z77" s="25" t="s">
        <v>121</v>
      </c>
      <c r="AA77" s="131">
        <f t="shared" si="3"/>
        <v>176</v>
      </c>
      <c r="AB77" s="25" t="s">
        <v>1222</v>
      </c>
    </row>
    <row r="78" spans="1:28" ht="11.25">
      <c r="A78" s="25" t="s">
        <v>2134</v>
      </c>
      <c r="B78" s="23"/>
      <c r="C78" s="23" t="s">
        <v>1369</v>
      </c>
      <c r="D78" s="26">
        <v>544</v>
      </c>
      <c r="E78" s="25" t="s">
        <v>2179</v>
      </c>
      <c r="F78" s="25" t="s">
        <v>624</v>
      </c>
      <c r="G78" s="25" t="s">
        <v>2179</v>
      </c>
      <c r="H78" s="23">
        <v>2</v>
      </c>
      <c r="I78" s="25" t="s">
        <v>129</v>
      </c>
      <c r="J78" s="25" t="s">
        <v>130</v>
      </c>
      <c r="K78" s="25" t="s">
        <v>2180</v>
      </c>
      <c r="L78" s="25" t="s">
        <v>2181</v>
      </c>
      <c r="M78" s="25"/>
      <c r="N78" s="25"/>
      <c r="O78" s="23"/>
      <c r="Q78" s="27"/>
      <c r="V78" s="80" t="s">
        <v>1850</v>
      </c>
      <c r="W78" s="23">
        <v>7</v>
      </c>
      <c r="Y78" s="181" t="s">
        <v>1570</v>
      </c>
      <c r="Z78" s="25" t="s">
        <v>266</v>
      </c>
      <c r="AA78" s="131">
        <f t="shared" si="3"/>
        <v>177</v>
      </c>
      <c r="AB78" s="25" t="s">
        <v>1222</v>
      </c>
    </row>
    <row r="79" spans="1:28" ht="11.25">
      <c r="A79" s="81" t="s">
        <v>301</v>
      </c>
      <c r="B79" s="23"/>
      <c r="C79" s="23" t="s">
        <v>1749</v>
      </c>
      <c r="D79" s="26">
        <v>550</v>
      </c>
      <c r="E79" s="25" t="s">
        <v>1774</v>
      </c>
      <c r="F79" s="25" t="s">
        <v>624</v>
      </c>
      <c r="G79" s="25" t="s">
        <v>1113</v>
      </c>
      <c r="H79" s="23">
        <v>1</v>
      </c>
      <c r="I79" s="25" t="s">
        <v>129</v>
      </c>
      <c r="J79" s="25" t="s">
        <v>131</v>
      </c>
      <c r="K79" s="25"/>
      <c r="L79" s="25"/>
      <c r="M79" s="25"/>
      <c r="N79" s="25"/>
      <c r="O79" s="23" t="s">
        <v>1749</v>
      </c>
      <c r="Q79" s="27"/>
      <c r="V79" s="23" t="s">
        <v>1661</v>
      </c>
      <c r="W79" s="23">
        <v>0</v>
      </c>
      <c r="Y79" s="181" t="s">
        <v>2224</v>
      </c>
      <c r="Z79" s="25" t="s">
        <v>2238</v>
      </c>
      <c r="AA79" s="131">
        <v>181</v>
      </c>
      <c r="AB79" s="25" t="s">
        <v>2237</v>
      </c>
    </row>
    <row r="80" spans="1:28" ht="11.25">
      <c r="A80" s="81" t="s">
        <v>588</v>
      </c>
      <c r="B80" s="23"/>
      <c r="C80" s="23" t="s">
        <v>1749</v>
      </c>
      <c r="D80" s="26">
        <v>560</v>
      </c>
      <c r="E80" s="25" t="s">
        <v>1775</v>
      </c>
      <c r="F80" s="25" t="s">
        <v>624</v>
      </c>
      <c r="G80" s="25" t="s">
        <v>1114</v>
      </c>
      <c r="H80" s="23">
        <v>1</v>
      </c>
      <c r="I80" s="25" t="s">
        <v>129</v>
      </c>
      <c r="J80" s="25" t="s">
        <v>132</v>
      </c>
      <c r="K80" s="25"/>
      <c r="L80" s="25"/>
      <c r="M80" s="25"/>
      <c r="N80" s="25"/>
      <c r="O80" s="23" t="s">
        <v>1749</v>
      </c>
      <c r="Q80" s="27"/>
      <c r="V80" s="23" t="s">
        <v>1662</v>
      </c>
      <c r="W80" s="23">
        <v>1</v>
      </c>
      <c r="Y80" s="181" t="s">
        <v>1086</v>
      </c>
      <c r="Z80" s="25" t="s">
        <v>1581</v>
      </c>
      <c r="AA80" s="131">
        <f t="shared" si="3"/>
        <v>182</v>
      </c>
      <c r="AB80" s="25" t="s">
        <v>1248</v>
      </c>
    </row>
    <row r="81" spans="1:28" ht="11.25">
      <c r="A81" s="25" t="s">
        <v>304</v>
      </c>
      <c r="B81" s="23"/>
      <c r="C81" s="23" t="s">
        <v>1749</v>
      </c>
      <c r="D81" s="26">
        <v>563</v>
      </c>
      <c r="E81" s="25" t="s">
        <v>1776</v>
      </c>
      <c r="F81" s="25" t="s">
        <v>624</v>
      </c>
      <c r="G81" s="25" t="s">
        <v>1114</v>
      </c>
      <c r="H81" s="23">
        <v>2</v>
      </c>
      <c r="I81" s="25" t="s">
        <v>129</v>
      </c>
      <c r="J81" s="25" t="s">
        <v>132</v>
      </c>
      <c r="K81" s="25" t="s">
        <v>133</v>
      </c>
      <c r="L81" s="25" t="s">
        <v>134</v>
      </c>
      <c r="M81" s="25"/>
      <c r="N81" s="25"/>
      <c r="O81" s="23"/>
      <c r="Q81" s="27"/>
      <c r="V81" s="23" t="s">
        <v>1663</v>
      </c>
      <c r="W81" s="23">
        <v>2</v>
      </c>
      <c r="Y81" s="181" t="s">
        <v>1087</v>
      </c>
      <c r="Z81" s="25" t="s">
        <v>1582</v>
      </c>
      <c r="AA81" s="131">
        <f t="shared" si="3"/>
        <v>183</v>
      </c>
      <c r="AB81" s="25" t="s">
        <v>612</v>
      </c>
    </row>
    <row r="82" spans="1:28" ht="11.25">
      <c r="A82" s="81" t="s">
        <v>1256</v>
      </c>
      <c r="B82" s="23"/>
      <c r="C82" s="23" t="s">
        <v>1749</v>
      </c>
      <c r="D82" s="26">
        <v>570</v>
      </c>
      <c r="E82" s="25" t="s">
        <v>1777</v>
      </c>
      <c r="F82" s="25" t="s">
        <v>624</v>
      </c>
      <c r="G82" s="25" t="s">
        <v>1115</v>
      </c>
      <c r="H82" s="23">
        <v>1</v>
      </c>
      <c r="I82" s="25" t="s">
        <v>133</v>
      </c>
      <c r="J82" s="25" t="s">
        <v>134</v>
      </c>
      <c r="K82" s="25"/>
      <c r="L82" s="25"/>
      <c r="M82" s="25"/>
      <c r="N82" s="25"/>
      <c r="O82" s="23" t="s">
        <v>1749</v>
      </c>
      <c r="Q82" s="27"/>
      <c r="V82" s="23" t="s">
        <v>1664</v>
      </c>
      <c r="W82" s="23">
        <v>3</v>
      </c>
      <c r="Y82" s="181" t="s">
        <v>2223</v>
      </c>
      <c r="Z82" s="25" t="s">
        <v>2236</v>
      </c>
      <c r="AA82" s="131">
        <f t="shared" si="3"/>
        <v>184</v>
      </c>
      <c r="AB82" s="25" t="s">
        <v>2237</v>
      </c>
    </row>
    <row r="83" spans="1:28" ht="11.25">
      <c r="A83" s="81" t="s">
        <v>1778</v>
      </c>
      <c r="B83" s="23"/>
      <c r="C83" s="23" t="s">
        <v>1749</v>
      </c>
      <c r="D83" s="26">
        <v>571</v>
      </c>
      <c r="E83" s="25" t="s">
        <v>1779</v>
      </c>
      <c r="F83" s="25" t="s">
        <v>624</v>
      </c>
      <c r="G83" s="25" t="s">
        <v>1777</v>
      </c>
      <c r="H83" s="23">
        <v>2</v>
      </c>
      <c r="I83" s="25" t="s">
        <v>1780</v>
      </c>
      <c r="J83" s="25" t="s">
        <v>134</v>
      </c>
      <c r="K83" s="25" t="s">
        <v>517</v>
      </c>
      <c r="L83" s="25" t="s">
        <v>1991</v>
      </c>
      <c r="M83" s="25"/>
      <c r="N83" s="25"/>
      <c r="O83" s="23"/>
      <c r="Q83" s="27"/>
      <c r="Y83" s="181" t="s">
        <v>167</v>
      </c>
      <c r="Z83" s="25" t="s">
        <v>1583</v>
      </c>
      <c r="AA83" s="131">
        <f t="shared" si="3"/>
        <v>185</v>
      </c>
      <c r="AB83" s="25" t="s">
        <v>1248</v>
      </c>
    </row>
    <row r="84" spans="1:28" ht="11.25">
      <c r="A84" s="81" t="s">
        <v>1257</v>
      </c>
      <c r="B84" s="23"/>
      <c r="C84" s="23" t="s">
        <v>1782</v>
      </c>
      <c r="D84" s="26">
        <v>640</v>
      </c>
      <c r="E84" s="25" t="s">
        <v>1789</v>
      </c>
      <c r="F84" s="25" t="s">
        <v>625</v>
      </c>
      <c r="G84" s="25" t="s">
        <v>1116</v>
      </c>
      <c r="H84" s="23">
        <v>1</v>
      </c>
      <c r="I84" s="25" t="s">
        <v>129</v>
      </c>
      <c r="J84" s="25" t="s">
        <v>131</v>
      </c>
      <c r="K84" s="25"/>
      <c r="L84" s="25"/>
      <c r="M84" s="25"/>
      <c r="N84" s="25"/>
      <c r="O84" s="23" t="s">
        <v>1782</v>
      </c>
      <c r="Q84" s="27"/>
      <c r="Y84" s="179" t="s">
        <v>444</v>
      </c>
      <c r="Z84" s="25" t="s">
        <v>1584</v>
      </c>
      <c r="AA84" s="131">
        <f t="shared" si="3"/>
        <v>186</v>
      </c>
      <c r="AB84" s="25" t="s">
        <v>612</v>
      </c>
    </row>
    <row r="85" spans="1:28" ht="11.25">
      <c r="A85" s="25" t="s">
        <v>1181</v>
      </c>
      <c r="B85" s="23"/>
      <c r="C85" s="23" t="s">
        <v>1782</v>
      </c>
      <c r="D85" s="26">
        <v>642</v>
      </c>
      <c r="E85" s="25" t="s">
        <v>1790</v>
      </c>
      <c r="F85" s="25" t="s">
        <v>625</v>
      </c>
      <c r="G85" s="25" t="s">
        <v>1116</v>
      </c>
      <c r="H85" s="23">
        <v>2</v>
      </c>
      <c r="I85" s="25" t="s">
        <v>129</v>
      </c>
      <c r="J85" s="25" t="s">
        <v>131</v>
      </c>
      <c r="K85" s="25" t="s">
        <v>129</v>
      </c>
      <c r="L85" s="25" t="s">
        <v>130</v>
      </c>
      <c r="M85" s="25"/>
      <c r="N85" s="25"/>
      <c r="O85" s="23"/>
      <c r="Q85" s="27"/>
      <c r="Y85" s="179" t="s">
        <v>445</v>
      </c>
      <c r="Z85" s="25" t="s">
        <v>1085</v>
      </c>
      <c r="AA85" s="131">
        <f t="shared" si="3"/>
        <v>187</v>
      </c>
      <c r="AB85" s="25" t="s">
        <v>612</v>
      </c>
    </row>
    <row r="86" spans="1:28" ht="11.25">
      <c r="A86" s="81" t="s">
        <v>1258</v>
      </c>
      <c r="B86" s="23"/>
      <c r="C86" s="23" t="s">
        <v>1782</v>
      </c>
      <c r="D86" s="26">
        <v>650</v>
      </c>
      <c r="E86" s="25" t="s">
        <v>1791</v>
      </c>
      <c r="F86" s="25" t="s">
        <v>625</v>
      </c>
      <c r="G86" s="25" t="s">
        <v>1117</v>
      </c>
      <c r="H86" s="23">
        <v>1</v>
      </c>
      <c r="I86" s="25" t="s">
        <v>129</v>
      </c>
      <c r="J86" s="25" t="s">
        <v>130</v>
      </c>
      <c r="K86" s="25"/>
      <c r="L86" s="25"/>
      <c r="M86" s="25"/>
      <c r="N86" s="25"/>
      <c r="O86" s="23" t="s">
        <v>1782</v>
      </c>
      <c r="Q86" s="27"/>
      <c r="Y86" s="179" t="s">
        <v>2226</v>
      </c>
      <c r="Z86" s="25" t="s">
        <v>2235</v>
      </c>
      <c r="AA86" s="131">
        <v>191</v>
      </c>
      <c r="AB86" s="25" t="s">
        <v>2227</v>
      </c>
    </row>
    <row r="87" spans="1:28" ht="11.25">
      <c r="A87" s="81" t="s">
        <v>1259</v>
      </c>
      <c r="B87" s="23"/>
      <c r="C87" s="23" t="s">
        <v>1782</v>
      </c>
      <c r="D87" s="26">
        <v>660</v>
      </c>
      <c r="E87" s="25" t="s">
        <v>1792</v>
      </c>
      <c r="F87" s="25" t="s">
        <v>625</v>
      </c>
      <c r="G87" s="25" t="s">
        <v>1118</v>
      </c>
      <c r="H87" s="23">
        <v>1</v>
      </c>
      <c r="I87" s="25" t="s">
        <v>129</v>
      </c>
      <c r="J87" s="25" t="s">
        <v>136</v>
      </c>
      <c r="K87" s="25"/>
      <c r="L87" s="25"/>
      <c r="M87" s="25"/>
      <c r="N87" s="25"/>
      <c r="O87" s="23" t="s">
        <v>1782</v>
      </c>
      <c r="Q87" s="27"/>
      <c r="Y87" s="179" t="s">
        <v>17</v>
      </c>
      <c r="Z87" s="25" t="s">
        <v>12</v>
      </c>
      <c r="AA87" s="131">
        <f t="shared" si="3"/>
        <v>192</v>
      </c>
      <c r="AB87" s="25" t="s">
        <v>1237</v>
      </c>
    </row>
    <row r="88" spans="1:28" ht="11.25">
      <c r="A88" s="25" t="s">
        <v>1793</v>
      </c>
      <c r="B88" s="23"/>
      <c r="C88" s="23" t="s">
        <v>1782</v>
      </c>
      <c r="D88" s="26">
        <v>662</v>
      </c>
      <c r="E88" s="25" t="s">
        <v>1794</v>
      </c>
      <c r="F88" s="25" t="s">
        <v>625</v>
      </c>
      <c r="G88" s="25" t="s">
        <v>1118</v>
      </c>
      <c r="H88" s="23">
        <v>2</v>
      </c>
      <c r="I88" s="25" t="s">
        <v>129</v>
      </c>
      <c r="J88" s="25" t="s">
        <v>136</v>
      </c>
      <c r="K88" s="25" t="s">
        <v>129</v>
      </c>
      <c r="L88" s="25" t="s">
        <v>131</v>
      </c>
      <c r="M88" s="25"/>
      <c r="N88" s="25"/>
      <c r="O88" s="23"/>
      <c r="Q88" s="27"/>
      <c r="Y88" s="179" t="s">
        <v>18</v>
      </c>
      <c r="Z88" s="25" t="s">
        <v>13</v>
      </c>
      <c r="AA88" s="131">
        <f t="shared" si="3"/>
        <v>193</v>
      </c>
      <c r="AB88" s="25" t="s">
        <v>586</v>
      </c>
    </row>
    <row r="89" spans="1:28" ht="11.25">
      <c r="A89" s="25" t="s">
        <v>1381</v>
      </c>
      <c r="B89" s="23" t="s">
        <v>1782</v>
      </c>
      <c r="C89" s="23"/>
      <c r="D89" s="26">
        <v>641</v>
      </c>
      <c r="E89" s="25" t="s">
        <v>1783</v>
      </c>
      <c r="F89" s="25"/>
      <c r="G89" s="25"/>
      <c r="H89" s="23"/>
      <c r="I89" s="25"/>
      <c r="J89" s="25"/>
      <c r="K89" s="25"/>
      <c r="L89" s="25"/>
      <c r="M89" s="25"/>
      <c r="N89" s="25"/>
      <c r="O89" s="23"/>
      <c r="Q89" s="27"/>
      <c r="Y89" s="179" t="s">
        <v>976</v>
      </c>
      <c r="Z89" s="25" t="s">
        <v>14</v>
      </c>
      <c r="AA89" s="131">
        <f t="shared" si="3"/>
        <v>195</v>
      </c>
      <c r="AB89" s="25" t="s">
        <v>587</v>
      </c>
    </row>
    <row r="90" spans="1:28" ht="11.25">
      <c r="A90" s="25" t="s">
        <v>1910</v>
      </c>
      <c r="B90" s="23" t="s">
        <v>1782</v>
      </c>
      <c r="C90" s="23"/>
      <c r="D90" s="26">
        <v>651</v>
      </c>
      <c r="E90" s="25" t="s">
        <v>1784</v>
      </c>
      <c r="F90" s="25"/>
      <c r="G90" s="25"/>
      <c r="H90" s="23"/>
      <c r="I90" s="25"/>
      <c r="J90" s="25"/>
      <c r="K90" s="25"/>
      <c r="L90" s="25"/>
      <c r="M90" s="25"/>
      <c r="N90" s="25"/>
      <c r="O90" s="23"/>
      <c r="Y90" s="179" t="s">
        <v>977</v>
      </c>
      <c r="Z90" s="25" t="s">
        <v>15</v>
      </c>
      <c r="AA90" s="131">
        <f t="shared" si="3"/>
        <v>196</v>
      </c>
      <c r="AB90" s="25" t="s">
        <v>586</v>
      </c>
    </row>
    <row r="91" spans="1:28" ht="11.25">
      <c r="A91" s="25" t="s">
        <v>1911</v>
      </c>
      <c r="B91" s="23" t="s">
        <v>1782</v>
      </c>
      <c r="C91" s="23"/>
      <c r="D91" s="26">
        <v>661</v>
      </c>
      <c r="E91" s="25" t="s">
        <v>1785</v>
      </c>
      <c r="F91" s="25"/>
      <c r="G91" s="25"/>
      <c r="H91" s="23"/>
      <c r="I91" s="25"/>
      <c r="J91" s="25"/>
      <c r="K91" s="25"/>
      <c r="L91" s="25"/>
      <c r="M91" s="25"/>
      <c r="N91" s="25"/>
      <c r="O91" s="23"/>
      <c r="Y91" s="179" t="s">
        <v>978</v>
      </c>
      <c r="Z91" s="25" t="s">
        <v>16</v>
      </c>
      <c r="AA91" s="131">
        <f t="shared" si="3"/>
        <v>197</v>
      </c>
      <c r="AB91" s="25" t="s">
        <v>586</v>
      </c>
    </row>
    <row r="92" spans="1:28" ht="11.25">
      <c r="A92" s="25" t="s">
        <v>1786</v>
      </c>
      <c r="B92" s="23" t="s">
        <v>1782</v>
      </c>
      <c r="C92" s="23"/>
      <c r="D92" s="26">
        <v>663</v>
      </c>
      <c r="E92" s="25" t="s">
        <v>1787</v>
      </c>
      <c r="F92" s="25"/>
      <c r="G92" s="25"/>
      <c r="H92" s="23"/>
      <c r="I92" s="25"/>
      <c r="J92" s="25"/>
      <c r="K92" s="25"/>
      <c r="L92" s="25"/>
      <c r="M92" s="25"/>
      <c r="N92" s="25"/>
      <c r="O92" s="23"/>
      <c r="Y92" s="179" t="s">
        <v>1309</v>
      </c>
      <c r="Z92" s="25" t="s">
        <v>1665</v>
      </c>
      <c r="AA92" s="131">
        <f t="shared" si="3"/>
        <v>201</v>
      </c>
      <c r="AB92" s="25" t="s">
        <v>1078</v>
      </c>
    </row>
    <row r="93" spans="1:28" ht="11.25">
      <c r="A93" s="25" t="s">
        <v>1912</v>
      </c>
      <c r="B93" s="23" t="s">
        <v>1782</v>
      </c>
      <c r="C93" s="23"/>
      <c r="D93" s="26">
        <v>701</v>
      </c>
      <c r="E93" s="25" t="s">
        <v>1788</v>
      </c>
      <c r="F93" s="25"/>
      <c r="G93" s="25"/>
      <c r="H93" s="23"/>
      <c r="I93" s="25"/>
      <c r="J93" s="25"/>
      <c r="K93" s="25"/>
      <c r="L93" s="25"/>
      <c r="M93" s="25"/>
      <c r="N93" s="25"/>
      <c r="O93" s="23"/>
      <c r="Y93" s="179" t="s">
        <v>1098</v>
      </c>
      <c r="Z93" s="25" t="s">
        <v>1093</v>
      </c>
      <c r="AA93" s="131">
        <f t="shared" si="3"/>
        <v>202</v>
      </c>
      <c r="AB93" s="25" t="s">
        <v>946</v>
      </c>
    </row>
    <row r="94" spans="1:28" ht="11.25">
      <c r="A94" s="25" t="s">
        <v>2175</v>
      </c>
      <c r="B94" s="23" t="s">
        <v>1369</v>
      </c>
      <c r="C94" s="23"/>
      <c r="D94" s="26">
        <v>706</v>
      </c>
      <c r="E94" s="25" t="s">
        <v>2186</v>
      </c>
      <c r="F94" s="25"/>
      <c r="G94" s="25"/>
      <c r="H94" s="23"/>
      <c r="I94" s="25"/>
      <c r="J94" s="25"/>
      <c r="K94" s="25"/>
      <c r="L94" s="25"/>
      <c r="M94" s="25"/>
      <c r="N94" s="25"/>
      <c r="O94" s="23"/>
      <c r="Y94" s="179" t="s">
        <v>1099</v>
      </c>
      <c r="Z94" s="25" t="s">
        <v>1094</v>
      </c>
      <c r="AA94" s="131">
        <f t="shared" si="3"/>
        <v>203</v>
      </c>
      <c r="AB94" s="25" t="s">
        <v>944</v>
      </c>
    </row>
    <row r="95" spans="1:28" ht="11.25">
      <c r="A95" s="25" t="s">
        <v>1913</v>
      </c>
      <c r="B95" s="23" t="s">
        <v>1782</v>
      </c>
      <c r="C95" s="23"/>
      <c r="D95" s="26">
        <v>710</v>
      </c>
      <c r="E95" s="25" t="s">
        <v>1798</v>
      </c>
      <c r="F95" s="25" t="s">
        <v>625</v>
      </c>
      <c r="G95" s="25" t="s">
        <v>1119</v>
      </c>
      <c r="H95" s="23"/>
      <c r="I95" s="25"/>
      <c r="J95" s="25"/>
      <c r="K95" s="25"/>
      <c r="L95" s="25"/>
      <c r="M95" s="25"/>
      <c r="N95" s="25"/>
      <c r="O95" s="23"/>
      <c r="Y95" s="179" t="s">
        <v>1077</v>
      </c>
      <c r="Z95" s="25" t="s">
        <v>1666</v>
      </c>
      <c r="AA95" s="131">
        <f t="shared" si="3"/>
        <v>204</v>
      </c>
      <c r="AB95" s="25" t="s">
        <v>1078</v>
      </c>
    </row>
    <row r="96" spans="1:28" ht="11.25">
      <c r="A96" s="81" t="s">
        <v>1230</v>
      </c>
      <c r="B96" s="23"/>
      <c r="C96" s="23" t="s">
        <v>1782</v>
      </c>
      <c r="D96" s="26">
        <v>700</v>
      </c>
      <c r="E96" s="25" t="s">
        <v>1795</v>
      </c>
      <c r="F96" s="25" t="s">
        <v>625</v>
      </c>
      <c r="G96" s="25" t="s">
        <v>1119</v>
      </c>
      <c r="H96" s="23">
        <v>1</v>
      </c>
      <c r="I96" s="25" t="s">
        <v>1120</v>
      </c>
      <c r="J96" s="25" t="s">
        <v>137</v>
      </c>
      <c r="K96" s="25"/>
      <c r="L96" s="25"/>
      <c r="M96" s="25"/>
      <c r="N96" s="25"/>
      <c r="O96" s="23" t="s">
        <v>1782</v>
      </c>
      <c r="Y96" s="179" t="s">
        <v>1100</v>
      </c>
      <c r="Z96" s="25" t="s">
        <v>1095</v>
      </c>
      <c r="AA96" s="131">
        <f t="shared" si="3"/>
        <v>205</v>
      </c>
      <c r="AB96" s="25" t="s">
        <v>946</v>
      </c>
    </row>
    <row r="97" spans="1:28" ht="11.25">
      <c r="A97" s="25" t="s">
        <v>1543</v>
      </c>
      <c r="B97" s="23"/>
      <c r="C97" s="23" t="s">
        <v>1782</v>
      </c>
      <c r="D97" s="26">
        <v>702</v>
      </c>
      <c r="E97" s="25" t="s">
        <v>1796</v>
      </c>
      <c r="F97" s="25" t="s">
        <v>625</v>
      </c>
      <c r="G97" s="25" t="s">
        <v>1121</v>
      </c>
      <c r="H97" s="23">
        <v>1</v>
      </c>
      <c r="I97" s="25" t="s">
        <v>1120</v>
      </c>
      <c r="J97" s="25" t="s">
        <v>137</v>
      </c>
      <c r="K97" s="25"/>
      <c r="L97" s="25"/>
      <c r="M97" s="25"/>
      <c r="N97" s="25"/>
      <c r="O97" s="23"/>
      <c r="Y97" s="179" t="s">
        <v>1101</v>
      </c>
      <c r="Z97" s="25" t="s">
        <v>1096</v>
      </c>
      <c r="AA97" s="131">
        <f t="shared" si="3"/>
        <v>206</v>
      </c>
      <c r="AB97" s="25" t="s">
        <v>944</v>
      </c>
    </row>
    <row r="98" spans="1:28" ht="11.25">
      <c r="A98" s="81" t="s">
        <v>579</v>
      </c>
      <c r="B98" s="23"/>
      <c r="C98" s="23" t="s">
        <v>1782</v>
      </c>
      <c r="D98" s="26">
        <v>705</v>
      </c>
      <c r="E98" s="25" t="s">
        <v>1797</v>
      </c>
      <c r="F98" s="25" t="s">
        <v>625</v>
      </c>
      <c r="G98" s="25" t="s">
        <v>1119</v>
      </c>
      <c r="H98" s="23">
        <v>1</v>
      </c>
      <c r="I98" s="25" t="s">
        <v>1120</v>
      </c>
      <c r="J98" s="25" t="s">
        <v>137</v>
      </c>
      <c r="K98" s="25"/>
      <c r="L98" s="25"/>
      <c r="M98" s="25"/>
      <c r="N98" s="25"/>
      <c r="O98" s="23" t="s">
        <v>1782</v>
      </c>
      <c r="Y98" s="179" t="s">
        <v>1102</v>
      </c>
      <c r="Z98" s="25" t="s">
        <v>1097</v>
      </c>
      <c r="AA98" s="131">
        <f t="shared" si="3"/>
        <v>207</v>
      </c>
      <c r="AB98" s="25" t="s">
        <v>944</v>
      </c>
    </row>
    <row r="99" spans="1:28" ht="11.25">
      <c r="A99" s="25" t="s">
        <v>2177</v>
      </c>
      <c r="B99" s="23"/>
      <c r="C99" s="23" t="s">
        <v>1369</v>
      </c>
      <c r="D99" s="26">
        <v>707</v>
      </c>
      <c r="E99" s="25" t="s">
        <v>2176</v>
      </c>
      <c r="F99" s="25" t="s">
        <v>625</v>
      </c>
      <c r="G99" s="25" t="s">
        <v>2176</v>
      </c>
      <c r="H99" s="23">
        <v>2</v>
      </c>
      <c r="I99" s="25" t="s">
        <v>1120</v>
      </c>
      <c r="J99" s="25" t="s">
        <v>137</v>
      </c>
      <c r="K99" s="25" t="s">
        <v>129</v>
      </c>
      <c r="L99" s="25" t="s">
        <v>130</v>
      </c>
      <c r="M99" s="25"/>
      <c r="N99" s="25"/>
      <c r="O99" s="23"/>
      <c r="Y99" s="179" t="s">
        <v>2125</v>
      </c>
      <c r="Z99" s="25" t="s">
        <v>752</v>
      </c>
      <c r="AA99" s="132">
        <f>AA100-1</f>
        <v>209</v>
      </c>
      <c r="AB99" s="25" t="s">
        <v>454</v>
      </c>
    </row>
    <row r="100" spans="1:28" ht="11.25">
      <c r="A100" s="25" t="s">
        <v>2213</v>
      </c>
      <c r="B100" s="23"/>
      <c r="C100" s="23" t="s">
        <v>1782</v>
      </c>
      <c r="D100" s="26">
        <v>900</v>
      </c>
      <c r="E100" s="25" t="s">
        <v>1799</v>
      </c>
      <c r="F100" s="25" t="s">
        <v>626</v>
      </c>
      <c r="G100" s="25" t="s">
        <v>1122</v>
      </c>
      <c r="H100" s="23">
        <v>1</v>
      </c>
      <c r="I100" s="25" t="s">
        <v>129</v>
      </c>
      <c r="J100" s="25" t="s">
        <v>138</v>
      </c>
      <c r="K100" s="25"/>
      <c r="L100" s="25"/>
      <c r="M100" s="25"/>
      <c r="N100" s="25"/>
      <c r="O100" s="23" t="s">
        <v>1782</v>
      </c>
      <c r="Y100" s="179" t="s">
        <v>526</v>
      </c>
      <c r="Z100" s="25" t="s">
        <v>1667</v>
      </c>
      <c r="AA100" s="132">
        <f>AA101-1</f>
        <v>210</v>
      </c>
      <c r="AB100" s="25" t="s">
        <v>528</v>
      </c>
    </row>
    <row r="101" spans="1:28" ht="11.25">
      <c r="A101" s="25" t="s">
        <v>2220</v>
      </c>
      <c r="B101" s="23"/>
      <c r="C101" s="23" t="s">
        <v>1782</v>
      </c>
      <c r="D101" s="26">
        <v>901</v>
      </c>
      <c r="E101" s="25" t="s">
        <v>1799</v>
      </c>
      <c r="F101" s="25" t="s">
        <v>626</v>
      </c>
      <c r="G101" s="25" t="s">
        <v>1122</v>
      </c>
      <c r="H101" s="23">
        <v>1</v>
      </c>
      <c r="I101" s="25" t="s">
        <v>129</v>
      </c>
      <c r="J101" s="25" t="s">
        <v>138</v>
      </c>
      <c r="K101" s="25"/>
      <c r="L101" s="25"/>
      <c r="M101" s="25"/>
      <c r="N101" s="25"/>
      <c r="O101" s="23" t="s">
        <v>1782</v>
      </c>
      <c r="Y101" s="179" t="s">
        <v>1310</v>
      </c>
      <c r="Z101" s="25" t="s">
        <v>1668</v>
      </c>
      <c r="AA101" s="131">
        <f aca="true" t="shared" si="4" ref="AA101:AA117">VLOOKUP(LEFT(Y101,2),$W$2:$X$34,2,0)*10+VLOOKUP(RIGHT(Y101,3),$V$71:$W$82,2,0)</f>
        <v>211</v>
      </c>
      <c r="AB101" s="25" t="s">
        <v>1303</v>
      </c>
    </row>
    <row r="102" spans="1:28" ht="11.25">
      <c r="A102" s="25" t="s">
        <v>2239</v>
      </c>
      <c r="B102" s="23"/>
      <c r="C102" s="23" t="s">
        <v>1800</v>
      </c>
      <c r="D102" s="26">
        <v>902</v>
      </c>
      <c r="E102" s="25" t="s">
        <v>1801</v>
      </c>
      <c r="F102" s="25" t="s">
        <v>626</v>
      </c>
      <c r="G102" s="25" t="s">
        <v>1122</v>
      </c>
      <c r="H102" s="23">
        <v>1</v>
      </c>
      <c r="I102" s="25" t="s">
        <v>129</v>
      </c>
      <c r="J102" s="25" t="s">
        <v>138</v>
      </c>
      <c r="K102" s="25"/>
      <c r="L102" s="25"/>
      <c r="M102" s="25"/>
      <c r="N102" s="25"/>
      <c r="O102" s="23"/>
      <c r="Y102" s="179" t="s">
        <v>244</v>
      </c>
      <c r="Z102" s="25" t="s">
        <v>753</v>
      </c>
      <c r="AA102" s="131">
        <f t="shared" si="4"/>
        <v>212</v>
      </c>
      <c r="AB102" s="25" t="s">
        <v>1275</v>
      </c>
    </row>
    <row r="103" spans="1:28" ht="11.25">
      <c r="A103" s="25" t="s">
        <v>2216</v>
      </c>
      <c r="B103" s="23"/>
      <c r="C103" s="23" t="s">
        <v>1800</v>
      </c>
      <c r="D103" s="26">
        <v>940</v>
      </c>
      <c r="E103" s="25" t="s">
        <v>1802</v>
      </c>
      <c r="F103" s="25" t="s">
        <v>626</v>
      </c>
      <c r="G103" s="25" t="s">
        <v>1123</v>
      </c>
      <c r="H103" s="23">
        <v>1</v>
      </c>
      <c r="I103" s="25" t="s">
        <v>129</v>
      </c>
      <c r="J103" s="25" t="s">
        <v>139</v>
      </c>
      <c r="K103" s="25"/>
      <c r="L103" s="25"/>
      <c r="M103" s="25"/>
      <c r="N103" s="25"/>
      <c r="O103" s="23" t="s">
        <v>1800</v>
      </c>
      <c r="Y103" s="179" t="s">
        <v>1311</v>
      </c>
      <c r="Z103" s="25" t="s">
        <v>1669</v>
      </c>
      <c r="AA103" s="131">
        <f t="shared" si="4"/>
        <v>214</v>
      </c>
      <c r="AB103" s="25" t="s">
        <v>1303</v>
      </c>
    </row>
    <row r="104" spans="1:28" ht="11.25">
      <c r="A104" s="25" t="s">
        <v>2214</v>
      </c>
      <c r="B104" s="23"/>
      <c r="C104" s="23" t="s">
        <v>1800</v>
      </c>
      <c r="D104" s="26">
        <v>941</v>
      </c>
      <c r="E104" s="25" t="s">
        <v>1802</v>
      </c>
      <c r="F104" s="25" t="s">
        <v>626</v>
      </c>
      <c r="G104" s="25" t="s">
        <v>1123</v>
      </c>
      <c r="H104" s="23">
        <v>1</v>
      </c>
      <c r="I104" s="25" t="s">
        <v>129</v>
      </c>
      <c r="J104" s="25" t="s">
        <v>139</v>
      </c>
      <c r="K104" s="25"/>
      <c r="L104" s="25"/>
      <c r="M104" s="25"/>
      <c r="N104" s="25"/>
      <c r="O104" s="23" t="s">
        <v>1800</v>
      </c>
      <c r="Y104" s="179" t="s">
        <v>243</v>
      </c>
      <c r="Z104" s="25" t="s">
        <v>754</v>
      </c>
      <c r="AA104" s="131">
        <f t="shared" si="4"/>
        <v>215</v>
      </c>
      <c r="AB104" s="25" t="s">
        <v>1275</v>
      </c>
    </row>
    <row r="105" spans="1:28" ht="11.25">
      <c r="A105" s="25" t="s">
        <v>2240</v>
      </c>
      <c r="B105" s="23"/>
      <c r="C105" s="23" t="s">
        <v>1800</v>
      </c>
      <c r="D105" s="26">
        <v>942</v>
      </c>
      <c r="E105" s="25" t="s">
        <v>1803</v>
      </c>
      <c r="F105" s="25" t="s">
        <v>626</v>
      </c>
      <c r="G105" s="25" t="s">
        <v>1123</v>
      </c>
      <c r="H105" s="23">
        <v>2</v>
      </c>
      <c r="I105" s="25" t="s">
        <v>129</v>
      </c>
      <c r="J105" s="25" t="s">
        <v>139</v>
      </c>
      <c r="K105" s="25" t="s">
        <v>129</v>
      </c>
      <c r="L105" s="25" t="s">
        <v>140</v>
      </c>
      <c r="M105" s="25"/>
      <c r="N105" s="25"/>
      <c r="O105" s="23"/>
      <c r="Y105" s="179" t="s">
        <v>242</v>
      </c>
      <c r="Z105" s="25" t="s">
        <v>755</v>
      </c>
      <c r="AA105" s="131">
        <f t="shared" si="4"/>
        <v>217</v>
      </c>
      <c r="AB105" s="25" t="s">
        <v>1247</v>
      </c>
    </row>
    <row r="106" spans="1:28" ht="11.25">
      <c r="A106" s="25" t="s">
        <v>2217</v>
      </c>
      <c r="B106" s="23"/>
      <c r="C106" s="23" t="s">
        <v>1800</v>
      </c>
      <c r="D106" s="26">
        <v>950</v>
      </c>
      <c r="E106" s="25" t="s">
        <v>1804</v>
      </c>
      <c r="F106" s="25" t="s">
        <v>626</v>
      </c>
      <c r="G106" s="25" t="s">
        <v>1124</v>
      </c>
      <c r="H106" s="23">
        <v>1</v>
      </c>
      <c r="I106" s="25" t="s">
        <v>129</v>
      </c>
      <c r="J106" s="25" t="s">
        <v>140</v>
      </c>
      <c r="K106" s="25"/>
      <c r="L106" s="25"/>
      <c r="M106" s="25"/>
      <c r="N106" s="25"/>
      <c r="O106" s="23" t="s">
        <v>1800</v>
      </c>
      <c r="Y106" s="179" t="s">
        <v>1863</v>
      </c>
      <c r="Z106" s="25" t="s">
        <v>1670</v>
      </c>
      <c r="AA106" s="131">
        <f t="shared" si="4"/>
        <v>221</v>
      </c>
      <c r="AB106" s="25" t="s">
        <v>1671</v>
      </c>
    </row>
    <row r="107" spans="1:28" ht="11.25">
      <c r="A107" s="25" t="s">
        <v>2218</v>
      </c>
      <c r="B107" s="23"/>
      <c r="C107" s="23" t="s">
        <v>1800</v>
      </c>
      <c r="D107" s="26">
        <v>951</v>
      </c>
      <c r="E107" s="25" t="s">
        <v>1804</v>
      </c>
      <c r="F107" s="25" t="s">
        <v>626</v>
      </c>
      <c r="G107" s="25" t="s">
        <v>1124</v>
      </c>
      <c r="H107" s="23">
        <v>1</v>
      </c>
      <c r="I107" s="25" t="s">
        <v>129</v>
      </c>
      <c r="J107" s="25" t="s">
        <v>140</v>
      </c>
      <c r="K107" s="25"/>
      <c r="L107" s="25"/>
      <c r="M107" s="25"/>
      <c r="N107" s="25"/>
      <c r="O107" s="23" t="s">
        <v>1800</v>
      </c>
      <c r="Y107" s="179" t="s">
        <v>245</v>
      </c>
      <c r="Z107" s="25" t="s">
        <v>756</v>
      </c>
      <c r="AA107" s="131">
        <f t="shared" si="4"/>
        <v>222</v>
      </c>
      <c r="AB107" s="25" t="s">
        <v>1277</v>
      </c>
    </row>
    <row r="108" spans="1:28" ht="11.25">
      <c r="A108" s="25" t="s">
        <v>2215</v>
      </c>
      <c r="B108" s="23"/>
      <c r="C108" s="23" t="s">
        <v>1800</v>
      </c>
      <c r="D108" s="26">
        <v>960</v>
      </c>
      <c r="E108" s="25" t="s">
        <v>1805</v>
      </c>
      <c r="F108" s="25" t="s">
        <v>626</v>
      </c>
      <c r="G108" s="25" t="s">
        <v>1125</v>
      </c>
      <c r="H108" s="23">
        <v>1</v>
      </c>
      <c r="I108" s="25" t="s">
        <v>129</v>
      </c>
      <c r="J108" s="25" t="s">
        <v>141</v>
      </c>
      <c r="K108" s="25"/>
      <c r="L108" s="25"/>
      <c r="M108" s="25"/>
      <c r="N108" s="25"/>
      <c r="O108" s="23" t="s">
        <v>1800</v>
      </c>
      <c r="Y108" s="179" t="s">
        <v>246</v>
      </c>
      <c r="Z108" s="25" t="s">
        <v>757</v>
      </c>
      <c r="AA108" s="131">
        <f t="shared" si="4"/>
        <v>223</v>
      </c>
      <c r="AB108" s="25" t="s">
        <v>614</v>
      </c>
    </row>
    <row r="109" spans="1:28" ht="11.25">
      <c r="A109" s="25" t="s">
        <v>2219</v>
      </c>
      <c r="B109" s="23"/>
      <c r="C109" s="23" t="s">
        <v>1800</v>
      </c>
      <c r="D109" s="26">
        <v>961</v>
      </c>
      <c r="E109" s="25" t="s">
        <v>1805</v>
      </c>
      <c r="F109" s="25" t="s">
        <v>626</v>
      </c>
      <c r="G109" s="25" t="s">
        <v>1125</v>
      </c>
      <c r="H109" s="23">
        <v>1</v>
      </c>
      <c r="I109" s="25" t="s">
        <v>129</v>
      </c>
      <c r="J109" s="25" t="s">
        <v>141</v>
      </c>
      <c r="K109" s="25"/>
      <c r="L109" s="25"/>
      <c r="M109" s="25"/>
      <c r="N109" s="25"/>
      <c r="O109" s="23" t="s">
        <v>1800</v>
      </c>
      <c r="Y109" s="179" t="s">
        <v>1860</v>
      </c>
      <c r="Z109" s="25" t="s">
        <v>1672</v>
      </c>
      <c r="AA109" s="131">
        <f t="shared" si="4"/>
        <v>224</v>
      </c>
      <c r="AB109" s="25" t="s">
        <v>1671</v>
      </c>
    </row>
    <row r="110" spans="25:28" ht="11.25">
      <c r="Y110" s="179" t="s">
        <v>247</v>
      </c>
      <c r="Z110" s="25" t="s">
        <v>758</v>
      </c>
      <c r="AA110" s="131">
        <f t="shared" si="4"/>
        <v>226</v>
      </c>
      <c r="AB110" s="25" t="s">
        <v>614</v>
      </c>
    </row>
    <row r="111" spans="25:28" ht="11.25">
      <c r="Y111" s="179" t="s">
        <v>248</v>
      </c>
      <c r="Z111" s="25" t="s">
        <v>759</v>
      </c>
      <c r="AA111" s="131">
        <f t="shared" si="4"/>
        <v>227</v>
      </c>
      <c r="AB111" s="25" t="s">
        <v>614</v>
      </c>
    </row>
    <row r="112" spans="25:28" ht="11.25">
      <c r="Y112" s="25" t="s">
        <v>2128</v>
      </c>
      <c r="Z112" s="25" t="s">
        <v>760</v>
      </c>
      <c r="AA112" s="131">
        <f t="shared" si="4"/>
        <v>240</v>
      </c>
      <c r="AB112" s="25" t="s">
        <v>1238</v>
      </c>
    </row>
    <row r="113" spans="25:28" ht="11.25">
      <c r="Y113" s="179" t="s">
        <v>912</v>
      </c>
      <c r="Z113" s="25" t="s">
        <v>761</v>
      </c>
      <c r="AA113" s="131">
        <f t="shared" si="4"/>
        <v>232</v>
      </c>
      <c r="AB113" s="25" t="s">
        <v>1220</v>
      </c>
    </row>
    <row r="114" spans="25:28" ht="11.25">
      <c r="Y114" s="179" t="s">
        <v>913</v>
      </c>
      <c r="Z114" s="25" t="s">
        <v>762</v>
      </c>
      <c r="AA114" s="131">
        <f t="shared" si="4"/>
        <v>233</v>
      </c>
      <c r="AB114" s="25" t="s">
        <v>1238</v>
      </c>
    </row>
    <row r="115" spans="25:28" ht="11.25">
      <c r="Y115" s="179" t="s">
        <v>1271</v>
      </c>
      <c r="Z115" s="25" t="s">
        <v>763</v>
      </c>
      <c r="AA115" s="131">
        <f t="shared" si="4"/>
        <v>235</v>
      </c>
      <c r="AB115" s="25" t="s">
        <v>1220</v>
      </c>
    </row>
    <row r="116" spans="25:28" ht="11.25">
      <c r="Y116" s="179" t="s">
        <v>1272</v>
      </c>
      <c r="Z116" s="25" t="s">
        <v>764</v>
      </c>
      <c r="AA116" s="131">
        <f t="shared" si="4"/>
        <v>236</v>
      </c>
      <c r="AB116" s="25" t="s">
        <v>1220</v>
      </c>
    </row>
    <row r="117" spans="25:28" ht="11.25">
      <c r="Y117" s="179" t="s">
        <v>1273</v>
      </c>
      <c r="Z117" s="25" t="s">
        <v>765</v>
      </c>
      <c r="AA117" s="131">
        <f t="shared" si="4"/>
        <v>237</v>
      </c>
      <c r="AB117" s="25" t="s">
        <v>1219</v>
      </c>
    </row>
    <row r="118" spans="25:28" ht="11.25">
      <c r="Y118" s="179" t="s">
        <v>1673</v>
      </c>
      <c r="Z118" s="25" t="s">
        <v>766</v>
      </c>
      <c r="AA118" s="131">
        <f aca="true" t="shared" si="5" ref="AA118:AA145">VLOOKUP(MID(Y118,4,9),$W$2:$X$34,2,0)*10+VLOOKUP(LEFT(Y118,3),$V$71:$W$82,2,0)</f>
        <v>251</v>
      </c>
      <c r="AB118" s="25" t="s">
        <v>1341</v>
      </c>
    </row>
    <row r="119" spans="25:28" ht="11.25">
      <c r="Y119" s="181" t="s">
        <v>1674</v>
      </c>
      <c r="Z119" s="25" t="s">
        <v>767</v>
      </c>
      <c r="AA119" s="131">
        <f t="shared" si="5"/>
        <v>252</v>
      </c>
      <c r="AB119" s="25" t="s">
        <v>1337</v>
      </c>
    </row>
    <row r="120" spans="25:28" ht="11.25">
      <c r="Y120" s="179" t="s">
        <v>1207</v>
      </c>
      <c r="Z120" s="25" t="s">
        <v>768</v>
      </c>
      <c r="AA120" s="131">
        <f t="shared" si="5"/>
        <v>253</v>
      </c>
      <c r="AB120" s="25" t="s">
        <v>1515</v>
      </c>
    </row>
    <row r="121" spans="25:28" ht="11.25">
      <c r="Y121" s="179" t="s">
        <v>1675</v>
      </c>
      <c r="Z121" s="25" t="s">
        <v>769</v>
      </c>
      <c r="AA121" s="131">
        <f t="shared" si="5"/>
        <v>260</v>
      </c>
      <c r="AB121" s="25" t="s">
        <v>455</v>
      </c>
    </row>
    <row r="122" spans="25:28" ht="11.25">
      <c r="Y122" s="179" t="s">
        <v>1676</v>
      </c>
      <c r="Z122" s="25" t="s">
        <v>770</v>
      </c>
      <c r="AA122" s="131">
        <f t="shared" si="5"/>
        <v>261</v>
      </c>
      <c r="AB122" s="25" t="s">
        <v>456</v>
      </c>
    </row>
    <row r="123" spans="25:28" ht="11.25">
      <c r="Y123" s="179" t="s">
        <v>1677</v>
      </c>
      <c r="Z123" s="25" t="s">
        <v>771</v>
      </c>
      <c r="AA123" s="131">
        <f t="shared" si="5"/>
        <v>262</v>
      </c>
      <c r="AB123" s="25" t="s">
        <v>457</v>
      </c>
    </row>
    <row r="124" spans="25:28" ht="11.25">
      <c r="Y124" s="179" t="s">
        <v>1208</v>
      </c>
      <c r="Z124" s="25" t="s">
        <v>772</v>
      </c>
      <c r="AA124" s="131">
        <f t="shared" si="5"/>
        <v>263</v>
      </c>
      <c r="AB124" s="25"/>
    </row>
    <row r="125" spans="25:28" ht="11.25">
      <c r="Y125" s="179" t="s">
        <v>1678</v>
      </c>
      <c r="Z125" s="25" t="s">
        <v>773</v>
      </c>
      <c r="AA125" s="131">
        <f t="shared" si="5"/>
        <v>271</v>
      </c>
      <c r="AB125" s="25" t="s">
        <v>458</v>
      </c>
    </row>
    <row r="126" spans="25:28" ht="11.25">
      <c r="Y126" s="179" t="s">
        <v>1679</v>
      </c>
      <c r="Z126" s="25" t="s">
        <v>774</v>
      </c>
      <c r="AA126" s="131">
        <f t="shared" si="5"/>
        <v>272</v>
      </c>
      <c r="AB126" s="25" t="s">
        <v>459</v>
      </c>
    </row>
    <row r="127" spans="25:28" ht="11.25">
      <c r="Y127" s="179" t="s">
        <v>1206</v>
      </c>
      <c r="Z127" s="25" t="s">
        <v>775</v>
      </c>
      <c r="AA127" s="131">
        <f t="shared" si="5"/>
        <v>273</v>
      </c>
      <c r="AB127" s="25" t="s">
        <v>460</v>
      </c>
    </row>
    <row r="128" spans="25:28" ht="11.25">
      <c r="Y128" s="181" t="s">
        <v>1680</v>
      </c>
      <c r="Z128" s="25" t="s">
        <v>776</v>
      </c>
      <c r="AA128" s="131">
        <f t="shared" si="5"/>
        <v>281</v>
      </c>
      <c r="AB128" s="25" t="s">
        <v>461</v>
      </c>
    </row>
    <row r="129" spans="25:28" ht="11.25">
      <c r="Y129" s="181" t="s">
        <v>1681</v>
      </c>
      <c r="Z129" s="25" t="s">
        <v>777</v>
      </c>
      <c r="AA129" s="131">
        <f t="shared" si="5"/>
        <v>282</v>
      </c>
      <c r="AB129" s="25" t="s">
        <v>1340</v>
      </c>
    </row>
    <row r="130" spans="25:28" ht="11.25">
      <c r="Y130" s="181" t="s">
        <v>1209</v>
      </c>
      <c r="Z130" s="25" t="s">
        <v>778</v>
      </c>
      <c r="AA130" s="131">
        <f t="shared" si="5"/>
        <v>283</v>
      </c>
      <c r="AB130" s="25" t="s">
        <v>462</v>
      </c>
    </row>
    <row r="131" spans="25:28" ht="11.25">
      <c r="Y131" s="181" t="s">
        <v>1682</v>
      </c>
      <c r="Z131" s="25" t="s">
        <v>779</v>
      </c>
      <c r="AA131" s="131">
        <f t="shared" si="5"/>
        <v>291</v>
      </c>
      <c r="AB131" s="25" t="s">
        <v>1516</v>
      </c>
    </row>
    <row r="132" spans="25:28" ht="11.25">
      <c r="Y132" s="181" t="s">
        <v>1683</v>
      </c>
      <c r="Z132" s="25" t="s">
        <v>780</v>
      </c>
      <c r="AA132" s="131">
        <f t="shared" si="5"/>
        <v>292</v>
      </c>
      <c r="AB132" s="25" t="s">
        <v>1517</v>
      </c>
    </row>
    <row r="133" spans="25:28" ht="11.25">
      <c r="Y133" s="181" t="s">
        <v>1210</v>
      </c>
      <c r="Z133" s="25" t="s">
        <v>781</v>
      </c>
      <c r="AA133" s="131">
        <f t="shared" si="5"/>
        <v>293</v>
      </c>
      <c r="AB133" s="25" t="s">
        <v>463</v>
      </c>
    </row>
    <row r="134" spans="25:28" ht="11.25">
      <c r="Y134" s="179" t="s">
        <v>1684</v>
      </c>
      <c r="Z134" s="25" t="s">
        <v>782</v>
      </c>
      <c r="AA134" s="131">
        <f t="shared" si="5"/>
        <v>301</v>
      </c>
      <c r="AB134" s="25" t="s">
        <v>464</v>
      </c>
    </row>
    <row r="135" spans="25:28" ht="11.25">
      <c r="Y135" s="179" t="s">
        <v>1685</v>
      </c>
      <c r="Z135" s="25" t="s">
        <v>783</v>
      </c>
      <c r="AA135" s="131">
        <f t="shared" si="5"/>
        <v>302</v>
      </c>
      <c r="AB135" s="25" t="s">
        <v>1253</v>
      </c>
    </row>
    <row r="136" spans="25:28" ht="11.25">
      <c r="Y136" s="179" t="s">
        <v>1211</v>
      </c>
      <c r="Z136" s="25" t="s">
        <v>784</v>
      </c>
      <c r="AA136" s="131">
        <f t="shared" si="5"/>
        <v>303</v>
      </c>
      <c r="AB136" s="25" t="s">
        <v>465</v>
      </c>
    </row>
    <row r="137" spans="25:28" ht="11.25">
      <c r="Y137" s="179" t="s">
        <v>1686</v>
      </c>
      <c r="Z137" s="25" t="s">
        <v>785</v>
      </c>
      <c r="AA137" s="131">
        <f t="shared" si="5"/>
        <v>311</v>
      </c>
      <c r="AB137" s="25" t="s">
        <v>466</v>
      </c>
    </row>
    <row r="138" spans="25:28" ht="11.25">
      <c r="Y138" s="179" t="s">
        <v>1687</v>
      </c>
      <c r="Z138" s="25" t="s">
        <v>786</v>
      </c>
      <c r="AA138" s="131">
        <f t="shared" si="5"/>
        <v>312</v>
      </c>
      <c r="AB138" s="25" t="s">
        <v>467</v>
      </c>
    </row>
    <row r="139" spans="25:28" ht="11.25">
      <c r="Y139" s="179" t="s">
        <v>1212</v>
      </c>
      <c r="Z139" s="25" t="s">
        <v>787</v>
      </c>
      <c r="AA139" s="131">
        <f t="shared" si="5"/>
        <v>313</v>
      </c>
      <c r="AB139" s="25" t="s">
        <v>462</v>
      </c>
    </row>
    <row r="140" spans="25:28" ht="11.25">
      <c r="Y140" s="179" t="s">
        <v>1688</v>
      </c>
      <c r="Z140" s="25" t="s">
        <v>788</v>
      </c>
      <c r="AA140" s="131">
        <f t="shared" si="5"/>
        <v>321</v>
      </c>
      <c r="AB140" s="25" t="s">
        <v>1338</v>
      </c>
    </row>
    <row r="141" spans="25:28" ht="11.25">
      <c r="Y141" s="179" t="s">
        <v>1689</v>
      </c>
      <c r="Z141" s="25" t="s">
        <v>789</v>
      </c>
      <c r="AA141" s="131">
        <f t="shared" si="5"/>
        <v>322</v>
      </c>
      <c r="AB141" s="25" t="s">
        <v>1339</v>
      </c>
    </row>
    <row r="142" spans="25:28" ht="11.25">
      <c r="Y142" s="179" t="s">
        <v>1213</v>
      </c>
      <c r="Z142" s="25" t="s">
        <v>790</v>
      </c>
      <c r="AA142" s="131">
        <f t="shared" si="5"/>
        <v>323</v>
      </c>
      <c r="AB142" s="25" t="s">
        <v>463</v>
      </c>
    </row>
    <row r="143" spans="25:28" ht="11.25">
      <c r="Y143" s="179" t="s">
        <v>1690</v>
      </c>
      <c r="Z143" s="25" t="s">
        <v>791</v>
      </c>
      <c r="AA143" s="131">
        <f t="shared" si="5"/>
        <v>331</v>
      </c>
      <c r="AB143" s="25" t="s">
        <v>1254</v>
      </c>
    </row>
    <row r="144" spans="25:28" ht="11.25">
      <c r="Y144" s="179" t="s">
        <v>1691</v>
      </c>
      <c r="Z144" s="25" t="s">
        <v>792</v>
      </c>
      <c r="AA144" s="131">
        <f t="shared" si="5"/>
        <v>332</v>
      </c>
      <c r="AB144" s="25" t="s">
        <v>1255</v>
      </c>
    </row>
    <row r="145" spans="25:28" ht="11.25">
      <c r="Y145" s="179" t="s">
        <v>1214</v>
      </c>
      <c r="Z145" s="25" t="s">
        <v>793</v>
      </c>
      <c r="AA145" s="131">
        <f t="shared" si="5"/>
        <v>333</v>
      </c>
      <c r="AB145" s="25" t="s">
        <v>460</v>
      </c>
    </row>
    <row r="146" spans="25:28" ht="11.25">
      <c r="Y146" s="179"/>
      <c r="Z146" s="79"/>
      <c r="AA146" s="131"/>
      <c r="AB146" s="25"/>
    </row>
    <row r="147" spans="25:28" ht="11.25">
      <c r="Y147" s="21"/>
      <c r="Z147" s="79"/>
      <c r="AA147" s="131"/>
      <c r="AB147" s="25"/>
    </row>
    <row r="148" spans="25:28" ht="11.25">
      <c r="Y148" s="21"/>
      <c r="Z148" s="79"/>
      <c r="AA148" s="131"/>
      <c r="AB148" s="25"/>
    </row>
    <row r="149" spans="25:28" ht="11.25">
      <c r="Y149" s="21"/>
      <c r="Z149" s="79"/>
      <c r="AA149" s="131"/>
      <c r="AB149" s="25"/>
    </row>
  </sheetData>
  <sheetProtection/>
  <autoFilter ref="A1:O155"/>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codeName="Sheet3">
    <tabColor rgb="FF0070C0"/>
  </sheetPr>
  <dimension ref="A1:BA139"/>
  <sheetViews>
    <sheetView tabSelected="1" zoomScalePageLayoutView="0" workbookViewId="0" topLeftCell="A1">
      <pane xSplit="12" ySplit="1" topLeftCell="M110" activePane="bottomRight" state="frozen"/>
      <selection pane="topLeft" activeCell="A1" sqref="A1"/>
      <selection pane="topRight" activeCell="E1" sqref="E1"/>
      <selection pane="bottomLeft" activeCell="A2" sqref="A2"/>
      <selection pane="bottomRight" activeCell="AC137" sqref="AC137"/>
    </sheetView>
  </sheetViews>
  <sheetFormatPr defaultColWidth="9.00390625" defaultRowHeight="11.25" customHeight="1"/>
  <cols>
    <col min="1" max="1" width="5.25390625" style="126" hidden="1" customWidth="1"/>
    <col min="2" max="2" width="10.00390625" style="130" hidden="1" customWidth="1"/>
    <col min="3" max="3" width="9.125" style="86" hidden="1" customWidth="1"/>
    <col min="4" max="4" width="9.25390625" style="86" hidden="1" customWidth="1"/>
    <col min="5" max="5" width="10.00390625" style="130" hidden="1" customWidth="1"/>
    <col min="6" max="6" width="11.625" style="86" hidden="1" customWidth="1"/>
    <col min="7" max="8" width="11.50390625" style="86" hidden="1" customWidth="1"/>
    <col min="9" max="9" width="5.25390625" style="27" hidden="1" customWidth="1"/>
    <col min="10" max="11" width="4.50390625" style="32" customWidth="1"/>
    <col min="12" max="12" width="12.50390625" style="27" customWidth="1"/>
    <col min="13" max="13" width="4.375" style="32" customWidth="1"/>
    <col min="14" max="14" width="3.375" style="32" customWidth="1"/>
    <col min="15" max="15" width="4.75390625" style="32" customWidth="1"/>
    <col min="16" max="16" width="4.50390625" style="32" customWidth="1"/>
    <col min="17" max="17" width="5.50390625" style="32" customWidth="1"/>
    <col min="18" max="18" width="4.625" style="32" customWidth="1"/>
    <col min="19" max="19" width="20.75390625" style="27" customWidth="1"/>
    <col min="20" max="20" width="16.25390625" style="27" customWidth="1"/>
    <col min="21" max="21" width="24.50390625" style="27" customWidth="1"/>
    <col min="22" max="22" width="19.125" style="27" customWidth="1"/>
    <col min="23" max="23" width="17.125" style="27" customWidth="1"/>
    <col min="24" max="24" width="22.375" style="27" customWidth="1"/>
    <col min="25" max="25" width="12.50390625" style="27" customWidth="1"/>
    <col min="26" max="26" width="7.125" style="27" customWidth="1"/>
    <col min="27" max="27" width="10.875" style="27" customWidth="1"/>
    <col min="28" max="28" width="31.00390625" style="27" customWidth="1"/>
    <col min="29" max="29" width="22.00390625" style="27" customWidth="1"/>
    <col min="30" max="30" width="9.25390625" style="27" customWidth="1"/>
    <col min="31" max="31" width="13.50390625" style="27" customWidth="1"/>
    <col min="32" max="32" width="16.375" style="27" customWidth="1"/>
    <col min="33" max="33" width="12.625" style="27" customWidth="1"/>
    <col min="34" max="34" width="7.125" style="27" customWidth="1"/>
    <col min="35" max="35" width="7.00390625" style="27" customWidth="1"/>
    <col min="36" max="36" width="4.625" style="75" customWidth="1"/>
    <col min="37" max="37" width="10.375" style="27" customWidth="1"/>
    <col min="38" max="38" width="6.625" style="77" customWidth="1"/>
    <col min="39" max="39" width="3.375" style="27" customWidth="1"/>
    <col min="40" max="40" width="4.375" style="27" customWidth="1"/>
    <col min="41" max="41" width="64.25390625" style="149" customWidth="1"/>
    <col min="42" max="42" width="4.875" style="32" customWidth="1"/>
    <col min="43" max="43" width="6.00390625" style="32" customWidth="1"/>
    <col min="44" max="44" width="6.50390625" style="32" customWidth="1"/>
    <col min="45" max="45" width="6.875" style="32" customWidth="1"/>
    <col min="46" max="46" width="9.875" style="32" customWidth="1"/>
    <col min="47" max="47" width="5.00390625" style="32" customWidth="1"/>
    <col min="48" max="48" width="4.50390625" style="32" customWidth="1"/>
    <col min="49" max="49" width="5.625" style="32" customWidth="1"/>
    <col min="50" max="50" width="3.875" style="32" customWidth="1"/>
    <col min="51" max="51" width="5.125" style="32" customWidth="1"/>
    <col min="52" max="52" width="9.00390625" style="196" bestFit="1" customWidth="1"/>
    <col min="53" max="53" width="10.50390625" style="194" customWidth="1"/>
    <col min="54" max="16384" width="9.00390625" style="27" customWidth="1"/>
  </cols>
  <sheetData>
    <row r="1" spans="1:53" ht="11.25" customHeight="1">
      <c r="A1" s="124" t="s">
        <v>1954</v>
      </c>
      <c r="B1" s="128" t="s">
        <v>1366</v>
      </c>
      <c r="C1" s="85" t="s">
        <v>1510</v>
      </c>
      <c r="D1" s="85" t="s">
        <v>1509</v>
      </c>
      <c r="E1" s="128" t="s">
        <v>1475</v>
      </c>
      <c r="F1" s="85" t="s">
        <v>1508</v>
      </c>
      <c r="G1" s="85" t="s">
        <v>1364</v>
      </c>
      <c r="H1" s="85" t="s">
        <v>1365</v>
      </c>
      <c r="I1" s="127" t="s">
        <v>1511</v>
      </c>
      <c r="J1" s="22" t="s">
        <v>1955</v>
      </c>
      <c r="K1" s="22" t="s">
        <v>1058</v>
      </c>
      <c r="L1" s="29" t="s">
        <v>2113</v>
      </c>
      <c r="M1" s="22" t="s">
        <v>1059</v>
      </c>
      <c r="N1" s="22" t="s">
        <v>1060</v>
      </c>
      <c r="O1" s="22" t="s">
        <v>536</v>
      </c>
      <c r="P1" s="22" t="s">
        <v>537</v>
      </c>
      <c r="Q1" s="22" t="s">
        <v>538</v>
      </c>
      <c r="R1" s="22" t="s">
        <v>539</v>
      </c>
      <c r="S1" s="29" t="s">
        <v>540</v>
      </c>
      <c r="T1" s="29" t="s">
        <v>2312</v>
      </c>
      <c r="U1" s="29" t="s">
        <v>1492</v>
      </c>
      <c r="V1" s="29" t="s">
        <v>2311</v>
      </c>
      <c r="W1" s="29" t="s">
        <v>935</v>
      </c>
      <c r="X1" s="29" t="s">
        <v>936</v>
      </c>
      <c r="Y1" s="29" t="s">
        <v>898</v>
      </c>
      <c r="Z1" s="29" t="s">
        <v>842</v>
      </c>
      <c r="AA1" s="29" t="s">
        <v>867</v>
      </c>
      <c r="AB1" s="29" t="s">
        <v>1476</v>
      </c>
      <c r="AC1" s="34" t="s">
        <v>2114</v>
      </c>
      <c r="AD1" s="34" t="s">
        <v>897</v>
      </c>
      <c r="AE1" s="34" t="s">
        <v>1512</v>
      </c>
      <c r="AF1" s="34" t="s">
        <v>1183</v>
      </c>
      <c r="AG1" s="34" t="s">
        <v>1459</v>
      </c>
      <c r="AH1" s="34" t="s">
        <v>1184</v>
      </c>
      <c r="AI1" s="34" t="s">
        <v>1185</v>
      </c>
      <c r="AJ1" s="24" t="s">
        <v>1458</v>
      </c>
      <c r="AK1" s="35" t="s">
        <v>1038</v>
      </c>
      <c r="AL1" s="157" t="s">
        <v>1954</v>
      </c>
      <c r="AM1" s="35" t="s">
        <v>171</v>
      </c>
      <c r="AN1" s="82" t="s">
        <v>1037</v>
      </c>
      <c r="AO1" s="147" t="s">
        <v>375</v>
      </c>
      <c r="AP1" s="33" t="s">
        <v>804</v>
      </c>
      <c r="AQ1" s="33" t="s">
        <v>1810</v>
      </c>
      <c r="AR1" s="144" t="s">
        <v>947</v>
      </c>
      <c r="AS1" s="33" t="s">
        <v>22</v>
      </c>
      <c r="AT1" s="23"/>
      <c r="AU1" s="33" t="s">
        <v>1807</v>
      </c>
      <c r="AV1" s="33" t="s">
        <v>1808</v>
      </c>
      <c r="AW1" s="33" t="s">
        <v>1806</v>
      </c>
      <c r="AX1" s="33" t="s">
        <v>1809</v>
      </c>
      <c r="AY1" s="33" t="s">
        <v>26</v>
      </c>
      <c r="AZ1" s="184" t="s">
        <v>2132</v>
      </c>
      <c r="BA1" s="191" t="s">
        <v>2286</v>
      </c>
    </row>
    <row r="2" spans="1:53" ht="11.25" customHeight="1">
      <c r="A2" s="125">
        <v>1</v>
      </c>
      <c r="B2" s="129" t="str">
        <f>VLOOKUP(Z2,'コード表'!$T$2:$X$36,5,0)</f>
        <v>21</v>
      </c>
      <c r="C2" s="83">
        <f>VLOOKUP(N2,'コード表'!$W$47:$X$50,2,0)</f>
        <v>3</v>
      </c>
      <c r="D2" s="83">
        <f>VLOOKUP(M2,'コード表'!$W$53:$X$56,2,0)</f>
        <v>3</v>
      </c>
      <c r="E2" s="129">
        <f>VLOOKUP(AA2,'コード表'!Y:AA,3,0)</f>
        <v>215</v>
      </c>
      <c r="F2" s="83">
        <f>VLOOKUP(K2,'コード表'!$W$38:$X$44,2,0)</f>
        <v>1</v>
      </c>
      <c r="G2" s="83">
        <f>VLOOKUP(S2,'コード表'!A:D,4,0)</f>
        <v>100</v>
      </c>
      <c r="H2" s="83">
        <f>VLOOKUP(U2,'コード表'!A:D,4,0)</f>
        <v>100</v>
      </c>
      <c r="I2" s="25">
        <v>1</v>
      </c>
      <c r="J2" s="83" t="s">
        <v>1513</v>
      </c>
      <c r="K2" s="23" t="s">
        <v>541</v>
      </c>
      <c r="L2" s="25" t="s">
        <v>1564</v>
      </c>
      <c r="M2" s="23" t="s">
        <v>542</v>
      </c>
      <c r="N2" s="23">
        <v>4</v>
      </c>
      <c r="O2" s="23">
        <v>410</v>
      </c>
      <c r="P2" s="23">
        <v>410</v>
      </c>
      <c r="Q2" s="23">
        <v>410</v>
      </c>
      <c r="R2" s="23">
        <v>100</v>
      </c>
      <c r="S2" s="25" t="s">
        <v>677</v>
      </c>
      <c r="T2" s="25" t="s">
        <v>1174</v>
      </c>
      <c r="U2" s="25" t="s">
        <v>677</v>
      </c>
      <c r="V2" s="25" t="s">
        <v>1030</v>
      </c>
      <c r="W2" s="25" t="s">
        <v>1562</v>
      </c>
      <c r="X2" s="25" t="s">
        <v>413</v>
      </c>
      <c r="Y2" s="25" t="s">
        <v>414</v>
      </c>
      <c r="Z2" s="25" t="s">
        <v>405</v>
      </c>
      <c r="AA2" s="25" t="s">
        <v>415</v>
      </c>
      <c r="AB2" s="25"/>
      <c r="AC2" s="25" t="s">
        <v>547</v>
      </c>
      <c r="AD2" s="25" t="s">
        <v>416</v>
      </c>
      <c r="AE2" s="25" t="s">
        <v>1494</v>
      </c>
      <c r="AF2" s="25" t="s">
        <v>555</v>
      </c>
      <c r="AG2" s="25" t="s">
        <v>417</v>
      </c>
      <c r="AH2" s="25"/>
      <c r="AI2" s="25"/>
      <c r="AJ2" s="36"/>
      <c r="AK2" s="25"/>
      <c r="AL2" s="26"/>
      <c r="AM2" s="25"/>
      <c r="AN2" s="25"/>
      <c r="AO2" s="148"/>
      <c r="AP2" s="23">
        <v>7000</v>
      </c>
      <c r="AQ2" s="23" t="str">
        <f aca="true" t="shared" si="0" ref="AQ2:AQ33">LEFT(AP2,1)&amp;K2</f>
        <v>7PR</v>
      </c>
      <c r="AR2" s="23" t="str">
        <f aca="true" t="shared" si="1" ref="AR2:AR33">IF(AND($H2&gt;500,$H2&lt;700),"0"&amp;$AS2,$C2&amp;$AS2)</f>
        <v>34</v>
      </c>
      <c r="AS2" s="23">
        <v>4</v>
      </c>
      <c r="AT2" s="23"/>
      <c r="AU2" s="23"/>
      <c r="AV2" s="23"/>
      <c r="AW2" s="23"/>
      <c r="AX2" s="23"/>
      <c r="AY2" s="23">
        <v>54</v>
      </c>
      <c r="AZ2" s="185">
        <v>40830</v>
      </c>
      <c r="BA2" s="192"/>
    </row>
    <row r="3" spans="1:53" ht="11.25" customHeight="1">
      <c r="A3" s="125">
        <v>2</v>
      </c>
      <c r="B3" s="129" t="str">
        <f>VLOOKUP(Z3,'コード表'!$T$2:$X$36,5,0)</f>
        <v>21</v>
      </c>
      <c r="C3" s="83">
        <f>VLOOKUP(N3,'コード表'!$W$47:$X$50,2,0)</f>
        <v>3</v>
      </c>
      <c r="D3" s="83">
        <f>VLOOKUP(M3,'コード表'!$W$53:$X$56,2,0)</f>
        <v>1</v>
      </c>
      <c r="E3" s="129">
        <f>VLOOKUP(AA3,'コード表'!Y:AA,3,0)</f>
        <v>215</v>
      </c>
      <c r="F3" s="83">
        <f>VLOOKUP(K3,'コード表'!$W$38:$X$44,2,0)</f>
        <v>1</v>
      </c>
      <c r="G3" s="83">
        <f>VLOOKUP(S3,'コード表'!A:D,4,0)</f>
        <v>100</v>
      </c>
      <c r="H3" s="83">
        <f>VLOOKUP(U3,'コード表'!A:D,4,0)</f>
        <v>100</v>
      </c>
      <c r="I3" s="25">
        <v>2</v>
      </c>
      <c r="J3" s="83" t="s">
        <v>1514</v>
      </c>
      <c r="K3" s="23" t="s">
        <v>541</v>
      </c>
      <c r="L3" s="25" t="s">
        <v>1565</v>
      </c>
      <c r="M3" s="23" t="s">
        <v>543</v>
      </c>
      <c r="N3" s="23">
        <v>4</v>
      </c>
      <c r="O3" s="23">
        <v>520</v>
      </c>
      <c r="P3" s="23">
        <v>510</v>
      </c>
      <c r="Q3" s="23">
        <v>350</v>
      </c>
      <c r="R3" s="23">
        <v>100</v>
      </c>
      <c r="S3" s="25" t="s">
        <v>677</v>
      </c>
      <c r="T3" s="25" t="s">
        <v>1174</v>
      </c>
      <c r="U3" s="25" t="s">
        <v>677</v>
      </c>
      <c r="V3" s="25" t="s">
        <v>1030</v>
      </c>
      <c r="W3" s="25" t="s">
        <v>1562</v>
      </c>
      <c r="X3" s="25" t="s">
        <v>413</v>
      </c>
      <c r="Y3" s="25" t="s">
        <v>414</v>
      </c>
      <c r="Z3" s="25" t="s">
        <v>405</v>
      </c>
      <c r="AA3" s="25" t="s">
        <v>415</v>
      </c>
      <c r="AB3" s="25"/>
      <c r="AC3" s="25" t="s">
        <v>548</v>
      </c>
      <c r="AD3" s="25" t="s">
        <v>416</v>
      </c>
      <c r="AE3" s="25" t="s">
        <v>1494</v>
      </c>
      <c r="AF3" s="25" t="s">
        <v>555</v>
      </c>
      <c r="AG3" s="25" t="s">
        <v>417</v>
      </c>
      <c r="AH3" s="25"/>
      <c r="AI3" s="25"/>
      <c r="AJ3" s="36"/>
      <c r="AK3" s="25"/>
      <c r="AL3" s="26"/>
      <c r="AM3" s="25"/>
      <c r="AN3" s="25"/>
      <c r="AO3" s="148"/>
      <c r="AP3" s="23">
        <v>7000</v>
      </c>
      <c r="AQ3" s="23" t="str">
        <f t="shared" si="0"/>
        <v>7PR</v>
      </c>
      <c r="AR3" s="23" t="str">
        <f t="shared" si="1"/>
        <v>34</v>
      </c>
      <c r="AS3" s="23">
        <v>4</v>
      </c>
      <c r="AT3" s="23"/>
      <c r="AU3" s="23"/>
      <c r="AV3" s="23"/>
      <c r="AW3" s="23"/>
      <c r="AX3" s="23"/>
      <c r="AY3" s="23">
        <v>55</v>
      </c>
      <c r="AZ3" s="185">
        <v>40830</v>
      </c>
      <c r="BA3" s="192"/>
    </row>
    <row r="4" spans="1:53" ht="11.25" customHeight="1">
      <c r="A4" s="125">
        <v>3</v>
      </c>
      <c r="B4" s="129" t="str">
        <f>VLOOKUP(Z4,'コード表'!$T$2:$X$36,5,0)</f>
        <v>21</v>
      </c>
      <c r="C4" s="83">
        <f>VLOOKUP(N4,'コード表'!$W$47:$X$50,2,0)</f>
        <v>3</v>
      </c>
      <c r="D4" s="83">
        <f>VLOOKUP(M4,'コード表'!$W$53:$X$56,2,0)</f>
        <v>2</v>
      </c>
      <c r="E4" s="129">
        <f>VLOOKUP(AA4,'コード表'!Y:AA,3,0)</f>
        <v>215</v>
      </c>
      <c r="F4" s="83">
        <f>VLOOKUP(K4,'コード表'!$W$38:$X$44,2,0)</f>
        <v>1</v>
      </c>
      <c r="G4" s="83">
        <f>VLOOKUP(S4,'コード表'!A:D,4,0)</f>
        <v>100</v>
      </c>
      <c r="H4" s="83">
        <f>VLOOKUP(U4,'コード表'!A:D,4,0)</f>
        <v>100</v>
      </c>
      <c r="I4" s="25">
        <v>3</v>
      </c>
      <c r="J4" s="83" t="s">
        <v>1471</v>
      </c>
      <c r="K4" s="23" t="s">
        <v>541</v>
      </c>
      <c r="L4" s="25" t="s">
        <v>1561</v>
      </c>
      <c r="M4" s="23" t="s">
        <v>544</v>
      </c>
      <c r="N4" s="23">
        <v>4</v>
      </c>
      <c r="O4" s="23">
        <v>520</v>
      </c>
      <c r="P4" s="23">
        <v>510</v>
      </c>
      <c r="Q4" s="23">
        <v>350</v>
      </c>
      <c r="R4" s="23">
        <v>100</v>
      </c>
      <c r="S4" s="25" t="s">
        <v>677</v>
      </c>
      <c r="T4" s="25" t="s">
        <v>1174</v>
      </c>
      <c r="U4" s="25" t="s">
        <v>677</v>
      </c>
      <c r="V4" s="25" t="s">
        <v>1030</v>
      </c>
      <c r="W4" s="25" t="s">
        <v>1562</v>
      </c>
      <c r="X4" s="25" t="s">
        <v>413</v>
      </c>
      <c r="Y4" s="25" t="s">
        <v>414</v>
      </c>
      <c r="Z4" s="25" t="s">
        <v>405</v>
      </c>
      <c r="AA4" s="25" t="s">
        <v>415</v>
      </c>
      <c r="AB4" s="25"/>
      <c r="AC4" s="25" t="s">
        <v>549</v>
      </c>
      <c r="AD4" s="25" t="s">
        <v>416</v>
      </c>
      <c r="AE4" s="25" t="s">
        <v>1494</v>
      </c>
      <c r="AF4" s="25" t="s">
        <v>555</v>
      </c>
      <c r="AG4" s="25" t="s">
        <v>417</v>
      </c>
      <c r="AH4" s="25"/>
      <c r="AI4" s="25"/>
      <c r="AJ4" s="36"/>
      <c r="AK4" s="25"/>
      <c r="AL4" s="26"/>
      <c r="AM4" s="25"/>
      <c r="AN4" s="25"/>
      <c r="AO4" s="148"/>
      <c r="AP4" s="23">
        <v>7000</v>
      </c>
      <c r="AQ4" s="23" t="str">
        <f t="shared" si="0"/>
        <v>7PR</v>
      </c>
      <c r="AR4" s="23" t="str">
        <f t="shared" si="1"/>
        <v>34</v>
      </c>
      <c r="AS4" s="23">
        <v>4</v>
      </c>
      <c r="AT4" s="23"/>
      <c r="AU4" s="23"/>
      <c r="AV4" s="23" t="s">
        <v>1177</v>
      </c>
      <c r="AW4" s="23"/>
      <c r="AX4" s="23"/>
      <c r="AY4" s="23">
        <v>60</v>
      </c>
      <c r="AZ4" s="185">
        <v>40830</v>
      </c>
      <c r="BA4" s="192"/>
    </row>
    <row r="5" spans="1:53" ht="11.25" customHeight="1">
      <c r="A5" s="125">
        <v>4</v>
      </c>
      <c r="B5" s="129" t="str">
        <f>VLOOKUP(Z5,'コード表'!$T$2:$X$36,5,0)</f>
        <v>21</v>
      </c>
      <c r="C5" s="83">
        <f>VLOOKUP(N5,'コード表'!$W$47:$X$50,2,0)</f>
        <v>3</v>
      </c>
      <c r="D5" s="83">
        <f>VLOOKUP(M5,'コード表'!$W$53:$X$56,2,0)</f>
        <v>2</v>
      </c>
      <c r="E5" s="129">
        <f>VLOOKUP(AA5,'コード表'!Y:AA,3,0)</f>
        <v>215</v>
      </c>
      <c r="F5" s="83">
        <f>VLOOKUP(K5,'コード表'!$W$38:$X$44,2,0)</f>
        <v>1</v>
      </c>
      <c r="G5" s="83">
        <f>VLOOKUP(S5,'コード表'!A:D,4,0)</f>
        <v>100</v>
      </c>
      <c r="H5" s="83">
        <f>VLOOKUP(U5,'コード表'!A:D,4,0)</f>
        <v>100</v>
      </c>
      <c r="I5" s="25">
        <v>4</v>
      </c>
      <c r="J5" s="83" t="s">
        <v>1472</v>
      </c>
      <c r="K5" s="23" t="s">
        <v>541</v>
      </c>
      <c r="L5" s="25" t="s">
        <v>1563</v>
      </c>
      <c r="M5" s="23" t="s">
        <v>544</v>
      </c>
      <c r="N5" s="23">
        <v>4</v>
      </c>
      <c r="O5" s="23">
        <v>535</v>
      </c>
      <c r="P5" s="23">
        <v>445</v>
      </c>
      <c r="Q5" s="23">
        <v>445</v>
      </c>
      <c r="R5" s="23">
        <v>100</v>
      </c>
      <c r="S5" s="25" t="s">
        <v>677</v>
      </c>
      <c r="T5" s="25" t="s">
        <v>1174</v>
      </c>
      <c r="U5" s="25" t="s">
        <v>677</v>
      </c>
      <c r="V5" s="25" t="s">
        <v>1030</v>
      </c>
      <c r="W5" s="25" t="s">
        <v>1562</v>
      </c>
      <c r="X5" s="25" t="s">
        <v>413</v>
      </c>
      <c r="Y5" s="25" t="s">
        <v>414</v>
      </c>
      <c r="Z5" s="25" t="s">
        <v>405</v>
      </c>
      <c r="AA5" s="25" t="s">
        <v>415</v>
      </c>
      <c r="AB5" s="25"/>
      <c r="AC5" s="25" t="s">
        <v>744</v>
      </c>
      <c r="AD5" s="25" t="s">
        <v>416</v>
      </c>
      <c r="AE5" s="25" t="s">
        <v>1494</v>
      </c>
      <c r="AF5" s="25" t="s">
        <v>555</v>
      </c>
      <c r="AG5" s="25" t="s">
        <v>417</v>
      </c>
      <c r="AH5" s="25"/>
      <c r="AI5" s="25"/>
      <c r="AJ5" s="36"/>
      <c r="AK5" s="25"/>
      <c r="AL5" s="26"/>
      <c r="AM5" s="25"/>
      <c r="AN5" s="25"/>
      <c r="AO5" s="148"/>
      <c r="AP5" s="23">
        <v>7000</v>
      </c>
      <c r="AQ5" s="23" t="str">
        <f t="shared" si="0"/>
        <v>7PR</v>
      </c>
      <c r="AR5" s="23" t="str">
        <f t="shared" si="1"/>
        <v>34</v>
      </c>
      <c r="AS5" s="23">
        <v>4</v>
      </c>
      <c r="AT5" s="23"/>
      <c r="AU5" s="23"/>
      <c r="AV5" s="23" t="s">
        <v>1177</v>
      </c>
      <c r="AW5" s="23"/>
      <c r="AX5" s="23"/>
      <c r="AY5" s="23">
        <v>66</v>
      </c>
      <c r="AZ5" s="185">
        <v>40830</v>
      </c>
      <c r="BA5" s="192"/>
    </row>
    <row r="6" spans="1:53" ht="11.25" customHeight="1">
      <c r="A6" s="125">
        <v>5</v>
      </c>
      <c r="B6" s="129" t="str">
        <f>VLOOKUP(Z6,'コード表'!$T$2:$X$36,5,0)</f>
        <v>21</v>
      </c>
      <c r="C6" s="83">
        <f>VLOOKUP(N6,'コード表'!$W$47:$X$50,2,0)</f>
        <v>3</v>
      </c>
      <c r="D6" s="83">
        <f>VLOOKUP(M6,'コード表'!$W$53:$X$56,2,0)</f>
        <v>3</v>
      </c>
      <c r="E6" s="129">
        <f>VLOOKUP(AA6,'コード表'!Y:AA,3,0)</f>
        <v>215</v>
      </c>
      <c r="F6" s="83">
        <f>VLOOKUP(K6,'コード表'!$W$38:$X$44,2,0)</f>
        <v>1</v>
      </c>
      <c r="G6" s="83">
        <f>VLOOKUP(S6,'コード表'!A:D,4,0)</f>
        <v>100</v>
      </c>
      <c r="H6" s="83">
        <f>VLOOKUP(U6,'コード表'!A:D,4,0)</f>
        <v>100</v>
      </c>
      <c r="I6" s="25">
        <v>5</v>
      </c>
      <c r="J6" s="83" t="s">
        <v>1473</v>
      </c>
      <c r="K6" s="23" t="s">
        <v>541</v>
      </c>
      <c r="L6" s="25" t="s">
        <v>1566</v>
      </c>
      <c r="M6" s="23" t="s">
        <v>542</v>
      </c>
      <c r="N6" s="23">
        <v>4</v>
      </c>
      <c r="O6" s="23">
        <v>545</v>
      </c>
      <c r="P6" s="23">
        <v>320</v>
      </c>
      <c r="Q6" s="23">
        <v>590</v>
      </c>
      <c r="R6" s="23">
        <v>100</v>
      </c>
      <c r="S6" s="25" t="s">
        <v>677</v>
      </c>
      <c r="T6" s="25" t="s">
        <v>1174</v>
      </c>
      <c r="U6" s="25" t="s">
        <v>677</v>
      </c>
      <c r="V6" s="25" t="s">
        <v>1030</v>
      </c>
      <c r="W6" s="25" t="s">
        <v>1562</v>
      </c>
      <c r="X6" s="25" t="s">
        <v>413</v>
      </c>
      <c r="Y6" s="25" t="s">
        <v>414</v>
      </c>
      <c r="Z6" s="25" t="s">
        <v>405</v>
      </c>
      <c r="AA6" s="25" t="s">
        <v>415</v>
      </c>
      <c r="AB6" s="25"/>
      <c r="AC6" s="25" t="s">
        <v>550</v>
      </c>
      <c r="AD6" s="25" t="s">
        <v>416</v>
      </c>
      <c r="AE6" s="25" t="s">
        <v>1494</v>
      </c>
      <c r="AF6" s="25" t="s">
        <v>555</v>
      </c>
      <c r="AG6" s="25" t="s">
        <v>417</v>
      </c>
      <c r="AH6" s="25"/>
      <c r="AI6" s="25"/>
      <c r="AJ6" s="36"/>
      <c r="AK6" s="25"/>
      <c r="AL6" s="26"/>
      <c r="AM6" s="25"/>
      <c r="AN6" s="25"/>
      <c r="AO6" s="148"/>
      <c r="AP6" s="23">
        <v>7000</v>
      </c>
      <c r="AQ6" s="23" t="str">
        <f t="shared" si="0"/>
        <v>7PR</v>
      </c>
      <c r="AR6" s="23" t="str">
        <f t="shared" si="1"/>
        <v>34</v>
      </c>
      <c r="AS6" s="23">
        <v>4</v>
      </c>
      <c r="AT6" s="23"/>
      <c r="AU6" s="23"/>
      <c r="AV6" s="23"/>
      <c r="AW6" s="23"/>
      <c r="AX6" s="23"/>
      <c r="AY6" s="23">
        <v>67</v>
      </c>
      <c r="AZ6" s="185">
        <v>40830</v>
      </c>
      <c r="BA6" s="192"/>
    </row>
    <row r="7" spans="1:53" ht="11.25" customHeight="1">
      <c r="A7" s="125">
        <v>6</v>
      </c>
      <c r="B7" s="129" t="str">
        <f>VLOOKUP(Z7,'コード表'!$T$2:$X$36,5,0)</f>
        <v>21</v>
      </c>
      <c r="C7" s="83">
        <f>VLOOKUP(N7,'コード表'!$W$47:$X$50,2,0)</f>
        <v>3</v>
      </c>
      <c r="D7" s="83">
        <f>VLOOKUP(M7,'コード表'!$W$53:$X$56,2,0)</f>
        <v>3</v>
      </c>
      <c r="E7" s="129">
        <f>VLOOKUP(AA7,'コード表'!Y:AA,3,0)</f>
        <v>215</v>
      </c>
      <c r="F7" s="83">
        <f>VLOOKUP(K7,'コード表'!$W$38:$X$44,2,0)</f>
        <v>1</v>
      </c>
      <c r="G7" s="83">
        <f>VLOOKUP(S7,'コード表'!A:D,4,0)</f>
        <v>100</v>
      </c>
      <c r="H7" s="83">
        <f>VLOOKUP(U7,'コード表'!A:D,4,0)</f>
        <v>130</v>
      </c>
      <c r="I7" s="25">
        <v>6</v>
      </c>
      <c r="J7" s="83" t="s">
        <v>1994</v>
      </c>
      <c r="K7" s="23" t="s">
        <v>541</v>
      </c>
      <c r="L7" s="25" t="s">
        <v>1191</v>
      </c>
      <c r="M7" s="23" t="s">
        <v>542</v>
      </c>
      <c r="N7" s="23">
        <v>4</v>
      </c>
      <c r="O7" s="23">
        <v>555</v>
      </c>
      <c r="P7" s="23">
        <v>415</v>
      </c>
      <c r="Q7" s="23">
        <v>590</v>
      </c>
      <c r="R7" s="23">
        <v>90</v>
      </c>
      <c r="S7" s="25" t="s">
        <v>677</v>
      </c>
      <c r="T7" s="25" t="s">
        <v>1174</v>
      </c>
      <c r="U7" s="25" t="s">
        <v>676</v>
      </c>
      <c r="V7" s="25" t="s">
        <v>1031</v>
      </c>
      <c r="W7" s="25" t="s">
        <v>906</v>
      </c>
      <c r="X7" s="25" t="s">
        <v>418</v>
      </c>
      <c r="Y7" s="25" t="s">
        <v>414</v>
      </c>
      <c r="Z7" s="25" t="s">
        <v>405</v>
      </c>
      <c r="AA7" s="25" t="s">
        <v>415</v>
      </c>
      <c r="AB7" s="25"/>
      <c r="AC7" s="25" t="s">
        <v>550</v>
      </c>
      <c r="AD7" s="25" t="s">
        <v>416</v>
      </c>
      <c r="AE7" s="25" t="s">
        <v>1494</v>
      </c>
      <c r="AF7" s="25" t="s">
        <v>555</v>
      </c>
      <c r="AG7" s="25" t="s">
        <v>417</v>
      </c>
      <c r="AH7" s="25"/>
      <c r="AI7" s="25"/>
      <c r="AJ7" s="36"/>
      <c r="AK7" s="25"/>
      <c r="AL7" s="26"/>
      <c r="AM7" s="25"/>
      <c r="AN7" s="25"/>
      <c r="AO7" s="148"/>
      <c r="AP7" s="23">
        <v>7000</v>
      </c>
      <c r="AQ7" s="23" t="str">
        <f t="shared" si="0"/>
        <v>7PR</v>
      </c>
      <c r="AR7" s="23" t="str">
        <f t="shared" si="1"/>
        <v>34</v>
      </c>
      <c r="AS7" s="23">
        <v>4</v>
      </c>
      <c r="AT7" s="23"/>
      <c r="AU7" s="23"/>
      <c r="AV7" s="23"/>
      <c r="AW7" s="23"/>
      <c r="AX7" s="23"/>
      <c r="AY7" s="23">
        <v>100</v>
      </c>
      <c r="AZ7" s="185">
        <v>40830</v>
      </c>
      <c r="BA7" s="192"/>
    </row>
    <row r="8" spans="1:53" ht="11.25" customHeight="1">
      <c r="A8" s="125">
        <v>7</v>
      </c>
      <c r="B8" s="129" t="str">
        <f>VLOOKUP(Z8,'コード表'!$T$2:$X$36,5,0)</f>
        <v>21</v>
      </c>
      <c r="C8" s="83">
        <f>VLOOKUP(N8,'コード表'!$W$47:$X$50,2,0)</f>
        <v>3</v>
      </c>
      <c r="D8" s="83">
        <f>VLOOKUP(M8,'コード表'!$W$53:$X$56,2,0)</f>
        <v>1</v>
      </c>
      <c r="E8" s="129">
        <f>VLOOKUP(AA8,'コード表'!Y:AA,3,0)</f>
        <v>215</v>
      </c>
      <c r="F8" s="83">
        <f>VLOOKUP(K8,'コード表'!$W$38:$X$44,2,0)</f>
        <v>1</v>
      </c>
      <c r="G8" s="83">
        <f>VLOOKUP(S8,'コード表'!A:D,4,0)</f>
        <v>100</v>
      </c>
      <c r="H8" s="83">
        <f>VLOOKUP(U8,'コード表'!A:D,4,0)</f>
        <v>130</v>
      </c>
      <c r="I8" s="25">
        <v>7</v>
      </c>
      <c r="J8" s="83" t="s">
        <v>1474</v>
      </c>
      <c r="K8" s="23" t="s">
        <v>541</v>
      </c>
      <c r="L8" s="25" t="s">
        <v>1464</v>
      </c>
      <c r="M8" s="23" t="s">
        <v>543</v>
      </c>
      <c r="N8" s="23">
        <v>4</v>
      </c>
      <c r="O8" s="23">
        <v>565</v>
      </c>
      <c r="P8" s="23">
        <v>505</v>
      </c>
      <c r="Q8" s="23">
        <v>360</v>
      </c>
      <c r="R8" s="23">
        <v>110</v>
      </c>
      <c r="S8" s="25" t="s">
        <v>677</v>
      </c>
      <c r="T8" s="25" t="s">
        <v>1174</v>
      </c>
      <c r="U8" s="25" t="s">
        <v>676</v>
      </c>
      <c r="V8" s="25" t="s">
        <v>1031</v>
      </c>
      <c r="W8" s="25" t="s">
        <v>906</v>
      </c>
      <c r="X8" s="25" t="s">
        <v>418</v>
      </c>
      <c r="Y8" s="25" t="s">
        <v>414</v>
      </c>
      <c r="Z8" s="25" t="s">
        <v>405</v>
      </c>
      <c r="AA8" s="25" t="s">
        <v>415</v>
      </c>
      <c r="AB8" s="25"/>
      <c r="AC8" s="25" t="s">
        <v>551</v>
      </c>
      <c r="AD8" s="25" t="s">
        <v>416</v>
      </c>
      <c r="AE8" s="25" t="s">
        <v>1494</v>
      </c>
      <c r="AF8" s="25" t="s">
        <v>555</v>
      </c>
      <c r="AG8" s="25" t="s">
        <v>417</v>
      </c>
      <c r="AH8" s="25"/>
      <c r="AI8" s="25"/>
      <c r="AJ8" s="36"/>
      <c r="AK8" s="25"/>
      <c r="AL8" s="26"/>
      <c r="AM8" s="25"/>
      <c r="AN8" s="25"/>
      <c r="AO8" s="148"/>
      <c r="AP8" s="23">
        <v>7000</v>
      </c>
      <c r="AQ8" s="23" t="str">
        <f t="shared" si="0"/>
        <v>7PR</v>
      </c>
      <c r="AR8" s="23" t="str">
        <f t="shared" si="1"/>
        <v>34</v>
      </c>
      <c r="AS8" s="23">
        <v>4</v>
      </c>
      <c r="AT8" s="23"/>
      <c r="AU8" s="23"/>
      <c r="AV8" s="23"/>
      <c r="AW8" s="23"/>
      <c r="AX8" s="23"/>
      <c r="AY8" s="23">
        <v>102</v>
      </c>
      <c r="AZ8" s="185">
        <v>40830</v>
      </c>
      <c r="BA8" s="192"/>
    </row>
    <row r="9" spans="1:53" ht="11.25" customHeight="1">
      <c r="A9" s="125">
        <v>8</v>
      </c>
      <c r="B9" s="129" t="str">
        <f>VLOOKUP(Z9,'コード表'!$T$2:$X$36,5,0)</f>
        <v>05</v>
      </c>
      <c r="C9" s="83">
        <f>VLOOKUP(N9,'コード表'!$W$47:$X$50,2,0)</f>
        <v>3</v>
      </c>
      <c r="D9" s="83">
        <f>VLOOKUP(M9,'コード表'!$W$53:$X$56,2,0)</f>
        <v>3</v>
      </c>
      <c r="E9" s="129" t="str">
        <f>VLOOKUP(AA9,'コード表'!Y:AA,3,0)</f>
        <v>051</v>
      </c>
      <c r="F9" s="83">
        <f>VLOOKUP(K9,'コード表'!$W$38:$X$44,2,0)</f>
        <v>1</v>
      </c>
      <c r="G9" s="83">
        <f>VLOOKUP(S9,'コード表'!A:D,4,0)</f>
        <v>120</v>
      </c>
      <c r="H9" s="83">
        <f>VLOOKUP(U9,'コード表'!A:D,4,0)</f>
        <v>120</v>
      </c>
      <c r="I9" s="25">
        <v>8</v>
      </c>
      <c r="J9" s="83" t="s">
        <v>1995</v>
      </c>
      <c r="K9" s="23" t="s">
        <v>541</v>
      </c>
      <c r="L9" s="25" t="s">
        <v>704</v>
      </c>
      <c r="M9" s="23" t="s">
        <v>542</v>
      </c>
      <c r="N9" s="23">
        <v>4</v>
      </c>
      <c r="O9" s="23">
        <v>555</v>
      </c>
      <c r="P9" s="23">
        <v>500</v>
      </c>
      <c r="Q9" s="23">
        <v>420</v>
      </c>
      <c r="R9" s="23">
        <v>100</v>
      </c>
      <c r="S9" s="25" t="s">
        <v>675</v>
      </c>
      <c r="T9" s="25" t="s">
        <v>1175</v>
      </c>
      <c r="U9" s="25" t="s">
        <v>675</v>
      </c>
      <c r="V9" s="25" t="s">
        <v>1032</v>
      </c>
      <c r="W9" s="25" t="s">
        <v>705</v>
      </c>
      <c r="X9" s="25" t="s">
        <v>354</v>
      </c>
      <c r="Y9" s="25" t="s">
        <v>414</v>
      </c>
      <c r="Z9" s="25" t="s">
        <v>406</v>
      </c>
      <c r="AA9" s="25" t="s">
        <v>419</v>
      </c>
      <c r="AB9" s="25"/>
      <c r="AC9" s="25" t="s">
        <v>2044</v>
      </c>
      <c r="AD9" s="25" t="s">
        <v>416</v>
      </c>
      <c r="AE9" s="25" t="s">
        <v>181</v>
      </c>
      <c r="AF9" s="25" t="s">
        <v>2045</v>
      </c>
      <c r="AG9" s="25" t="s">
        <v>417</v>
      </c>
      <c r="AH9" s="25"/>
      <c r="AI9" s="25"/>
      <c r="AJ9" s="36"/>
      <c r="AK9" s="25"/>
      <c r="AL9" s="26"/>
      <c r="AM9" s="25"/>
      <c r="AN9" s="25"/>
      <c r="AO9" s="148"/>
      <c r="AP9" s="23">
        <v>1000</v>
      </c>
      <c r="AQ9" s="23" t="str">
        <f t="shared" si="0"/>
        <v>1PR</v>
      </c>
      <c r="AR9" s="23" t="str">
        <f t="shared" si="1"/>
        <v>35</v>
      </c>
      <c r="AS9" s="23">
        <v>5</v>
      </c>
      <c r="AT9" s="23"/>
      <c r="AU9" s="23"/>
      <c r="AV9" s="23"/>
      <c r="AW9" s="23"/>
      <c r="AX9" s="23"/>
      <c r="AY9" s="23">
        <v>65</v>
      </c>
      <c r="AZ9" s="185">
        <v>40904</v>
      </c>
      <c r="BA9" s="192"/>
    </row>
    <row r="10" spans="1:53" ht="11.25" customHeight="1">
      <c r="A10" s="125">
        <v>9</v>
      </c>
      <c r="B10" s="129" t="str">
        <f>VLOOKUP(Z10,'コード表'!$T$2:$X$36,5,0)</f>
        <v>22</v>
      </c>
      <c r="C10" s="83">
        <f>VLOOKUP(N10,'コード表'!$W$47:$X$50,2,0)</f>
        <v>3</v>
      </c>
      <c r="D10" s="83">
        <f>VLOOKUP(M10,'コード表'!$W$53:$X$56,2,0)</f>
        <v>4</v>
      </c>
      <c r="E10" s="129">
        <f>VLOOKUP(AA10,'コード表'!Y:AA,3,0)</f>
        <v>222</v>
      </c>
      <c r="F10" s="83">
        <f>VLOOKUP(K10,'コード表'!$W$38:$X$44,2,0)</f>
        <v>1</v>
      </c>
      <c r="G10" s="83">
        <f>VLOOKUP(S10,'コード表'!A:D,4,0)</f>
        <v>100</v>
      </c>
      <c r="H10" s="83">
        <f>VLOOKUP(U10,'コード表'!A:D,4,0)</f>
        <v>450</v>
      </c>
      <c r="I10" s="25">
        <v>9</v>
      </c>
      <c r="J10" s="83" t="s">
        <v>845</v>
      </c>
      <c r="K10" s="23" t="s">
        <v>541</v>
      </c>
      <c r="L10" s="25" t="s">
        <v>1083</v>
      </c>
      <c r="M10" s="23" t="s">
        <v>546</v>
      </c>
      <c r="N10" s="23">
        <v>4</v>
      </c>
      <c r="O10" s="23">
        <v>555</v>
      </c>
      <c r="P10" s="23">
        <v>365</v>
      </c>
      <c r="Q10" s="23">
        <v>365</v>
      </c>
      <c r="R10" s="23">
        <v>130</v>
      </c>
      <c r="S10" s="25" t="s">
        <v>677</v>
      </c>
      <c r="T10" s="25" t="s">
        <v>1174</v>
      </c>
      <c r="U10" s="25" t="s">
        <v>618</v>
      </c>
      <c r="V10" s="25" t="s">
        <v>1033</v>
      </c>
      <c r="W10" s="25" t="s">
        <v>1082</v>
      </c>
      <c r="X10" s="25" t="s">
        <v>844</v>
      </c>
      <c r="Y10" s="25" t="s">
        <v>414</v>
      </c>
      <c r="Z10" s="25" t="s">
        <v>407</v>
      </c>
      <c r="AA10" s="25" t="s">
        <v>420</v>
      </c>
      <c r="AB10" s="25"/>
      <c r="AC10" s="25" t="s">
        <v>745</v>
      </c>
      <c r="AD10" s="25" t="s">
        <v>416</v>
      </c>
      <c r="AE10" s="25" t="s">
        <v>1083</v>
      </c>
      <c r="AF10" s="25" t="s">
        <v>745</v>
      </c>
      <c r="AG10" s="25" t="s">
        <v>417</v>
      </c>
      <c r="AH10" s="25" t="s">
        <v>376</v>
      </c>
      <c r="AI10" s="25" t="s">
        <v>743</v>
      </c>
      <c r="AJ10" s="36" t="s">
        <v>377</v>
      </c>
      <c r="AK10" s="25"/>
      <c r="AL10" s="26"/>
      <c r="AM10" s="25"/>
      <c r="AN10" s="25"/>
      <c r="AO10" s="148"/>
      <c r="AP10" s="23">
        <v>7000</v>
      </c>
      <c r="AQ10" s="23" t="str">
        <f t="shared" si="0"/>
        <v>7PR</v>
      </c>
      <c r="AR10" s="23" t="str">
        <f t="shared" si="1"/>
        <v>34</v>
      </c>
      <c r="AS10" s="23">
        <v>4</v>
      </c>
      <c r="AT10" s="23"/>
      <c r="AU10" s="23"/>
      <c r="AV10" s="23"/>
      <c r="AW10" s="23"/>
      <c r="AX10" s="23"/>
      <c r="AY10" s="23">
        <v>64</v>
      </c>
      <c r="AZ10" s="185">
        <v>40914</v>
      </c>
      <c r="BA10" s="192"/>
    </row>
    <row r="11" spans="1:53" ht="11.25" customHeight="1">
      <c r="A11" s="125">
        <v>10</v>
      </c>
      <c r="B11" s="129" t="str">
        <f>VLOOKUP(Z11,'コード表'!$T$2:$X$36,5,0)</f>
        <v>02</v>
      </c>
      <c r="C11" s="83">
        <f>VLOOKUP(N11,'コード表'!$W$47:$X$50,2,0)</f>
        <v>3</v>
      </c>
      <c r="D11" s="83">
        <f>VLOOKUP(M11,'コード表'!$W$53:$X$56,2,0)</f>
        <v>1</v>
      </c>
      <c r="E11" s="129" t="str">
        <f>VLOOKUP(AA11,'コード表'!Y:AA,3,0)</f>
        <v>022</v>
      </c>
      <c r="F11" s="83">
        <f>VLOOKUP(K11,'コード表'!$W$38:$X$44,2,0)</f>
        <v>2</v>
      </c>
      <c r="G11" s="83">
        <f>VLOOKUP(S11,'コード表'!A:D,4,0)</f>
        <v>100</v>
      </c>
      <c r="H11" s="83">
        <f>VLOOKUP(U11,'コード表'!A:D,4,0)</f>
        <v>100</v>
      </c>
      <c r="I11" s="25">
        <v>10</v>
      </c>
      <c r="J11" s="83" t="s">
        <v>1164</v>
      </c>
      <c r="K11" s="23" t="s">
        <v>847</v>
      </c>
      <c r="L11" s="25" t="s">
        <v>421</v>
      </c>
      <c r="M11" s="23" t="s">
        <v>543</v>
      </c>
      <c r="N11" s="23">
        <v>4</v>
      </c>
      <c r="O11" s="23">
        <v>555</v>
      </c>
      <c r="P11" s="23">
        <v>590</v>
      </c>
      <c r="Q11" s="23">
        <v>415</v>
      </c>
      <c r="R11" s="23">
        <v>90</v>
      </c>
      <c r="S11" s="25" t="s">
        <v>677</v>
      </c>
      <c r="T11" s="25" t="s">
        <v>1174</v>
      </c>
      <c r="U11" s="25" t="s">
        <v>677</v>
      </c>
      <c r="V11" s="25" t="s">
        <v>1034</v>
      </c>
      <c r="W11" s="25" t="s">
        <v>422</v>
      </c>
      <c r="X11" s="25" t="s">
        <v>423</v>
      </c>
      <c r="Y11" s="25" t="s">
        <v>414</v>
      </c>
      <c r="Z11" s="25" t="s">
        <v>408</v>
      </c>
      <c r="AA11" s="25" t="s">
        <v>356</v>
      </c>
      <c r="AB11" s="25"/>
      <c r="AC11" s="25" t="s">
        <v>424</v>
      </c>
      <c r="AD11" s="25" t="s">
        <v>416</v>
      </c>
      <c r="AE11" s="25" t="s">
        <v>425</v>
      </c>
      <c r="AF11" s="25" t="s">
        <v>426</v>
      </c>
      <c r="AG11" s="25" t="s">
        <v>417</v>
      </c>
      <c r="AH11" s="25"/>
      <c r="AI11" s="25"/>
      <c r="AJ11" s="36"/>
      <c r="AK11" s="25"/>
      <c r="AL11" s="26"/>
      <c r="AM11" s="25"/>
      <c r="AN11" s="25"/>
      <c r="AO11" s="148"/>
      <c r="AP11" s="23">
        <v>1000</v>
      </c>
      <c r="AQ11" s="23" t="str">
        <f t="shared" si="0"/>
        <v>1CP</v>
      </c>
      <c r="AR11" s="23" t="str">
        <f t="shared" si="1"/>
        <v>35</v>
      </c>
      <c r="AS11" s="23">
        <v>5</v>
      </c>
      <c r="AT11" s="23"/>
      <c r="AU11" s="23"/>
      <c r="AV11" s="23" t="s">
        <v>1177</v>
      </c>
      <c r="AW11" s="23"/>
      <c r="AX11" s="23"/>
      <c r="AY11" s="23">
        <v>209</v>
      </c>
      <c r="AZ11" s="185">
        <v>40953</v>
      </c>
      <c r="BA11" s="192"/>
    </row>
    <row r="12" spans="1:53" ht="11.25" customHeight="1">
      <c r="A12" s="125">
        <v>11</v>
      </c>
      <c r="B12" s="129" t="str">
        <f>VLOOKUP(Z12,'コード表'!$T$2:$X$36,5,0)</f>
        <v>17</v>
      </c>
      <c r="C12" s="83">
        <f>VLOOKUP(N12,'コード表'!$W$47:$X$50,2,0)</f>
        <v>3</v>
      </c>
      <c r="D12" s="83">
        <f>VLOOKUP(M12,'コード表'!$W$53:$X$56,2,0)</f>
        <v>2</v>
      </c>
      <c r="E12" s="129">
        <f>VLOOKUP(AA12,'コード表'!Y:AA,3,0)</f>
        <v>172</v>
      </c>
      <c r="F12" s="83">
        <f>VLOOKUP(K12,'コード表'!$W$38:$X$44,2,0)</f>
        <v>2</v>
      </c>
      <c r="G12" s="83">
        <f>VLOOKUP(S12,'コード表'!A:D,4,0)</f>
        <v>130</v>
      </c>
      <c r="H12" s="83">
        <f>VLOOKUP(U12,'コード表'!A:D,4,0)</f>
        <v>130</v>
      </c>
      <c r="I12" s="25">
        <v>11</v>
      </c>
      <c r="J12" s="83" t="s">
        <v>1165</v>
      </c>
      <c r="K12" s="23" t="s">
        <v>847</v>
      </c>
      <c r="L12" s="25" t="s">
        <v>1189</v>
      </c>
      <c r="M12" s="23" t="s">
        <v>544</v>
      </c>
      <c r="N12" s="23">
        <v>4</v>
      </c>
      <c r="O12" s="23">
        <v>555</v>
      </c>
      <c r="P12" s="23">
        <v>495</v>
      </c>
      <c r="Q12" s="23">
        <v>350</v>
      </c>
      <c r="R12" s="23">
        <v>110</v>
      </c>
      <c r="S12" s="25" t="s">
        <v>676</v>
      </c>
      <c r="T12" s="25" t="s">
        <v>1176</v>
      </c>
      <c r="U12" s="25" t="s">
        <v>676</v>
      </c>
      <c r="V12" s="25" t="s">
        <v>1035</v>
      </c>
      <c r="W12" s="25" t="s">
        <v>1190</v>
      </c>
      <c r="X12" s="25" t="s">
        <v>427</v>
      </c>
      <c r="Y12" s="25" t="s">
        <v>414</v>
      </c>
      <c r="Z12" s="25" t="s">
        <v>409</v>
      </c>
      <c r="AA12" s="25" t="s">
        <v>949</v>
      </c>
      <c r="AB12" s="25"/>
      <c r="AC12" s="25" t="s">
        <v>635</v>
      </c>
      <c r="AD12" s="25" t="s">
        <v>416</v>
      </c>
      <c r="AE12" s="25" t="s">
        <v>185</v>
      </c>
      <c r="AF12" s="25" t="s">
        <v>636</v>
      </c>
      <c r="AG12" s="25" t="s">
        <v>417</v>
      </c>
      <c r="AH12" s="25"/>
      <c r="AI12" s="25"/>
      <c r="AJ12" s="36"/>
      <c r="AK12" s="25"/>
      <c r="AL12" s="26"/>
      <c r="AM12" s="25"/>
      <c r="AN12" s="25"/>
      <c r="AO12" s="148"/>
      <c r="AP12" s="23">
        <v>7000</v>
      </c>
      <c r="AQ12" s="23" t="str">
        <f t="shared" si="0"/>
        <v>7CP</v>
      </c>
      <c r="AR12" s="23" t="str">
        <f t="shared" si="1"/>
        <v>35</v>
      </c>
      <c r="AS12" s="23">
        <v>5</v>
      </c>
      <c r="AT12" s="23"/>
      <c r="AU12" s="23"/>
      <c r="AV12" s="23"/>
      <c r="AW12" s="23"/>
      <c r="AX12" s="23"/>
      <c r="AY12" s="23">
        <v>126</v>
      </c>
      <c r="AZ12" s="185">
        <v>40953</v>
      </c>
      <c r="BA12" s="192"/>
    </row>
    <row r="13" spans="1:53" ht="11.25" customHeight="1">
      <c r="A13" s="125">
        <v>12</v>
      </c>
      <c r="B13" s="129" t="str">
        <f>VLOOKUP(Z13,'コード表'!$T$2:$X$36,5,0)</f>
        <v>19</v>
      </c>
      <c r="C13" s="83">
        <f>VLOOKUP(N13,'コード表'!$W$47:$X$50,2,0)</f>
        <v>3</v>
      </c>
      <c r="D13" s="83">
        <f>VLOOKUP(M13,'コード表'!$W$53:$X$56,2,0)</f>
        <v>3</v>
      </c>
      <c r="E13" s="129">
        <f>VLOOKUP(AA13,'コード表'!Y:AA,3,0)</f>
        <v>192</v>
      </c>
      <c r="F13" s="83">
        <f>VLOOKUP(K13,'コード表'!$W$38:$X$44,2,0)</f>
        <v>2</v>
      </c>
      <c r="G13" s="83">
        <f>VLOOKUP(S13,'コード表'!A:D,4,0)</f>
        <v>100</v>
      </c>
      <c r="H13" s="83">
        <f>VLOOKUP(U13,'コード表'!A:D,4,0)</f>
        <v>400</v>
      </c>
      <c r="I13" s="25">
        <v>12</v>
      </c>
      <c r="J13" s="83" t="s">
        <v>1166</v>
      </c>
      <c r="K13" s="23" t="s">
        <v>847</v>
      </c>
      <c r="L13" s="25" t="s">
        <v>1551</v>
      </c>
      <c r="M13" s="23" t="s">
        <v>542</v>
      </c>
      <c r="N13" s="23">
        <v>4</v>
      </c>
      <c r="O13" s="23">
        <v>555</v>
      </c>
      <c r="P13" s="23">
        <v>380</v>
      </c>
      <c r="Q13" s="23">
        <v>540</v>
      </c>
      <c r="R13" s="23">
        <v>100</v>
      </c>
      <c r="S13" s="25" t="s">
        <v>677</v>
      </c>
      <c r="T13" s="25" t="s">
        <v>1174</v>
      </c>
      <c r="U13" s="25" t="s">
        <v>619</v>
      </c>
      <c r="V13" s="25" t="s">
        <v>1036</v>
      </c>
      <c r="W13" s="25" t="s">
        <v>1552</v>
      </c>
      <c r="X13" s="25" t="s">
        <v>950</v>
      </c>
      <c r="Y13" s="25" t="s">
        <v>414</v>
      </c>
      <c r="Z13" s="25" t="s">
        <v>410</v>
      </c>
      <c r="AA13" s="25" t="s">
        <v>951</v>
      </c>
      <c r="AB13" s="25"/>
      <c r="AC13" s="25" t="s">
        <v>639</v>
      </c>
      <c r="AD13" s="25" t="s">
        <v>416</v>
      </c>
      <c r="AE13" s="25" t="s">
        <v>187</v>
      </c>
      <c r="AF13" s="25" t="s">
        <v>640</v>
      </c>
      <c r="AG13" s="25" t="s">
        <v>417</v>
      </c>
      <c r="AH13" s="25"/>
      <c r="AI13" s="25"/>
      <c r="AJ13" s="36"/>
      <c r="AK13" s="25"/>
      <c r="AL13" s="26"/>
      <c r="AM13" s="25"/>
      <c r="AN13" s="25"/>
      <c r="AO13" s="148"/>
      <c r="AP13" s="23">
        <v>7000</v>
      </c>
      <c r="AQ13" s="23" t="str">
        <f t="shared" si="0"/>
        <v>7CP</v>
      </c>
      <c r="AR13" s="23" t="str">
        <f t="shared" si="1"/>
        <v>35</v>
      </c>
      <c r="AS13" s="23">
        <v>5</v>
      </c>
      <c r="AT13" s="23"/>
      <c r="AU13" s="23"/>
      <c r="AV13" s="23"/>
      <c r="AW13" s="23"/>
      <c r="AX13" s="23"/>
      <c r="AY13" s="23">
        <v>159</v>
      </c>
      <c r="AZ13" s="185">
        <v>40953</v>
      </c>
      <c r="BA13" s="192"/>
    </row>
    <row r="14" spans="1:53" ht="11.25" customHeight="1">
      <c r="A14" s="125">
        <v>13</v>
      </c>
      <c r="B14" s="129" t="str">
        <f>VLOOKUP(Z14,'コード表'!$T$2:$X$36,5,0)</f>
        <v>23</v>
      </c>
      <c r="C14" s="83">
        <f>VLOOKUP(N14,'コード表'!$W$47:$X$50,2,0)</f>
        <v>3</v>
      </c>
      <c r="D14" s="83">
        <f>VLOOKUP(M14,'コード表'!$W$53:$X$56,2,0)</f>
        <v>1</v>
      </c>
      <c r="E14" s="129">
        <f>VLOOKUP(AA14,'コード表'!Y:AA,3,0)</f>
        <v>232</v>
      </c>
      <c r="F14" s="83">
        <f>VLOOKUP(K14,'コード表'!$W$38:$X$44,2,0)</f>
        <v>2</v>
      </c>
      <c r="G14" s="83">
        <f>VLOOKUP(S14,'コード表'!A:D,4,0)</f>
        <v>661</v>
      </c>
      <c r="H14" s="83">
        <f>VLOOKUP(U14,'コード表'!A:D,4,0)</f>
        <v>450</v>
      </c>
      <c r="I14" s="25">
        <v>13</v>
      </c>
      <c r="J14" s="83" t="s">
        <v>1167</v>
      </c>
      <c r="K14" s="23" t="s">
        <v>847</v>
      </c>
      <c r="L14" s="25" t="s">
        <v>1559</v>
      </c>
      <c r="M14" s="23" t="s">
        <v>543</v>
      </c>
      <c r="N14" s="23">
        <v>4</v>
      </c>
      <c r="O14" s="23">
        <v>555</v>
      </c>
      <c r="P14" s="23">
        <v>460</v>
      </c>
      <c r="Q14" s="23">
        <v>460</v>
      </c>
      <c r="R14" s="23">
        <v>100</v>
      </c>
      <c r="S14" s="25" t="s">
        <v>582</v>
      </c>
      <c r="T14" s="25" t="s">
        <v>450</v>
      </c>
      <c r="U14" s="25" t="s">
        <v>618</v>
      </c>
      <c r="V14" s="25" t="s">
        <v>253</v>
      </c>
      <c r="W14" s="25" t="s">
        <v>1079</v>
      </c>
      <c r="X14" s="25" t="s">
        <v>952</v>
      </c>
      <c r="Y14" s="25" t="s">
        <v>414</v>
      </c>
      <c r="Z14" s="25" t="s">
        <v>411</v>
      </c>
      <c r="AA14" s="25" t="s">
        <v>1141</v>
      </c>
      <c r="AB14" s="25"/>
      <c r="AC14" s="25" t="s">
        <v>2097</v>
      </c>
      <c r="AD14" s="25" t="s">
        <v>416</v>
      </c>
      <c r="AE14" s="25" t="s">
        <v>497</v>
      </c>
      <c r="AF14" s="25" t="s">
        <v>953</v>
      </c>
      <c r="AG14" s="25" t="s">
        <v>417</v>
      </c>
      <c r="AH14" s="25" t="s">
        <v>1142</v>
      </c>
      <c r="AI14" s="25" t="s">
        <v>1143</v>
      </c>
      <c r="AJ14" s="36" t="s">
        <v>377</v>
      </c>
      <c r="AK14" s="25"/>
      <c r="AL14" s="26"/>
      <c r="AM14" s="25"/>
      <c r="AN14" s="25"/>
      <c r="AO14" s="148"/>
      <c r="AP14" s="23">
        <v>7000</v>
      </c>
      <c r="AQ14" s="23" t="str">
        <f t="shared" si="0"/>
        <v>7CP</v>
      </c>
      <c r="AR14" s="23" t="str">
        <f t="shared" si="1"/>
        <v>36</v>
      </c>
      <c r="AS14" s="23">
        <v>6</v>
      </c>
      <c r="AT14" s="23"/>
      <c r="AU14" s="23"/>
      <c r="AV14" s="23"/>
      <c r="AW14" s="23"/>
      <c r="AX14" s="23"/>
      <c r="AY14" s="23">
        <v>184</v>
      </c>
      <c r="AZ14" s="185">
        <v>40953</v>
      </c>
      <c r="BA14" s="192"/>
    </row>
    <row r="15" spans="1:53" ht="11.25" customHeight="1">
      <c r="A15" s="125">
        <v>14</v>
      </c>
      <c r="B15" s="129" t="str">
        <f>VLOOKUP(Z15,'コード表'!$T$2:$X$36,5,0)</f>
        <v>04</v>
      </c>
      <c r="C15" s="83">
        <f>VLOOKUP(N15,'コード表'!$W$47:$X$50,2,0)</f>
        <v>1</v>
      </c>
      <c r="D15" s="83">
        <f>VLOOKUP(M15,'コード表'!$W$53:$X$56,2,0)</f>
        <v>1</v>
      </c>
      <c r="E15" s="129" t="str">
        <f>VLOOKUP(AA15,'コード表'!Y:AA,3,0)</f>
        <v>042</v>
      </c>
      <c r="F15" s="83">
        <f>VLOOKUP(K15,'コード表'!$W$38:$X$44,2,0)</f>
        <v>1</v>
      </c>
      <c r="G15" s="83">
        <f>VLOOKUP(S15,'コード表'!A:D,4,0)</f>
        <v>120</v>
      </c>
      <c r="H15" s="83">
        <f>VLOOKUP(U15,'コード表'!A:D,4,0)</f>
        <v>120</v>
      </c>
      <c r="I15" s="25">
        <v>14</v>
      </c>
      <c r="J15" s="83" t="s">
        <v>846</v>
      </c>
      <c r="K15" s="23" t="s">
        <v>541</v>
      </c>
      <c r="L15" s="25" t="s">
        <v>706</v>
      </c>
      <c r="M15" s="23" t="s">
        <v>543</v>
      </c>
      <c r="N15" s="23">
        <v>6</v>
      </c>
      <c r="O15" s="23">
        <v>795</v>
      </c>
      <c r="P15" s="23">
        <v>480</v>
      </c>
      <c r="Q15" s="23">
        <v>840</v>
      </c>
      <c r="R15" s="23">
        <v>100</v>
      </c>
      <c r="S15" s="25" t="s">
        <v>675</v>
      </c>
      <c r="T15" s="25" t="s">
        <v>451</v>
      </c>
      <c r="U15" s="25" t="s">
        <v>675</v>
      </c>
      <c r="V15" s="25" t="s">
        <v>1030</v>
      </c>
      <c r="W15" s="25" t="s">
        <v>707</v>
      </c>
      <c r="X15" s="25" t="s">
        <v>954</v>
      </c>
      <c r="Y15" s="25" t="s">
        <v>414</v>
      </c>
      <c r="Z15" s="25" t="s">
        <v>412</v>
      </c>
      <c r="AA15" s="25" t="s">
        <v>955</v>
      </c>
      <c r="AB15" s="25"/>
      <c r="AC15" s="25" t="s">
        <v>572</v>
      </c>
      <c r="AD15" s="25" t="s">
        <v>416</v>
      </c>
      <c r="AE15" s="25" t="s">
        <v>1504</v>
      </c>
      <c r="AF15" s="25" t="s">
        <v>573</v>
      </c>
      <c r="AG15" s="25" t="s">
        <v>417</v>
      </c>
      <c r="AH15" s="25"/>
      <c r="AI15" s="25"/>
      <c r="AJ15" s="36"/>
      <c r="AK15" s="25"/>
      <c r="AL15" s="26"/>
      <c r="AM15" s="25"/>
      <c r="AN15" s="25"/>
      <c r="AO15" s="148"/>
      <c r="AP15" s="23">
        <v>1000</v>
      </c>
      <c r="AQ15" s="23" t="str">
        <f t="shared" si="0"/>
        <v>1PR</v>
      </c>
      <c r="AR15" s="23" t="str">
        <f t="shared" si="1"/>
        <v>14</v>
      </c>
      <c r="AS15" s="23">
        <v>4</v>
      </c>
      <c r="AT15" s="23"/>
      <c r="AU15" s="23"/>
      <c r="AV15" s="23"/>
      <c r="AW15" s="23"/>
      <c r="AX15" s="23"/>
      <c r="AY15" s="23">
        <v>210</v>
      </c>
      <c r="AZ15" s="185">
        <v>40953</v>
      </c>
      <c r="BA15" s="192"/>
    </row>
    <row r="16" spans="1:53" ht="11.25" customHeight="1">
      <c r="A16" s="125">
        <v>15</v>
      </c>
      <c r="B16" s="129" t="str">
        <f>VLOOKUP(Z16,'コード表'!$T$2:$X$36,5,0)</f>
        <v>02</v>
      </c>
      <c r="C16" s="83">
        <f>VLOOKUP(N16,'コード表'!$W$47:$X$50,2,0)</f>
        <v>2</v>
      </c>
      <c r="D16" s="83">
        <f>VLOOKUP(M16,'コード表'!$W$53:$X$56,2,0)</f>
        <v>3</v>
      </c>
      <c r="E16" s="129" t="str">
        <f>VLOOKUP(AA16,'コード表'!Y:AA,3,0)</f>
        <v>022</v>
      </c>
      <c r="F16" s="83">
        <f>VLOOKUP(K16,'コード表'!$W$38:$X$44,2,0)</f>
        <v>2</v>
      </c>
      <c r="G16" s="83">
        <f>VLOOKUP(S16,'コード表'!A:D,4,0)</f>
        <v>130</v>
      </c>
      <c r="H16" s="83">
        <f>VLOOKUP(U16,'コード表'!A:D,4,0)</f>
        <v>130</v>
      </c>
      <c r="I16" s="25">
        <v>15</v>
      </c>
      <c r="J16" s="83" t="s">
        <v>1914</v>
      </c>
      <c r="K16" s="23" t="s">
        <v>847</v>
      </c>
      <c r="L16" s="25" t="s">
        <v>1187</v>
      </c>
      <c r="M16" s="23" t="s">
        <v>542</v>
      </c>
      <c r="N16" s="23">
        <v>5</v>
      </c>
      <c r="O16" s="23">
        <v>675</v>
      </c>
      <c r="P16" s="23">
        <v>660</v>
      </c>
      <c r="Q16" s="23">
        <v>460</v>
      </c>
      <c r="R16" s="23">
        <v>100</v>
      </c>
      <c r="S16" s="25" t="s">
        <v>676</v>
      </c>
      <c r="T16" s="25" t="s">
        <v>452</v>
      </c>
      <c r="U16" s="25" t="s">
        <v>676</v>
      </c>
      <c r="V16" s="25" t="s">
        <v>1231</v>
      </c>
      <c r="W16" s="25" t="s">
        <v>1188</v>
      </c>
      <c r="X16" s="25" t="s">
        <v>741</v>
      </c>
      <c r="Y16" s="25" t="s">
        <v>414</v>
      </c>
      <c r="Z16" s="25" t="s">
        <v>408</v>
      </c>
      <c r="AA16" s="25" t="s">
        <v>344</v>
      </c>
      <c r="AB16" s="25"/>
      <c r="AC16" s="25" t="s">
        <v>388</v>
      </c>
      <c r="AD16" s="25" t="s">
        <v>416</v>
      </c>
      <c r="AE16" s="25" t="s">
        <v>1493</v>
      </c>
      <c r="AF16" s="25" t="s">
        <v>389</v>
      </c>
      <c r="AG16" s="25" t="s">
        <v>417</v>
      </c>
      <c r="AH16" s="25"/>
      <c r="AI16" s="25"/>
      <c r="AJ16" s="36"/>
      <c r="AK16" s="25"/>
      <c r="AL16" s="26"/>
      <c r="AM16" s="25"/>
      <c r="AN16" s="25"/>
      <c r="AO16" s="148"/>
      <c r="AP16" s="23">
        <v>1000</v>
      </c>
      <c r="AQ16" s="23" t="str">
        <f t="shared" si="0"/>
        <v>1CP</v>
      </c>
      <c r="AR16" s="23" t="str">
        <f t="shared" si="1"/>
        <v>25</v>
      </c>
      <c r="AS16" s="23">
        <v>5</v>
      </c>
      <c r="AT16" s="23"/>
      <c r="AU16" s="23"/>
      <c r="AV16" s="23"/>
      <c r="AW16" s="23"/>
      <c r="AX16" s="23"/>
      <c r="AY16" s="23">
        <v>430</v>
      </c>
      <c r="AZ16" s="185">
        <v>40981</v>
      </c>
      <c r="BA16" s="192"/>
    </row>
    <row r="17" spans="1:53" ht="11.25" customHeight="1">
      <c r="A17" s="125">
        <v>16</v>
      </c>
      <c r="B17" s="129" t="str">
        <f>VLOOKUP(Z17,'コード表'!$T$2:$X$36,5,0)</f>
        <v>03</v>
      </c>
      <c r="C17" s="83">
        <f>VLOOKUP(N17,'コード表'!$W$47:$X$50,2,0)</f>
        <v>2</v>
      </c>
      <c r="D17" s="83">
        <f>VLOOKUP(M17,'コード表'!$W$53:$X$56,2,0)</f>
        <v>3</v>
      </c>
      <c r="E17" s="129" t="str">
        <f>VLOOKUP(AA17,'コード表'!Y:AA,3,0)</f>
        <v>032</v>
      </c>
      <c r="F17" s="83">
        <f>VLOOKUP(K17,'コード表'!$W$38:$X$44,2,0)</f>
        <v>2</v>
      </c>
      <c r="G17" s="83">
        <f>VLOOKUP(S17,'コード表'!A:D,4,0)</f>
        <v>300</v>
      </c>
      <c r="H17" s="83">
        <f>VLOOKUP(U17,'コード表'!A:D,4,0)</f>
        <v>300</v>
      </c>
      <c r="I17" s="25">
        <v>16</v>
      </c>
      <c r="J17" s="83" t="s">
        <v>1915</v>
      </c>
      <c r="K17" s="23" t="s">
        <v>847</v>
      </c>
      <c r="L17" s="25" t="s">
        <v>962</v>
      </c>
      <c r="M17" s="23" t="s">
        <v>542</v>
      </c>
      <c r="N17" s="23">
        <v>5</v>
      </c>
      <c r="O17" s="23">
        <v>675</v>
      </c>
      <c r="P17" s="23">
        <v>515</v>
      </c>
      <c r="Q17" s="23">
        <v>435</v>
      </c>
      <c r="R17" s="23">
        <v>120</v>
      </c>
      <c r="S17" s="25" t="s">
        <v>678</v>
      </c>
      <c r="T17" s="25" t="s">
        <v>616</v>
      </c>
      <c r="U17" s="25" t="s">
        <v>678</v>
      </c>
      <c r="V17" s="25" t="s">
        <v>1232</v>
      </c>
      <c r="W17" s="25" t="s">
        <v>963</v>
      </c>
      <c r="X17" s="25" t="s">
        <v>577</v>
      </c>
      <c r="Y17" s="25" t="s">
        <v>414</v>
      </c>
      <c r="Z17" s="25" t="s">
        <v>1426</v>
      </c>
      <c r="AA17" s="25" t="s">
        <v>345</v>
      </c>
      <c r="AB17" s="25"/>
      <c r="AC17" s="25" t="s">
        <v>2042</v>
      </c>
      <c r="AD17" s="25" t="s">
        <v>416</v>
      </c>
      <c r="AE17" s="25" t="s">
        <v>180</v>
      </c>
      <c r="AF17" s="25" t="s">
        <v>391</v>
      </c>
      <c r="AG17" s="25" t="s">
        <v>417</v>
      </c>
      <c r="AH17" s="25"/>
      <c r="AI17" s="25"/>
      <c r="AJ17" s="36"/>
      <c r="AK17" s="25"/>
      <c r="AL17" s="26"/>
      <c r="AM17" s="25"/>
      <c r="AN17" s="25"/>
      <c r="AO17" s="148"/>
      <c r="AP17" s="23">
        <v>1000</v>
      </c>
      <c r="AQ17" s="23" t="str">
        <f t="shared" si="0"/>
        <v>1CP</v>
      </c>
      <c r="AR17" s="23" t="str">
        <f t="shared" si="1"/>
        <v>25</v>
      </c>
      <c r="AS17" s="23">
        <v>5</v>
      </c>
      <c r="AT17" s="23"/>
      <c r="AU17" s="23"/>
      <c r="AV17" s="23"/>
      <c r="AW17" s="23"/>
      <c r="AX17" s="23"/>
      <c r="AY17" s="23">
        <v>431</v>
      </c>
      <c r="AZ17" s="185">
        <v>40981</v>
      </c>
      <c r="BA17" s="192"/>
    </row>
    <row r="18" spans="1:53" ht="11.25" customHeight="1">
      <c r="A18" s="125">
        <v>17</v>
      </c>
      <c r="B18" s="129" t="str">
        <f>VLOOKUP(Z18,'コード表'!$T$2:$X$36,5,0)</f>
        <v>01</v>
      </c>
      <c r="C18" s="83">
        <f>VLOOKUP(N18,'コード表'!$W$47:$X$50,2,0)</f>
        <v>2</v>
      </c>
      <c r="D18" s="83">
        <f>VLOOKUP(M18,'コード表'!$W$53:$X$56,2,0)</f>
        <v>2</v>
      </c>
      <c r="E18" s="129" t="str">
        <f>VLOOKUP(AA18,'コード表'!Y:AA,3,0)</f>
        <v>012</v>
      </c>
      <c r="F18" s="83">
        <f>VLOOKUP(K18,'コード表'!$W$38:$X$44,2,0)</f>
        <v>2</v>
      </c>
      <c r="G18" s="83">
        <f>VLOOKUP(S18,'コード表'!A:D,4,0)</f>
        <v>120</v>
      </c>
      <c r="H18" s="83">
        <f>VLOOKUP(U18,'コード表'!A:D,4,0)</f>
        <v>120</v>
      </c>
      <c r="I18" s="25">
        <v>17</v>
      </c>
      <c r="J18" s="83" t="s">
        <v>1916</v>
      </c>
      <c r="K18" s="23" t="s">
        <v>847</v>
      </c>
      <c r="L18" s="25" t="s">
        <v>1171</v>
      </c>
      <c r="M18" s="23" t="s">
        <v>544</v>
      </c>
      <c r="N18" s="23">
        <v>5</v>
      </c>
      <c r="O18" s="23">
        <v>675</v>
      </c>
      <c r="P18" s="23">
        <v>610</v>
      </c>
      <c r="Q18" s="23">
        <v>510</v>
      </c>
      <c r="R18" s="23">
        <v>100</v>
      </c>
      <c r="S18" s="25" t="s">
        <v>675</v>
      </c>
      <c r="T18" s="25" t="s">
        <v>453</v>
      </c>
      <c r="U18" s="25" t="s">
        <v>675</v>
      </c>
      <c r="V18" s="25" t="s">
        <v>1233</v>
      </c>
      <c r="W18" s="25" t="s">
        <v>340</v>
      </c>
      <c r="X18" s="25" t="s">
        <v>341</v>
      </c>
      <c r="Y18" s="25" t="s">
        <v>414</v>
      </c>
      <c r="Z18" s="25" t="s">
        <v>1416</v>
      </c>
      <c r="AA18" s="25" t="s">
        <v>346</v>
      </c>
      <c r="AB18" s="25"/>
      <c r="AC18" s="25" t="s">
        <v>342</v>
      </c>
      <c r="AD18" s="25" t="s">
        <v>416</v>
      </c>
      <c r="AE18" s="25" t="s">
        <v>1497</v>
      </c>
      <c r="AF18" s="25" t="s">
        <v>558</v>
      </c>
      <c r="AG18" s="25" t="s">
        <v>417</v>
      </c>
      <c r="AH18" s="25"/>
      <c r="AI18" s="25"/>
      <c r="AJ18" s="36"/>
      <c r="AK18" s="25"/>
      <c r="AL18" s="26"/>
      <c r="AM18" s="25"/>
      <c r="AN18" s="25"/>
      <c r="AO18" s="148"/>
      <c r="AP18" s="23">
        <v>1000</v>
      </c>
      <c r="AQ18" s="23" t="str">
        <f t="shared" si="0"/>
        <v>1CP</v>
      </c>
      <c r="AR18" s="23" t="str">
        <f t="shared" si="1"/>
        <v>25</v>
      </c>
      <c r="AS18" s="23">
        <v>5</v>
      </c>
      <c r="AT18" s="23"/>
      <c r="AU18" s="23"/>
      <c r="AV18" s="23"/>
      <c r="AW18" s="23"/>
      <c r="AX18" s="23"/>
      <c r="AY18" s="23">
        <v>432</v>
      </c>
      <c r="AZ18" s="185">
        <v>40981</v>
      </c>
      <c r="BA18" s="192"/>
    </row>
    <row r="19" spans="1:53" ht="11.25" customHeight="1">
      <c r="A19" s="125">
        <v>18</v>
      </c>
      <c r="B19" s="129" t="str">
        <f>VLOOKUP(Z19,'コード表'!$T$2:$X$36,5,0)</f>
        <v>21</v>
      </c>
      <c r="C19" s="83">
        <f>VLOOKUP(N19,'コード表'!$W$47:$X$50,2,0)</f>
        <v>2</v>
      </c>
      <c r="D19" s="83">
        <f>VLOOKUP(M19,'コード表'!$W$53:$X$56,2,0)</f>
        <v>4</v>
      </c>
      <c r="E19" s="129">
        <f>VLOOKUP(AA19,'コード表'!Y:AA,3,0)</f>
        <v>212</v>
      </c>
      <c r="F19" s="83">
        <f>VLOOKUP(K19,'コード表'!$W$38:$X$44,2,0)</f>
        <v>2</v>
      </c>
      <c r="G19" s="83">
        <f>VLOOKUP(S19,'コード表'!A:D,4,0)</f>
        <v>300</v>
      </c>
      <c r="H19" s="83">
        <f>VLOOKUP(U19,'コード表'!A:D,4,0)</f>
        <v>300</v>
      </c>
      <c r="I19" s="25">
        <v>18</v>
      </c>
      <c r="J19" s="83" t="s">
        <v>1917</v>
      </c>
      <c r="K19" s="23" t="s">
        <v>847</v>
      </c>
      <c r="L19" s="25" t="s">
        <v>2115</v>
      </c>
      <c r="M19" s="23" t="s">
        <v>546</v>
      </c>
      <c r="N19" s="23">
        <v>5</v>
      </c>
      <c r="O19" s="23">
        <v>675</v>
      </c>
      <c r="P19" s="23">
        <v>560</v>
      </c>
      <c r="Q19" s="23">
        <v>560</v>
      </c>
      <c r="R19" s="23">
        <v>100</v>
      </c>
      <c r="S19" s="25" t="s">
        <v>678</v>
      </c>
      <c r="T19" s="25" t="s">
        <v>1023</v>
      </c>
      <c r="U19" s="25" t="s">
        <v>678</v>
      </c>
      <c r="V19" s="25" t="s">
        <v>1232</v>
      </c>
      <c r="W19" s="25" t="s">
        <v>2116</v>
      </c>
      <c r="X19" s="25" t="s">
        <v>2117</v>
      </c>
      <c r="Y19" s="25" t="s">
        <v>414</v>
      </c>
      <c r="Z19" s="25" t="s">
        <v>405</v>
      </c>
      <c r="AA19" s="25" t="s">
        <v>2054</v>
      </c>
      <c r="AB19" s="25"/>
      <c r="AC19" s="25" t="s">
        <v>2118</v>
      </c>
      <c r="AD19" s="25" t="s">
        <v>416</v>
      </c>
      <c r="AE19" s="25" t="s">
        <v>184</v>
      </c>
      <c r="AF19" s="25" t="s">
        <v>634</v>
      </c>
      <c r="AG19" s="25" t="s">
        <v>417</v>
      </c>
      <c r="AH19" s="25"/>
      <c r="AI19" s="25"/>
      <c r="AJ19" s="36"/>
      <c r="AK19" s="25"/>
      <c r="AL19" s="26"/>
      <c r="AM19" s="25"/>
      <c r="AN19" s="25"/>
      <c r="AO19" s="148"/>
      <c r="AP19" s="23">
        <v>7000</v>
      </c>
      <c r="AQ19" s="23" t="str">
        <f t="shared" si="0"/>
        <v>7CP</v>
      </c>
      <c r="AR19" s="23" t="str">
        <f t="shared" si="1"/>
        <v>25</v>
      </c>
      <c r="AS19" s="23">
        <v>5</v>
      </c>
      <c r="AT19" s="23"/>
      <c r="AU19" s="23"/>
      <c r="AV19" s="23"/>
      <c r="AW19" s="23"/>
      <c r="AX19" s="23"/>
      <c r="AY19" s="23">
        <v>433</v>
      </c>
      <c r="AZ19" s="185">
        <v>40981</v>
      </c>
      <c r="BA19" s="192"/>
    </row>
    <row r="20" spans="1:53" ht="11.25" customHeight="1">
      <c r="A20" s="125">
        <v>19</v>
      </c>
      <c r="B20" s="129" t="str">
        <f>VLOOKUP(Z20,'コード表'!$T$2:$X$36,5,0)</f>
        <v>03</v>
      </c>
      <c r="C20" s="83">
        <f>VLOOKUP(N20,'コード表'!$W$47:$X$50,2,0)</f>
        <v>1</v>
      </c>
      <c r="D20" s="83">
        <f>VLOOKUP(M20,'コード表'!$W$53:$X$56,2,0)</f>
        <v>3</v>
      </c>
      <c r="E20" s="129" t="str">
        <f>VLOOKUP(AA20,'コード表'!Y:AA,3,0)</f>
        <v>032</v>
      </c>
      <c r="F20" s="83">
        <f>VLOOKUP(K20,'コード表'!$W$38:$X$44,2,0)</f>
        <v>1</v>
      </c>
      <c r="G20" s="83">
        <f>VLOOKUP(S20,'コード表'!A:D,4,0)</f>
        <v>140</v>
      </c>
      <c r="H20" s="83">
        <f>VLOOKUP(U20,'コード表'!A:D,4,0)</f>
        <v>100</v>
      </c>
      <c r="I20" s="25">
        <v>19</v>
      </c>
      <c r="J20" s="83" t="s">
        <v>1918</v>
      </c>
      <c r="K20" s="23" t="s">
        <v>541</v>
      </c>
      <c r="L20" s="25" t="s">
        <v>692</v>
      </c>
      <c r="M20" s="23" t="s">
        <v>542</v>
      </c>
      <c r="N20" s="23">
        <v>6</v>
      </c>
      <c r="O20" s="23">
        <v>795</v>
      </c>
      <c r="P20" s="23">
        <v>660</v>
      </c>
      <c r="Q20" s="23">
        <v>380</v>
      </c>
      <c r="R20" s="23">
        <v>130</v>
      </c>
      <c r="S20" s="25" t="s">
        <v>680</v>
      </c>
      <c r="T20" s="25" t="s">
        <v>1000</v>
      </c>
      <c r="U20" s="25" t="s">
        <v>677</v>
      </c>
      <c r="V20" s="25" t="s">
        <v>1234</v>
      </c>
      <c r="W20" s="25" t="s">
        <v>1832</v>
      </c>
      <c r="X20" s="25" t="s">
        <v>1833</v>
      </c>
      <c r="Y20" s="25" t="s">
        <v>414</v>
      </c>
      <c r="Z20" s="25" t="s">
        <v>1426</v>
      </c>
      <c r="AA20" s="25" t="s">
        <v>357</v>
      </c>
      <c r="AB20" s="25"/>
      <c r="AC20" s="25" t="s">
        <v>566</v>
      </c>
      <c r="AD20" s="25" t="s">
        <v>416</v>
      </c>
      <c r="AE20" s="25" t="s">
        <v>1501</v>
      </c>
      <c r="AF20" s="25" t="s">
        <v>567</v>
      </c>
      <c r="AG20" s="25" t="s">
        <v>417</v>
      </c>
      <c r="AH20" s="25"/>
      <c r="AI20" s="25"/>
      <c r="AJ20" s="36"/>
      <c r="AK20" s="25"/>
      <c r="AL20" s="26"/>
      <c r="AM20" s="25"/>
      <c r="AN20" s="25"/>
      <c r="AO20" s="148"/>
      <c r="AP20" s="23">
        <v>1000</v>
      </c>
      <c r="AQ20" s="23" t="str">
        <f t="shared" si="0"/>
        <v>1PR</v>
      </c>
      <c r="AR20" s="23" t="str">
        <f t="shared" si="1"/>
        <v>14</v>
      </c>
      <c r="AS20" s="23">
        <v>4</v>
      </c>
      <c r="AT20" s="23"/>
      <c r="AU20" s="23"/>
      <c r="AV20" s="23" t="s">
        <v>1177</v>
      </c>
      <c r="AW20" s="23"/>
      <c r="AX20" s="23"/>
      <c r="AY20" s="23">
        <v>434</v>
      </c>
      <c r="AZ20" s="185">
        <v>40981</v>
      </c>
      <c r="BA20" s="192"/>
    </row>
    <row r="21" spans="1:53" ht="11.25" customHeight="1">
      <c r="A21" s="125">
        <v>20</v>
      </c>
      <c r="B21" s="129" t="str">
        <f>VLOOKUP(Z21,'コード表'!$T$2:$X$36,5,0)</f>
        <v>01</v>
      </c>
      <c r="C21" s="83">
        <f>VLOOKUP(N21,'コード表'!$W$47:$X$50,2,0)</f>
        <v>1</v>
      </c>
      <c r="D21" s="83">
        <f>VLOOKUP(M21,'コード表'!$W$53:$X$56,2,0)</f>
        <v>3</v>
      </c>
      <c r="E21" s="129" t="str">
        <f>VLOOKUP(AA21,'コード表'!Y:AA,3,0)</f>
        <v>012</v>
      </c>
      <c r="F21" s="83">
        <f>VLOOKUP(K21,'コード表'!$W$38:$X$44,2,0)</f>
        <v>1</v>
      </c>
      <c r="G21" s="83">
        <f>VLOOKUP(S21,'コード表'!A:D,4,0)</f>
        <v>100</v>
      </c>
      <c r="H21" s="83">
        <f>VLOOKUP(U21,'コード表'!A:D,4,0)</f>
        <v>700</v>
      </c>
      <c r="I21" s="25">
        <v>20</v>
      </c>
      <c r="J21" s="83" t="s">
        <v>55</v>
      </c>
      <c r="K21" s="23" t="s">
        <v>1262</v>
      </c>
      <c r="L21" s="25" t="s">
        <v>1170</v>
      </c>
      <c r="M21" s="23" t="s">
        <v>542</v>
      </c>
      <c r="N21" s="23">
        <v>6</v>
      </c>
      <c r="O21" s="23">
        <v>740</v>
      </c>
      <c r="P21" s="23">
        <v>565</v>
      </c>
      <c r="Q21" s="23">
        <v>380</v>
      </c>
      <c r="R21" s="23">
        <v>130</v>
      </c>
      <c r="S21" s="25" t="s">
        <v>677</v>
      </c>
      <c r="T21" s="25" t="s">
        <v>589</v>
      </c>
      <c r="U21" s="25" t="s">
        <v>1230</v>
      </c>
      <c r="V21" s="25" t="s">
        <v>311</v>
      </c>
      <c r="W21" s="25" t="s">
        <v>1228</v>
      </c>
      <c r="X21" s="25" t="s">
        <v>1229</v>
      </c>
      <c r="Y21" s="25" t="s">
        <v>414</v>
      </c>
      <c r="Z21" s="25" t="s">
        <v>1416</v>
      </c>
      <c r="AA21" s="25" t="s">
        <v>346</v>
      </c>
      <c r="AB21" s="25"/>
      <c r="AC21" s="25" t="s">
        <v>337</v>
      </c>
      <c r="AD21" s="25" t="s">
        <v>416</v>
      </c>
      <c r="AE21" s="25" t="s">
        <v>338</v>
      </c>
      <c r="AF21" s="25" t="s">
        <v>339</v>
      </c>
      <c r="AG21" s="25" t="s">
        <v>417</v>
      </c>
      <c r="AH21" s="25"/>
      <c r="AI21" s="25"/>
      <c r="AJ21" s="36"/>
      <c r="AK21" s="25"/>
      <c r="AL21" s="26"/>
      <c r="AM21" s="25"/>
      <c r="AN21" s="25"/>
      <c r="AO21" s="148" t="s">
        <v>310</v>
      </c>
      <c r="AP21" s="23">
        <v>1000</v>
      </c>
      <c r="AQ21" s="23" t="str">
        <f t="shared" si="0"/>
        <v>1PR</v>
      </c>
      <c r="AR21" s="23" t="str">
        <f t="shared" si="1"/>
        <v>15</v>
      </c>
      <c r="AS21" s="23">
        <v>5</v>
      </c>
      <c r="AT21" s="23"/>
      <c r="AU21" s="23"/>
      <c r="AV21" s="23"/>
      <c r="AW21" s="23"/>
      <c r="AX21" s="23"/>
      <c r="AY21" s="23">
        <v>724</v>
      </c>
      <c r="AZ21" s="185">
        <v>41004</v>
      </c>
      <c r="BA21" s="192"/>
    </row>
    <row r="22" spans="1:53" s="28" customFormat="1" ht="11.25" customHeight="1">
      <c r="A22" s="125">
        <v>21</v>
      </c>
      <c r="B22" s="129" t="str">
        <f>VLOOKUP(Z22,'コード表'!$T$2:$X$36,5,0)</f>
        <v>26</v>
      </c>
      <c r="C22" s="83">
        <f>VLOOKUP(N22,'コード表'!$W$47:$X$50,2,0)</f>
        <v>3</v>
      </c>
      <c r="D22" s="83">
        <f>VLOOKUP(M22,'コード表'!$W$53:$X$56,2,0)</f>
        <v>2</v>
      </c>
      <c r="E22" s="129">
        <f>VLOOKUP(AA22,'コード表'!Y:AA,3,0)</f>
        <v>262</v>
      </c>
      <c r="F22" s="83">
        <f>VLOOKUP(K22,'コード表'!$W$38:$X$44,2,0)</f>
        <v>1</v>
      </c>
      <c r="G22" s="83">
        <f>VLOOKUP(S22,'コード表'!A:D,4,0)</f>
        <v>100</v>
      </c>
      <c r="H22" s="83">
        <f>VLOOKUP(U22,'コード表'!A:D,4,0)</f>
        <v>100</v>
      </c>
      <c r="I22" s="25">
        <v>21</v>
      </c>
      <c r="J22" s="197" t="s">
        <v>1200</v>
      </c>
      <c r="K22" s="23" t="s">
        <v>1262</v>
      </c>
      <c r="L22" s="25" t="s">
        <v>57</v>
      </c>
      <c r="M22" s="23" t="s">
        <v>70</v>
      </c>
      <c r="N22" s="23">
        <v>4</v>
      </c>
      <c r="O22" s="23">
        <v>555</v>
      </c>
      <c r="P22" s="23">
        <v>460</v>
      </c>
      <c r="Q22" s="23">
        <v>460</v>
      </c>
      <c r="R22" s="23">
        <v>100</v>
      </c>
      <c r="S22" s="25" t="s">
        <v>291</v>
      </c>
      <c r="T22" s="25" t="s">
        <v>2088</v>
      </c>
      <c r="U22" s="25" t="s">
        <v>291</v>
      </c>
      <c r="V22" s="25" t="s">
        <v>589</v>
      </c>
      <c r="W22" s="25" t="s">
        <v>2009</v>
      </c>
      <c r="X22" s="25" t="s">
        <v>2010</v>
      </c>
      <c r="Y22" s="25" t="s">
        <v>414</v>
      </c>
      <c r="Z22" s="25" t="s">
        <v>282</v>
      </c>
      <c r="AA22" s="25" t="s">
        <v>1522</v>
      </c>
      <c r="AB22" s="25"/>
      <c r="AC22" s="25" t="s">
        <v>661</v>
      </c>
      <c r="AD22" s="25" t="s">
        <v>416</v>
      </c>
      <c r="AE22" s="25" t="s">
        <v>872</v>
      </c>
      <c r="AF22" s="25" t="s">
        <v>273</v>
      </c>
      <c r="AG22" s="25" t="s">
        <v>417</v>
      </c>
      <c r="AH22" s="25"/>
      <c r="AI22" s="25"/>
      <c r="AJ22" s="36"/>
      <c r="AK22" s="25"/>
      <c r="AL22" s="23"/>
      <c r="AM22" s="23"/>
      <c r="AN22" s="25"/>
      <c r="AO22" s="148" t="s">
        <v>1201</v>
      </c>
      <c r="AP22" s="23">
        <v>8000</v>
      </c>
      <c r="AQ22" s="23" t="str">
        <f t="shared" si="0"/>
        <v>8PR</v>
      </c>
      <c r="AR22" s="23" t="str">
        <f t="shared" si="1"/>
        <v>34</v>
      </c>
      <c r="AS22" s="23">
        <v>4</v>
      </c>
      <c r="AT22" s="23"/>
      <c r="AU22" s="23"/>
      <c r="AV22" s="23" t="s">
        <v>1178</v>
      </c>
      <c r="AW22" s="23"/>
      <c r="AX22" s="23"/>
      <c r="AY22" s="23">
        <v>786</v>
      </c>
      <c r="AZ22" s="185">
        <v>41015</v>
      </c>
      <c r="BA22" s="192"/>
    </row>
    <row r="23" spans="1:53" ht="11.25" customHeight="1">
      <c r="A23" s="125">
        <v>22</v>
      </c>
      <c r="B23" s="129" t="str">
        <f>VLOOKUP(Z23,'コード表'!$T$2:$X$36,5,0)</f>
        <v>02</v>
      </c>
      <c r="C23" s="83">
        <f>VLOOKUP(N23,'コード表'!$W$47:$X$50,2,0)</f>
        <v>2</v>
      </c>
      <c r="D23" s="83">
        <f>VLOOKUP(M23,'コード表'!$W$53:$X$56,2,0)</f>
        <v>2</v>
      </c>
      <c r="E23" s="129" t="str">
        <f>VLOOKUP(AA23,'コード表'!Y:AA,3,0)</f>
        <v>022</v>
      </c>
      <c r="F23" s="83">
        <f>VLOOKUP(K23,'コード表'!$W$38:$X$44,2,0)</f>
        <v>2</v>
      </c>
      <c r="G23" s="83">
        <f>VLOOKUP(S23,'コード表'!A:D,4,0)</f>
        <v>130</v>
      </c>
      <c r="H23" s="83">
        <f>VLOOKUP(U23,'コード表'!A:D,4,0)</f>
        <v>130</v>
      </c>
      <c r="I23" s="25">
        <v>22</v>
      </c>
      <c r="J23" s="83" t="s">
        <v>604</v>
      </c>
      <c r="K23" s="23" t="s">
        <v>610</v>
      </c>
      <c r="L23" s="25" t="s">
        <v>1172</v>
      </c>
      <c r="M23" s="23" t="s">
        <v>544</v>
      </c>
      <c r="N23" s="23">
        <v>5</v>
      </c>
      <c r="O23" s="23">
        <v>675</v>
      </c>
      <c r="P23" s="23">
        <v>475</v>
      </c>
      <c r="Q23" s="23">
        <v>475</v>
      </c>
      <c r="R23" s="23">
        <v>120</v>
      </c>
      <c r="S23" s="25" t="s">
        <v>676</v>
      </c>
      <c r="T23" s="25" t="s">
        <v>515</v>
      </c>
      <c r="U23" s="25" t="s">
        <v>676</v>
      </c>
      <c r="V23" s="25" t="s">
        <v>516</v>
      </c>
      <c r="W23" s="25" t="s">
        <v>650</v>
      </c>
      <c r="X23" s="25" t="s">
        <v>651</v>
      </c>
      <c r="Y23" s="25" t="s">
        <v>414</v>
      </c>
      <c r="Z23" s="25" t="s">
        <v>408</v>
      </c>
      <c r="AA23" s="25" t="s">
        <v>90</v>
      </c>
      <c r="AB23" s="25"/>
      <c r="AC23" s="25" t="s">
        <v>652</v>
      </c>
      <c r="AD23" s="25" t="s">
        <v>416</v>
      </c>
      <c r="AE23" s="25" t="s">
        <v>653</v>
      </c>
      <c r="AF23" s="25" t="s">
        <v>654</v>
      </c>
      <c r="AG23" s="25" t="s">
        <v>417</v>
      </c>
      <c r="AH23" s="25"/>
      <c r="AI23" s="25"/>
      <c r="AJ23" s="36"/>
      <c r="AK23" s="25"/>
      <c r="AL23" s="26"/>
      <c r="AM23" s="25"/>
      <c r="AN23" s="25"/>
      <c r="AO23" s="148"/>
      <c r="AP23" s="23">
        <v>1000</v>
      </c>
      <c r="AQ23" s="23" t="str">
        <f t="shared" si="0"/>
        <v>1CP</v>
      </c>
      <c r="AR23" s="23" t="str">
        <f t="shared" si="1"/>
        <v>25</v>
      </c>
      <c r="AS23" s="23">
        <v>5</v>
      </c>
      <c r="AT23" s="23"/>
      <c r="AU23" s="23"/>
      <c r="AV23" s="23"/>
      <c r="AW23" s="23"/>
      <c r="AX23" s="23"/>
      <c r="AY23" s="23">
        <v>802</v>
      </c>
      <c r="AZ23" s="185">
        <v>41025</v>
      </c>
      <c r="BA23" s="192"/>
    </row>
    <row r="24" spans="1:53" ht="11.25" customHeight="1">
      <c r="A24" s="125">
        <v>23</v>
      </c>
      <c r="B24" s="129" t="str">
        <f>VLOOKUP(Z24,'コード表'!$T$2:$X$36,5,0)</f>
        <v>20</v>
      </c>
      <c r="C24" s="83">
        <f>VLOOKUP(N24,'コード表'!$W$47:$X$50,2,0)</f>
        <v>2</v>
      </c>
      <c r="D24" s="83">
        <f>VLOOKUP(M24,'コード表'!$W$53:$X$56,2,0)</f>
        <v>3</v>
      </c>
      <c r="E24" s="129">
        <f>VLOOKUP(AA24,'コード表'!Y:AA,3,0)</f>
        <v>202</v>
      </c>
      <c r="F24" s="83">
        <f>VLOOKUP(K24,'コード表'!$W$38:$X$44,2,0)</f>
        <v>2</v>
      </c>
      <c r="G24" s="83">
        <f>VLOOKUP(S24,'コード表'!A:D,4,0)</f>
        <v>100</v>
      </c>
      <c r="H24" s="83">
        <f>VLOOKUP(U24,'コード表'!A:D,4,0)</f>
        <v>900</v>
      </c>
      <c r="I24" s="25">
        <v>23</v>
      </c>
      <c r="J24" s="83" t="s">
        <v>605</v>
      </c>
      <c r="K24" s="23" t="s">
        <v>610</v>
      </c>
      <c r="L24" s="25" t="s">
        <v>100</v>
      </c>
      <c r="M24" s="23" t="s">
        <v>542</v>
      </c>
      <c r="N24" s="23">
        <v>5</v>
      </c>
      <c r="O24" s="23">
        <v>675</v>
      </c>
      <c r="P24" s="23">
        <v>610</v>
      </c>
      <c r="Q24" s="23">
        <v>510</v>
      </c>
      <c r="R24" s="23">
        <v>100</v>
      </c>
      <c r="S24" s="25" t="s">
        <v>677</v>
      </c>
      <c r="T24" s="25" t="s">
        <v>1586</v>
      </c>
      <c r="U24" s="25" t="s">
        <v>2213</v>
      </c>
      <c r="V24" s="25" t="s">
        <v>1438</v>
      </c>
      <c r="W24" s="25" t="s">
        <v>32</v>
      </c>
      <c r="X24" s="25" t="s">
        <v>1443</v>
      </c>
      <c r="Y24" s="25" t="s">
        <v>2057</v>
      </c>
      <c r="Z24" s="25" t="s">
        <v>1444</v>
      </c>
      <c r="AA24" s="25" t="s">
        <v>91</v>
      </c>
      <c r="AB24" s="25"/>
      <c r="AC24" s="25" t="s">
        <v>1446</v>
      </c>
      <c r="AD24" s="25" t="s">
        <v>416</v>
      </c>
      <c r="AE24" s="25" t="s">
        <v>1285</v>
      </c>
      <c r="AF24" s="25" t="s">
        <v>1447</v>
      </c>
      <c r="AG24" s="25" t="s">
        <v>417</v>
      </c>
      <c r="AH24" s="25" t="s">
        <v>358</v>
      </c>
      <c r="AI24" s="25" t="s">
        <v>359</v>
      </c>
      <c r="AJ24" s="36" t="s">
        <v>377</v>
      </c>
      <c r="AK24" s="25"/>
      <c r="AL24" s="26"/>
      <c r="AM24" s="25"/>
      <c r="AN24" s="25"/>
      <c r="AO24" s="148"/>
      <c r="AP24" s="23">
        <v>6000</v>
      </c>
      <c r="AQ24" s="23" t="str">
        <f t="shared" si="0"/>
        <v>6CP</v>
      </c>
      <c r="AR24" s="23" t="str">
        <f t="shared" si="1"/>
        <v>25</v>
      </c>
      <c r="AS24" s="23">
        <v>5</v>
      </c>
      <c r="AT24" s="23"/>
      <c r="AU24" s="23"/>
      <c r="AV24" s="23"/>
      <c r="AW24" s="23"/>
      <c r="AX24" s="23"/>
      <c r="AY24" s="23">
        <v>803</v>
      </c>
      <c r="AZ24" s="185">
        <v>41025</v>
      </c>
      <c r="BA24" s="192"/>
    </row>
    <row r="25" spans="1:53" ht="11.25" customHeight="1">
      <c r="A25" s="125">
        <v>24</v>
      </c>
      <c r="B25" s="129" t="str">
        <f>VLOOKUP(Z25,'コード表'!$T$2:$X$36,5,0)</f>
        <v>18</v>
      </c>
      <c r="C25" s="83">
        <f>VLOOKUP(N25,'コード表'!$W$47:$X$50,2,0)</f>
        <v>2</v>
      </c>
      <c r="D25" s="83">
        <f>VLOOKUP(M25,'コード表'!$W$53:$X$56,2,0)</f>
        <v>2</v>
      </c>
      <c r="E25" s="129">
        <f>VLOOKUP(AA25,'コード表'!Y:AA,3,0)</f>
        <v>182</v>
      </c>
      <c r="F25" s="83">
        <f>VLOOKUP(K25,'コード表'!$W$38:$X$44,2,0)</f>
        <v>2</v>
      </c>
      <c r="G25" s="83">
        <f>VLOOKUP(S25,'コード表'!A:D,4,0)</f>
        <v>100</v>
      </c>
      <c r="H25" s="83">
        <f>VLOOKUP(U25,'コード表'!A:D,4,0)</f>
        <v>941</v>
      </c>
      <c r="I25" s="25">
        <v>24</v>
      </c>
      <c r="J25" s="83" t="s">
        <v>606</v>
      </c>
      <c r="K25" s="23" t="s">
        <v>610</v>
      </c>
      <c r="L25" s="25" t="s">
        <v>103</v>
      </c>
      <c r="M25" s="23" t="s">
        <v>544</v>
      </c>
      <c r="N25" s="23">
        <v>5</v>
      </c>
      <c r="O25" s="23">
        <v>675</v>
      </c>
      <c r="P25" s="23">
        <v>560</v>
      </c>
      <c r="Q25" s="23">
        <v>560</v>
      </c>
      <c r="R25" s="23">
        <v>100</v>
      </c>
      <c r="S25" s="25" t="s">
        <v>677</v>
      </c>
      <c r="T25" s="25" t="s">
        <v>616</v>
      </c>
      <c r="U25" s="25" t="s">
        <v>2214</v>
      </c>
      <c r="V25" s="25" t="s">
        <v>1441</v>
      </c>
      <c r="W25" s="25" t="s">
        <v>33</v>
      </c>
      <c r="X25" s="25" t="s">
        <v>1454</v>
      </c>
      <c r="Y25" s="25" t="s">
        <v>2057</v>
      </c>
      <c r="Z25" s="25" t="s">
        <v>2058</v>
      </c>
      <c r="AA25" s="25" t="s">
        <v>1585</v>
      </c>
      <c r="AB25" s="25"/>
      <c r="AC25" s="25" t="s">
        <v>1455</v>
      </c>
      <c r="AD25" s="25" t="s">
        <v>416</v>
      </c>
      <c r="AE25" s="25" t="s">
        <v>1288</v>
      </c>
      <c r="AF25" s="25" t="s">
        <v>1456</v>
      </c>
      <c r="AG25" s="25" t="s">
        <v>417</v>
      </c>
      <c r="AH25" s="25"/>
      <c r="AI25" s="25"/>
      <c r="AJ25" s="36"/>
      <c r="AK25" s="25"/>
      <c r="AL25" s="26"/>
      <c r="AM25" s="25"/>
      <c r="AN25" s="25"/>
      <c r="AO25" s="148"/>
      <c r="AP25" s="23">
        <v>6000</v>
      </c>
      <c r="AQ25" s="23" t="str">
        <f t="shared" si="0"/>
        <v>6CP</v>
      </c>
      <c r="AR25" s="23" t="str">
        <f t="shared" si="1"/>
        <v>26</v>
      </c>
      <c r="AS25" s="23">
        <v>6</v>
      </c>
      <c r="AT25" s="23"/>
      <c r="AU25" s="23"/>
      <c r="AV25" s="23"/>
      <c r="AW25" s="23"/>
      <c r="AX25" s="23"/>
      <c r="AY25" s="23">
        <v>804</v>
      </c>
      <c r="AZ25" s="185">
        <v>41025</v>
      </c>
      <c r="BA25" s="192"/>
    </row>
    <row r="26" spans="1:53" ht="11.25" customHeight="1">
      <c r="A26" s="125">
        <v>25</v>
      </c>
      <c r="B26" s="129" t="str">
        <f>VLOOKUP(Z26,'コード表'!$T$2:$X$36,5,0)</f>
        <v>21</v>
      </c>
      <c r="C26" s="83">
        <f>VLOOKUP(N26,'コード表'!$W$47:$X$50,2,0)</f>
        <v>4</v>
      </c>
      <c r="D26" s="83">
        <f>VLOOKUP(M26,'コード表'!$W$53:$X$56,2,0)</f>
        <v>3</v>
      </c>
      <c r="E26" s="129">
        <f>VLOOKUP(AA26,'コード表'!Y:AA,3,0)</f>
        <v>212</v>
      </c>
      <c r="F26" s="83">
        <f>VLOOKUP(K26,'コード表'!$W$38:$X$44,2,0)</f>
        <v>2</v>
      </c>
      <c r="G26" s="83">
        <f>VLOOKUP(S26,'コード表'!A:D,4,0)</f>
        <v>701</v>
      </c>
      <c r="H26" s="83">
        <f>VLOOKUP(U26,'コード表'!A:D,4,0)</f>
        <v>700</v>
      </c>
      <c r="I26" s="25">
        <v>25</v>
      </c>
      <c r="J26" s="83" t="s">
        <v>607</v>
      </c>
      <c r="K26" s="23" t="s">
        <v>610</v>
      </c>
      <c r="L26" s="25" t="s">
        <v>92</v>
      </c>
      <c r="M26" s="23" t="s">
        <v>542</v>
      </c>
      <c r="N26" s="23">
        <v>3</v>
      </c>
      <c r="O26" s="23">
        <v>410</v>
      </c>
      <c r="P26" s="23">
        <v>270</v>
      </c>
      <c r="Q26" s="23">
        <v>325</v>
      </c>
      <c r="R26" s="23">
        <v>115</v>
      </c>
      <c r="S26" s="25" t="s">
        <v>1830</v>
      </c>
      <c r="T26" s="25" t="s">
        <v>1024</v>
      </c>
      <c r="U26" s="25" t="s">
        <v>1230</v>
      </c>
      <c r="V26" s="25" t="s">
        <v>507</v>
      </c>
      <c r="W26" s="25" t="s">
        <v>93</v>
      </c>
      <c r="X26" s="25" t="s">
        <v>1386</v>
      </c>
      <c r="Y26" s="25" t="s">
        <v>414</v>
      </c>
      <c r="Z26" s="25" t="s">
        <v>405</v>
      </c>
      <c r="AA26" s="25" t="s">
        <v>615</v>
      </c>
      <c r="AB26" s="25"/>
      <c r="AC26" s="25" t="s">
        <v>633</v>
      </c>
      <c r="AD26" s="25" t="s">
        <v>416</v>
      </c>
      <c r="AE26" s="25" t="s">
        <v>184</v>
      </c>
      <c r="AF26" s="25" t="s">
        <v>634</v>
      </c>
      <c r="AG26" s="25" t="s">
        <v>417</v>
      </c>
      <c r="AH26" s="25"/>
      <c r="AI26" s="25"/>
      <c r="AJ26" s="36"/>
      <c r="AK26" s="25"/>
      <c r="AL26" s="26"/>
      <c r="AM26" s="25"/>
      <c r="AN26" s="25"/>
      <c r="AO26" s="148"/>
      <c r="AP26" s="23">
        <v>7000</v>
      </c>
      <c r="AQ26" s="23" t="str">
        <f t="shared" si="0"/>
        <v>7CP</v>
      </c>
      <c r="AR26" s="23" t="str">
        <f t="shared" si="1"/>
        <v>45</v>
      </c>
      <c r="AS26" s="23">
        <v>5</v>
      </c>
      <c r="AT26" s="23"/>
      <c r="AU26" s="23"/>
      <c r="AV26" s="23"/>
      <c r="AW26" s="23"/>
      <c r="AX26" s="23"/>
      <c r="AY26" s="23">
        <v>805</v>
      </c>
      <c r="AZ26" s="185">
        <v>41025</v>
      </c>
      <c r="BA26" s="192"/>
    </row>
    <row r="27" spans="1:53" ht="11.25" customHeight="1">
      <c r="A27" s="125">
        <v>26</v>
      </c>
      <c r="B27" s="129" t="str">
        <f>VLOOKUP(Z27,'コード表'!$T$2:$X$36,5,0)</f>
        <v>22</v>
      </c>
      <c r="C27" s="83">
        <f>VLOOKUP(N27,'コード表'!$W$47:$X$50,2,0)</f>
        <v>4</v>
      </c>
      <c r="D27" s="83">
        <f>VLOOKUP(M27,'コード表'!$W$53:$X$56,2,0)</f>
        <v>4</v>
      </c>
      <c r="E27" s="129">
        <f>VLOOKUP(AA27,'コード表'!Y:AA,3,0)</f>
        <v>222</v>
      </c>
      <c r="F27" s="83">
        <f>VLOOKUP(K27,'コード表'!$W$38:$X$44,2,0)</f>
        <v>2</v>
      </c>
      <c r="G27" s="83">
        <f>VLOOKUP(S27,'コード表'!A:D,4,0)</f>
        <v>542</v>
      </c>
      <c r="H27" s="83">
        <f>VLOOKUP(U27,'コード表'!A:D,4,0)</f>
        <v>540</v>
      </c>
      <c r="I27" s="25">
        <v>26</v>
      </c>
      <c r="J27" s="83" t="s">
        <v>608</v>
      </c>
      <c r="K27" s="23" t="s">
        <v>610</v>
      </c>
      <c r="L27" s="25" t="s">
        <v>1963</v>
      </c>
      <c r="M27" s="23" t="s">
        <v>546</v>
      </c>
      <c r="N27" s="23">
        <v>3</v>
      </c>
      <c r="O27" s="23">
        <v>410</v>
      </c>
      <c r="P27" s="23">
        <v>300</v>
      </c>
      <c r="Q27" s="23">
        <v>300</v>
      </c>
      <c r="R27" s="23">
        <v>115</v>
      </c>
      <c r="S27" s="25" t="s">
        <v>1828</v>
      </c>
      <c r="T27" s="25" t="s">
        <v>1027</v>
      </c>
      <c r="U27" s="25" t="s">
        <v>685</v>
      </c>
      <c r="V27" s="25" t="s">
        <v>352</v>
      </c>
      <c r="W27" s="25" t="s">
        <v>1964</v>
      </c>
      <c r="X27" s="25" t="s">
        <v>1965</v>
      </c>
      <c r="Y27" s="25" t="s">
        <v>414</v>
      </c>
      <c r="Z27" s="25" t="s">
        <v>407</v>
      </c>
      <c r="AA27" s="25" t="s">
        <v>611</v>
      </c>
      <c r="AB27" s="25"/>
      <c r="AC27" s="25" t="s">
        <v>1966</v>
      </c>
      <c r="AD27" s="25" t="s">
        <v>416</v>
      </c>
      <c r="AE27" s="25" t="s">
        <v>2111</v>
      </c>
      <c r="AF27" s="25" t="s">
        <v>1933</v>
      </c>
      <c r="AG27" s="25" t="s">
        <v>417</v>
      </c>
      <c r="AH27" s="25" t="s">
        <v>1007</v>
      </c>
      <c r="AI27" s="25" t="s">
        <v>2095</v>
      </c>
      <c r="AJ27" s="36" t="s">
        <v>377</v>
      </c>
      <c r="AK27" s="25"/>
      <c r="AL27" s="26"/>
      <c r="AM27" s="25"/>
      <c r="AN27" s="25"/>
      <c r="AO27" s="148"/>
      <c r="AP27" s="23">
        <v>7000</v>
      </c>
      <c r="AQ27" s="23" t="str">
        <f t="shared" si="0"/>
        <v>7CP</v>
      </c>
      <c r="AR27" s="23" t="str">
        <f t="shared" si="1"/>
        <v>05</v>
      </c>
      <c r="AS27" s="23">
        <v>5</v>
      </c>
      <c r="AT27" s="23"/>
      <c r="AU27" s="23"/>
      <c r="AV27" s="23"/>
      <c r="AW27" s="23"/>
      <c r="AX27" s="23"/>
      <c r="AY27" s="23">
        <v>806</v>
      </c>
      <c r="AZ27" s="185">
        <v>41025</v>
      </c>
      <c r="BA27" s="192"/>
    </row>
    <row r="28" spans="1:53" ht="11.25" customHeight="1">
      <c r="A28" s="125">
        <v>27</v>
      </c>
      <c r="B28" s="129" t="str">
        <f>VLOOKUP(Z28,'コード表'!$T$2:$X$36,5,0)</f>
        <v>02</v>
      </c>
      <c r="C28" s="83">
        <f>VLOOKUP(N28,'コード表'!$W$47:$X$50,2,0)</f>
        <v>2</v>
      </c>
      <c r="D28" s="83">
        <f>VLOOKUP(M28,'コード表'!$W$53:$X$56,2,0)</f>
        <v>2</v>
      </c>
      <c r="E28" s="129" t="str">
        <f>VLOOKUP(AA28,'コード表'!Y:AA,3,0)</f>
        <v>021</v>
      </c>
      <c r="F28" s="83">
        <f>VLOOKUP(K28,'コード表'!$W$38:$X$44,2,0)</f>
        <v>1</v>
      </c>
      <c r="G28" s="83">
        <f>VLOOKUP(S28,'コード表'!A:D,4,0)</f>
        <v>102</v>
      </c>
      <c r="H28" s="83">
        <f>VLOOKUP(U28,'コード表'!A:D,4,0)</f>
        <v>102</v>
      </c>
      <c r="I28" s="25">
        <v>27</v>
      </c>
      <c r="J28" s="83" t="s">
        <v>609</v>
      </c>
      <c r="K28" s="23" t="s">
        <v>541</v>
      </c>
      <c r="L28" s="25" t="s">
        <v>394</v>
      </c>
      <c r="M28" s="23" t="s">
        <v>2090</v>
      </c>
      <c r="N28" s="23">
        <v>5</v>
      </c>
      <c r="O28" s="23">
        <v>675</v>
      </c>
      <c r="P28" s="23">
        <v>580</v>
      </c>
      <c r="Q28" s="23">
        <v>405</v>
      </c>
      <c r="R28" s="23">
        <v>115</v>
      </c>
      <c r="S28" s="25" t="s">
        <v>2091</v>
      </c>
      <c r="T28" s="25" t="s">
        <v>1909</v>
      </c>
      <c r="U28" s="25" t="s">
        <v>666</v>
      </c>
      <c r="V28" s="25" t="s">
        <v>999</v>
      </c>
      <c r="W28" s="25" t="s">
        <v>1269</v>
      </c>
      <c r="X28" s="25" t="s">
        <v>1947</v>
      </c>
      <c r="Y28" s="25" t="s">
        <v>414</v>
      </c>
      <c r="Z28" s="25" t="s">
        <v>1383</v>
      </c>
      <c r="AA28" s="25" t="s">
        <v>590</v>
      </c>
      <c r="AB28" s="25"/>
      <c r="AC28" s="25" t="s">
        <v>1948</v>
      </c>
      <c r="AD28" s="25" t="s">
        <v>416</v>
      </c>
      <c r="AE28" s="25" t="s">
        <v>1949</v>
      </c>
      <c r="AF28" s="25" t="s">
        <v>1950</v>
      </c>
      <c r="AG28" s="25" t="s">
        <v>417</v>
      </c>
      <c r="AH28" s="25"/>
      <c r="AI28" s="25"/>
      <c r="AJ28" s="36"/>
      <c r="AK28" s="25"/>
      <c r="AL28" s="26"/>
      <c r="AM28" s="25"/>
      <c r="AN28" s="25"/>
      <c r="AO28" s="148"/>
      <c r="AP28" s="23">
        <v>2000</v>
      </c>
      <c r="AQ28" s="23" t="str">
        <f t="shared" si="0"/>
        <v>2PR</v>
      </c>
      <c r="AR28" s="23" t="str">
        <f t="shared" si="1"/>
        <v>24</v>
      </c>
      <c r="AS28" s="23">
        <v>4</v>
      </c>
      <c r="AT28" s="23"/>
      <c r="AU28" s="23"/>
      <c r="AV28" s="23" t="s">
        <v>1178</v>
      </c>
      <c r="AW28" s="23"/>
      <c r="AX28" s="23"/>
      <c r="AY28" s="23">
        <v>807</v>
      </c>
      <c r="AZ28" s="185">
        <v>41037</v>
      </c>
      <c r="BA28" s="192" t="s">
        <v>2285</v>
      </c>
    </row>
    <row r="29" spans="1:53" ht="11.25" customHeight="1">
      <c r="A29" s="125">
        <v>28</v>
      </c>
      <c r="B29" s="129" t="str">
        <f>VLOOKUP(Z29,'コード表'!$T$2:$X$36,5,0)</f>
        <v>04</v>
      </c>
      <c r="C29" s="83">
        <f>VLOOKUP(N29,'コード表'!$W$47:$X$50,2,0)</f>
        <v>2</v>
      </c>
      <c r="D29" s="83">
        <f>VLOOKUP(M29,'コード表'!$W$53:$X$56,2,0)</f>
        <v>2</v>
      </c>
      <c r="E29" s="129" t="str">
        <f>VLOOKUP(AA29,'コード表'!Y:AA,3,0)</f>
        <v>044</v>
      </c>
      <c r="F29" s="83">
        <f>VLOOKUP(K29,'コード表'!$W$38:$X$44,2,0)</f>
        <v>2</v>
      </c>
      <c r="G29" s="83">
        <f>VLOOKUP(S29,'コード表'!A:D,4,0)</f>
        <v>120</v>
      </c>
      <c r="H29" s="83">
        <f>VLOOKUP(U29,'コード表'!A:D,4,0)</f>
        <v>120</v>
      </c>
      <c r="I29" s="25">
        <v>28</v>
      </c>
      <c r="J29" s="83" t="s">
        <v>429</v>
      </c>
      <c r="K29" s="23" t="s">
        <v>668</v>
      </c>
      <c r="L29" s="25" t="s">
        <v>702</v>
      </c>
      <c r="M29" s="23" t="s">
        <v>544</v>
      </c>
      <c r="N29" s="23">
        <v>5</v>
      </c>
      <c r="O29" s="23">
        <v>675</v>
      </c>
      <c r="P29" s="23">
        <v>560</v>
      </c>
      <c r="Q29" s="23">
        <v>985</v>
      </c>
      <c r="R29" s="23">
        <v>70</v>
      </c>
      <c r="S29" s="25" t="s">
        <v>675</v>
      </c>
      <c r="T29" s="25" t="s">
        <v>308</v>
      </c>
      <c r="U29" s="25" t="s">
        <v>675</v>
      </c>
      <c r="V29" s="25" t="s">
        <v>309</v>
      </c>
      <c r="W29" s="25" t="s">
        <v>703</v>
      </c>
      <c r="X29" s="25" t="s">
        <v>993</v>
      </c>
      <c r="Y29" s="25" t="s">
        <v>414</v>
      </c>
      <c r="Z29" s="25" t="s">
        <v>412</v>
      </c>
      <c r="AA29" s="25" t="s">
        <v>1009</v>
      </c>
      <c r="AB29" s="25"/>
      <c r="AC29" s="25" t="s">
        <v>597</v>
      </c>
      <c r="AD29" s="25" t="s">
        <v>596</v>
      </c>
      <c r="AE29" s="25" t="s">
        <v>940</v>
      </c>
      <c r="AF29" s="25" t="s">
        <v>709</v>
      </c>
      <c r="AG29" s="25" t="s">
        <v>708</v>
      </c>
      <c r="AH29" s="25"/>
      <c r="AI29" s="25"/>
      <c r="AJ29" s="36"/>
      <c r="AK29" s="25"/>
      <c r="AL29" s="26"/>
      <c r="AM29" s="25"/>
      <c r="AN29" s="25"/>
      <c r="AO29" s="148"/>
      <c r="AP29" s="23">
        <v>1000</v>
      </c>
      <c r="AQ29" s="23" t="str">
        <f t="shared" si="0"/>
        <v>1CP</v>
      </c>
      <c r="AR29" s="23" t="str">
        <f t="shared" si="1"/>
        <v>25</v>
      </c>
      <c r="AS29" s="23">
        <v>5</v>
      </c>
      <c r="AT29" s="23"/>
      <c r="AU29" s="23"/>
      <c r="AV29" s="23"/>
      <c r="AW29" s="23"/>
      <c r="AX29" s="23"/>
      <c r="AY29" s="23">
        <v>946</v>
      </c>
      <c r="AZ29" s="185">
        <v>41086</v>
      </c>
      <c r="BA29" s="192"/>
    </row>
    <row r="30" spans="1:53" ht="11.25" customHeight="1">
      <c r="A30" s="125">
        <v>29</v>
      </c>
      <c r="B30" s="129" t="str">
        <f>VLOOKUP(Z30,'コード表'!$T$2:$X$36,5,0)</f>
        <v>04</v>
      </c>
      <c r="C30" s="83">
        <f>VLOOKUP(N30,'コード表'!$W$47:$X$50,2,0)</f>
        <v>2</v>
      </c>
      <c r="D30" s="83">
        <f>VLOOKUP(M30,'コード表'!$W$53:$X$56,2,0)</f>
        <v>2</v>
      </c>
      <c r="E30" s="129" t="str">
        <f>VLOOKUP(AA30,'コード表'!Y:AA,3,0)</f>
        <v>044</v>
      </c>
      <c r="F30" s="83">
        <f>VLOOKUP(K30,'コード表'!$W$38:$X$44,2,0)</f>
        <v>2</v>
      </c>
      <c r="G30" s="83">
        <f>VLOOKUP(S30,'コード表'!A:D,4,0)</f>
        <v>110</v>
      </c>
      <c r="H30" s="83">
        <f>VLOOKUP(U30,'コード表'!A:D,4,0)</f>
        <v>110</v>
      </c>
      <c r="I30" s="25">
        <v>29</v>
      </c>
      <c r="J30" s="83" t="s">
        <v>430</v>
      </c>
      <c r="K30" s="23" t="s">
        <v>668</v>
      </c>
      <c r="L30" s="25" t="s">
        <v>1466</v>
      </c>
      <c r="M30" s="23" t="s">
        <v>544</v>
      </c>
      <c r="N30" s="23">
        <v>5</v>
      </c>
      <c r="O30" s="23">
        <v>675</v>
      </c>
      <c r="P30" s="23">
        <v>560</v>
      </c>
      <c r="Q30" s="23">
        <v>810</v>
      </c>
      <c r="R30" s="23">
        <v>80</v>
      </c>
      <c r="S30" s="25" t="s">
        <v>673</v>
      </c>
      <c r="T30" s="25" t="s">
        <v>1</v>
      </c>
      <c r="U30" s="25" t="s">
        <v>673</v>
      </c>
      <c r="V30" s="25" t="s">
        <v>2</v>
      </c>
      <c r="W30" s="25" t="s">
        <v>1467</v>
      </c>
      <c r="X30" s="25" t="s">
        <v>1371</v>
      </c>
      <c r="Y30" s="25" t="s">
        <v>414</v>
      </c>
      <c r="Z30" s="25" t="s">
        <v>412</v>
      </c>
      <c r="AA30" s="25" t="s">
        <v>1009</v>
      </c>
      <c r="AB30" s="25"/>
      <c r="AC30" s="25" t="s">
        <v>598</v>
      </c>
      <c r="AD30" s="25" t="s">
        <v>596</v>
      </c>
      <c r="AE30" s="25" t="s">
        <v>249</v>
      </c>
      <c r="AF30" s="25" t="s">
        <v>710</v>
      </c>
      <c r="AG30" s="25" t="s">
        <v>708</v>
      </c>
      <c r="AH30" s="25"/>
      <c r="AI30" s="25"/>
      <c r="AJ30" s="36"/>
      <c r="AK30" s="25"/>
      <c r="AL30" s="26"/>
      <c r="AM30" s="25"/>
      <c r="AN30" s="25"/>
      <c r="AO30" s="148"/>
      <c r="AP30" s="23">
        <v>1000</v>
      </c>
      <c r="AQ30" s="23" t="str">
        <f t="shared" si="0"/>
        <v>1CP</v>
      </c>
      <c r="AR30" s="23" t="str">
        <f t="shared" si="1"/>
        <v>25</v>
      </c>
      <c r="AS30" s="23">
        <v>5</v>
      </c>
      <c r="AT30" s="23"/>
      <c r="AU30" s="23">
        <v>2</v>
      </c>
      <c r="AV30" s="23" t="s">
        <v>1177</v>
      </c>
      <c r="AW30" s="23">
        <v>2</v>
      </c>
      <c r="AX30" s="23"/>
      <c r="AY30" s="23">
        <v>947</v>
      </c>
      <c r="AZ30" s="185">
        <v>41086</v>
      </c>
      <c r="BA30" s="192"/>
    </row>
    <row r="31" spans="1:53" ht="11.25" customHeight="1">
      <c r="A31" s="125">
        <v>30</v>
      </c>
      <c r="B31" s="129" t="str">
        <f>VLOOKUP(Z31,'コード表'!$T$2:$X$36,5,0)</f>
        <v>04</v>
      </c>
      <c r="C31" s="83">
        <f>VLOOKUP(N31,'コード表'!$W$47:$X$50,2,0)</f>
        <v>2</v>
      </c>
      <c r="D31" s="83">
        <f>VLOOKUP(M31,'コード表'!$W$53:$X$56,2,0)</f>
        <v>2</v>
      </c>
      <c r="E31" s="129" t="str">
        <f>VLOOKUP(AA31,'コード表'!Y:AA,3,0)</f>
        <v>044</v>
      </c>
      <c r="F31" s="83">
        <f>VLOOKUP(K31,'コード表'!$W$38:$X$44,2,0)</f>
        <v>2</v>
      </c>
      <c r="G31" s="83">
        <f>VLOOKUP(S31,'コード表'!A:D,4,0)</f>
        <v>100</v>
      </c>
      <c r="H31" s="83">
        <f>VLOOKUP(U31,'コード表'!A:D,4,0)</f>
        <v>100</v>
      </c>
      <c r="I31" s="25">
        <v>30</v>
      </c>
      <c r="J31" s="83" t="s">
        <v>431</v>
      </c>
      <c r="K31" s="23" t="s">
        <v>668</v>
      </c>
      <c r="L31" s="25" t="s">
        <v>1427</v>
      </c>
      <c r="M31" s="23" t="s">
        <v>544</v>
      </c>
      <c r="N31" s="23">
        <v>5</v>
      </c>
      <c r="O31" s="23">
        <v>675</v>
      </c>
      <c r="P31" s="23">
        <v>440</v>
      </c>
      <c r="Q31" s="23">
        <v>440</v>
      </c>
      <c r="R31" s="23">
        <v>130</v>
      </c>
      <c r="S31" s="25" t="s">
        <v>677</v>
      </c>
      <c r="T31" s="25" t="s">
        <v>616</v>
      </c>
      <c r="U31" s="25" t="s">
        <v>677</v>
      </c>
      <c r="V31" s="25" t="s">
        <v>0</v>
      </c>
      <c r="W31" s="25" t="s">
        <v>1428</v>
      </c>
      <c r="X31" s="25" t="s">
        <v>1429</v>
      </c>
      <c r="Y31" s="25" t="s">
        <v>414</v>
      </c>
      <c r="Z31" s="25" t="s">
        <v>412</v>
      </c>
      <c r="AA31" s="25" t="s">
        <v>1009</v>
      </c>
      <c r="AB31" s="25"/>
      <c r="AC31" s="25" t="s">
        <v>688</v>
      </c>
      <c r="AD31" s="25" t="s">
        <v>596</v>
      </c>
      <c r="AE31" s="25" t="s">
        <v>250</v>
      </c>
      <c r="AF31" s="25" t="s">
        <v>711</v>
      </c>
      <c r="AG31" s="25" t="s">
        <v>708</v>
      </c>
      <c r="AH31" s="25"/>
      <c r="AI31" s="25"/>
      <c r="AJ31" s="36"/>
      <c r="AK31" s="25"/>
      <c r="AL31" s="26"/>
      <c r="AM31" s="25"/>
      <c r="AN31" s="25"/>
      <c r="AO31" s="148"/>
      <c r="AP31" s="23">
        <v>1000</v>
      </c>
      <c r="AQ31" s="23" t="str">
        <f t="shared" si="0"/>
        <v>1CP</v>
      </c>
      <c r="AR31" s="23" t="str">
        <f t="shared" si="1"/>
        <v>25</v>
      </c>
      <c r="AS31" s="23">
        <v>5</v>
      </c>
      <c r="AT31" s="23"/>
      <c r="AU31" s="23"/>
      <c r="AV31" s="23"/>
      <c r="AW31" s="23"/>
      <c r="AX31" s="23"/>
      <c r="AY31" s="23">
        <v>948</v>
      </c>
      <c r="AZ31" s="185">
        <v>41086</v>
      </c>
      <c r="BA31" s="192"/>
    </row>
    <row r="32" spans="1:53" ht="11.25" customHeight="1">
      <c r="A32" s="125">
        <v>31</v>
      </c>
      <c r="B32" s="129" t="str">
        <f>VLOOKUP(Z32,'コード表'!$T$2:$X$36,5,0)</f>
        <v>04</v>
      </c>
      <c r="C32" s="83">
        <f>VLOOKUP(N32,'コード表'!$W$47:$X$50,2,0)</f>
        <v>2</v>
      </c>
      <c r="D32" s="83">
        <f>VLOOKUP(M32,'コード表'!$W$53:$X$56,2,0)</f>
        <v>3</v>
      </c>
      <c r="E32" s="129" t="str">
        <f>VLOOKUP(AA32,'コード表'!Y:AA,3,0)</f>
        <v>044</v>
      </c>
      <c r="F32" s="83">
        <f>VLOOKUP(K32,'コード表'!$W$38:$X$44,2,0)</f>
        <v>2</v>
      </c>
      <c r="G32" s="83">
        <f>VLOOKUP(S32,'コード表'!A:D,4,0)</f>
        <v>120</v>
      </c>
      <c r="H32" s="83">
        <f>VLOOKUP(U32,'コード表'!A:D,4,0)</f>
        <v>120</v>
      </c>
      <c r="I32" s="25">
        <v>31</v>
      </c>
      <c r="J32" s="83" t="s">
        <v>432</v>
      </c>
      <c r="K32" s="23" t="s">
        <v>668</v>
      </c>
      <c r="L32" s="25" t="s">
        <v>1430</v>
      </c>
      <c r="M32" s="23" t="s">
        <v>542</v>
      </c>
      <c r="N32" s="23">
        <v>5</v>
      </c>
      <c r="O32" s="23">
        <v>675</v>
      </c>
      <c r="P32" s="23">
        <v>510</v>
      </c>
      <c r="Q32" s="23">
        <v>610</v>
      </c>
      <c r="R32" s="23">
        <v>100</v>
      </c>
      <c r="S32" s="25" t="s">
        <v>675</v>
      </c>
      <c r="T32" s="25" t="s">
        <v>308</v>
      </c>
      <c r="U32" s="25" t="s">
        <v>675</v>
      </c>
      <c r="V32" s="25" t="s">
        <v>309</v>
      </c>
      <c r="W32" s="25" t="s">
        <v>1431</v>
      </c>
      <c r="X32" s="25" t="s">
        <v>1432</v>
      </c>
      <c r="Y32" s="25" t="s">
        <v>414</v>
      </c>
      <c r="Z32" s="25" t="s">
        <v>412</v>
      </c>
      <c r="AA32" s="25" t="s">
        <v>1009</v>
      </c>
      <c r="AB32" s="25"/>
      <c r="AC32" s="25" t="s">
        <v>689</v>
      </c>
      <c r="AD32" s="25" t="s">
        <v>596</v>
      </c>
      <c r="AE32" s="25" t="s">
        <v>251</v>
      </c>
      <c r="AF32" s="25" t="s">
        <v>712</v>
      </c>
      <c r="AG32" s="25" t="s">
        <v>708</v>
      </c>
      <c r="AH32" s="25"/>
      <c r="AI32" s="25"/>
      <c r="AJ32" s="36"/>
      <c r="AK32" s="25"/>
      <c r="AL32" s="26"/>
      <c r="AM32" s="25"/>
      <c r="AN32" s="25"/>
      <c r="AO32" s="148"/>
      <c r="AP32" s="23">
        <v>1000</v>
      </c>
      <c r="AQ32" s="23" t="str">
        <f t="shared" si="0"/>
        <v>1CP</v>
      </c>
      <c r="AR32" s="23" t="str">
        <f t="shared" si="1"/>
        <v>25</v>
      </c>
      <c r="AS32" s="23">
        <v>5</v>
      </c>
      <c r="AT32" s="23"/>
      <c r="AU32" s="23"/>
      <c r="AV32" s="23"/>
      <c r="AW32" s="23"/>
      <c r="AX32" s="23"/>
      <c r="AY32" s="23">
        <v>949</v>
      </c>
      <c r="AZ32" s="185">
        <v>41086</v>
      </c>
      <c r="BA32" s="192"/>
    </row>
    <row r="33" spans="1:53" ht="11.25" customHeight="1">
      <c r="A33" s="125">
        <v>32</v>
      </c>
      <c r="B33" s="129" t="str">
        <f>VLOOKUP(Z33,'コード表'!$T$2:$X$36,5,0)</f>
        <v>04</v>
      </c>
      <c r="C33" s="83">
        <f>VLOOKUP(N33,'コード表'!$W$47:$X$50,2,0)</f>
        <v>2</v>
      </c>
      <c r="D33" s="83">
        <f>VLOOKUP(M33,'コード表'!$W$53:$X$56,2,0)</f>
        <v>1</v>
      </c>
      <c r="E33" s="129" t="str">
        <f>VLOOKUP(AA33,'コード表'!Y:AA,3,0)</f>
        <v>044</v>
      </c>
      <c r="F33" s="83">
        <f>VLOOKUP(K33,'コード表'!$W$38:$X$44,2,0)</f>
        <v>2</v>
      </c>
      <c r="G33" s="83">
        <f>VLOOKUP(S33,'コード表'!A:D,4,0)</f>
        <v>130</v>
      </c>
      <c r="H33" s="83">
        <f>VLOOKUP(U33,'コード表'!A:D,4,0)</f>
        <v>130</v>
      </c>
      <c r="I33" s="25">
        <v>32</v>
      </c>
      <c r="J33" s="83" t="s">
        <v>433</v>
      </c>
      <c r="K33" s="23" t="s">
        <v>668</v>
      </c>
      <c r="L33" s="25" t="s">
        <v>1433</v>
      </c>
      <c r="M33" s="23" t="s">
        <v>543</v>
      </c>
      <c r="N33" s="23">
        <v>5</v>
      </c>
      <c r="O33" s="23">
        <v>675</v>
      </c>
      <c r="P33" s="23">
        <v>810</v>
      </c>
      <c r="Q33" s="23">
        <v>560</v>
      </c>
      <c r="R33" s="23">
        <v>80</v>
      </c>
      <c r="S33" s="25" t="s">
        <v>676</v>
      </c>
      <c r="T33" s="25" t="s">
        <v>452</v>
      </c>
      <c r="U33" s="25" t="s">
        <v>676</v>
      </c>
      <c r="V33" s="25" t="s">
        <v>1231</v>
      </c>
      <c r="W33" s="25" t="s">
        <v>1434</v>
      </c>
      <c r="X33" s="25" t="s">
        <v>1523</v>
      </c>
      <c r="Y33" s="25" t="s">
        <v>414</v>
      </c>
      <c r="Z33" s="25" t="s">
        <v>412</v>
      </c>
      <c r="AA33" s="25" t="s">
        <v>1009</v>
      </c>
      <c r="AB33" s="25"/>
      <c r="AC33" s="25" t="s">
        <v>690</v>
      </c>
      <c r="AD33" s="25" t="s">
        <v>596</v>
      </c>
      <c r="AE33" s="25" t="s">
        <v>252</v>
      </c>
      <c r="AF33" s="25" t="s">
        <v>713</v>
      </c>
      <c r="AG33" s="25" t="s">
        <v>708</v>
      </c>
      <c r="AH33" s="25"/>
      <c r="AI33" s="25"/>
      <c r="AJ33" s="36"/>
      <c r="AK33" s="25"/>
      <c r="AL33" s="26"/>
      <c r="AM33" s="25"/>
      <c r="AN33" s="25"/>
      <c r="AO33" s="148"/>
      <c r="AP33" s="23">
        <v>1000</v>
      </c>
      <c r="AQ33" s="23" t="str">
        <f t="shared" si="0"/>
        <v>1CP</v>
      </c>
      <c r="AR33" s="23" t="str">
        <f t="shared" si="1"/>
        <v>25</v>
      </c>
      <c r="AS33" s="23">
        <v>5</v>
      </c>
      <c r="AT33" s="23"/>
      <c r="AU33" s="23"/>
      <c r="AV33" s="23"/>
      <c r="AW33" s="23"/>
      <c r="AX33" s="23"/>
      <c r="AY33" s="23">
        <v>950</v>
      </c>
      <c r="AZ33" s="185">
        <v>41086</v>
      </c>
      <c r="BA33" s="192"/>
    </row>
    <row r="34" spans="1:53" ht="11.25" customHeight="1">
      <c r="A34" s="125">
        <v>33</v>
      </c>
      <c r="B34" s="129" t="str">
        <f>VLOOKUP(Z34,'コード表'!$T$2:$X$36,5,0)</f>
        <v>04</v>
      </c>
      <c r="C34" s="83">
        <f>VLOOKUP(N34,'コード表'!$W$47:$X$50,2,0)</f>
        <v>2</v>
      </c>
      <c r="D34" s="83">
        <f>VLOOKUP(M34,'コード表'!$W$53:$X$56,2,0)</f>
        <v>1</v>
      </c>
      <c r="E34" s="129" t="str">
        <f>VLOOKUP(AA34,'コード表'!Y:AA,3,0)</f>
        <v>044</v>
      </c>
      <c r="F34" s="83">
        <f>VLOOKUP(K34,'コード表'!$W$38:$X$44,2,0)</f>
        <v>2</v>
      </c>
      <c r="G34" s="83">
        <f>VLOOKUP(S34,'コード表'!A:D,4,0)</f>
        <v>110</v>
      </c>
      <c r="H34" s="83">
        <f>VLOOKUP(U34,'コード表'!A:D,4,0)</f>
        <v>110</v>
      </c>
      <c r="I34" s="25">
        <v>33</v>
      </c>
      <c r="J34" s="83" t="s">
        <v>434</v>
      </c>
      <c r="K34" s="23" t="s">
        <v>668</v>
      </c>
      <c r="L34" s="25" t="s">
        <v>1587</v>
      </c>
      <c r="M34" s="23" t="s">
        <v>543</v>
      </c>
      <c r="N34" s="23">
        <v>5</v>
      </c>
      <c r="O34" s="23">
        <v>675</v>
      </c>
      <c r="P34" s="23">
        <v>500</v>
      </c>
      <c r="Q34" s="23">
        <v>725</v>
      </c>
      <c r="R34" s="23">
        <v>90</v>
      </c>
      <c r="S34" s="25" t="s">
        <v>673</v>
      </c>
      <c r="T34" s="25" t="s">
        <v>72</v>
      </c>
      <c r="U34" s="25" t="s">
        <v>673</v>
      </c>
      <c r="V34" s="25" t="s">
        <v>307</v>
      </c>
      <c r="W34" s="25" t="s">
        <v>671</v>
      </c>
      <c r="X34" s="25" t="s">
        <v>672</v>
      </c>
      <c r="Y34" s="25" t="s">
        <v>414</v>
      </c>
      <c r="Z34" s="25" t="s">
        <v>412</v>
      </c>
      <c r="AA34" s="25" t="s">
        <v>1009</v>
      </c>
      <c r="AB34" s="25"/>
      <c r="AC34" s="25" t="s">
        <v>305</v>
      </c>
      <c r="AD34" s="25" t="s">
        <v>596</v>
      </c>
      <c r="AE34" s="25" t="s">
        <v>595</v>
      </c>
      <c r="AF34" s="25" t="s">
        <v>939</v>
      </c>
      <c r="AG34" s="25" t="s">
        <v>708</v>
      </c>
      <c r="AH34" s="25"/>
      <c r="AI34" s="25"/>
      <c r="AJ34" s="36"/>
      <c r="AK34" s="25"/>
      <c r="AL34" s="26"/>
      <c r="AM34" s="25"/>
      <c r="AN34" s="25"/>
      <c r="AO34" s="148"/>
      <c r="AP34" s="23">
        <v>1000</v>
      </c>
      <c r="AQ34" s="23" t="str">
        <f aca="true" t="shared" si="2" ref="AQ34:AQ65">LEFT(AP34,1)&amp;K34</f>
        <v>1CP</v>
      </c>
      <c r="AR34" s="23" t="str">
        <f aca="true" t="shared" si="3" ref="AR34:AR65">IF(AND($H34&gt;500,$H34&lt;700),"0"&amp;$AS34,$C34&amp;$AS34)</f>
        <v>25</v>
      </c>
      <c r="AS34" s="23">
        <v>5</v>
      </c>
      <c r="AT34" s="23"/>
      <c r="AU34" s="23">
        <v>2</v>
      </c>
      <c r="AV34" s="23" t="s">
        <v>1177</v>
      </c>
      <c r="AW34" s="23">
        <v>2</v>
      </c>
      <c r="AX34" s="23"/>
      <c r="AY34" s="23">
        <v>951</v>
      </c>
      <c r="AZ34" s="185">
        <v>41086</v>
      </c>
      <c r="BA34" s="192"/>
    </row>
    <row r="35" spans="1:53" ht="11.25" customHeight="1">
      <c r="A35" s="125">
        <v>34</v>
      </c>
      <c r="B35" s="129" t="str">
        <f>VLOOKUP(Z35,'コード表'!$T$2:$X$36,5,0)</f>
        <v>04</v>
      </c>
      <c r="C35" s="83">
        <f>VLOOKUP(N35,'コード表'!$W$47:$X$50,2,0)</f>
        <v>2</v>
      </c>
      <c r="D35" s="83">
        <f>VLOOKUP(M35,'コード表'!$W$53:$X$56,2,0)</f>
        <v>2</v>
      </c>
      <c r="E35" s="129" t="str">
        <f>VLOOKUP(AA35,'コード表'!Y:AA,3,0)</f>
        <v>044</v>
      </c>
      <c r="F35" s="83">
        <f>VLOOKUP(K35,'コード表'!$W$38:$X$44,2,0)</f>
        <v>2</v>
      </c>
      <c r="G35" s="83">
        <f>VLOOKUP(S35,'コード表'!A:D,4,0)</f>
        <v>300</v>
      </c>
      <c r="H35" s="83">
        <f>VLOOKUP(U35,'コード表'!A:D,4,0)</f>
        <v>310</v>
      </c>
      <c r="I35" s="25">
        <v>34</v>
      </c>
      <c r="J35" s="83" t="s">
        <v>435</v>
      </c>
      <c r="K35" s="23" t="s">
        <v>668</v>
      </c>
      <c r="L35" s="25" t="s">
        <v>1560</v>
      </c>
      <c r="M35" s="23" t="s">
        <v>544</v>
      </c>
      <c r="N35" s="23">
        <v>5</v>
      </c>
      <c r="O35" s="23">
        <v>675</v>
      </c>
      <c r="P35" s="23">
        <v>510</v>
      </c>
      <c r="Q35" s="23">
        <v>610</v>
      </c>
      <c r="R35" s="23">
        <v>100</v>
      </c>
      <c r="S35" s="25" t="s">
        <v>678</v>
      </c>
      <c r="T35" s="25" t="s">
        <v>437</v>
      </c>
      <c r="U35" s="25" t="s">
        <v>1180</v>
      </c>
      <c r="V35" s="25" t="s">
        <v>438</v>
      </c>
      <c r="W35" s="25" t="s">
        <v>2007</v>
      </c>
      <c r="X35" s="25" t="s">
        <v>2008</v>
      </c>
      <c r="Y35" s="25" t="s">
        <v>414</v>
      </c>
      <c r="Z35" s="25" t="s">
        <v>412</v>
      </c>
      <c r="AA35" s="25" t="s">
        <v>1009</v>
      </c>
      <c r="AB35" s="25"/>
      <c r="AC35" s="25" t="s">
        <v>306</v>
      </c>
      <c r="AD35" s="25" t="s">
        <v>596</v>
      </c>
      <c r="AE35" s="25" t="s">
        <v>439</v>
      </c>
      <c r="AF35" s="25" t="s">
        <v>1526</v>
      </c>
      <c r="AG35" s="25" t="s">
        <v>708</v>
      </c>
      <c r="AH35" s="25"/>
      <c r="AI35" s="25"/>
      <c r="AJ35" s="36"/>
      <c r="AK35" s="25"/>
      <c r="AL35" s="26"/>
      <c r="AM35" s="25"/>
      <c r="AN35" s="25"/>
      <c r="AO35" s="148"/>
      <c r="AP35" s="23">
        <v>1000</v>
      </c>
      <c r="AQ35" s="23" t="str">
        <f t="shared" si="2"/>
        <v>1CP</v>
      </c>
      <c r="AR35" s="23" t="str">
        <f t="shared" si="3"/>
        <v>25</v>
      </c>
      <c r="AS35" s="23">
        <v>5</v>
      </c>
      <c r="AT35" s="23"/>
      <c r="AU35" s="23">
        <v>3</v>
      </c>
      <c r="AV35" s="23"/>
      <c r="AW35" s="23"/>
      <c r="AX35" s="23"/>
      <c r="AY35" s="23">
        <v>952</v>
      </c>
      <c r="AZ35" s="185">
        <v>41086</v>
      </c>
      <c r="BA35" s="192"/>
    </row>
    <row r="36" spans="1:53" ht="11.25" customHeight="1">
      <c r="A36" s="125">
        <v>35</v>
      </c>
      <c r="B36" s="129" t="str">
        <f>VLOOKUP(Z36,'コード表'!$T$2:$X$36,5,0)</f>
        <v>04</v>
      </c>
      <c r="C36" s="83">
        <f>VLOOKUP(N36,'コード表'!$W$47:$X$50,2,0)</f>
        <v>2</v>
      </c>
      <c r="D36" s="83">
        <f>VLOOKUP(M36,'コード表'!$W$53:$X$56,2,0)</f>
        <v>3</v>
      </c>
      <c r="E36" s="129" t="str">
        <f>VLOOKUP(AA36,'コード表'!Y:AA,3,0)</f>
        <v>041</v>
      </c>
      <c r="F36" s="83">
        <f>VLOOKUP(K36,'コード表'!$W$38:$X$44,2,0)</f>
        <v>1</v>
      </c>
      <c r="G36" s="83">
        <f>VLOOKUP(S36,'コード表'!A:D,4,0)</f>
        <v>132</v>
      </c>
      <c r="H36" s="83">
        <f>VLOOKUP(U36,'コード表'!A:D,4,0)</f>
        <v>132</v>
      </c>
      <c r="I36" s="25">
        <v>35</v>
      </c>
      <c r="J36" s="83" t="s">
        <v>436</v>
      </c>
      <c r="K36" s="23" t="s">
        <v>667</v>
      </c>
      <c r="L36" s="25" t="s">
        <v>396</v>
      </c>
      <c r="M36" s="23" t="s">
        <v>480</v>
      </c>
      <c r="N36" s="23">
        <v>5</v>
      </c>
      <c r="O36" s="23">
        <v>700</v>
      </c>
      <c r="P36" s="23">
        <v>425</v>
      </c>
      <c r="Q36" s="23">
        <v>600</v>
      </c>
      <c r="R36" s="23">
        <v>115</v>
      </c>
      <c r="S36" s="25" t="s">
        <v>1997</v>
      </c>
      <c r="T36" s="25" t="s">
        <v>1160</v>
      </c>
      <c r="U36" s="25" t="s">
        <v>1997</v>
      </c>
      <c r="V36" s="25" t="s">
        <v>2039</v>
      </c>
      <c r="W36" s="25" t="s">
        <v>441</v>
      </c>
      <c r="X36" s="25" t="s">
        <v>1951</v>
      </c>
      <c r="Y36" s="25" t="s">
        <v>414</v>
      </c>
      <c r="Z36" s="25" t="s">
        <v>870</v>
      </c>
      <c r="AA36" s="25" t="s">
        <v>1998</v>
      </c>
      <c r="AB36" s="25"/>
      <c r="AC36" s="25" t="s">
        <v>1952</v>
      </c>
      <c r="AD36" s="25" t="s">
        <v>416</v>
      </c>
      <c r="AE36" s="25" t="s">
        <v>1953</v>
      </c>
      <c r="AF36" s="25" t="s">
        <v>1192</v>
      </c>
      <c r="AG36" s="25" t="s">
        <v>417</v>
      </c>
      <c r="AH36" s="25"/>
      <c r="AI36" s="25"/>
      <c r="AJ36" s="36"/>
      <c r="AK36" s="25"/>
      <c r="AL36" s="26"/>
      <c r="AM36" s="25"/>
      <c r="AN36" s="25"/>
      <c r="AO36" s="148"/>
      <c r="AP36" s="23">
        <v>2000</v>
      </c>
      <c r="AQ36" s="23" t="str">
        <f t="shared" si="2"/>
        <v>2PR</v>
      </c>
      <c r="AR36" s="23" t="str">
        <f t="shared" si="3"/>
        <v>24</v>
      </c>
      <c r="AS36" s="23">
        <v>4</v>
      </c>
      <c r="AT36" s="23"/>
      <c r="AU36" s="23"/>
      <c r="AV36" s="23"/>
      <c r="AW36" s="23"/>
      <c r="AX36" s="23"/>
      <c r="AY36" s="23">
        <v>955</v>
      </c>
      <c r="AZ36" s="185">
        <v>41086</v>
      </c>
      <c r="BA36" s="192"/>
    </row>
    <row r="37" spans="1:53" ht="11.25" customHeight="1">
      <c r="A37" s="125">
        <v>36</v>
      </c>
      <c r="B37" s="129" t="str">
        <f>VLOOKUP(Z37,'コード表'!$T$2:$X$36,5,0)</f>
        <v>04</v>
      </c>
      <c r="C37" s="83">
        <f>VLOOKUP(N37,'コード表'!$W$47:$X$50,2,0)</f>
        <v>1</v>
      </c>
      <c r="D37" s="83">
        <f>VLOOKUP(M37,'コード表'!$W$53:$X$56,2,0)</f>
        <v>3</v>
      </c>
      <c r="E37" s="129" t="str">
        <f>VLOOKUP(AA37,'コード表'!Y:AA,3,0)</f>
        <v>041</v>
      </c>
      <c r="F37" s="83">
        <f>VLOOKUP(K37,'コード表'!$W$38:$X$44,2,0)</f>
        <v>1</v>
      </c>
      <c r="G37" s="83">
        <f>VLOOKUP(S37,'コード表'!A:D,4,0)</f>
        <v>130</v>
      </c>
      <c r="H37" s="83">
        <f>VLOOKUP(U37,'コード表'!A:D,4,0)</f>
        <v>130</v>
      </c>
      <c r="I37" s="25">
        <v>36</v>
      </c>
      <c r="J37" s="83" t="s">
        <v>910</v>
      </c>
      <c r="K37" s="23" t="s">
        <v>541</v>
      </c>
      <c r="L37" s="25" t="s">
        <v>706</v>
      </c>
      <c r="M37" s="23" t="s">
        <v>480</v>
      </c>
      <c r="N37" s="23">
        <v>6</v>
      </c>
      <c r="O37" s="23">
        <v>795</v>
      </c>
      <c r="P37" s="23">
        <v>480</v>
      </c>
      <c r="Q37" s="23">
        <v>840</v>
      </c>
      <c r="R37" s="23">
        <v>100</v>
      </c>
      <c r="S37" s="25" t="s">
        <v>676</v>
      </c>
      <c r="T37" s="25" t="s">
        <v>907</v>
      </c>
      <c r="U37" s="25" t="s">
        <v>676</v>
      </c>
      <c r="V37" s="25" t="s">
        <v>908</v>
      </c>
      <c r="W37" s="25" t="s">
        <v>449</v>
      </c>
      <c r="X37" s="25" t="s">
        <v>1017</v>
      </c>
      <c r="Y37" s="25" t="s">
        <v>414</v>
      </c>
      <c r="Z37" s="25" t="s">
        <v>412</v>
      </c>
      <c r="AA37" s="25" t="s">
        <v>909</v>
      </c>
      <c r="AB37" s="25"/>
      <c r="AC37" s="25" t="s">
        <v>572</v>
      </c>
      <c r="AD37" s="25" t="s">
        <v>416</v>
      </c>
      <c r="AE37" s="25" t="s">
        <v>1504</v>
      </c>
      <c r="AF37" s="25" t="s">
        <v>573</v>
      </c>
      <c r="AG37" s="25" t="s">
        <v>417</v>
      </c>
      <c r="AH37" s="25"/>
      <c r="AI37" s="25"/>
      <c r="AJ37" s="36"/>
      <c r="AK37" s="25"/>
      <c r="AL37" s="26"/>
      <c r="AM37" s="25"/>
      <c r="AN37" s="25"/>
      <c r="AO37" s="146" t="s">
        <v>443</v>
      </c>
      <c r="AP37" s="23">
        <v>1000</v>
      </c>
      <c r="AQ37" s="23" t="str">
        <f t="shared" si="2"/>
        <v>1PR</v>
      </c>
      <c r="AR37" s="23" t="str">
        <f t="shared" si="3"/>
        <v>14</v>
      </c>
      <c r="AS37" s="23">
        <v>4</v>
      </c>
      <c r="AT37" s="23"/>
      <c r="AU37" s="23"/>
      <c r="AV37" s="23"/>
      <c r="AW37" s="23"/>
      <c r="AX37" s="23"/>
      <c r="AY37" s="23">
        <v>966</v>
      </c>
      <c r="AZ37" s="185">
        <v>41100</v>
      </c>
      <c r="BA37" s="192" t="s">
        <v>2284</v>
      </c>
    </row>
    <row r="38" spans="1:53" ht="11.25" customHeight="1">
      <c r="A38" s="125">
        <v>37</v>
      </c>
      <c r="B38" s="129" t="str">
        <f>VLOOKUP(Z38,'コード表'!$T$2:$X$36,5,0)</f>
        <v>16</v>
      </c>
      <c r="C38" s="83">
        <f>VLOOKUP(N38,'コード表'!$W$47:$X$50,2,0)</f>
        <v>2</v>
      </c>
      <c r="D38" s="83">
        <f>VLOOKUP(M38,'コード表'!$W$53:$X$56,2,0)</f>
        <v>2</v>
      </c>
      <c r="E38" s="129">
        <f>VLOOKUP(AA38,'コード表'!Y:AA,3,0)</f>
        <v>162</v>
      </c>
      <c r="F38" s="83">
        <f>VLOOKUP(K38,'コード表'!$W$38:$X$44,2,0)</f>
        <v>2</v>
      </c>
      <c r="G38" s="83">
        <f>VLOOKUP(S38,'コード表'!A:D,4,0)</f>
        <v>701</v>
      </c>
      <c r="H38" s="83">
        <f>VLOOKUP(U38,'コード表'!A:D,4,0)</f>
        <v>960</v>
      </c>
      <c r="I38" s="25">
        <v>37</v>
      </c>
      <c r="J38" s="83" t="s">
        <v>2012</v>
      </c>
      <c r="K38" s="23" t="s">
        <v>847</v>
      </c>
      <c r="L38" s="25" t="s">
        <v>101</v>
      </c>
      <c r="M38" s="23" t="s">
        <v>544</v>
      </c>
      <c r="N38" s="23">
        <v>5</v>
      </c>
      <c r="O38" s="23">
        <v>675</v>
      </c>
      <c r="P38" s="23">
        <v>510</v>
      </c>
      <c r="Q38" s="23">
        <v>510</v>
      </c>
      <c r="R38" s="23">
        <v>110</v>
      </c>
      <c r="S38" s="25" t="s">
        <v>1830</v>
      </c>
      <c r="T38" s="25" t="s">
        <v>62</v>
      </c>
      <c r="U38" s="25" t="s">
        <v>2215</v>
      </c>
      <c r="V38" s="25" t="s">
        <v>1439</v>
      </c>
      <c r="W38" s="25" t="s">
        <v>2221</v>
      </c>
      <c r="X38" s="25" t="s">
        <v>2131</v>
      </c>
      <c r="Y38" s="25" t="s">
        <v>2057</v>
      </c>
      <c r="Z38" s="25" t="s">
        <v>1448</v>
      </c>
      <c r="AA38" s="25" t="s">
        <v>63</v>
      </c>
      <c r="AB38" s="25"/>
      <c r="AC38" s="25" t="s">
        <v>1449</v>
      </c>
      <c r="AD38" s="25" t="s">
        <v>416</v>
      </c>
      <c r="AE38" s="25" t="s">
        <v>1286</v>
      </c>
      <c r="AF38" s="25" t="s">
        <v>1450</v>
      </c>
      <c r="AG38" s="25" t="s">
        <v>417</v>
      </c>
      <c r="AH38" s="25" t="s">
        <v>2019</v>
      </c>
      <c r="AI38" s="25" t="s">
        <v>2020</v>
      </c>
      <c r="AJ38" s="36" t="s">
        <v>377</v>
      </c>
      <c r="AK38" s="25"/>
      <c r="AL38" s="26"/>
      <c r="AM38" s="25"/>
      <c r="AN38" s="25"/>
      <c r="AO38" s="146" t="s">
        <v>1148</v>
      </c>
      <c r="AP38" s="23">
        <v>6000</v>
      </c>
      <c r="AQ38" s="23" t="str">
        <f t="shared" si="2"/>
        <v>6CP</v>
      </c>
      <c r="AR38" s="23" t="str">
        <f t="shared" si="3"/>
        <v>25</v>
      </c>
      <c r="AS38" s="23">
        <v>5</v>
      </c>
      <c r="AT38" s="23"/>
      <c r="AU38" s="23"/>
      <c r="AV38" s="23"/>
      <c r="AW38" s="23"/>
      <c r="AX38" s="23"/>
      <c r="AY38" s="23">
        <v>1024</v>
      </c>
      <c r="AZ38" s="185">
        <v>41114</v>
      </c>
      <c r="BA38" s="192"/>
    </row>
    <row r="39" spans="1:53" ht="11.25" customHeight="1">
      <c r="A39" s="125">
        <v>38</v>
      </c>
      <c r="B39" s="129" t="str">
        <f>VLOOKUP(Z39,'コード表'!$T$2:$X$36,5,0)</f>
        <v>18</v>
      </c>
      <c r="C39" s="83">
        <f>VLOOKUP(N39,'コード表'!$W$47:$X$50,2,0)</f>
        <v>2</v>
      </c>
      <c r="D39" s="83">
        <f>VLOOKUP(M39,'コード表'!$W$53:$X$56,2,0)</f>
        <v>3</v>
      </c>
      <c r="E39" s="129">
        <f>VLOOKUP(AA39,'コード表'!Y:AA,3,0)</f>
        <v>182</v>
      </c>
      <c r="F39" s="83">
        <f>VLOOKUP(K39,'コード表'!$W$38:$X$44,2,0)</f>
        <v>2</v>
      </c>
      <c r="G39" s="83">
        <f>VLOOKUP(S39,'コード表'!A:D,4,0)</f>
        <v>661</v>
      </c>
      <c r="H39" s="83">
        <f>VLOOKUP(U39,'コード表'!A:D,4,0)</f>
        <v>960</v>
      </c>
      <c r="I39" s="25">
        <v>38</v>
      </c>
      <c r="J39" s="83" t="s">
        <v>2013</v>
      </c>
      <c r="K39" s="23" t="s">
        <v>847</v>
      </c>
      <c r="L39" s="25" t="s">
        <v>961</v>
      </c>
      <c r="M39" s="23" t="s">
        <v>480</v>
      </c>
      <c r="N39" s="23">
        <v>5</v>
      </c>
      <c r="O39" s="23">
        <v>675</v>
      </c>
      <c r="P39" s="23">
        <v>435</v>
      </c>
      <c r="Q39" s="23">
        <v>515</v>
      </c>
      <c r="R39" s="23">
        <v>120</v>
      </c>
      <c r="S39" s="25" t="s">
        <v>1010</v>
      </c>
      <c r="T39" s="25" t="s">
        <v>1251</v>
      </c>
      <c r="U39" s="25" t="s">
        <v>2215</v>
      </c>
      <c r="V39" s="25" t="s">
        <v>989</v>
      </c>
      <c r="W39" s="25" t="s">
        <v>1533</v>
      </c>
      <c r="X39" s="25" t="s">
        <v>53</v>
      </c>
      <c r="Y39" s="25" t="s">
        <v>372</v>
      </c>
      <c r="Z39" s="25" t="s">
        <v>1479</v>
      </c>
      <c r="AA39" s="25" t="s">
        <v>64</v>
      </c>
      <c r="AB39" s="25"/>
      <c r="AC39" s="25" t="s">
        <v>2080</v>
      </c>
      <c r="AD39" s="25" t="s">
        <v>416</v>
      </c>
      <c r="AE39" s="25" t="s">
        <v>1391</v>
      </c>
      <c r="AF39" s="25" t="s">
        <v>2081</v>
      </c>
      <c r="AG39" s="25" t="s">
        <v>417</v>
      </c>
      <c r="AH39" s="25" t="s">
        <v>2082</v>
      </c>
      <c r="AI39" s="25" t="s">
        <v>2083</v>
      </c>
      <c r="AJ39" s="36" t="s">
        <v>281</v>
      </c>
      <c r="AK39" s="25"/>
      <c r="AL39" s="26"/>
      <c r="AM39" s="25"/>
      <c r="AN39" s="25"/>
      <c r="AO39" s="146" t="s">
        <v>800</v>
      </c>
      <c r="AP39" s="23">
        <v>6000</v>
      </c>
      <c r="AQ39" s="23" t="str">
        <f t="shared" si="2"/>
        <v>6CP</v>
      </c>
      <c r="AR39" s="23" t="str">
        <f t="shared" si="3"/>
        <v>25</v>
      </c>
      <c r="AS39" s="23">
        <v>5</v>
      </c>
      <c r="AT39" s="23"/>
      <c r="AU39" s="23"/>
      <c r="AV39" s="23"/>
      <c r="AW39" s="23"/>
      <c r="AX39" s="23"/>
      <c r="AY39" s="23">
        <v>1025</v>
      </c>
      <c r="AZ39" s="185">
        <v>41114</v>
      </c>
      <c r="BA39" s="192"/>
    </row>
    <row r="40" spans="1:53" ht="11.25" customHeight="1">
      <c r="A40" s="125">
        <v>39</v>
      </c>
      <c r="B40" s="129" t="str">
        <f>VLOOKUP(Z40,'コード表'!$T$2:$X$36,5,0)</f>
        <v>17</v>
      </c>
      <c r="C40" s="83">
        <f>VLOOKUP(N40,'コード表'!$W$47:$X$50,2,0)</f>
        <v>2</v>
      </c>
      <c r="D40" s="83">
        <f>VLOOKUP(M40,'コード表'!$W$53:$X$56,2,0)</f>
        <v>1</v>
      </c>
      <c r="E40" s="129">
        <f>VLOOKUP(AA40,'コード表'!Y:AA,3,0)</f>
        <v>172</v>
      </c>
      <c r="F40" s="83">
        <f>VLOOKUP(K40,'コード表'!$W$38:$X$44,2,0)</f>
        <v>2</v>
      </c>
      <c r="G40" s="83">
        <f>VLOOKUP(S40,'コード表'!A:D,4,0)</f>
        <v>120</v>
      </c>
      <c r="H40" s="83">
        <f>VLOOKUP(U40,'コード表'!A:D,4,0)</f>
        <v>940</v>
      </c>
      <c r="I40" s="25">
        <v>39</v>
      </c>
      <c r="J40" s="83" t="s">
        <v>2014</v>
      </c>
      <c r="K40" s="23" t="s">
        <v>847</v>
      </c>
      <c r="L40" s="25" t="s">
        <v>1392</v>
      </c>
      <c r="M40" s="23" t="s">
        <v>543</v>
      </c>
      <c r="N40" s="23">
        <v>5</v>
      </c>
      <c r="O40" s="23">
        <v>675</v>
      </c>
      <c r="P40" s="23">
        <v>710</v>
      </c>
      <c r="Q40" s="23">
        <v>410</v>
      </c>
      <c r="R40" s="23">
        <v>100</v>
      </c>
      <c r="S40" s="25" t="s">
        <v>1919</v>
      </c>
      <c r="T40" s="25" t="s">
        <v>1544</v>
      </c>
      <c r="U40" s="25" t="s">
        <v>2216</v>
      </c>
      <c r="V40" s="25" t="s">
        <v>990</v>
      </c>
      <c r="W40" s="25" t="s">
        <v>941</v>
      </c>
      <c r="X40" s="25" t="s">
        <v>194</v>
      </c>
      <c r="Y40" s="25" t="s">
        <v>372</v>
      </c>
      <c r="Z40" s="25" t="s">
        <v>373</v>
      </c>
      <c r="AA40" s="25" t="s">
        <v>65</v>
      </c>
      <c r="AB40" s="25"/>
      <c r="AC40" s="25" t="s">
        <v>195</v>
      </c>
      <c r="AD40" s="25" t="s">
        <v>416</v>
      </c>
      <c r="AE40" s="25" t="s">
        <v>1394</v>
      </c>
      <c r="AF40" s="25" t="s">
        <v>196</v>
      </c>
      <c r="AG40" s="25" t="s">
        <v>417</v>
      </c>
      <c r="AH40" s="25" t="s">
        <v>197</v>
      </c>
      <c r="AI40" s="25" t="s">
        <v>198</v>
      </c>
      <c r="AJ40" s="36" t="s">
        <v>281</v>
      </c>
      <c r="AK40" s="25"/>
      <c r="AL40" s="26"/>
      <c r="AM40" s="25"/>
      <c r="AN40" s="25"/>
      <c r="AO40" s="146" t="s">
        <v>801</v>
      </c>
      <c r="AP40" s="23">
        <v>6000</v>
      </c>
      <c r="AQ40" s="23" t="str">
        <f t="shared" si="2"/>
        <v>6CP</v>
      </c>
      <c r="AR40" s="23" t="str">
        <f t="shared" si="3"/>
        <v>25</v>
      </c>
      <c r="AS40" s="23">
        <v>5</v>
      </c>
      <c r="AT40" s="23"/>
      <c r="AU40" s="23"/>
      <c r="AV40" s="23"/>
      <c r="AW40" s="23"/>
      <c r="AX40" s="23"/>
      <c r="AY40" s="23">
        <v>1026</v>
      </c>
      <c r="AZ40" s="185">
        <v>41114</v>
      </c>
      <c r="BA40" s="192"/>
    </row>
    <row r="41" spans="1:53" ht="11.25" customHeight="1">
      <c r="A41" s="125">
        <v>40</v>
      </c>
      <c r="B41" s="129" t="str">
        <f>VLOOKUP(Z41,'コード表'!$T$2:$X$36,5,0)</f>
        <v>19</v>
      </c>
      <c r="C41" s="83">
        <f>VLOOKUP(N41,'コード表'!$W$47:$X$50,2,0)</f>
        <v>2</v>
      </c>
      <c r="D41" s="83">
        <f>VLOOKUP(M41,'コード表'!$W$53:$X$56,2,0)</f>
        <v>2</v>
      </c>
      <c r="E41" s="129">
        <f>VLOOKUP(AA41,'コード表'!Y:AA,3,0)</f>
        <v>192</v>
      </c>
      <c r="F41" s="83">
        <f>VLOOKUP(K41,'コード表'!$W$38:$X$44,2,0)</f>
        <v>2</v>
      </c>
      <c r="G41" s="83">
        <f>VLOOKUP(S41,'コード表'!A:D,4,0)</f>
        <v>100</v>
      </c>
      <c r="H41" s="83">
        <f>VLOOKUP(U41,'コード表'!A:D,4,0)</f>
        <v>950</v>
      </c>
      <c r="I41" s="25">
        <v>40</v>
      </c>
      <c r="J41" s="83" t="s">
        <v>2015</v>
      </c>
      <c r="K41" s="23" t="s">
        <v>847</v>
      </c>
      <c r="L41" s="25" t="s">
        <v>1393</v>
      </c>
      <c r="M41" s="23" t="s">
        <v>544</v>
      </c>
      <c r="N41" s="23">
        <v>5</v>
      </c>
      <c r="O41" s="23">
        <v>675</v>
      </c>
      <c r="P41" s="23">
        <v>460</v>
      </c>
      <c r="Q41" s="23">
        <v>660</v>
      </c>
      <c r="R41" s="23">
        <v>100</v>
      </c>
      <c r="S41" s="25" t="s">
        <v>291</v>
      </c>
      <c r="T41" s="25" t="s">
        <v>1909</v>
      </c>
      <c r="U41" s="25" t="s">
        <v>2217</v>
      </c>
      <c r="V41" s="25" t="s">
        <v>991</v>
      </c>
      <c r="W41" s="25" t="s">
        <v>942</v>
      </c>
      <c r="X41" s="25" t="s">
        <v>199</v>
      </c>
      <c r="Y41" s="25" t="s">
        <v>372</v>
      </c>
      <c r="Z41" s="25" t="s">
        <v>123</v>
      </c>
      <c r="AA41" s="25" t="s">
        <v>973</v>
      </c>
      <c r="AB41" s="25"/>
      <c r="AC41" s="25" t="s">
        <v>200</v>
      </c>
      <c r="AD41" s="25" t="s">
        <v>416</v>
      </c>
      <c r="AE41" s="25" t="s">
        <v>1395</v>
      </c>
      <c r="AF41" s="25" t="s">
        <v>201</v>
      </c>
      <c r="AG41" s="25" t="s">
        <v>417</v>
      </c>
      <c r="AH41" s="25" t="s">
        <v>202</v>
      </c>
      <c r="AI41" s="25" t="s">
        <v>203</v>
      </c>
      <c r="AJ41" s="36" t="s">
        <v>281</v>
      </c>
      <c r="AK41" s="25"/>
      <c r="AL41" s="26"/>
      <c r="AM41" s="25"/>
      <c r="AN41" s="25"/>
      <c r="AO41" s="146" t="s">
        <v>1897</v>
      </c>
      <c r="AP41" s="23">
        <v>6000</v>
      </c>
      <c r="AQ41" s="23" t="str">
        <f t="shared" si="2"/>
        <v>6CP</v>
      </c>
      <c r="AR41" s="23" t="str">
        <f t="shared" si="3"/>
        <v>25</v>
      </c>
      <c r="AS41" s="23">
        <v>5</v>
      </c>
      <c r="AT41" s="23"/>
      <c r="AU41" s="23"/>
      <c r="AV41" s="23"/>
      <c r="AW41" s="23"/>
      <c r="AX41" s="23"/>
      <c r="AY41" s="23">
        <v>1027</v>
      </c>
      <c r="AZ41" s="185">
        <v>41114</v>
      </c>
      <c r="BA41" s="192"/>
    </row>
    <row r="42" spans="1:53" ht="11.25" customHeight="1">
      <c r="A42" s="125">
        <v>41</v>
      </c>
      <c r="B42" s="129" t="str">
        <f>VLOOKUP(Z42,'コード表'!$T$2:$X$36,5,0)</f>
        <v>20</v>
      </c>
      <c r="C42" s="83">
        <f>VLOOKUP(N42,'コード表'!$W$47:$X$50,2,0)</f>
        <v>2</v>
      </c>
      <c r="D42" s="83">
        <f>VLOOKUP(M42,'コード表'!$W$53:$X$56,2,0)</f>
        <v>1</v>
      </c>
      <c r="E42" s="129">
        <f>VLOOKUP(AA42,'コード表'!Y:AA,3,0)</f>
        <v>202</v>
      </c>
      <c r="F42" s="83">
        <f>VLOOKUP(K42,'コード表'!$W$38:$X$44,2,0)</f>
        <v>2</v>
      </c>
      <c r="G42" s="83">
        <f>VLOOKUP(S42,'コード表'!A:D,4,0)</f>
        <v>100</v>
      </c>
      <c r="H42" s="83">
        <f>VLOOKUP(U42,'コード表'!A:D,4,0)</f>
        <v>900</v>
      </c>
      <c r="I42" s="25">
        <v>41</v>
      </c>
      <c r="J42" s="83" t="s">
        <v>2016</v>
      </c>
      <c r="K42" s="23" t="s">
        <v>847</v>
      </c>
      <c r="L42" s="25" t="s">
        <v>646</v>
      </c>
      <c r="M42" s="23" t="s">
        <v>543</v>
      </c>
      <c r="N42" s="23">
        <v>5</v>
      </c>
      <c r="O42" s="23">
        <v>675</v>
      </c>
      <c r="P42" s="23">
        <v>560</v>
      </c>
      <c r="Q42" s="23">
        <v>465</v>
      </c>
      <c r="R42" s="23">
        <v>110</v>
      </c>
      <c r="S42" s="25" t="s">
        <v>291</v>
      </c>
      <c r="T42" s="25" t="s">
        <v>1909</v>
      </c>
      <c r="U42" s="25" t="s">
        <v>2213</v>
      </c>
      <c r="V42" s="25" t="s">
        <v>1534</v>
      </c>
      <c r="W42" s="25" t="s">
        <v>943</v>
      </c>
      <c r="X42" s="25" t="s">
        <v>1443</v>
      </c>
      <c r="Y42" s="25" t="s">
        <v>372</v>
      </c>
      <c r="Z42" s="25" t="s">
        <v>647</v>
      </c>
      <c r="AA42" s="25" t="s">
        <v>66</v>
      </c>
      <c r="AB42" s="25"/>
      <c r="AC42" s="25" t="s">
        <v>1446</v>
      </c>
      <c r="AD42" s="25" t="s">
        <v>416</v>
      </c>
      <c r="AE42" s="25" t="s">
        <v>659</v>
      </c>
      <c r="AF42" s="25" t="s">
        <v>1447</v>
      </c>
      <c r="AG42" s="25" t="s">
        <v>417</v>
      </c>
      <c r="AH42" s="25" t="s">
        <v>204</v>
      </c>
      <c r="AI42" s="25" t="s">
        <v>205</v>
      </c>
      <c r="AJ42" s="36" t="s">
        <v>281</v>
      </c>
      <c r="AK42" s="25"/>
      <c r="AL42" s="26"/>
      <c r="AM42" s="25"/>
      <c r="AN42" s="25"/>
      <c r="AO42" s="146" t="s">
        <v>343</v>
      </c>
      <c r="AP42" s="23">
        <v>6000</v>
      </c>
      <c r="AQ42" s="23" t="str">
        <f t="shared" si="2"/>
        <v>6CP</v>
      </c>
      <c r="AR42" s="23" t="str">
        <f t="shared" si="3"/>
        <v>25</v>
      </c>
      <c r="AS42" s="23">
        <v>5</v>
      </c>
      <c r="AT42" s="23"/>
      <c r="AU42" s="23"/>
      <c r="AV42" s="23"/>
      <c r="AW42" s="23"/>
      <c r="AX42" s="23"/>
      <c r="AY42" s="23">
        <v>1028</v>
      </c>
      <c r="AZ42" s="185">
        <v>41114</v>
      </c>
      <c r="BA42" s="192"/>
    </row>
    <row r="43" spans="1:53" ht="11.25" customHeight="1">
      <c r="A43" s="125">
        <v>42</v>
      </c>
      <c r="B43" s="129" t="str">
        <f>VLOOKUP(Z43,'コード表'!$T$2:$X$36,5,0)</f>
        <v>18</v>
      </c>
      <c r="C43" s="83">
        <f>VLOOKUP(N43,'コード表'!$W$47:$X$50,2,0)</f>
        <v>2</v>
      </c>
      <c r="D43" s="83">
        <f>VLOOKUP(M43,'コード表'!$W$53:$X$56,2,0)</f>
        <v>1</v>
      </c>
      <c r="E43" s="129">
        <f>VLOOKUP(AA43,'コード表'!Y:AA,3,0)</f>
        <v>182</v>
      </c>
      <c r="F43" s="83">
        <f>VLOOKUP(K43,'コード表'!$W$38:$X$44,2,0)</f>
        <v>1</v>
      </c>
      <c r="G43" s="83">
        <f>VLOOKUP(S43,'コード表'!A:D,4,0)</f>
        <v>130</v>
      </c>
      <c r="H43" s="83">
        <f>VLOOKUP(U43,'コード表'!A:D,4,0)</f>
        <v>951</v>
      </c>
      <c r="I43" s="25">
        <v>42</v>
      </c>
      <c r="J43" s="83" t="s">
        <v>2017</v>
      </c>
      <c r="K43" s="23" t="s">
        <v>541</v>
      </c>
      <c r="L43" s="25" t="s">
        <v>102</v>
      </c>
      <c r="M43" s="23" t="s">
        <v>543</v>
      </c>
      <c r="N43" s="23">
        <v>5</v>
      </c>
      <c r="O43" s="23">
        <v>675</v>
      </c>
      <c r="P43" s="23">
        <v>510</v>
      </c>
      <c r="Q43" s="23">
        <v>510</v>
      </c>
      <c r="R43" s="23">
        <v>110</v>
      </c>
      <c r="S43" s="25" t="s">
        <v>676</v>
      </c>
      <c r="T43" s="25" t="s">
        <v>67</v>
      </c>
      <c r="U43" s="25" t="s">
        <v>2218</v>
      </c>
      <c r="V43" s="25" t="s">
        <v>1440</v>
      </c>
      <c r="W43" s="25" t="s">
        <v>35</v>
      </c>
      <c r="X43" s="25" t="s">
        <v>1451</v>
      </c>
      <c r="Y43" s="25" t="s">
        <v>2057</v>
      </c>
      <c r="Z43" s="25" t="s">
        <v>2058</v>
      </c>
      <c r="AA43" s="25" t="s">
        <v>1585</v>
      </c>
      <c r="AB43" s="25"/>
      <c r="AC43" s="25" t="s">
        <v>1452</v>
      </c>
      <c r="AD43" s="25" t="s">
        <v>416</v>
      </c>
      <c r="AE43" s="25" t="s">
        <v>1287</v>
      </c>
      <c r="AF43" s="25" t="s">
        <v>1453</v>
      </c>
      <c r="AG43" s="25" t="s">
        <v>417</v>
      </c>
      <c r="AH43" s="25" t="s">
        <v>2021</v>
      </c>
      <c r="AI43" s="25" t="s">
        <v>2022</v>
      </c>
      <c r="AJ43" s="36" t="s">
        <v>377</v>
      </c>
      <c r="AK43" s="25"/>
      <c r="AL43" s="26"/>
      <c r="AM43" s="25"/>
      <c r="AN43" s="25"/>
      <c r="AO43" s="146" t="s">
        <v>628</v>
      </c>
      <c r="AP43" s="23">
        <v>6000</v>
      </c>
      <c r="AQ43" s="23" t="str">
        <f t="shared" si="2"/>
        <v>6PR</v>
      </c>
      <c r="AR43" s="23" t="str">
        <f t="shared" si="3"/>
        <v>26</v>
      </c>
      <c r="AS43" s="23">
        <v>6</v>
      </c>
      <c r="AT43" s="23"/>
      <c r="AU43" s="23"/>
      <c r="AV43" s="23"/>
      <c r="AW43" s="23"/>
      <c r="AX43" s="23"/>
      <c r="AY43" s="23">
        <v>1029</v>
      </c>
      <c r="AZ43" s="185">
        <v>41114</v>
      </c>
      <c r="BA43" s="192"/>
    </row>
    <row r="44" spans="1:53" ht="11.25" customHeight="1">
      <c r="A44" s="125">
        <v>43</v>
      </c>
      <c r="B44" s="129" t="str">
        <f>VLOOKUP(Z44,'コード表'!$T$2:$X$36,5,0)</f>
        <v>18</v>
      </c>
      <c r="C44" s="83">
        <f>VLOOKUP(N44,'コード表'!$W$47:$X$50,2,0)</f>
        <v>1</v>
      </c>
      <c r="D44" s="83">
        <f>VLOOKUP(M44,'コード表'!$W$53:$X$56,2,0)</f>
        <v>4</v>
      </c>
      <c r="E44" s="129">
        <f>VLOOKUP(AA44,'コード表'!Y:AA,3,0)</f>
        <v>182</v>
      </c>
      <c r="F44" s="83">
        <f>VLOOKUP(K44,'コード表'!$W$38:$X$44,2,0)</f>
        <v>1</v>
      </c>
      <c r="G44" s="83">
        <f>VLOOKUP(S44,'コード表'!A:D,4,0)</f>
        <v>108</v>
      </c>
      <c r="H44" s="83">
        <f>VLOOKUP(U44,'コード表'!A:D,4,0)</f>
        <v>108</v>
      </c>
      <c r="I44" s="25">
        <v>43</v>
      </c>
      <c r="J44" s="83" t="s">
        <v>2018</v>
      </c>
      <c r="K44" s="23" t="s">
        <v>667</v>
      </c>
      <c r="L44" s="25" t="s">
        <v>631</v>
      </c>
      <c r="M44" s="23" t="s">
        <v>599</v>
      </c>
      <c r="N44" s="23">
        <v>6</v>
      </c>
      <c r="O44" s="23">
        <v>760</v>
      </c>
      <c r="P44" s="23">
        <v>605</v>
      </c>
      <c r="Q44" s="23">
        <v>410</v>
      </c>
      <c r="R44" s="23">
        <v>125</v>
      </c>
      <c r="S44" s="25" t="s">
        <v>1999</v>
      </c>
      <c r="T44" s="25" t="s">
        <v>589</v>
      </c>
      <c r="U44" s="25" t="s">
        <v>1999</v>
      </c>
      <c r="V44" s="25" t="s">
        <v>2000</v>
      </c>
      <c r="W44" s="25" t="s">
        <v>1008</v>
      </c>
      <c r="X44" s="25" t="s">
        <v>987</v>
      </c>
      <c r="Y44" s="25" t="s">
        <v>414</v>
      </c>
      <c r="Z44" s="25" t="s">
        <v>2058</v>
      </c>
      <c r="AA44" s="25" t="s">
        <v>1585</v>
      </c>
      <c r="AB44" s="25"/>
      <c r="AC44" s="25" t="s">
        <v>632</v>
      </c>
      <c r="AD44" s="25" t="s">
        <v>416</v>
      </c>
      <c r="AE44" s="25"/>
      <c r="AF44" s="25"/>
      <c r="AG44" s="25"/>
      <c r="AH44" s="25"/>
      <c r="AI44" s="25"/>
      <c r="AJ44" s="36"/>
      <c r="AK44" s="25" t="s">
        <v>629</v>
      </c>
      <c r="AL44" s="26" t="s">
        <v>630</v>
      </c>
      <c r="AM44" s="25"/>
      <c r="AN44" s="25"/>
      <c r="AO44" s="146" t="s">
        <v>283</v>
      </c>
      <c r="AP44" s="23">
        <v>6000</v>
      </c>
      <c r="AQ44" s="23" t="str">
        <f t="shared" si="2"/>
        <v>6PR</v>
      </c>
      <c r="AR44" s="23" t="str">
        <f t="shared" si="3"/>
        <v>14</v>
      </c>
      <c r="AS44" s="23">
        <v>4</v>
      </c>
      <c r="AT44" s="23"/>
      <c r="AU44" s="23"/>
      <c r="AV44" s="23"/>
      <c r="AW44" s="23"/>
      <c r="AX44" s="23"/>
      <c r="AY44" s="23">
        <v>1030</v>
      </c>
      <c r="AZ44" s="185">
        <v>41114</v>
      </c>
      <c r="BA44" s="192"/>
    </row>
    <row r="45" spans="1:53" ht="11.25" customHeight="1">
      <c r="A45" s="125">
        <v>44</v>
      </c>
      <c r="B45" s="129" t="str">
        <f>VLOOKUP(Z45,'コード表'!$T$2:$X$36,5,0)</f>
        <v>16</v>
      </c>
      <c r="C45" s="83">
        <f>VLOOKUP(N45,'コード表'!$W$47:$X$50,2,0)</f>
        <v>1</v>
      </c>
      <c r="D45" s="83">
        <f>VLOOKUP(M45,'コード表'!$W$53:$X$56,2,0)</f>
        <v>1</v>
      </c>
      <c r="E45" s="129">
        <f>VLOOKUP(AA45,'コード表'!Y:AA,3,0)</f>
        <v>162</v>
      </c>
      <c r="F45" s="83">
        <f>VLOOKUP(K45,'コード表'!$W$38:$X$44,2,0)</f>
        <v>1</v>
      </c>
      <c r="G45" s="83">
        <f>VLOOKUP(S45,'コード表'!A:D,4,0)</f>
        <v>160</v>
      </c>
      <c r="H45" s="83">
        <f>VLOOKUP(U45,'コード表'!A:D,4,0)</f>
        <v>950</v>
      </c>
      <c r="I45" s="25">
        <v>44</v>
      </c>
      <c r="J45" s="83" t="s">
        <v>1145</v>
      </c>
      <c r="K45" s="23" t="s">
        <v>667</v>
      </c>
      <c r="L45" s="25" t="s">
        <v>1936</v>
      </c>
      <c r="M45" s="23" t="s">
        <v>1252</v>
      </c>
      <c r="N45" s="23">
        <v>6</v>
      </c>
      <c r="O45" s="23">
        <v>795</v>
      </c>
      <c r="P45" s="23">
        <v>600</v>
      </c>
      <c r="Q45" s="23">
        <v>720</v>
      </c>
      <c r="R45" s="23">
        <v>100</v>
      </c>
      <c r="S45" s="25" t="s">
        <v>679</v>
      </c>
      <c r="T45" s="25" t="s">
        <v>717</v>
      </c>
      <c r="U45" s="25" t="s">
        <v>2217</v>
      </c>
      <c r="V45" s="25" t="s">
        <v>1442</v>
      </c>
      <c r="W45" s="25" t="s">
        <v>1530</v>
      </c>
      <c r="X45" s="25" t="s">
        <v>968</v>
      </c>
      <c r="Y45" s="25" t="s">
        <v>2057</v>
      </c>
      <c r="Z45" s="25" t="s">
        <v>1448</v>
      </c>
      <c r="AA45" s="25" t="s">
        <v>969</v>
      </c>
      <c r="AB45" s="25"/>
      <c r="AC45" s="25" t="s">
        <v>1547</v>
      </c>
      <c r="AD45" s="25" t="s">
        <v>416</v>
      </c>
      <c r="AE45" s="25" t="s">
        <v>866</v>
      </c>
      <c r="AF45" s="25" t="s">
        <v>1548</v>
      </c>
      <c r="AG45" s="25" t="s">
        <v>417</v>
      </c>
      <c r="AH45" s="25" t="s">
        <v>192</v>
      </c>
      <c r="AI45" s="25" t="s">
        <v>193</v>
      </c>
      <c r="AJ45" s="36" t="s">
        <v>377</v>
      </c>
      <c r="AK45" s="25"/>
      <c r="AL45" s="26"/>
      <c r="AM45" s="25"/>
      <c r="AN45" s="25"/>
      <c r="AO45" s="146" t="s">
        <v>1399</v>
      </c>
      <c r="AP45" s="23">
        <v>6000</v>
      </c>
      <c r="AQ45" s="23" t="str">
        <f t="shared" si="2"/>
        <v>6PR</v>
      </c>
      <c r="AR45" s="23" t="str">
        <f t="shared" si="3"/>
        <v>14</v>
      </c>
      <c r="AS45" s="23">
        <v>4</v>
      </c>
      <c r="AT45" s="23"/>
      <c r="AU45" s="23"/>
      <c r="AV45" s="23"/>
      <c r="AW45" s="23"/>
      <c r="AX45" s="23"/>
      <c r="AY45" s="23">
        <v>1041</v>
      </c>
      <c r="AZ45" s="185">
        <v>41128</v>
      </c>
      <c r="BA45" s="192"/>
    </row>
    <row r="46" spans="1:53" ht="11.25" customHeight="1">
      <c r="A46" s="125">
        <v>45</v>
      </c>
      <c r="B46" s="129" t="str">
        <f>VLOOKUP(Z46,'コード表'!$T$2:$X$36,5,0)</f>
        <v>17</v>
      </c>
      <c r="C46" s="83">
        <f>VLOOKUP(N46,'コード表'!$W$47:$X$50,2,0)</f>
        <v>1</v>
      </c>
      <c r="D46" s="83">
        <f>VLOOKUP(M46,'コード表'!$W$53:$X$56,2,0)</f>
        <v>2</v>
      </c>
      <c r="E46" s="129">
        <f>VLOOKUP(AA46,'コード表'!Y:AA,3,0)</f>
        <v>172</v>
      </c>
      <c r="F46" s="83">
        <f>VLOOKUP(K46,'コード表'!$W$38:$X$44,2,0)</f>
        <v>1</v>
      </c>
      <c r="G46" s="83">
        <f>VLOOKUP(S46,'コード表'!A:D,4,0)</f>
        <v>130</v>
      </c>
      <c r="H46" s="83">
        <f>VLOOKUP(U46,'コード表'!A:D,4,0)</f>
        <v>900</v>
      </c>
      <c r="I46" s="25">
        <v>45</v>
      </c>
      <c r="J46" s="83" t="s">
        <v>1146</v>
      </c>
      <c r="K46" s="23" t="s">
        <v>541</v>
      </c>
      <c r="L46" s="25" t="s">
        <v>371</v>
      </c>
      <c r="M46" s="23" t="s">
        <v>544</v>
      </c>
      <c r="N46" s="23">
        <v>6</v>
      </c>
      <c r="O46" s="23">
        <v>795</v>
      </c>
      <c r="P46" s="23">
        <v>540</v>
      </c>
      <c r="Q46" s="23">
        <v>780</v>
      </c>
      <c r="R46" s="23">
        <v>100</v>
      </c>
      <c r="S46" s="25" t="s">
        <v>722</v>
      </c>
      <c r="T46" s="25" t="s">
        <v>30</v>
      </c>
      <c r="U46" s="25" t="s">
        <v>2213</v>
      </c>
      <c r="V46" s="25" t="s">
        <v>970</v>
      </c>
      <c r="W46" s="25" t="s">
        <v>1531</v>
      </c>
      <c r="X46" s="25" t="s">
        <v>881</v>
      </c>
      <c r="Y46" s="25" t="s">
        <v>372</v>
      </c>
      <c r="Z46" s="25" t="s">
        <v>373</v>
      </c>
      <c r="AA46" s="25" t="s">
        <v>971</v>
      </c>
      <c r="AB46" s="25"/>
      <c r="AC46" s="25" t="s">
        <v>882</v>
      </c>
      <c r="AD46" s="25" t="s">
        <v>416</v>
      </c>
      <c r="AE46" s="25" t="s">
        <v>374</v>
      </c>
      <c r="AF46" s="25" t="s">
        <v>883</v>
      </c>
      <c r="AG46" s="25" t="s">
        <v>417</v>
      </c>
      <c r="AH46" s="25" t="s">
        <v>884</v>
      </c>
      <c r="AI46" s="25" t="s">
        <v>885</v>
      </c>
      <c r="AJ46" s="36" t="s">
        <v>281</v>
      </c>
      <c r="AK46" s="25"/>
      <c r="AL46" s="26"/>
      <c r="AM46" s="25"/>
      <c r="AN46" s="25"/>
      <c r="AO46" s="146" t="s">
        <v>1088</v>
      </c>
      <c r="AP46" s="23">
        <v>6000</v>
      </c>
      <c r="AQ46" s="23" t="str">
        <f t="shared" si="2"/>
        <v>6PR</v>
      </c>
      <c r="AR46" s="23" t="str">
        <f t="shared" si="3"/>
        <v>14</v>
      </c>
      <c r="AS46" s="23">
        <v>4</v>
      </c>
      <c r="AT46" s="23"/>
      <c r="AU46" s="23"/>
      <c r="AV46" s="23"/>
      <c r="AW46" s="23"/>
      <c r="AX46" s="23"/>
      <c r="AY46" s="23">
        <v>1042</v>
      </c>
      <c r="AZ46" s="185">
        <v>41128</v>
      </c>
      <c r="BA46" s="192"/>
    </row>
    <row r="47" spans="1:53" ht="11.25" customHeight="1">
      <c r="A47" s="125">
        <v>46</v>
      </c>
      <c r="B47" s="129" t="str">
        <f>VLOOKUP(Z47,'コード表'!$T$2:$X$36,5,0)</f>
        <v>19</v>
      </c>
      <c r="C47" s="83">
        <f>VLOOKUP(N47,'コード表'!$W$47:$X$50,2,0)</f>
        <v>1</v>
      </c>
      <c r="D47" s="83">
        <f>VLOOKUP(M47,'コード表'!$W$53:$X$56,2,0)</f>
        <v>3</v>
      </c>
      <c r="E47" s="129">
        <f>VLOOKUP(AA47,'コード表'!Y:AA,3,0)</f>
        <v>192</v>
      </c>
      <c r="F47" s="83">
        <f>VLOOKUP(K47,'コード表'!$W$38:$X$44,2,0)</f>
        <v>1</v>
      </c>
      <c r="G47" s="83">
        <f>VLOOKUP(S47,'コード表'!A:D,4,0)</f>
        <v>170</v>
      </c>
      <c r="H47" s="83">
        <f>VLOOKUP(U47,'コード表'!A:D,4,0)</f>
        <v>960</v>
      </c>
      <c r="I47" s="25">
        <v>46</v>
      </c>
      <c r="J47" s="83" t="s">
        <v>1147</v>
      </c>
      <c r="K47" s="23" t="s">
        <v>667</v>
      </c>
      <c r="L47" s="25" t="s">
        <v>2041</v>
      </c>
      <c r="M47" s="23" t="s">
        <v>480</v>
      </c>
      <c r="N47" s="23">
        <v>6</v>
      </c>
      <c r="O47" s="23">
        <v>795</v>
      </c>
      <c r="P47" s="23">
        <v>540</v>
      </c>
      <c r="Q47" s="23">
        <v>540</v>
      </c>
      <c r="R47" s="23">
        <v>125</v>
      </c>
      <c r="S47" s="25" t="s">
        <v>1195</v>
      </c>
      <c r="T47" s="25" t="s">
        <v>716</v>
      </c>
      <c r="U47" s="25" t="s">
        <v>2215</v>
      </c>
      <c r="V47" s="25" t="s">
        <v>972</v>
      </c>
      <c r="W47" s="25" t="s">
        <v>1532</v>
      </c>
      <c r="X47" s="25" t="s">
        <v>886</v>
      </c>
      <c r="Y47" s="25" t="s">
        <v>372</v>
      </c>
      <c r="Z47" s="25" t="s">
        <v>123</v>
      </c>
      <c r="AA47" s="25" t="s">
        <v>973</v>
      </c>
      <c r="AB47" s="25"/>
      <c r="AC47" s="25" t="s">
        <v>887</v>
      </c>
      <c r="AD47" s="25" t="s">
        <v>416</v>
      </c>
      <c r="AE47" s="25" t="s">
        <v>280</v>
      </c>
      <c r="AF47" s="25" t="s">
        <v>888</v>
      </c>
      <c r="AG47" s="25" t="s">
        <v>417</v>
      </c>
      <c r="AH47" s="25" t="s">
        <v>889</v>
      </c>
      <c r="AI47" s="25" t="s">
        <v>890</v>
      </c>
      <c r="AJ47" s="36" t="s">
        <v>281</v>
      </c>
      <c r="AK47" s="25"/>
      <c r="AL47" s="26"/>
      <c r="AM47" s="25"/>
      <c r="AN47" s="25"/>
      <c r="AO47" s="146" t="s">
        <v>1089</v>
      </c>
      <c r="AP47" s="23">
        <v>6000</v>
      </c>
      <c r="AQ47" s="23" t="str">
        <f t="shared" si="2"/>
        <v>6PR</v>
      </c>
      <c r="AR47" s="23" t="str">
        <f t="shared" si="3"/>
        <v>14</v>
      </c>
      <c r="AS47" s="23">
        <v>4</v>
      </c>
      <c r="AT47" s="23"/>
      <c r="AU47" s="23"/>
      <c r="AV47" s="23"/>
      <c r="AW47" s="23"/>
      <c r="AX47" s="23"/>
      <c r="AY47" s="23">
        <v>1043</v>
      </c>
      <c r="AZ47" s="185">
        <v>41128</v>
      </c>
      <c r="BA47" s="192"/>
    </row>
    <row r="48" spans="1:53" ht="11.25" customHeight="1">
      <c r="A48" s="125">
        <v>47</v>
      </c>
      <c r="B48" s="129" t="str">
        <f>VLOOKUP(Z48,'コード表'!$T$2:$X$36,5,0)</f>
        <v>18</v>
      </c>
      <c r="C48" s="83">
        <f>VLOOKUP(N48,'コード表'!$W$47:$X$50,2,0)</f>
        <v>1</v>
      </c>
      <c r="D48" s="83">
        <f>VLOOKUP(M48,'コード表'!$W$53:$X$56,2,0)</f>
        <v>2</v>
      </c>
      <c r="E48" s="129">
        <f>VLOOKUP(AA48,'コード表'!Y:AA,3,0)</f>
        <v>182</v>
      </c>
      <c r="F48" s="83">
        <f>VLOOKUP(K48,'コード表'!$W$38:$X$44,2,0)</f>
        <v>1</v>
      </c>
      <c r="G48" s="83">
        <f>VLOOKUP(S48,'コード表'!A:D,4,0)</f>
        <v>170</v>
      </c>
      <c r="H48" s="83">
        <f>VLOOKUP(U48,'コード表'!A:D,4,0)</f>
        <v>940</v>
      </c>
      <c r="I48" s="25">
        <v>47</v>
      </c>
      <c r="J48" s="83" t="s">
        <v>1920</v>
      </c>
      <c r="K48" s="23" t="s">
        <v>667</v>
      </c>
      <c r="L48" s="25" t="s">
        <v>1921</v>
      </c>
      <c r="M48" s="23" t="s">
        <v>544</v>
      </c>
      <c r="N48" s="23">
        <v>6</v>
      </c>
      <c r="O48" s="23">
        <v>795</v>
      </c>
      <c r="P48" s="23">
        <v>630</v>
      </c>
      <c r="Q48" s="23">
        <v>525</v>
      </c>
      <c r="R48" s="23">
        <v>115</v>
      </c>
      <c r="S48" s="25" t="s">
        <v>674</v>
      </c>
      <c r="T48" s="25" t="s">
        <v>901</v>
      </c>
      <c r="U48" s="25" t="s">
        <v>2216</v>
      </c>
      <c r="V48" s="25" t="s">
        <v>574</v>
      </c>
      <c r="W48" s="25" t="s">
        <v>34</v>
      </c>
      <c r="X48" s="25" t="s">
        <v>2056</v>
      </c>
      <c r="Y48" s="25" t="s">
        <v>2057</v>
      </c>
      <c r="Z48" s="25" t="s">
        <v>2058</v>
      </c>
      <c r="AA48" s="25" t="s">
        <v>2059</v>
      </c>
      <c r="AB48" s="25"/>
      <c r="AC48" s="25" t="s">
        <v>2060</v>
      </c>
      <c r="AD48" s="25" t="s">
        <v>416</v>
      </c>
      <c r="AE48" s="25" t="s">
        <v>1996</v>
      </c>
      <c r="AF48" s="25" t="s">
        <v>28</v>
      </c>
      <c r="AG48" s="25" t="s">
        <v>417</v>
      </c>
      <c r="AH48" s="25" t="s">
        <v>895</v>
      </c>
      <c r="AI48" s="25" t="s">
        <v>896</v>
      </c>
      <c r="AJ48" s="36" t="s">
        <v>377</v>
      </c>
      <c r="AK48" s="25"/>
      <c r="AL48" s="26"/>
      <c r="AM48" s="25"/>
      <c r="AN48" s="25"/>
      <c r="AO48" s="146" t="s">
        <v>1922</v>
      </c>
      <c r="AP48" s="23">
        <v>6000</v>
      </c>
      <c r="AQ48" s="23" t="str">
        <f t="shared" si="2"/>
        <v>6PR</v>
      </c>
      <c r="AR48" s="23" t="str">
        <f t="shared" si="3"/>
        <v>14</v>
      </c>
      <c r="AS48" s="23">
        <v>4</v>
      </c>
      <c r="AT48" s="23"/>
      <c r="AU48" s="23"/>
      <c r="AV48" s="23"/>
      <c r="AW48" s="23"/>
      <c r="AX48" s="23"/>
      <c r="AY48" s="23">
        <v>1054</v>
      </c>
      <c r="AZ48" s="185">
        <v>41135</v>
      </c>
      <c r="BA48" s="192" t="s">
        <v>2284</v>
      </c>
    </row>
    <row r="49" spans="1:53" ht="11.25" customHeight="1">
      <c r="A49" s="125">
        <v>48</v>
      </c>
      <c r="B49" s="129" t="str">
        <f>VLOOKUP(Z49,'コード表'!$T$2:$X$36,5,0)</f>
        <v>02</v>
      </c>
      <c r="C49" s="83">
        <f>VLOOKUP(N49,'コード表'!$W$47:$X$50,2,0)</f>
        <v>2</v>
      </c>
      <c r="D49" s="83">
        <f>VLOOKUP(M49,'コード表'!$W$53:$X$56,2,0)</f>
        <v>3</v>
      </c>
      <c r="E49" s="129" t="str">
        <f>VLOOKUP(AA49,'コード表'!Y:AA,3,0)</f>
        <v>024</v>
      </c>
      <c r="F49" s="83">
        <f>VLOOKUP(K49,'コード表'!$W$38:$X$44,2,0)</f>
        <v>2</v>
      </c>
      <c r="G49" s="83">
        <f>VLOOKUP(S49,'コード表'!A:D,4,0)</f>
        <v>100</v>
      </c>
      <c r="H49" s="83">
        <f>VLOOKUP(U49,'コード表'!A:D,4,0)</f>
        <v>140</v>
      </c>
      <c r="I49" s="25">
        <v>48</v>
      </c>
      <c r="J49" s="83" t="s">
        <v>2101</v>
      </c>
      <c r="K49" s="23" t="s">
        <v>847</v>
      </c>
      <c r="L49" s="25" t="s">
        <v>1567</v>
      </c>
      <c r="M49" s="23" t="s">
        <v>542</v>
      </c>
      <c r="N49" s="23">
        <v>5</v>
      </c>
      <c r="O49" s="23">
        <v>675</v>
      </c>
      <c r="P49" s="23">
        <v>610</v>
      </c>
      <c r="Q49" s="23">
        <v>510</v>
      </c>
      <c r="R49" s="23">
        <v>100</v>
      </c>
      <c r="S49" s="25" t="s">
        <v>677</v>
      </c>
      <c r="T49" s="25" t="s">
        <v>616</v>
      </c>
      <c r="U49" s="25" t="s">
        <v>680</v>
      </c>
      <c r="V49" s="25" t="s">
        <v>903</v>
      </c>
      <c r="W49" s="25" t="s">
        <v>1422</v>
      </c>
      <c r="X49" s="25" t="s">
        <v>1423</v>
      </c>
      <c r="Y49" s="25" t="s">
        <v>414</v>
      </c>
      <c r="Z49" s="25" t="s">
        <v>408</v>
      </c>
      <c r="AA49" s="25" t="s">
        <v>718</v>
      </c>
      <c r="AB49" s="25"/>
      <c r="AC49" s="25" t="s">
        <v>562</v>
      </c>
      <c r="AD49" s="25" t="s">
        <v>416</v>
      </c>
      <c r="AE49" s="25" t="s">
        <v>1499</v>
      </c>
      <c r="AF49" s="25" t="s">
        <v>563</v>
      </c>
      <c r="AG49" s="25" t="s">
        <v>417</v>
      </c>
      <c r="AH49" s="25"/>
      <c r="AI49" s="25"/>
      <c r="AJ49" s="36"/>
      <c r="AK49" s="25"/>
      <c r="AL49" s="26"/>
      <c r="AM49" s="23"/>
      <c r="AN49" s="25"/>
      <c r="AO49" s="146" t="s">
        <v>1202</v>
      </c>
      <c r="AP49" s="23">
        <v>1000</v>
      </c>
      <c r="AQ49" s="23" t="str">
        <f t="shared" si="2"/>
        <v>1CP</v>
      </c>
      <c r="AR49" s="23" t="str">
        <f t="shared" si="3"/>
        <v>25</v>
      </c>
      <c r="AS49" s="23">
        <v>5</v>
      </c>
      <c r="AT49" s="23"/>
      <c r="AU49" s="23"/>
      <c r="AV49" s="23"/>
      <c r="AW49" s="23"/>
      <c r="AX49" s="23"/>
      <c r="AY49" s="23">
        <v>1111</v>
      </c>
      <c r="AZ49" s="185">
        <v>41149</v>
      </c>
      <c r="BA49" s="192"/>
    </row>
    <row r="50" spans="1:53" ht="11.25" customHeight="1">
      <c r="A50" s="125">
        <v>49</v>
      </c>
      <c r="B50" s="129" t="str">
        <f>VLOOKUP(Z50,'コード表'!$T$2:$X$36,5,0)</f>
        <v>02</v>
      </c>
      <c r="C50" s="83">
        <f>VLOOKUP(N50,'コード表'!$W$47:$X$50,2,0)</f>
        <v>4</v>
      </c>
      <c r="D50" s="83">
        <f>VLOOKUP(M50,'コード表'!$W$53:$X$56,2,0)</f>
        <v>2</v>
      </c>
      <c r="E50" s="129" t="str">
        <f>VLOOKUP(AA50,'コード表'!Y:AA,3,0)</f>
        <v>024</v>
      </c>
      <c r="F50" s="83">
        <f>VLOOKUP(K50,'コード表'!$W$38:$X$44,2,0)</f>
        <v>2</v>
      </c>
      <c r="G50" s="83">
        <f>VLOOKUP(S50,'コード表'!A:D,4,0)</f>
        <v>572</v>
      </c>
      <c r="H50" s="83">
        <f>VLOOKUP(U50,'コード表'!A:D,4,0)</f>
        <v>570</v>
      </c>
      <c r="I50" s="25">
        <v>49</v>
      </c>
      <c r="J50" s="83" t="s">
        <v>2102</v>
      </c>
      <c r="K50" s="23" t="s">
        <v>847</v>
      </c>
      <c r="L50" s="25" t="s">
        <v>1537</v>
      </c>
      <c r="M50" s="23" t="s">
        <v>544</v>
      </c>
      <c r="N50" s="23">
        <v>3</v>
      </c>
      <c r="O50" s="23">
        <v>410</v>
      </c>
      <c r="P50" s="23">
        <v>300</v>
      </c>
      <c r="Q50" s="23">
        <v>300</v>
      </c>
      <c r="R50" s="23">
        <v>115</v>
      </c>
      <c r="S50" s="25" t="s">
        <v>1196</v>
      </c>
      <c r="T50" s="25" t="s">
        <v>1026</v>
      </c>
      <c r="U50" s="25" t="s">
        <v>681</v>
      </c>
      <c r="V50" s="25" t="s">
        <v>505</v>
      </c>
      <c r="W50" s="25" t="s">
        <v>1538</v>
      </c>
      <c r="X50" s="25" t="s">
        <v>1424</v>
      </c>
      <c r="Y50" s="25" t="s">
        <v>414</v>
      </c>
      <c r="Z50" s="25" t="s">
        <v>408</v>
      </c>
      <c r="AA50" s="25" t="s">
        <v>718</v>
      </c>
      <c r="AB50" s="25"/>
      <c r="AC50" s="25" t="s">
        <v>565</v>
      </c>
      <c r="AD50" s="25" t="s">
        <v>416</v>
      </c>
      <c r="AE50" s="25" t="s">
        <v>1537</v>
      </c>
      <c r="AF50" s="25" t="s">
        <v>565</v>
      </c>
      <c r="AG50" s="25" t="s">
        <v>417</v>
      </c>
      <c r="AH50" s="25"/>
      <c r="AI50" s="25"/>
      <c r="AJ50" s="36"/>
      <c r="AK50" s="25"/>
      <c r="AL50" s="26"/>
      <c r="AM50" s="23"/>
      <c r="AN50" s="25"/>
      <c r="AO50" s="146" t="s">
        <v>1203</v>
      </c>
      <c r="AP50" s="23">
        <v>1000</v>
      </c>
      <c r="AQ50" s="23" t="str">
        <f t="shared" si="2"/>
        <v>1CP</v>
      </c>
      <c r="AR50" s="23" t="str">
        <f t="shared" si="3"/>
        <v>06</v>
      </c>
      <c r="AS50" s="23">
        <v>6</v>
      </c>
      <c r="AT50" s="23"/>
      <c r="AU50" s="23"/>
      <c r="AV50" s="23"/>
      <c r="AW50" s="23"/>
      <c r="AX50" s="23"/>
      <c r="AY50" s="23">
        <v>1112</v>
      </c>
      <c r="AZ50" s="185">
        <v>41149</v>
      </c>
      <c r="BA50" s="192"/>
    </row>
    <row r="51" spans="1:53" ht="11.25" customHeight="1">
      <c r="A51" s="125">
        <v>50</v>
      </c>
      <c r="B51" s="129" t="str">
        <f>VLOOKUP(Z51,'コード表'!$T$2:$X$36,5,0)</f>
        <v>02</v>
      </c>
      <c r="C51" s="83">
        <f>VLOOKUP(N51,'コード表'!$W$47:$X$50,2,0)</f>
        <v>2</v>
      </c>
      <c r="D51" s="83">
        <f>VLOOKUP(M51,'コード表'!$W$53:$X$56,2,0)</f>
        <v>3</v>
      </c>
      <c r="E51" s="129" t="str">
        <f>VLOOKUP(AA51,'コード表'!Y:AA,3,0)</f>
        <v>024</v>
      </c>
      <c r="F51" s="83">
        <f>VLOOKUP(K51,'コード表'!$W$38:$X$44,2,0)</f>
        <v>2</v>
      </c>
      <c r="G51" s="83">
        <f>VLOOKUP(S51,'コード表'!A:D,4,0)</f>
        <v>130</v>
      </c>
      <c r="H51" s="83">
        <f>VLOOKUP(U51,'コード表'!A:D,4,0)</f>
        <v>130</v>
      </c>
      <c r="I51" s="25">
        <v>50</v>
      </c>
      <c r="J51" s="83" t="s">
        <v>2103</v>
      </c>
      <c r="K51" s="23" t="s">
        <v>847</v>
      </c>
      <c r="L51" s="25" t="s">
        <v>289</v>
      </c>
      <c r="M51" s="23" t="s">
        <v>542</v>
      </c>
      <c r="N51" s="23">
        <v>5</v>
      </c>
      <c r="O51" s="23">
        <v>675</v>
      </c>
      <c r="P51" s="23">
        <v>560</v>
      </c>
      <c r="Q51" s="23">
        <v>390</v>
      </c>
      <c r="R51" s="23">
        <v>120</v>
      </c>
      <c r="S51" s="25" t="s">
        <v>676</v>
      </c>
      <c r="T51" s="25" t="s">
        <v>67</v>
      </c>
      <c r="U51" s="25" t="s">
        <v>676</v>
      </c>
      <c r="V51" s="25" t="s">
        <v>1518</v>
      </c>
      <c r="W51" s="25" t="s">
        <v>290</v>
      </c>
      <c r="X51" s="25" t="s">
        <v>1401</v>
      </c>
      <c r="Y51" s="25" t="s">
        <v>414</v>
      </c>
      <c r="Z51" s="25" t="s">
        <v>408</v>
      </c>
      <c r="AA51" s="25" t="s">
        <v>718</v>
      </c>
      <c r="AB51" s="25"/>
      <c r="AC51" s="25" t="s">
        <v>1402</v>
      </c>
      <c r="AD51" s="25" t="s">
        <v>416</v>
      </c>
      <c r="AE51" s="25" t="s">
        <v>180</v>
      </c>
      <c r="AF51" s="25" t="s">
        <v>391</v>
      </c>
      <c r="AG51" s="25" t="s">
        <v>417</v>
      </c>
      <c r="AH51" s="25"/>
      <c r="AI51" s="25"/>
      <c r="AJ51" s="36"/>
      <c r="AK51" s="25"/>
      <c r="AL51" s="26"/>
      <c r="AM51" s="23"/>
      <c r="AN51" s="25"/>
      <c r="AO51" s="146" t="s">
        <v>1204</v>
      </c>
      <c r="AP51" s="23">
        <v>1000</v>
      </c>
      <c r="AQ51" s="23" t="str">
        <f t="shared" si="2"/>
        <v>1CP</v>
      </c>
      <c r="AR51" s="23" t="str">
        <f t="shared" si="3"/>
        <v>25</v>
      </c>
      <c r="AS51" s="23">
        <v>5</v>
      </c>
      <c r="AT51" s="23"/>
      <c r="AU51" s="23"/>
      <c r="AV51" s="23"/>
      <c r="AW51" s="23"/>
      <c r="AX51" s="23"/>
      <c r="AY51" s="23">
        <v>1113</v>
      </c>
      <c r="AZ51" s="185">
        <v>41149</v>
      </c>
      <c r="BA51" s="192"/>
    </row>
    <row r="52" spans="1:53" ht="11.25" customHeight="1">
      <c r="A52" s="125">
        <v>51</v>
      </c>
      <c r="B52" s="129" t="str">
        <f>VLOOKUP(Z52,'コード表'!$T$2:$X$36,5,0)</f>
        <v>02</v>
      </c>
      <c r="C52" s="83">
        <f>VLOOKUP(N52,'コード表'!$W$47:$X$50,2,0)</f>
        <v>2</v>
      </c>
      <c r="D52" s="83">
        <f>VLOOKUP(M52,'コード表'!$W$53:$X$56,2,0)</f>
        <v>1</v>
      </c>
      <c r="E52" s="129" t="str">
        <f>VLOOKUP(AA52,'コード表'!Y:AA,3,0)</f>
        <v>024</v>
      </c>
      <c r="F52" s="83">
        <f>VLOOKUP(K52,'コード表'!$W$38:$X$44,2,0)</f>
        <v>2</v>
      </c>
      <c r="G52" s="83">
        <f>VLOOKUP(S52,'コード表'!A:D,4,0)</f>
        <v>130</v>
      </c>
      <c r="H52" s="83">
        <f>VLOOKUP(U52,'コード表'!A:D,4,0)</f>
        <v>130</v>
      </c>
      <c r="I52" s="25">
        <v>51</v>
      </c>
      <c r="J52" s="83" t="s">
        <v>2104</v>
      </c>
      <c r="K52" s="23" t="s">
        <v>847</v>
      </c>
      <c r="L52" s="25" t="s">
        <v>1186</v>
      </c>
      <c r="M52" s="23" t="s">
        <v>543</v>
      </c>
      <c r="N52" s="23">
        <v>5</v>
      </c>
      <c r="O52" s="23">
        <v>675</v>
      </c>
      <c r="P52" s="23">
        <v>985</v>
      </c>
      <c r="Q52" s="23">
        <v>560</v>
      </c>
      <c r="R52" s="23">
        <v>70</v>
      </c>
      <c r="S52" s="25" t="s">
        <v>676</v>
      </c>
      <c r="T52" s="25" t="s">
        <v>67</v>
      </c>
      <c r="U52" s="25" t="s">
        <v>676</v>
      </c>
      <c r="V52" s="25" t="s">
        <v>1518</v>
      </c>
      <c r="W52" s="25" t="s">
        <v>739</v>
      </c>
      <c r="X52" s="25" t="s">
        <v>740</v>
      </c>
      <c r="Y52" s="25" t="s">
        <v>414</v>
      </c>
      <c r="Z52" s="25" t="s">
        <v>408</v>
      </c>
      <c r="AA52" s="25" t="s">
        <v>718</v>
      </c>
      <c r="AB52" s="25"/>
      <c r="AC52" s="25" t="s">
        <v>387</v>
      </c>
      <c r="AD52" s="25" t="s">
        <v>416</v>
      </c>
      <c r="AE52" s="25" t="s">
        <v>1500</v>
      </c>
      <c r="AF52" s="25" t="s">
        <v>564</v>
      </c>
      <c r="AG52" s="25" t="s">
        <v>417</v>
      </c>
      <c r="AH52" s="25"/>
      <c r="AI52" s="25"/>
      <c r="AJ52" s="36"/>
      <c r="AK52" s="25"/>
      <c r="AL52" s="26"/>
      <c r="AM52" s="23"/>
      <c r="AN52" s="25"/>
      <c r="AO52" s="146" t="s">
        <v>1205</v>
      </c>
      <c r="AP52" s="23">
        <v>1000</v>
      </c>
      <c r="AQ52" s="23" t="str">
        <f t="shared" si="2"/>
        <v>1CP</v>
      </c>
      <c r="AR52" s="23" t="str">
        <f t="shared" si="3"/>
        <v>25</v>
      </c>
      <c r="AS52" s="23">
        <v>5</v>
      </c>
      <c r="AT52" s="23"/>
      <c r="AU52" s="23"/>
      <c r="AV52" s="23"/>
      <c r="AW52" s="23"/>
      <c r="AX52" s="23"/>
      <c r="AY52" s="23">
        <v>1114</v>
      </c>
      <c r="AZ52" s="185">
        <v>41149</v>
      </c>
      <c r="BA52" s="192"/>
    </row>
    <row r="53" spans="1:53" ht="11.25" customHeight="1">
      <c r="A53" s="125">
        <v>52</v>
      </c>
      <c r="B53" s="129" t="str">
        <f>VLOOKUP(Z53,'コード表'!$T$2:$X$36,5,0)</f>
        <v>02</v>
      </c>
      <c r="C53" s="83">
        <f>VLOOKUP(N53,'コード表'!$W$47:$X$50,2,0)</f>
        <v>2</v>
      </c>
      <c r="D53" s="83">
        <f>VLOOKUP(M53,'コード表'!$W$53:$X$56,2,0)</f>
        <v>1</v>
      </c>
      <c r="E53" s="129" t="str">
        <f>VLOOKUP(AA53,'コード表'!Y:AA,3,0)</f>
        <v>024</v>
      </c>
      <c r="F53" s="83">
        <f>VLOOKUP(K53,'コード表'!$W$38:$X$44,2,0)</f>
        <v>2</v>
      </c>
      <c r="G53" s="83">
        <f>VLOOKUP(S53,'コード表'!A:D,4,0)</f>
        <v>100</v>
      </c>
      <c r="H53" s="83">
        <f>VLOOKUP(U53,'コード表'!A:D,4,0)</f>
        <v>100</v>
      </c>
      <c r="I53" s="25">
        <v>52</v>
      </c>
      <c r="J53" s="83" t="s">
        <v>2105</v>
      </c>
      <c r="K53" s="23" t="s">
        <v>847</v>
      </c>
      <c r="L53" s="25" t="s">
        <v>421</v>
      </c>
      <c r="M53" s="23" t="s">
        <v>543</v>
      </c>
      <c r="N53" s="23">
        <v>5</v>
      </c>
      <c r="O53" s="23">
        <v>675</v>
      </c>
      <c r="P53" s="23">
        <v>725</v>
      </c>
      <c r="Q53" s="23">
        <v>500</v>
      </c>
      <c r="R53" s="23">
        <v>90</v>
      </c>
      <c r="S53" s="25" t="s">
        <v>677</v>
      </c>
      <c r="T53" s="25" t="s">
        <v>616</v>
      </c>
      <c r="U53" s="25" t="s">
        <v>677</v>
      </c>
      <c r="V53" s="25" t="s">
        <v>0</v>
      </c>
      <c r="W53" s="25" t="s">
        <v>422</v>
      </c>
      <c r="X53" s="25" t="s">
        <v>423</v>
      </c>
      <c r="Y53" s="25" t="s">
        <v>414</v>
      </c>
      <c r="Z53" s="25" t="s">
        <v>408</v>
      </c>
      <c r="AA53" s="25" t="s">
        <v>718</v>
      </c>
      <c r="AB53" s="25"/>
      <c r="AC53" s="25" t="s">
        <v>424</v>
      </c>
      <c r="AD53" s="25" t="s">
        <v>416</v>
      </c>
      <c r="AE53" s="25" t="s">
        <v>425</v>
      </c>
      <c r="AF53" s="25" t="s">
        <v>426</v>
      </c>
      <c r="AG53" s="25" t="s">
        <v>417</v>
      </c>
      <c r="AH53" s="25"/>
      <c r="AI53" s="25"/>
      <c r="AJ53" s="36"/>
      <c r="AK53" s="25"/>
      <c r="AL53" s="26"/>
      <c r="AM53" s="23"/>
      <c r="AN53" s="25"/>
      <c r="AO53" s="146" t="s">
        <v>660</v>
      </c>
      <c r="AP53" s="23">
        <v>1000</v>
      </c>
      <c r="AQ53" s="23" t="str">
        <f t="shared" si="2"/>
        <v>1CP</v>
      </c>
      <c r="AR53" s="23" t="str">
        <f t="shared" si="3"/>
        <v>25</v>
      </c>
      <c r="AS53" s="23">
        <v>5</v>
      </c>
      <c r="AT53" s="23"/>
      <c r="AU53" s="23"/>
      <c r="AV53" s="23" t="s">
        <v>1177</v>
      </c>
      <c r="AW53" s="23"/>
      <c r="AX53" s="23"/>
      <c r="AY53" s="23">
        <v>1115</v>
      </c>
      <c r="AZ53" s="185">
        <v>41149</v>
      </c>
      <c r="BA53" s="192"/>
    </row>
    <row r="54" spans="1:53" ht="11.25" customHeight="1">
      <c r="A54" s="125">
        <v>53</v>
      </c>
      <c r="B54" s="129" t="str">
        <f>VLOOKUP(Z54,'コード表'!$T$2:$X$36,5,0)</f>
        <v>02</v>
      </c>
      <c r="C54" s="83">
        <f>VLOOKUP(N54,'コード表'!$W$47:$X$50,2,0)</f>
        <v>1</v>
      </c>
      <c r="D54" s="83">
        <f>VLOOKUP(M54,'コード表'!$W$53:$X$56,2,0)</f>
        <v>3</v>
      </c>
      <c r="E54" s="129" t="str">
        <f>VLOOKUP(AA54,'コード表'!Y:AA,3,0)</f>
        <v>021</v>
      </c>
      <c r="F54" s="83">
        <f>VLOOKUP(K54,'コード表'!$W$38:$X$44,2,0)</f>
        <v>1</v>
      </c>
      <c r="G54" s="83">
        <f>VLOOKUP(S54,'コード表'!A:D,4,0)</f>
        <v>120</v>
      </c>
      <c r="H54" s="83">
        <f>VLOOKUP(U54,'コード表'!A:D,4,0)</f>
        <v>120</v>
      </c>
      <c r="I54" s="25">
        <v>53</v>
      </c>
      <c r="J54" s="83" t="s">
        <v>2106</v>
      </c>
      <c r="K54" s="23" t="s">
        <v>541</v>
      </c>
      <c r="L54" s="25" t="s">
        <v>1567</v>
      </c>
      <c r="M54" s="23" t="s">
        <v>542</v>
      </c>
      <c r="N54" s="23">
        <v>6</v>
      </c>
      <c r="O54" s="23">
        <v>795</v>
      </c>
      <c r="P54" s="23">
        <v>710</v>
      </c>
      <c r="Q54" s="23">
        <v>495</v>
      </c>
      <c r="R54" s="23">
        <v>110</v>
      </c>
      <c r="S54" s="25" t="s">
        <v>675</v>
      </c>
      <c r="T54" s="25" t="s">
        <v>1519</v>
      </c>
      <c r="U54" s="25" t="s">
        <v>675</v>
      </c>
      <c r="V54" s="25" t="s">
        <v>1520</v>
      </c>
      <c r="W54" s="25" t="s">
        <v>648</v>
      </c>
      <c r="X54" s="25" t="s">
        <v>649</v>
      </c>
      <c r="Y54" s="25" t="s">
        <v>414</v>
      </c>
      <c r="Z54" s="25" t="s">
        <v>408</v>
      </c>
      <c r="AA54" s="25" t="s">
        <v>1521</v>
      </c>
      <c r="AB54" s="25"/>
      <c r="AC54" s="25" t="s">
        <v>562</v>
      </c>
      <c r="AD54" s="25" t="s">
        <v>416</v>
      </c>
      <c r="AE54" s="25" t="s">
        <v>1499</v>
      </c>
      <c r="AF54" s="25" t="s">
        <v>563</v>
      </c>
      <c r="AG54" s="25" t="s">
        <v>417</v>
      </c>
      <c r="AH54" s="25"/>
      <c r="AI54" s="25"/>
      <c r="AJ54" s="36"/>
      <c r="AK54" s="25"/>
      <c r="AL54" s="26"/>
      <c r="AM54" s="23"/>
      <c r="AN54" s="25"/>
      <c r="AO54" s="146" t="s">
        <v>2023</v>
      </c>
      <c r="AP54" s="23">
        <v>1000</v>
      </c>
      <c r="AQ54" s="23" t="str">
        <f t="shared" si="2"/>
        <v>1PR</v>
      </c>
      <c r="AR54" s="23" t="str">
        <f t="shared" si="3"/>
        <v>15</v>
      </c>
      <c r="AS54" s="23">
        <v>5</v>
      </c>
      <c r="AT54" s="23"/>
      <c r="AU54" s="23"/>
      <c r="AV54" s="23"/>
      <c r="AW54" s="23"/>
      <c r="AX54" s="23"/>
      <c r="AY54" s="23">
        <v>1116</v>
      </c>
      <c r="AZ54" s="185">
        <v>41149</v>
      </c>
      <c r="BA54" s="192"/>
    </row>
    <row r="55" spans="1:53" ht="11.25" customHeight="1">
      <c r="A55" s="125">
        <v>54</v>
      </c>
      <c r="B55" s="129" t="str">
        <f>VLOOKUP(Z55,'コード表'!$T$2:$X$36,5,0)</f>
        <v>02</v>
      </c>
      <c r="C55" s="83">
        <f>VLOOKUP(N55,'コード表'!$W$47:$X$50,2,0)</f>
        <v>1</v>
      </c>
      <c r="D55" s="83">
        <f>VLOOKUP(M55,'コード表'!$W$53:$X$56,2,0)</f>
        <v>2</v>
      </c>
      <c r="E55" s="129" t="str">
        <f>VLOOKUP(AA55,'コード表'!Y:AA,3,0)</f>
        <v>021</v>
      </c>
      <c r="F55" s="83">
        <f>VLOOKUP(K55,'コード表'!$W$38:$X$44,2,0)</f>
        <v>1</v>
      </c>
      <c r="G55" s="83">
        <f>VLOOKUP(S55,'コード表'!A:D,4,0)</f>
        <v>150</v>
      </c>
      <c r="H55" s="83">
        <f>VLOOKUP(U55,'コード表'!A:D,4,0)</f>
        <v>150</v>
      </c>
      <c r="I55" s="25">
        <v>54</v>
      </c>
      <c r="J55" s="83" t="s">
        <v>2107</v>
      </c>
      <c r="K55" s="23" t="s">
        <v>667</v>
      </c>
      <c r="L55" s="25" t="s">
        <v>1080</v>
      </c>
      <c r="M55" s="23" t="s">
        <v>544</v>
      </c>
      <c r="N55" s="23">
        <v>6</v>
      </c>
      <c r="O55" s="23">
        <v>795</v>
      </c>
      <c r="P55" s="23">
        <v>800</v>
      </c>
      <c r="Q55" s="23">
        <v>440</v>
      </c>
      <c r="R55" s="23">
        <v>110</v>
      </c>
      <c r="S55" s="25" t="s">
        <v>1362</v>
      </c>
      <c r="T55" s="25" t="s">
        <v>1002</v>
      </c>
      <c r="U55" s="25" t="s">
        <v>1362</v>
      </c>
      <c r="V55" s="25" t="s">
        <v>2011</v>
      </c>
      <c r="W55" s="25" t="s">
        <v>1827</v>
      </c>
      <c r="X55" s="25" t="s">
        <v>288</v>
      </c>
      <c r="Y55" s="25" t="s">
        <v>414</v>
      </c>
      <c r="Z55" s="25" t="s">
        <v>408</v>
      </c>
      <c r="AA55" s="25" t="s">
        <v>1521</v>
      </c>
      <c r="AB55" s="25"/>
      <c r="AC55" s="25" t="s">
        <v>560</v>
      </c>
      <c r="AD55" s="25" t="s">
        <v>416</v>
      </c>
      <c r="AE55" s="25" t="s">
        <v>1498</v>
      </c>
      <c r="AF55" s="25" t="s">
        <v>561</v>
      </c>
      <c r="AG55" s="25" t="s">
        <v>417</v>
      </c>
      <c r="AH55" s="25"/>
      <c r="AI55" s="25"/>
      <c r="AJ55" s="36"/>
      <c r="AK55" s="25"/>
      <c r="AL55" s="26"/>
      <c r="AM55" s="23"/>
      <c r="AN55" s="25"/>
      <c r="AO55" s="146" t="s">
        <v>1056</v>
      </c>
      <c r="AP55" s="23">
        <v>1000</v>
      </c>
      <c r="AQ55" s="23" t="str">
        <f t="shared" si="2"/>
        <v>1PR</v>
      </c>
      <c r="AR55" s="23" t="str">
        <f t="shared" si="3"/>
        <v>14</v>
      </c>
      <c r="AS55" s="23">
        <v>4</v>
      </c>
      <c r="AT55" s="23"/>
      <c r="AU55" s="23"/>
      <c r="AV55" s="23"/>
      <c r="AW55" s="23"/>
      <c r="AX55" s="23"/>
      <c r="AY55" s="23">
        <v>1117</v>
      </c>
      <c r="AZ55" s="185">
        <v>41149</v>
      </c>
      <c r="BA55" s="192"/>
    </row>
    <row r="56" spans="1:53" ht="11.25" customHeight="1">
      <c r="A56" s="125">
        <v>55</v>
      </c>
      <c r="B56" s="129" t="str">
        <f>VLOOKUP(Z56,'コード表'!$T$2:$X$36,5,0)</f>
        <v>02</v>
      </c>
      <c r="C56" s="83">
        <f>VLOOKUP(N56,'コード表'!$W$47:$X$50,2,0)</f>
        <v>1</v>
      </c>
      <c r="D56" s="83">
        <f>VLOOKUP(M56,'コード表'!$W$53:$X$56,2,0)</f>
        <v>1</v>
      </c>
      <c r="E56" s="129" t="str">
        <f>VLOOKUP(AA56,'コード表'!Y:AA,3,0)</f>
        <v>021</v>
      </c>
      <c r="F56" s="83">
        <f>VLOOKUP(K56,'コード表'!$W$38:$X$44,2,0)</f>
        <v>1</v>
      </c>
      <c r="G56" s="83">
        <f>VLOOKUP(S56,'コード表'!A:D,4,0)</f>
        <v>110</v>
      </c>
      <c r="H56" s="83">
        <f>VLOOKUP(U56,'コード表'!A:D,4,0)</f>
        <v>450</v>
      </c>
      <c r="I56" s="25">
        <v>55</v>
      </c>
      <c r="J56" s="83" t="s">
        <v>1360</v>
      </c>
      <c r="K56" s="23" t="s">
        <v>541</v>
      </c>
      <c r="L56" s="25" t="s">
        <v>1080</v>
      </c>
      <c r="M56" s="23" t="s">
        <v>543</v>
      </c>
      <c r="N56" s="23">
        <v>6</v>
      </c>
      <c r="O56" s="23">
        <v>795</v>
      </c>
      <c r="P56" s="23">
        <v>840</v>
      </c>
      <c r="Q56" s="23">
        <v>480</v>
      </c>
      <c r="R56" s="23">
        <v>100</v>
      </c>
      <c r="S56" s="25" t="s">
        <v>21</v>
      </c>
      <c r="T56" s="25" t="s">
        <v>1216</v>
      </c>
      <c r="U56" s="25" t="s">
        <v>618</v>
      </c>
      <c r="V56" s="25" t="s">
        <v>974</v>
      </c>
      <c r="W56" s="25" t="s">
        <v>1081</v>
      </c>
      <c r="X56" s="25" t="s">
        <v>1421</v>
      </c>
      <c r="Y56" s="25" t="s">
        <v>414</v>
      </c>
      <c r="Z56" s="25" t="s">
        <v>408</v>
      </c>
      <c r="AA56" s="25" t="s">
        <v>1521</v>
      </c>
      <c r="AB56" s="25"/>
      <c r="AC56" s="25" t="s">
        <v>560</v>
      </c>
      <c r="AD56" s="25" t="s">
        <v>416</v>
      </c>
      <c r="AE56" s="25" t="s">
        <v>1498</v>
      </c>
      <c r="AF56" s="25" t="s">
        <v>561</v>
      </c>
      <c r="AG56" s="25" t="s">
        <v>417</v>
      </c>
      <c r="AH56" s="25"/>
      <c r="AI56" s="25"/>
      <c r="AJ56" s="36"/>
      <c r="AK56" s="25"/>
      <c r="AL56" s="26"/>
      <c r="AM56" s="23"/>
      <c r="AN56" s="25"/>
      <c r="AO56" s="146" t="s">
        <v>975</v>
      </c>
      <c r="AP56" s="23">
        <v>1000</v>
      </c>
      <c r="AQ56" s="23" t="str">
        <f t="shared" si="2"/>
        <v>1PR</v>
      </c>
      <c r="AR56" s="23" t="str">
        <f t="shared" si="3"/>
        <v>14</v>
      </c>
      <c r="AS56" s="23">
        <v>4</v>
      </c>
      <c r="AT56" s="23"/>
      <c r="AU56" s="23"/>
      <c r="AV56" s="23"/>
      <c r="AW56" s="23">
        <v>2</v>
      </c>
      <c r="AX56" s="23"/>
      <c r="AY56" s="23">
        <v>1129</v>
      </c>
      <c r="AZ56" s="185">
        <v>41156</v>
      </c>
      <c r="BA56" s="192" t="s">
        <v>2284</v>
      </c>
    </row>
    <row r="57" spans="1:53" ht="11.25" customHeight="1">
      <c r="A57" s="125">
        <v>56</v>
      </c>
      <c r="B57" s="129" t="str">
        <f>VLOOKUP(Z57,'コード表'!$T$2:$X$36,5,0)</f>
        <v>03</v>
      </c>
      <c r="C57" s="83">
        <f>VLOOKUP(N57,'コード表'!$W$47:$X$50,2,0)</f>
        <v>4</v>
      </c>
      <c r="D57" s="83">
        <f>VLOOKUP(M57,'コード表'!$W$53:$X$56,2,0)</f>
        <v>3</v>
      </c>
      <c r="E57" s="129" t="str">
        <f>VLOOKUP(AA57,'コード表'!Y:AA,3,0)</f>
        <v>034</v>
      </c>
      <c r="F57" s="83">
        <f>VLOOKUP(K57,'コード表'!$W$38:$X$44,2,0)</f>
        <v>2</v>
      </c>
      <c r="G57" s="83">
        <f>VLOOKUP(S57,'コード表'!A:D,4,0)</f>
        <v>710</v>
      </c>
      <c r="H57" s="83">
        <f>VLOOKUP(U57,'コード表'!A:D,4,0)</f>
        <v>705</v>
      </c>
      <c r="I57" s="25">
        <v>56</v>
      </c>
      <c r="J57" s="83" t="s">
        <v>1937</v>
      </c>
      <c r="K57" s="23" t="s">
        <v>847</v>
      </c>
      <c r="L57" s="25" t="s">
        <v>94</v>
      </c>
      <c r="M57" s="23" t="s">
        <v>542</v>
      </c>
      <c r="N57" s="23">
        <v>3</v>
      </c>
      <c r="O57" s="23">
        <v>410</v>
      </c>
      <c r="P57" s="23">
        <v>300</v>
      </c>
      <c r="Q57" s="23">
        <v>300</v>
      </c>
      <c r="R57" s="23">
        <v>115</v>
      </c>
      <c r="S57" s="25" t="s">
        <v>447</v>
      </c>
      <c r="T57" s="25"/>
      <c r="U57" s="25" t="s">
        <v>579</v>
      </c>
      <c r="V57" s="25" t="s">
        <v>507</v>
      </c>
      <c r="W57" s="25" t="s">
        <v>95</v>
      </c>
      <c r="X57" s="25" t="s">
        <v>448</v>
      </c>
      <c r="Y57" s="25" t="s">
        <v>414</v>
      </c>
      <c r="Z57" s="25" t="s">
        <v>1426</v>
      </c>
      <c r="AA57" s="25" t="s">
        <v>85</v>
      </c>
      <c r="AB57" s="25"/>
      <c r="AC57" s="25" t="s">
        <v>568</v>
      </c>
      <c r="AD57" s="25" t="s">
        <v>416</v>
      </c>
      <c r="AE57" s="25" t="s">
        <v>1502</v>
      </c>
      <c r="AF57" s="25" t="s">
        <v>569</v>
      </c>
      <c r="AG57" s="25" t="s">
        <v>417</v>
      </c>
      <c r="AH57" s="25"/>
      <c r="AI57" s="25"/>
      <c r="AJ57" s="36"/>
      <c r="AK57" s="25"/>
      <c r="AL57" s="26"/>
      <c r="AM57" s="23"/>
      <c r="AN57" s="25"/>
      <c r="AO57" s="146" t="s">
        <v>1061</v>
      </c>
      <c r="AP57" s="23">
        <v>1000</v>
      </c>
      <c r="AQ57" s="23" t="str">
        <f t="shared" si="2"/>
        <v>1CP</v>
      </c>
      <c r="AR57" s="23" t="str">
        <f t="shared" si="3"/>
        <v>45</v>
      </c>
      <c r="AS57" s="23">
        <v>5</v>
      </c>
      <c r="AT57" s="23"/>
      <c r="AU57" s="23"/>
      <c r="AV57" s="23"/>
      <c r="AW57" s="23"/>
      <c r="AX57" s="23"/>
      <c r="AY57" s="23">
        <v>1137</v>
      </c>
      <c r="AZ57" s="185">
        <v>41165</v>
      </c>
      <c r="BA57" s="192"/>
    </row>
    <row r="58" spans="1:53" ht="11.25" customHeight="1">
      <c r="A58" s="125">
        <v>57</v>
      </c>
      <c r="B58" s="129" t="str">
        <f>VLOOKUP(Z58,'コード表'!$T$2:$X$36,5,0)</f>
        <v>03</v>
      </c>
      <c r="C58" s="83">
        <f>VLOOKUP(N58,'コード表'!$W$47:$X$50,2,0)</f>
        <v>2</v>
      </c>
      <c r="D58" s="83">
        <f>VLOOKUP(M58,'コード表'!$W$53:$X$56,2,0)</f>
        <v>2</v>
      </c>
      <c r="E58" s="129" t="str">
        <f>VLOOKUP(AA58,'コード表'!Y:AA,3,0)</f>
        <v>034</v>
      </c>
      <c r="F58" s="83">
        <f>VLOOKUP(K58,'コード表'!$W$38:$X$44,2,0)</f>
        <v>2</v>
      </c>
      <c r="G58" s="83">
        <f>VLOOKUP(S58,'コード表'!A:D,4,0)</f>
        <v>100</v>
      </c>
      <c r="H58" s="83">
        <f>VLOOKUP(U58,'コード表'!A:D,4,0)</f>
        <v>640</v>
      </c>
      <c r="I58" s="25">
        <v>57</v>
      </c>
      <c r="J58" s="83" t="s">
        <v>1938</v>
      </c>
      <c r="K58" s="23" t="s">
        <v>847</v>
      </c>
      <c r="L58" s="25" t="s">
        <v>1541</v>
      </c>
      <c r="M58" s="23" t="s">
        <v>544</v>
      </c>
      <c r="N58" s="23">
        <v>5</v>
      </c>
      <c r="O58" s="23">
        <v>675</v>
      </c>
      <c r="P58" s="23">
        <v>465</v>
      </c>
      <c r="Q58" s="23">
        <v>560</v>
      </c>
      <c r="R58" s="23">
        <v>110</v>
      </c>
      <c r="S58" s="25" t="s">
        <v>677</v>
      </c>
      <c r="T58" s="25" t="s">
        <v>616</v>
      </c>
      <c r="U58" s="25" t="s">
        <v>686</v>
      </c>
      <c r="V58" s="25" t="s">
        <v>510</v>
      </c>
      <c r="W58" s="25" t="s">
        <v>1542</v>
      </c>
      <c r="X58" s="25" t="s">
        <v>575</v>
      </c>
      <c r="Y58" s="25" t="s">
        <v>414</v>
      </c>
      <c r="Z58" s="25" t="s">
        <v>1426</v>
      </c>
      <c r="AA58" s="25" t="s">
        <v>85</v>
      </c>
      <c r="AB58" s="25"/>
      <c r="AC58" s="25" t="s">
        <v>576</v>
      </c>
      <c r="AD58" s="25" t="s">
        <v>416</v>
      </c>
      <c r="AE58" s="25" t="s">
        <v>179</v>
      </c>
      <c r="AF58" s="25" t="s">
        <v>390</v>
      </c>
      <c r="AG58" s="25" t="s">
        <v>417</v>
      </c>
      <c r="AH58" s="25"/>
      <c r="AI58" s="25"/>
      <c r="AJ58" s="36"/>
      <c r="AK58" s="25"/>
      <c r="AL58" s="26"/>
      <c r="AM58" s="23"/>
      <c r="AN58" s="25"/>
      <c r="AO58" s="146" t="s">
        <v>1062</v>
      </c>
      <c r="AP58" s="23">
        <v>1000</v>
      </c>
      <c r="AQ58" s="23" t="str">
        <f t="shared" si="2"/>
        <v>1CP</v>
      </c>
      <c r="AR58" s="23" t="str">
        <f t="shared" si="3"/>
        <v>05</v>
      </c>
      <c r="AS58" s="23">
        <v>5</v>
      </c>
      <c r="AT58" s="23"/>
      <c r="AU58" s="23"/>
      <c r="AV58" s="23"/>
      <c r="AW58" s="23"/>
      <c r="AX58" s="23"/>
      <c r="AY58" s="23">
        <v>1138</v>
      </c>
      <c r="AZ58" s="185">
        <v>41165</v>
      </c>
      <c r="BA58" s="192"/>
    </row>
    <row r="59" spans="1:53" ht="11.25" customHeight="1">
      <c r="A59" s="125">
        <v>58</v>
      </c>
      <c r="B59" s="129" t="str">
        <f>VLOOKUP(Z59,'コード表'!$T$2:$X$36,5,0)</f>
        <v>03</v>
      </c>
      <c r="C59" s="83">
        <f>VLOOKUP(N59,'コード表'!$W$47:$X$50,2,0)</f>
        <v>4</v>
      </c>
      <c r="D59" s="83">
        <f>VLOOKUP(M59,'コード表'!$W$53:$X$56,2,0)</f>
        <v>3</v>
      </c>
      <c r="E59" s="129" t="str">
        <f>VLOOKUP(AA59,'コード表'!Y:AA,3,0)</f>
        <v>034</v>
      </c>
      <c r="F59" s="83">
        <f>VLOOKUP(K59,'コード表'!$W$38:$X$44,2,0)</f>
        <v>2</v>
      </c>
      <c r="G59" s="83">
        <f>VLOOKUP(S59,'コード表'!A:D,4,0)</f>
        <v>641</v>
      </c>
      <c r="H59" s="83">
        <f>VLOOKUP(U59,'コード表'!A:D,4,0)</f>
        <v>640</v>
      </c>
      <c r="I59" s="25">
        <v>58</v>
      </c>
      <c r="J59" s="83" t="s">
        <v>1939</v>
      </c>
      <c r="K59" s="23" t="s">
        <v>847</v>
      </c>
      <c r="L59" s="25" t="s">
        <v>1539</v>
      </c>
      <c r="M59" s="23" t="s">
        <v>542</v>
      </c>
      <c r="N59" s="23">
        <v>3</v>
      </c>
      <c r="O59" s="23">
        <v>435</v>
      </c>
      <c r="P59" s="23">
        <v>320</v>
      </c>
      <c r="Q59" s="23">
        <v>320</v>
      </c>
      <c r="R59" s="23">
        <v>115</v>
      </c>
      <c r="S59" s="25" t="s">
        <v>1829</v>
      </c>
      <c r="T59" s="25" t="s">
        <v>1028</v>
      </c>
      <c r="U59" s="25" t="s">
        <v>686</v>
      </c>
      <c r="V59" s="25" t="s">
        <v>504</v>
      </c>
      <c r="W59" s="25" t="s">
        <v>1540</v>
      </c>
      <c r="X59" s="25" t="s">
        <v>2043</v>
      </c>
      <c r="Y59" s="25" t="s">
        <v>414</v>
      </c>
      <c r="Z59" s="25" t="s">
        <v>1426</v>
      </c>
      <c r="AA59" s="25" t="s">
        <v>85</v>
      </c>
      <c r="AB59" s="25"/>
      <c r="AC59" s="25" t="s">
        <v>392</v>
      </c>
      <c r="AD59" s="25" t="s">
        <v>416</v>
      </c>
      <c r="AE59" s="25" t="s">
        <v>1539</v>
      </c>
      <c r="AF59" s="25" t="s">
        <v>392</v>
      </c>
      <c r="AG59" s="25" t="s">
        <v>417</v>
      </c>
      <c r="AH59" s="25"/>
      <c r="AI59" s="25"/>
      <c r="AJ59" s="36"/>
      <c r="AK59" s="25"/>
      <c r="AL59" s="26"/>
      <c r="AM59" s="23"/>
      <c r="AN59" s="25"/>
      <c r="AO59" s="146" t="s">
        <v>1063</v>
      </c>
      <c r="AP59" s="23">
        <v>1000</v>
      </c>
      <c r="AQ59" s="23" t="str">
        <f t="shared" si="2"/>
        <v>1CP</v>
      </c>
      <c r="AR59" s="23" t="str">
        <f t="shared" si="3"/>
        <v>06</v>
      </c>
      <c r="AS59" s="23">
        <v>6</v>
      </c>
      <c r="AT59" s="23"/>
      <c r="AU59" s="23"/>
      <c r="AV59" s="23"/>
      <c r="AW59" s="23"/>
      <c r="AX59" s="23"/>
      <c r="AY59" s="23">
        <v>1139</v>
      </c>
      <c r="AZ59" s="185">
        <v>41165</v>
      </c>
      <c r="BA59" s="192"/>
    </row>
    <row r="60" spans="1:53" ht="11.25" customHeight="1">
      <c r="A60" s="125">
        <v>59</v>
      </c>
      <c r="B60" s="129" t="str">
        <f>VLOOKUP(Z60,'コード表'!$T$2:$X$36,5,0)</f>
        <v>03</v>
      </c>
      <c r="C60" s="83">
        <f>VLOOKUP(N60,'コード表'!$W$47:$X$50,2,0)</f>
        <v>2</v>
      </c>
      <c r="D60" s="83">
        <f>VLOOKUP(M60,'コード表'!$W$53:$X$56,2,0)</f>
        <v>2</v>
      </c>
      <c r="E60" s="129" t="str">
        <f>VLOOKUP(AA60,'コード表'!Y:AA,3,0)</f>
        <v>034</v>
      </c>
      <c r="F60" s="83">
        <f>VLOOKUP(K60,'コード表'!$W$38:$X$44,2,0)</f>
        <v>2</v>
      </c>
      <c r="G60" s="83">
        <f>VLOOKUP(S60,'コード表'!A:D,4,0)</f>
        <v>120</v>
      </c>
      <c r="H60" s="83">
        <f>VLOOKUP(U60,'コード表'!A:D,4,0)</f>
        <v>120</v>
      </c>
      <c r="I60" s="25">
        <v>59</v>
      </c>
      <c r="J60" s="83" t="s">
        <v>1940</v>
      </c>
      <c r="K60" s="23" t="s">
        <v>847</v>
      </c>
      <c r="L60" s="25" t="s">
        <v>1834</v>
      </c>
      <c r="M60" s="23" t="s">
        <v>544</v>
      </c>
      <c r="N60" s="23">
        <v>5</v>
      </c>
      <c r="O60" s="23">
        <v>675</v>
      </c>
      <c r="P60" s="23">
        <v>420</v>
      </c>
      <c r="Q60" s="23">
        <v>605</v>
      </c>
      <c r="R60" s="23">
        <v>110</v>
      </c>
      <c r="S60" s="25" t="s">
        <v>675</v>
      </c>
      <c r="T60" s="25" t="s">
        <v>453</v>
      </c>
      <c r="U60" s="25" t="s">
        <v>675</v>
      </c>
      <c r="V60" s="25" t="s">
        <v>1233</v>
      </c>
      <c r="W60" s="25" t="s">
        <v>1835</v>
      </c>
      <c r="X60" s="25" t="s">
        <v>1836</v>
      </c>
      <c r="Y60" s="25" t="s">
        <v>414</v>
      </c>
      <c r="Z60" s="25" t="s">
        <v>1426</v>
      </c>
      <c r="AA60" s="25" t="s">
        <v>85</v>
      </c>
      <c r="AB60" s="25"/>
      <c r="AC60" s="25" t="s">
        <v>1837</v>
      </c>
      <c r="AD60" s="25" t="s">
        <v>416</v>
      </c>
      <c r="AE60" s="25" t="s">
        <v>1503</v>
      </c>
      <c r="AF60" s="25" t="s">
        <v>570</v>
      </c>
      <c r="AG60" s="25" t="s">
        <v>417</v>
      </c>
      <c r="AH60" s="25"/>
      <c r="AI60" s="25"/>
      <c r="AJ60" s="36"/>
      <c r="AK60" s="25"/>
      <c r="AL60" s="26"/>
      <c r="AM60" s="23"/>
      <c r="AN60" s="25"/>
      <c r="AO60" s="146" t="s">
        <v>1064</v>
      </c>
      <c r="AP60" s="23">
        <v>1000</v>
      </c>
      <c r="AQ60" s="23" t="str">
        <f t="shared" si="2"/>
        <v>1CP</v>
      </c>
      <c r="AR60" s="23" t="str">
        <f t="shared" si="3"/>
        <v>25</v>
      </c>
      <c r="AS60" s="23">
        <v>5</v>
      </c>
      <c r="AT60" s="23"/>
      <c r="AU60" s="23"/>
      <c r="AV60" s="23"/>
      <c r="AW60" s="23"/>
      <c r="AX60" s="23"/>
      <c r="AY60" s="23">
        <v>1140</v>
      </c>
      <c r="AZ60" s="185">
        <v>41165</v>
      </c>
      <c r="BA60" s="192"/>
    </row>
    <row r="61" spans="1:53" ht="11.25" customHeight="1">
      <c r="A61" s="125">
        <v>60</v>
      </c>
      <c r="B61" s="129" t="str">
        <f>VLOOKUP(Z61,'コード表'!$T$2:$X$36,5,0)</f>
        <v>03</v>
      </c>
      <c r="C61" s="83">
        <f>VLOOKUP(N61,'コード表'!$W$47:$X$50,2,0)</f>
        <v>2</v>
      </c>
      <c r="D61" s="83">
        <f>VLOOKUP(M61,'コード表'!$W$53:$X$56,2,0)</f>
        <v>1</v>
      </c>
      <c r="E61" s="129" t="str">
        <f>VLOOKUP(AA61,'コード表'!Y:AA,3,0)</f>
        <v>034</v>
      </c>
      <c r="F61" s="83">
        <f>VLOOKUP(K61,'コード表'!$W$38:$X$44,2,0)</f>
        <v>2</v>
      </c>
      <c r="G61" s="83">
        <f>VLOOKUP(S61,'コード表'!A:D,4,0)</f>
        <v>100</v>
      </c>
      <c r="H61" s="83">
        <f>VLOOKUP(U61,'コード表'!A:D,4,0)</f>
        <v>100</v>
      </c>
      <c r="I61" s="25">
        <v>60</v>
      </c>
      <c r="J61" s="83" t="s">
        <v>1941</v>
      </c>
      <c r="K61" s="23" t="s">
        <v>847</v>
      </c>
      <c r="L61" s="25" t="s">
        <v>1838</v>
      </c>
      <c r="M61" s="23" t="s">
        <v>543</v>
      </c>
      <c r="N61" s="23">
        <v>5</v>
      </c>
      <c r="O61" s="23">
        <v>675</v>
      </c>
      <c r="P61" s="23">
        <v>515</v>
      </c>
      <c r="Q61" s="23">
        <v>435</v>
      </c>
      <c r="R61" s="23">
        <v>120</v>
      </c>
      <c r="S61" s="25" t="s">
        <v>677</v>
      </c>
      <c r="T61" s="25" t="s">
        <v>616</v>
      </c>
      <c r="U61" s="25" t="s">
        <v>677</v>
      </c>
      <c r="V61" s="25" t="s">
        <v>0</v>
      </c>
      <c r="W61" s="25" t="s">
        <v>1839</v>
      </c>
      <c r="X61" s="25" t="s">
        <v>794</v>
      </c>
      <c r="Y61" s="25" t="s">
        <v>414</v>
      </c>
      <c r="Z61" s="25" t="s">
        <v>1426</v>
      </c>
      <c r="AA61" s="25" t="s">
        <v>85</v>
      </c>
      <c r="AB61" s="25"/>
      <c r="AC61" s="25" t="s">
        <v>1840</v>
      </c>
      <c r="AD61" s="25" t="s">
        <v>416</v>
      </c>
      <c r="AE61" s="25" t="s">
        <v>1841</v>
      </c>
      <c r="AF61" s="25" t="s">
        <v>1842</v>
      </c>
      <c r="AG61" s="25" t="s">
        <v>417</v>
      </c>
      <c r="AH61" s="25"/>
      <c r="AI61" s="25"/>
      <c r="AJ61" s="36"/>
      <c r="AK61" s="25"/>
      <c r="AL61" s="26"/>
      <c r="AM61" s="23"/>
      <c r="AN61" s="25"/>
      <c r="AO61" s="146" t="s">
        <v>1065</v>
      </c>
      <c r="AP61" s="23">
        <v>1000</v>
      </c>
      <c r="AQ61" s="23" t="str">
        <f t="shared" si="2"/>
        <v>1CP</v>
      </c>
      <c r="AR61" s="23" t="str">
        <f t="shared" si="3"/>
        <v>25</v>
      </c>
      <c r="AS61" s="23">
        <v>5</v>
      </c>
      <c r="AT61" s="23"/>
      <c r="AU61" s="23"/>
      <c r="AV61" s="23" t="s">
        <v>1178</v>
      </c>
      <c r="AW61" s="23"/>
      <c r="AX61" s="23"/>
      <c r="AY61" s="23">
        <v>1141</v>
      </c>
      <c r="AZ61" s="185">
        <v>41165</v>
      </c>
      <c r="BA61" s="192"/>
    </row>
    <row r="62" spans="1:53" ht="11.25" customHeight="1">
      <c r="A62" s="125">
        <v>61</v>
      </c>
      <c r="B62" s="129" t="str">
        <f>VLOOKUP(Z62,'コード表'!$T$2:$X$36,5,0)</f>
        <v>03</v>
      </c>
      <c r="C62" s="83">
        <f>VLOOKUP(N62,'コード表'!$W$47:$X$50,2,0)</f>
        <v>2</v>
      </c>
      <c r="D62" s="83">
        <f>VLOOKUP(M62,'コード表'!$W$53:$X$56,2,0)</f>
        <v>2</v>
      </c>
      <c r="E62" s="129" t="str">
        <f>VLOOKUP(AA62,'コード表'!Y:AA,3,0)</f>
        <v>034</v>
      </c>
      <c r="F62" s="83">
        <f>VLOOKUP(K62,'コード表'!$W$38:$X$44,2,0)</f>
        <v>2</v>
      </c>
      <c r="G62" s="83">
        <f>VLOOKUP(S62,'コード表'!A:D,4,0)</f>
        <v>100</v>
      </c>
      <c r="H62" s="83">
        <f>VLOOKUP(U62,'コード表'!A:D,4,0)</f>
        <v>660</v>
      </c>
      <c r="I62" s="25">
        <v>61</v>
      </c>
      <c r="J62" s="83" t="s">
        <v>1942</v>
      </c>
      <c r="K62" s="23" t="s">
        <v>847</v>
      </c>
      <c r="L62" s="25" t="s">
        <v>1843</v>
      </c>
      <c r="M62" s="23" t="s">
        <v>544</v>
      </c>
      <c r="N62" s="23">
        <v>5</v>
      </c>
      <c r="O62" s="23">
        <v>675</v>
      </c>
      <c r="P62" s="23">
        <v>465</v>
      </c>
      <c r="Q62" s="23">
        <v>560</v>
      </c>
      <c r="R62" s="23">
        <v>110</v>
      </c>
      <c r="S62" s="25" t="s">
        <v>677</v>
      </c>
      <c r="T62" s="25" t="s">
        <v>616</v>
      </c>
      <c r="U62" s="25" t="s">
        <v>684</v>
      </c>
      <c r="V62" s="25" t="s">
        <v>502</v>
      </c>
      <c r="W62" s="25" t="s">
        <v>1844</v>
      </c>
      <c r="X62" s="25" t="s">
        <v>1845</v>
      </c>
      <c r="Y62" s="25" t="s">
        <v>414</v>
      </c>
      <c r="Z62" s="25" t="s">
        <v>1426</v>
      </c>
      <c r="AA62" s="25" t="s">
        <v>85</v>
      </c>
      <c r="AB62" s="25"/>
      <c r="AC62" s="25" t="s">
        <v>1846</v>
      </c>
      <c r="AD62" s="25" t="s">
        <v>416</v>
      </c>
      <c r="AE62" s="25" t="s">
        <v>1843</v>
      </c>
      <c r="AF62" s="25" t="s">
        <v>1846</v>
      </c>
      <c r="AG62" s="25" t="s">
        <v>417</v>
      </c>
      <c r="AH62" s="25"/>
      <c r="AI62" s="25"/>
      <c r="AJ62" s="36"/>
      <c r="AK62" s="25"/>
      <c r="AL62" s="26"/>
      <c r="AM62" s="23"/>
      <c r="AN62" s="25"/>
      <c r="AO62" s="146" t="s">
        <v>1066</v>
      </c>
      <c r="AP62" s="23">
        <v>1000</v>
      </c>
      <c r="AQ62" s="23" t="str">
        <f t="shared" si="2"/>
        <v>1CP</v>
      </c>
      <c r="AR62" s="23" t="str">
        <f t="shared" si="3"/>
        <v>06</v>
      </c>
      <c r="AS62" s="23">
        <v>6</v>
      </c>
      <c r="AT62" s="23"/>
      <c r="AU62" s="23"/>
      <c r="AV62" s="23"/>
      <c r="AW62" s="23"/>
      <c r="AX62" s="23"/>
      <c r="AY62" s="23">
        <v>1142</v>
      </c>
      <c r="AZ62" s="185">
        <v>41165</v>
      </c>
      <c r="BA62" s="192"/>
    </row>
    <row r="63" spans="1:53" ht="11.25" customHeight="1">
      <c r="A63" s="125">
        <v>62</v>
      </c>
      <c r="B63" s="129" t="str">
        <f>VLOOKUP(Z63,'コード表'!$T$2:$X$36,5,0)</f>
        <v>03</v>
      </c>
      <c r="C63" s="83">
        <f>VLOOKUP(N63,'コード表'!$W$47:$X$50,2,0)</f>
        <v>2</v>
      </c>
      <c r="D63" s="83">
        <f>VLOOKUP(M63,'コード表'!$W$53:$X$56,2,0)</f>
        <v>1</v>
      </c>
      <c r="E63" s="129" t="str">
        <f>VLOOKUP(AA63,'コード表'!Y:AA,3,0)</f>
        <v>031</v>
      </c>
      <c r="F63" s="83">
        <f>VLOOKUP(K63,'コード表'!$W$38:$X$44,2,0)</f>
        <v>1</v>
      </c>
      <c r="G63" s="83">
        <f>VLOOKUP(S63,'コード表'!A:D,4,0)</f>
        <v>360</v>
      </c>
      <c r="H63" s="83">
        <f>VLOOKUP(U63,'コード表'!A:D,4,0)</f>
        <v>360</v>
      </c>
      <c r="I63" s="25">
        <v>62</v>
      </c>
      <c r="J63" s="83" t="s">
        <v>1943</v>
      </c>
      <c r="K63" s="23" t="s">
        <v>541</v>
      </c>
      <c r="L63" s="25" t="s">
        <v>966</v>
      </c>
      <c r="M63" s="23" t="s">
        <v>543</v>
      </c>
      <c r="N63" s="23">
        <v>5</v>
      </c>
      <c r="O63" s="23">
        <v>675</v>
      </c>
      <c r="P63" s="23">
        <v>440</v>
      </c>
      <c r="Q63" s="23">
        <v>440</v>
      </c>
      <c r="R63" s="23">
        <v>130</v>
      </c>
      <c r="S63" s="25" t="s">
        <v>683</v>
      </c>
      <c r="T63" s="25" t="s">
        <v>1003</v>
      </c>
      <c r="U63" s="25" t="s">
        <v>683</v>
      </c>
      <c r="V63" s="25" t="s">
        <v>366</v>
      </c>
      <c r="W63" s="25" t="s">
        <v>967</v>
      </c>
      <c r="X63" s="25" t="s">
        <v>254</v>
      </c>
      <c r="Y63" s="25" t="s">
        <v>414</v>
      </c>
      <c r="Z63" s="25" t="s">
        <v>1426</v>
      </c>
      <c r="AA63" s="25" t="s">
        <v>86</v>
      </c>
      <c r="AB63" s="25"/>
      <c r="AC63" s="25" t="s">
        <v>571</v>
      </c>
      <c r="AD63" s="25" t="s">
        <v>416</v>
      </c>
      <c r="AE63" s="25" t="s">
        <v>966</v>
      </c>
      <c r="AF63" s="25" t="s">
        <v>571</v>
      </c>
      <c r="AG63" s="25" t="s">
        <v>417</v>
      </c>
      <c r="AH63" s="25"/>
      <c r="AI63" s="25"/>
      <c r="AJ63" s="36"/>
      <c r="AK63" s="25"/>
      <c r="AL63" s="26"/>
      <c r="AM63" s="23"/>
      <c r="AN63" s="25"/>
      <c r="AO63" s="146" t="s">
        <v>1067</v>
      </c>
      <c r="AP63" s="23">
        <v>1000</v>
      </c>
      <c r="AQ63" s="23" t="str">
        <f t="shared" si="2"/>
        <v>1PR</v>
      </c>
      <c r="AR63" s="23" t="str">
        <f t="shared" si="3"/>
        <v>25</v>
      </c>
      <c r="AS63" s="23">
        <v>5</v>
      </c>
      <c r="AT63" s="23"/>
      <c r="AU63" s="23"/>
      <c r="AV63" s="23"/>
      <c r="AW63" s="23"/>
      <c r="AX63" s="23"/>
      <c r="AY63" s="23">
        <v>1143</v>
      </c>
      <c r="AZ63" s="185">
        <v>41165</v>
      </c>
      <c r="BA63" s="192"/>
    </row>
    <row r="64" spans="1:53" s="28" customFormat="1" ht="11.25" customHeight="1">
      <c r="A64" s="125">
        <v>63</v>
      </c>
      <c r="B64" s="129" t="str">
        <f>VLOOKUP(Z64,'コード表'!$T$2:$X$36,5,0)</f>
        <v>03</v>
      </c>
      <c r="C64" s="83">
        <f>VLOOKUP(N64,'コード表'!$W$47:$X$50,2,0)</f>
        <v>2</v>
      </c>
      <c r="D64" s="83">
        <f>VLOOKUP(M64,'コード表'!$W$53:$X$56,2,0)</f>
        <v>1</v>
      </c>
      <c r="E64" s="129" t="str">
        <f>VLOOKUP(AA64,'コード表'!Y:AA,3,0)</f>
        <v>031</v>
      </c>
      <c r="F64" s="83">
        <f>VLOOKUP(K64,'コード表'!$W$38:$X$44,2,0)</f>
        <v>1</v>
      </c>
      <c r="G64" s="83">
        <f>VLOOKUP(S64,'コード表'!A:D,4,0)</f>
        <v>122</v>
      </c>
      <c r="H64" s="83">
        <f>VLOOKUP(U64,'コード表'!A:D,4,0)</f>
        <v>122</v>
      </c>
      <c r="I64" s="25">
        <v>63</v>
      </c>
      <c r="J64" s="83" t="s">
        <v>1944</v>
      </c>
      <c r="K64" s="23" t="s">
        <v>667</v>
      </c>
      <c r="L64" s="25" t="s">
        <v>395</v>
      </c>
      <c r="M64" s="23" t="s">
        <v>543</v>
      </c>
      <c r="N64" s="23">
        <v>5</v>
      </c>
      <c r="O64" s="23">
        <v>675</v>
      </c>
      <c r="P64" s="23">
        <v>580</v>
      </c>
      <c r="Q64" s="23">
        <v>485</v>
      </c>
      <c r="R64" s="23">
        <v>105</v>
      </c>
      <c r="S64" s="25" t="s">
        <v>2038</v>
      </c>
      <c r="T64" s="25" t="s">
        <v>1544</v>
      </c>
      <c r="U64" s="25" t="s">
        <v>2038</v>
      </c>
      <c r="V64" s="25" t="s">
        <v>1909</v>
      </c>
      <c r="W64" s="25" t="s">
        <v>440</v>
      </c>
      <c r="X64" s="25" t="s">
        <v>498</v>
      </c>
      <c r="Y64" s="25" t="s">
        <v>414</v>
      </c>
      <c r="Z64" s="25" t="s">
        <v>843</v>
      </c>
      <c r="AA64" s="25" t="s">
        <v>86</v>
      </c>
      <c r="AB64" s="25"/>
      <c r="AC64" s="25" t="s">
        <v>499</v>
      </c>
      <c r="AD64" s="25" t="s">
        <v>416</v>
      </c>
      <c r="AE64" s="25" t="s">
        <v>500</v>
      </c>
      <c r="AF64" s="25" t="s">
        <v>501</v>
      </c>
      <c r="AG64" s="25" t="s">
        <v>417</v>
      </c>
      <c r="AH64" s="25"/>
      <c r="AI64" s="25"/>
      <c r="AJ64" s="36"/>
      <c r="AK64" s="25"/>
      <c r="AL64" s="23"/>
      <c r="AM64" s="23"/>
      <c r="AN64" s="25"/>
      <c r="AO64" s="146" t="s">
        <v>657</v>
      </c>
      <c r="AP64" s="23">
        <v>2000</v>
      </c>
      <c r="AQ64" s="23" t="str">
        <f t="shared" si="2"/>
        <v>2PR</v>
      </c>
      <c r="AR64" s="23" t="str">
        <f t="shared" si="3"/>
        <v>24</v>
      </c>
      <c r="AS64" s="23">
        <v>4</v>
      </c>
      <c r="AT64" s="23"/>
      <c r="AU64" s="23"/>
      <c r="AV64" s="23"/>
      <c r="AW64" s="23"/>
      <c r="AX64" s="23"/>
      <c r="AY64" s="23">
        <v>1144</v>
      </c>
      <c r="AZ64" s="185">
        <v>41165</v>
      </c>
      <c r="BA64" s="192"/>
    </row>
    <row r="65" spans="1:53" ht="11.25" customHeight="1">
      <c r="A65" s="125">
        <v>64</v>
      </c>
      <c r="B65" s="129" t="str">
        <f>VLOOKUP(Z65,'コード表'!$T$2:$X$36,5,0)</f>
        <v>03</v>
      </c>
      <c r="C65" s="83">
        <f>VLOOKUP(N65,'コード表'!$W$47:$X$50,2,0)</f>
        <v>1</v>
      </c>
      <c r="D65" s="83">
        <f>VLOOKUP(M65,'コード表'!$W$53:$X$56,2,0)</f>
        <v>3</v>
      </c>
      <c r="E65" s="129" t="str">
        <f>VLOOKUP(AA65,'コード表'!Y:AA,3,0)</f>
        <v>031</v>
      </c>
      <c r="F65" s="83">
        <f>VLOOKUP(K65,'コード表'!$W$38:$X$44,2,0)</f>
        <v>1</v>
      </c>
      <c r="G65" s="83">
        <f>VLOOKUP(S65,'コード表'!A:D,4,0)</f>
        <v>300</v>
      </c>
      <c r="H65" s="83">
        <f>VLOOKUP(U65,'コード表'!A:D,4,0)</f>
        <v>300</v>
      </c>
      <c r="I65" s="25">
        <v>64</v>
      </c>
      <c r="J65" s="83" t="s">
        <v>1945</v>
      </c>
      <c r="K65" s="23" t="s">
        <v>667</v>
      </c>
      <c r="L65" s="25" t="s">
        <v>1173</v>
      </c>
      <c r="M65" s="23" t="s">
        <v>542</v>
      </c>
      <c r="N65" s="23">
        <v>6</v>
      </c>
      <c r="O65" s="23">
        <v>795</v>
      </c>
      <c r="P65" s="23">
        <v>660</v>
      </c>
      <c r="Q65" s="23">
        <v>660</v>
      </c>
      <c r="R65" s="23">
        <v>100</v>
      </c>
      <c r="S65" s="25" t="s">
        <v>678</v>
      </c>
      <c r="T65" s="25" t="s">
        <v>87</v>
      </c>
      <c r="U65" s="25" t="s">
        <v>678</v>
      </c>
      <c r="V65" s="25" t="s">
        <v>88</v>
      </c>
      <c r="W65" s="25" t="s">
        <v>583</v>
      </c>
      <c r="X65" s="25" t="s">
        <v>584</v>
      </c>
      <c r="Y65" s="25" t="s">
        <v>414</v>
      </c>
      <c r="Z65" s="25" t="s">
        <v>1426</v>
      </c>
      <c r="AA65" s="25" t="s">
        <v>86</v>
      </c>
      <c r="AB65" s="25"/>
      <c r="AC65" s="25" t="s">
        <v>1018</v>
      </c>
      <c r="AD65" s="25" t="s">
        <v>416</v>
      </c>
      <c r="AE65" s="25" t="s">
        <v>1502</v>
      </c>
      <c r="AF65" s="25" t="s">
        <v>569</v>
      </c>
      <c r="AG65" s="25" t="s">
        <v>417</v>
      </c>
      <c r="AH65" s="25"/>
      <c r="AI65" s="25"/>
      <c r="AJ65" s="36"/>
      <c r="AK65" s="25"/>
      <c r="AL65" s="26"/>
      <c r="AM65" s="23"/>
      <c r="AN65" s="25"/>
      <c r="AO65" s="146" t="s">
        <v>658</v>
      </c>
      <c r="AP65" s="23">
        <v>1000</v>
      </c>
      <c r="AQ65" s="23" t="str">
        <f t="shared" si="2"/>
        <v>1PR</v>
      </c>
      <c r="AR65" s="23" t="str">
        <f t="shared" si="3"/>
        <v>15</v>
      </c>
      <c r="AS65" s="23">
        <v>5</v>
      </c>
      <c r="AT65" s="23"/>
      <c r="AU65" s="23"/>
      <c r="AV65" s="23"/>
      <c r="AW65" s="23"/>
      <c r="AX65" s="23"/>
      <c r="AY65" s="23">
        <v>1145</v>
      </c>
      <c r="AZ65" s="185">
        <v>41165</v>
      </c>
      <c r="BA65" s="192"/>
    </row>
    <row r="66" spans="1:53" ht="11.25" customHeight="1">
      <c r="A66" s="125">
        <v>65</v>
      </c>
      <c r="B66" s="129" t="str">
        <f>VLOOKUP(Z66,'コード表'!$T$2:$X$36,5,0)</f>
        <v>03</v>
      </c>
      <c r="C66" s="83">
        <f>VLOOKUP(N66,'コード表'!$W$47:$X$50,2,0)</f>
        <v>1</v>
      </c>
      <c r="D66" s="83">
        <f>VLOOKUP(M66,'コード表'!$W$53:$X$56,2,0)</f>
        <v>1</v>
      </c>
      <c r="E66" s="129" t="str">
        <f>VLOOKUP(AA66,'コード表'!Y:AA,3,0)</f>
        <v>031</v>
      </c>
      <c r="F66" s="83">
        <f>VLOOKUP(K66,'コード表'!$W$38:$X$44,2,0)</f>
        <v>1</v>
      </c>
      <c r="G66" s="83">
        <f>VLOOKUP(S66,'コード表'!A:D,4,0)</f>
        <v>140</v>
      </c>
      <c r="H66" s="83">
        <f>VLOOKUP(U66,'コード表'!A:D,4,0)</f>
        <v>100</v>
      </c>
      <c r="I66" s="25">
        <v>65</v>
      </c>
      <c r="J66" s="83" t="s">
        <v>1946</v>
      </c>
      <c r="K66" s="23" t="s">
        <v>667</v>
      </c>
      <c r="L66" s="25" t="s">
        <v>692</v>
      </c>
      <c r="M66" s="23" t="s">
        <v>543</v>
      </c>
      <c r="N66" s="23">
        <v>6</v>
      </c>
      <c r="O66" s="23">
        <v>795</v>
      </c>
      <c r="P66" s="23">
        <v>660</v>
      </c>
      <c r="Q66" s="23">
        <v>380</v>
      </c>
      <c r="R66" s="23">
        <v>130</v>
      </c>
      <c r="S66" s="25" t="s">
        <v>680</v>
      </c>
      <c r="T66" s="25" t="s">
        <v>1000</v>
      </c>
      <c r="U66" s="25" t="s">
        <v>677</v>
      </c>
      <c r="V66" s="25" t="s">
        <v>89</v>
      </c>
      <c r="W66" s="25" t="s">
        <v>1832</v>
      </c>
      <c r="X66" s="25" t="s">
        <v>1833</v>
      </c>
      <c r="Y66" s="25" t="s">
        <v>414</v>
      </c>
      <c r="Z66" s="25" t="s">
        <v>1426</v>
      </c>
      <c r="AA66" s="25" t="s">
        <v>86</v>
      </c>
      <c r="AB66" s="25"/>
      <c r="AC66" s="25" t="s">
        <v>566</v>
      </c>
      <c r="AD66" s="25" t="s">
        <v>416</v>
      </c>
      <c r="AE66" s="25" t="s">
        <v>1501</v>
      </c>
      <c r="AF66" s="25" t="s">
        <v>567</v>
      </c>
      <c r="AG66" s="25" t="s">
        <v>417</v>
      </c>
      <c r="AH66" s="25"/>
      <c r="AI66" s="25"/>
      <c r="AJ66" s="36"/>
      <c r="AK66" s="25"/>
      <c r="AL66" s="26"/>
      <c r="AM66" s="23"/>
      <c r="AN66" s="25"/>
      <c r="AO66" s="146" t="s">
        <v>61</v>
      </c>
      <c r="AP66" s="23">
        <v>1000</v>
      </c>
      <c r="AQ66" s="23" t="str">
        <f aca="true" t="shared" si="4" ref="AQ66:AQ97">LEFT(AP66,1)&amp;K66</f>
        <v>1PR</v>
      </c>
      <c r="AR66" s="23" t="str">
        <f aca="true" t="shared" si="5" ref="AR66:AR97">IF(AND($H66&gt;500,$H66&lt;700),"0"&amp;$AS66,$C66&amp;$AS66)</f>
        <v>14</v>
      </c>
      <c r="AS66" s="23">
        <v>4</v>
      </c>
      <c r="AT66" s="23"/>
      <c r="AU66" s="23"/>
      <c r="AV66" s="23" t="s">
        <v>1177</v>
      </c>
      <c r="AW66" s="23"/>
      <c r="AX66" s="23"/>
      <c r="AY66" s="23">
        <v>1146</v>
      </c>
      <c r="AZ66" s="185">
        <v>41165</v>
      </c>
      <c r="BA66" s="192"/>
    </row>
    <row r="67" spans="1:53" ht="11.25" customHeight="1">
      <c r="A67" s="125">
        <v>66</v>
      </c>
      <c r="B67" s="129" t="str">
        <f>VLOOKUP(Z67,'コード表'!$T$2:$X$36,5,0)</f>
        <v>03</v>
      </c>
      <c r="C67" s="83">
        <f>VLOOKUP(N67,'コード表'!$W$47:$X$50,2,0)</f>
        <v>1</v>
      </c>
      <c r="D67" s="83">
        <f>VLOOKUP(M67,'コード表'!$W$53:$X$56,2,0)</f>
        <v>2</v>
      </c>
      <c r="E67" s="129" t="str">
        <f>VLOOKUP(AA67,'コード表'!Y:AA,3,0)</f>
        <v>031</v>
      </c>
      <c r="F67" s="83">
        <f>VLOOKUP(K67,'コード表'!$W$38:$X$44,2,0)</f>
        <v>1</v>
      </c>
      <c r="G67" s="83">
        <f>VLOOKUP(S67,'コード表'!A:D,4,0)</f>
        <v>100</v>
      </c>
      <c r="H67" s="83">
        <f>VLOOKUP(U67,'コード表'!A:D,4,0)</f>
        <v>140</v>
      </c>
      <c r="I67" s="25">
        <v>66</v>
      </c>
      <c r="J67" s="83" t="s">
        <v>1069</v>
      </c>
      <c r="K67" s="23" t="s">
        <v>541</v>
      </c>
      <c r="L67" s="25" t="s">
        <v>692</v>
      </c>
      <c r="M67" s="23" t="s">
        <v>544</v>
      </c>
      <c r="N67" s="23">
        <v>6</v>
      </c>
      <c r="O67" s="23">
        <v>795</v>
      </c>
      <c r="P67" s="23">
        <v>520</v>
      </c>
      <c r="Q67" s="23">
        <v>520</v>
      </c>
      <c r="R67" s="23">
        <v>130</v>
      </c>
      <c r="S67" s="25" t="s">
        <v>677</v>
      </c>
      <c r="T67" s="25" t="s">
        <v>87</v>
      </c>
      <c r="U67" s="25" t="s">
        <v>680</v>
      </c>
      <c r="V67" s="25" t="s">
        <v>865</v>
      </c>
      <c r="W67" s="25" t="s">
        <v>693</v>
      </c>
      <c r="X67" s="25" t="s">
        <v>1425</v>
      </c>
      <c r="Y67" s="25" t="s">
        <v>414</v>
      </c>
      <c r="Z67" s="25" t="s">
        <v>1426</v>
      </c>
      <c r="AA67" s="25" t="s">
        <v>86</v>
      </c>
      <c r="AB67" s="25"/>
      <c r="AC67" s="25" t="s">
        <v>566</v>
      </c>
      <c r="AD67" s="25" t="s">
        <v>416</v>
      </c>
      <c r="AE67" s="25" t="s">
        <v>1501</v>
      </c>
      <c r="AF67" s="25" t="s">
        <v>567</v>
      </c>
      <c r="AG67" s="25" t="s">
        <v>417</v>
      </c>
      <c r="AH67" s="25"/>
      <c r="AI67" s="25"/>
      <c r="AJ67" s="36"/>
      <c r="AK67" s="25"/>
      <c r="AL67" s="26"/>
      <c r="AM67" s="23"/>
      <c r="AN67" s="25"/>
      <c r="AO67" s="146" t="s">
        <v>1068</v>
      </c>
      <c r="AP67" s="23">
        <v>1000</v>
      </c>
      <c r="AQ67" s="23" t="str">
        <f t="shared" si="4"/>
        <v>1PR</v>
      </c>
      <c r="AR67" s="23" t="str">
        <f t="shared" si="5"/>
        <v>14</v>
      </c>
      <c r="AS67" s="23">
        <v>4</v>
      </c>
      <c r="AT67" s="23"/>
      <c r="AU67" s="23"/>
      <c r="AV67" s="23"/>
      <c r="AW67" s="23"/>
      <c r="AX67" s="23"/>
      <c r="AY67" s="23">
        <v>1170</v>
      </c>
      <c r="AZ67" s="185">
        <v>41172</v>
      </c>
      <c r="BA67" s="192" t="s">
        <v>2284</v>
      </c>
    </row>
    <row r="68" spans="1:53" ht="11.25" customHeight="1">
      <c r="A68" s="125">
        <v>67</v>
      </c>
      <c r="B68" s="129" t="str">
        <f>VLOOKUP(Z68,'コード表'!$T$2:$X$36,5,0)</f>
        <v>01</v>
      </c>
      <c r="C68" s="83">
        <f>VLOOKUP(N68,'コード表'!$W$47:$X$50,2,0)</f>
        <v>2</v>
      </c>
      <c r="D68" s="83">
        <f>VLOOKUP(M68,'コード表'!$W$53:$X$56,2,0)</f>
        <v>3</v>
      </c>
      <c r="E68" s="129" t="str">
        <f>VLOOKUP(AA68,'コード表'!Y:AA,3,0)</f>
        <v>011</v>
      </c>
      <c r="F68" s="83">
        <f>VLOOKUP(K68,'コード表'!$W$38:$X$44,2,0)</f>
        <v>1</v>
      </c>
      <c r="G68" s="83">
        <f>VLOOKUP(S68,'コード表'!A:D,4,0)</f>
        <v>400</v>
      </c>
      <c r="H68" s="83">
        <f>VLOOKUP(U68,'コード表'!A:D,4,0)</f>
        <v>563</v>
      </c>
      <c r="I68" s="25">
        <v>67</v>
      </c>
      <c r="J68" s="83" t="s">
        <v>1481</v>
      </c>
      <c r="K68" s="23" t="s">
        <v>541</v>
      </c>
      <c r="L68" s="25" t="s">
        <v>585</v>
      </c>
      <c r="M68" s="23" t="s">
        <v>542</v>
      </c>
      <c r="N68" s="23">
        <v>5</v>
      </c>
      <c r="O68" s="23">
        <v>675</v>
      </c>
      <c r="P68" s="23">
        <v>560</v>
      </c>
      <c r="Q68" s="23">
        <v>560</v>
      </c>
      <c r="R68" s="23">
        <v>100</v>
      </c>
      <c r="S68" s="25" t="s">
        <v>619</v>
      </c>
      <c r="T68" s="25" t="s">
        <v>2124</v>
      </c>
      <c r="U68" s="25" t="s">
        <v>304</v>
      </c>
      <c r="V68" s="25" t="s">
        <v>514</v>
      </c>
      <c r="W68" s="25" t="s">
        <v>2046</v>
      </c>
      <c r="X68" s="25" t="s">
        <v>2047</v>
      </c>
      <c r="Y68" s="25" t="s">
        <v>414</v>
      </c>
      <c r="Z68" s="25" t="s">
        <v>1416</v>
      </c>
      <c r="AA68" s="25" t="s">
        <v>75</v>
      </c>
      <c r="AB68" s="25"/>
      <c r="AC68" s="25" t="s">
        <v>2048</v>
      </c>
      <c r="AD68" s="25" t="s">
        <v>416</v>
      </c>
      <c r="AE68" s="25" t="s">
        <v>1495</v>
      </c>
      <c r="AF68" s="25" t="s">
        <v>556</v>
      </c>
      <c r="AG68" s="25" t="s">
        <v>417</v>
      </c>
      <c r="AH68" s="25"/>
      <c r="AI68" s="25"/>
      <c r="AJ68" s="36"/>
      <c r="AK68" s="25"/>
      <c r="AL68" s="26"/>
      <c r="AM68" s="23"/>
      <c r="AN68" s="25"/>
      <c r="AO68" s="146" t="s">
        <v>2037</v>
      </c>
      <c r="AP68" s="23">
        <v>1000</v>
      </c>
      <c r="AQ68" s="23" t="str">
        <f t="shared" si="4"/>
        <v>1PR</v>
      </c>
      <c r="AR68" s="23" t="str">
        <f t="shared" si="5"/>
        <v>04</v>
      </c>
      <c r="AS68" s="23">
        <v>4</v>
      </c>
      <c r="AT68" s="23"/>
      <c r="AU68" s="23"/>
      <c r="AV68" s="23"/>
      <c r="AW68" s="23"/>
      <c r="AX68" s="23"/>
      <c r="AY68" s="23">
        <v>1162</v>
      </c>
      <c r="AZ68" s="185">
        <v>41170</v>
      </c>
      <c r="BA68" s="192" t="s">
        <v>2284</v>
      </c>
    </row>
    <row r="69" spans="1:53" ht="11.25" customHeight="1">
      <c r="A69" s="125">
        <v>68</v>
      </c>
      <c r="B69" s="129" t="str">
        <f>VLOOKUP(Z69,'コード表'!$T$2:$X$36,5,0)</f>
        <v>01</v>
      </c>
      <c r="C69" s="83">
        <f>VLOOKUP(N69,'コード表'!$W$47:$X$50,2,0)</f>
        <v>2</v>
      </c>
      <c r="D69" s="83">
        <f>VLOOKUP(M69,'コード表'!$W$53:$X$56,2,0)</f>
        <v>3</v>
      </c>
      <c r="E69" s="129" t="str">
        <f>VLOOKUP(AA69,'コード表'!Y:AA,3,0)</f>
        <v>014</v>
      </c>
      <c r="F69" s="83">
        <f>VLOOKUP(K69,'コード表'!$W$38:$X$44,2,0)</f>
        <v>2</v>
      </c>
      <c r="G69" s="83">
        <f>VLOOKUP(S69,'コード表'!A:D,4,0)</f>
        <v>300</v>
      </c>
      <c r="H69" s="83">
        <f>VLOOKUP(U69,'コード表'!A:D,4,0)</f>
        <v>310</v>
      </c>
      <c r="I69" s="25">
        <v>68</v>
      </c>
      <c r="J69" s="83" t="s">
        <v>1482</v>
      </c>
      <c r="K69" s="23" t="s">
        <v>847</v>
      </c>
      <c r="L69" s="25" t="s">
        <v>1549</v>
      </c>
      <c r="M69" s="23" t="s">
        <v>542</v>
      </c>
      <c r="N69" s="23">
        <v>5</v>
      </c>
      <c r="O69" s="23">
        <v>675</v>
      </c>
      <c r="P69" s="23">
        <v>610</v>
      </c>
      <c r="Q69" s="23">
        <v>510</v>
      </c>
      <c r="R69" s="23">
        <v>100</v>
      </c>
      <c r="S69" s="25" t="s">
        <v>678</v>
      </c>
      <c r="T69" s="25" t="s">
        <v>616</v>
      </c>
      <c r="U69" s="25" t="s">
        <v>1180</v>
      </c>
      <c r="V69" s="25" t="s">
        <v>714</v>
      </c>
      <c r="W69" s="25" t="s">
        <v>1550</v>
      </c>
      <c r="X69" s="25" t="s">
        <v>1418</v>
      </c>
      <c r="Y69" s="25" t="s">
        <v>414</v>
      </c>
      <c r="Z69" s="25" t="s">
        <v>1416</v>
      </c>
      <c r="AA69" s="25" t="s">
        <v>1403</v>
      </c>
      <c r="AB69" s="25"/>
      <c r="AC69" s="25" t="s">
        <v>553</v>
      </c>
      <c r="AD69" s="25" t="s">
        <v>416</v>
      </c>
      <c r="AE69" s="25" t="s">
        <v>1496</v>
      </c>
      <c r="AF69" s="25" t="s">
        <v>557</v>
      </c>
      <c r="AG69" s="25" t="s">
        <v>417</v>
      </c>
      <c r="AH69" s="25"/>
      <c r="AI69" s="25"/>
      <c r="AJ69" s="36"/>
      <c r="AK69" s="25"/>
      <c r="AL69" s="26"/>
      <c r="AM69" s="23"/>
      <c r="AN69" s="25"/>
      <c r="AO69" s="146" t="s">
        <v>315</v>
      </c>
      <c r="AP69" s="23">
        <v>1000</v>
      </c>
      <c r="AQ69" s="23" t="str">
        <f t="shared" si="4"/>
        <v>1CP</v>
      </c>
      <c r="AR69" s="23" t="str">
        <f t="shared" si="5"/>
        <v>25</v>
      </c>
      <c r="AS69" s="23">
        <v>5</v>
      </c>
      <c r="AT69" s="23"/>
      <c r="AU69" s="23">
        <v>3</v>
      </c>
      <c r="AV69" s="23"/>
      <c r="AW69" s="23"/>
      <c r="AX69" s="23"/>
      <c r="AY69" s="23">
        <v>1293</v>
      </c>
      <c r="AZ69" s="185">
        <v>41184</v>
      </c>
      <c r="BA69" s="192"/>
    </row>
    <row r="70" spans="1:53" ht="11.25" customHeight="1">
      <c r="A70" s="125">
        <v>69</v>
      </c>
      <c r="B70" s="129" t="str">
        <f>VLOOKUP(Z70,'コード表'!$T$2:$X$36,5,0)</f>
        <v>01</v>
      </c>
      <c r="C70" s="83">
        <f>VLOOKUP(N70,'コード表'!$W$47:$X$50,2,0)</f>
        <v>2</v>
      </c>
      <c r="D70" s="83">
        <f>VLOOKUP(M70,'コード表'!$W$53:$X$56,2,0)</f>
        <v>1</v>
      </c>
      <c r="E70" s="129" t="str">
        <f>VLOOKUP(AA70,'コード表'!Y:AA,3,0)</f>
        <v>014</v>
      </c>
      <c r="F70" s="83">
        <f>VLOOKUP(K70,'コード表'!$W$38:$X$44,2,0)</f>
        <v>2</v>
      </c>
      <c r="G70" s="83">
        <f>VLOOKUP(S70,'コード表'!A:D,4,0)</f>
        <v>120</v>
      </c>
      <c r="H70" s="83">
        <f>VLOOKUP(U70,'コード表'!A:D,4,0)</f>
        <v>120</v>
      </c>
      <c r="I70" s="25">
        <v>69</v>
      </c>
      <c r="J70" s="83" t="s">
        <v>1483</v>
      </c>
      <c r="K70" s="23" t="s">
        <v>847</v>
      </c>
      <c r="L70" s="25" t="s">
        <v>700</v>
      </c>
      <c r="M70" s="23" t="s">
        <v>543</v>
      </c>
      <c r="N70" s="23">
        <v>5</v>
      </c>
      <c r="O70" s="23">
        <v>675</v>
      </c>
      <c r="P70" s="23">
        <v>510</v>
      </c>
      <c r="Q70" s="23">
        <v>610</v>
      </c>
      <c r="R70" s="23">
        <v>100</v>
      </c>
      <c r="S70" s="25" t="s">
        <v>675</v>
      </c>
      <c r="T70" s="25" t="s">
        <v>308</v>
      </c>
      <c r="U70" s="25" t="s">
        <v>675</v>
      </c>
      <c r="V70" s="25" t="s">
        <v>1404</v>
      </c>
      <c r="W70" s="25" t="s">
        <v>701</v>
      </c>
      <c r="X70" s="25" t="s">
        <v>1419</v>
      </c>
      <c r="Y70" s="25" t="s">
        <v>414</v>
      </c>
      <c r="Z70" s="25" t="s">
        <v>1416</v>
      </c>
      <c r="AA70" s="25" t="s">
        <v>1403</v>
      </c>
      <c r="AB70" s="25"/>
      <c r="AC70" s="25" t="s">
        <v>554</v>
      </c>
      <c r="AD70" s="25" t="s">
        <v>416</v>
      </c>
      <c r="AE70" s="25" t="s">
        <v>1497</v>
      </c>
      <c r="AF70" s="25" t="s">
        <v>558</v>
      </c>
      <c r="AG70" s="25" t="s">
        <v>417</v>
      </c>
      <c r="AH70" s="25"/>
      <c r="AI70" s="25"/>
      <c r="AJ70" s="36"/>
      <c r="AK70" s="25"/>
      <c r="AL70" s="26"/>
      <c r="AM70" s="23"/>
      <c r="AN70" s="25"/>
      <c r="AO70" s="146" t="s">
        <v>1435</v>
      </c>
      <c r="AP70" s="23">
        <v>1000</v>
      </c>
      <c r="AQ70" s="23" t="str">
        <f t="shared" si="4"/>
        <v>1CP</v>
      </c>
      <c r="AR70" s="23" t="str">
        <f t="shared" si="5"/>
        <v>26</v>
      </c>
      <c r="AS70" s="23">
        <v>6</v>
      </c>
      <c r="AT70" s="23"/>
      <c r="AU70" s="23"/>
      <c r="AV70" s="23"/>
      <c r="AW70" s="23"/>
      <c r="AX70" s="23"/>
      <c r="AY70" s="23">
        <v>1294</v>
      </c>
      <c r="AZ70" s="185">
        <v>41184</v>
      </c>
      <c r="BA70" s="192"/>
    </row>
    <row r="71" spans="1:53" ht="11.25" customHeight="1">
      <c r="A71" s="125">
        <v>70</v>
      </c>
      <c r="B71" s="129" t="str">
        <f>VLOOKUP(Z71,'コード表'!$T$2:$X$36,5,0)</f>
        <v>01</v>
      </c>
      <c r="C71" s="83">
        <f>VLOOKUP(N71,'コード表'!$W$47:$X$50,2,0)</f>
        <v>4</v>
      </c>
      <c r="D71" s="83">
        <f>VLOOKUP(M71,'コード表'!$W$53:$X$56,2,0)</f>
        <v>3</v>
      </c>
      <c r="E71" s="129" t="str">
        <f>VLOOKUP(AA71,'コード表'!Y:AA,3,0)</f>
        <v>014</v>
      </c>
      <c r="F71" s="83">
        <f>VLOOKUP(K71,'コード表'!$W$38:$X$44,2,0)</f>
        <v>2</v>
      </c>
      <c r="G71" s="83">
        <f>VLOOKUP(S71,'コード表'!A:D,4,0)</f>
        <v>701</v>
      </c>
      <c r="H71" s="83">
        <f>VLOOKUP(U71,'コード表'!A:D,4,0)</f>
        <v>700</v>
      </c>
      <c r="I71" s="25">
        <v>70</v>
      </c>
      <c r="J71" s="83" t="s">
        <v>1484</v>
      </c>
      <c r="K71" s="23" t="s">
        <v>847</v>
      </c>
      <c r="L71" s="25" t="s">
        <v>1283</v>
      </c>
      <c r="M71" s="23" t="s">
        <v>542</v>
      </c>
      <c r="N71" s="23">
        <v>3</v>
      </c>
      <c r="O71" s="23">
        <v>410</v>
      </c>
      <c r="P71" s="23">
        <v>300</v>
      </c>
      <c r="Q71" s="23">
        <v>300</v>
      </c>
      <c r="R71" s="23">
        <v>115</v>
      </c>
      <c r="S71" s="25" t="s">
        <v>1830</v>
      </c>
      <c r="T71" s="25" t="s">
        <v>1024</v>
      </c>
      <c r="U71" s="25" t="s">
        <v>1230</v>
      </c>
      <c r="V71" s="25" t="s">
        <v>503</v>
      </c>
      <c r="W71" s="25" t="s">
        <v>1284</v>
      </c>
      <c r="X71" s="25" t="s">
        <v>1420</v>
      </c>
      <c r="Y71" s="25" t="s">
        <v>414</v>
      </c>
      <c r="Z71" s="25" t="s">
        <v>1416</v>
      </c>
      <c r="AA71" s="25" t="s">
        <v>1403</v>
      </c>
      <c r="AB71" s="25"/>
      <c r="AC71" s="25" t="s">
        <v>559</v>
      </c>
      <c r="AD71" s="25" t="s">
        <v>416</v>
      </c>
      <c r="AE71" s="25" t="s">
        <v>1283</v>
      </c>
      <c r="AF71" s="25" t="s">
        <v>559</v>
      </c>
      <c r="AG71" s="25" t="s">
        <v>417</v>
      </c>
      <c r="AH71" s="25"/>
      <c r="AI71" s="25"/>
      <c r="AJ71" s="36"/>
      <c r="AK71" s="25"/>
      <c r="AL71" s="26"/>
      <c r="AM71" s="23"/>
      <c r="AN71" s="25"/>
      <c r="AO71" s="146" t="s">
        <v>747</v>
      </c>
      <c r="AP71" s="23">
        <v>1000</v>
      </c>
      <c r="AQ71" s="23" t="str">
        <f t="shared" si="4"/>
        <v>1CP</v>
      </c>
      <c r="AR71" s="23" t="str">
        <f t="shared" si="5"/>
        <v>46</v>
      </c>
      <c r="AS71" s="23">
        <v>6</v>
      </c>
      <c r="AT71" s="23"/>
      <c r="AU71" s="23"/>
      <c r="AV71" s="23"/>
      <c r="AW71" s="23"/>
      <c r="AX71" s="23"/>
      <c r="AY71" s="23">
        <v>1295</v>
      </c>
      <c r="AZ71" s="185">
        <v>41184</v>
      </c>
      <c r="BA71" s="192"/>
    </row>
    <row r="72" spans="1:53" ht="11.25" customHeight="1">
      <c r="A72" s="125">
        <v>71</v>
      </c>
      <c r="B72" s="129" t="str">
        <f>VLOOKUP(Z72,'コード表'!$T$2:$X$36,5,0)</f>
        <v>01</v>
      </c>
      <c r="C72" s="83">
        <f>VLOOKUP(N72,'コード表'!$W$47:$X$50,2,0)</f>
        <v>2</v>
      </c>
      <c r="D72" s="83">
        <f>VLOOKUP(M72,'コード表'!$W$53:$X$56,2,0)</f>
        <v>2</v>
      </c>
      <c r="E72" s="129" t="str">
        <f>VLOOKUP(AA72,'コード表'!Y:AA,3,0)</f>
        <v>014</v>
      </c>
      <c r="F72" s="83">
        <f>VLOOKUP(K72,'コード表'!$W$38:$X$44,2,0)</f>
        <v>2</v>
      </c>
      <c r="G72" s="83">
        <f>VLOOKUP(S72,'コード表'!A:D,4,0)</f>
        <v>160</v>
      </c>
      <c r="H72" s="83">
        <f>VLOOKUP(U72,'コード表'!A:D,4,0)</f>
        <v>160</v>
      </c>
      <c r="I72" s="25">
        <v>71</v>
      </c>
      <c r="J72" s="83" t="s">
        <v>1485</v>
      </c>
      <c r="K72" s="23" t="s">
        <v>847</v>
      </c>
      <c r="L72" s="25" t="s">
        <v>697</v>
      </c>
      <c r="M72" s="23" t="s">
        <v>544</v>
      </c>
      <c r="N72" s="23">
        <v>5</v>
      </c>
      <c r="O72" s="23">
        <v>675</v>
      </c>
      <c r="P72" s="23">
        <v>475</v>
      </c>
      <c r="Q72" s="23">
        <v>475</v>
      </c>
      <c r="R72" s="23">
        <v>120</v>
      </c>
      <c r="S72" s="25" t="s">
        <v>679</v>
      </c>
      <c r="T72" s="25" t="s">
        <v>1003</v>
      </c>
      <c r="U72" s="25" t="s">
        <v>679</v>
      </c>
      <c r="V72" s="25" t="s">
        <v>366</v>
      </c>
      <c r="W72" s="25" t="s">
        <v>996</v>
      </c>
      <c r="X72" s="25" t="s">
        <v>997</v>
      </c>
      <c r="Y72" s="25" t="s">
        <v>414</v>
      </c>
      <c r="Z72" s="25" t="s">
        <v>1416</v>
      </c>
      <c r="AA72" s="25" t="s">
        <v>1403</v>
      </c>
      <c r="AB72" s="25"/>
      <c r="AC72" s="25" t="s">
        <v>385</v>
      </c>
      <c r="AD72" s="25" t="s">
        <v>416</v>
      </c>
      <c r="AE72" s="25" t="s">
        <v>178</v>
      </c>
      <c r="AF72" s="25" t="s">
        <v>386</v>
      </c>
      <c r="AG72" s="25" t="s">
        <v>417</v>
      </c>
      <c r="AH72" s="25"/>
      <c r="AI72" s="25"/>
      <c r="AJ72" s="36"/>
      <c r="AK72" s="25"/>
      <c r="AL72" s="26"/>
      <c r="AM72" s="23"/>
      <c r="AN72" s="25"/>
      <c r="AO72" s="146" t="s">
        <v>748</v>
      </c>
      <c r="AP72" s="23">
        <v>1000</v>
      </c>
      <c r="AQ72" s="23" t="str">
        <f t="shared" si="4"/>
        <v>1CP</v>
      </c>
      <c r="AR72" s="23" t="str">
        <f t="shared" si="5"/>
        <v>25</v>
      </c>
      <c r="AS72" s="23">
        <v>5</v>
      </c>
      <c r="AT72" s="23"/>
      <c r="AU72" s="23"/>
      <c r="AV72" s="23"/>
      <c r="AW72" s="23"/>
      <c r="AX72" s="23"/>
      <c r="AY72" s="23">
        <v>1296</v>
      </c>
      <c r="AZ72" s="185">
        <v>41184</v>
      </c>
      <c r="BA72" s="192"/>
    </row>
    <row r="73" spans="1:53" ht="11.25" customHeight="1">
      <c r="A73" s="125">
        <v>72</v>
      </c>
      <c r="B73" s="129" t="str">
        <f>VLOOKUP(Z73,'コード表'!$T$2:$X$36,5,0)</f>
        <v>01</v>
      </c>
      <c r="C73" s="83">
        <f>VLOOKUP(N73,'コード表'!$W$47:$X$50,2,0)</f>
        <v>2</v>
      </c>
      <c r="D73" s="83">
        <f>VLOOKUP(M73,'コード表'!$W$53:$X$56,2,0)</f>
        <v>1</v>
      </c>
      <c r="E73" s="129" t="str">
        <f>VLOOKUP(AA73,'コード表'!Y:AA,3,0)</f>
        <v>014</v>
      </c>
      <c r="F73" s="83">
        <f>VLOOKUP(K73,'コード表'!$W$38:$X$44,2,0)</f>
        <v>2</v>
      </c>
      <c r="G73" s="83">
        <f>VLOOKUP(S73,'コード表'!A:D,4,0)</f>
        <v>300</v>
      </c>
      <c r="H73" s="83">
        <f>VLOOKUP(U73,'コード表'!A:D,4,0)</f>
        <v>640</v>
      </c>
      <c r="I73" s="25">
        <v>72</v>
      </c>
      <c r="J73" s="83" t="s">
        <v>1486</v>
      </c>
      <c r="K73" s="23" t="s">
        <v>847</v>
      </c>
      <c r="L73" s="25" t="s">
        <v>1815</v>
      </c>
      <c r="M73" s="23" t="s">
        <v>543</v>
      </c>
      <c r="N73" s="23">
        <v>5</v>
      </c>
      <c r="O73" s="23">
        <v>675</v>
      </c>
      <c r="P73" s="23">
        <v>605</v>
      </c>
      <c r="Q73" s="23">
        <v>420</v>
      </c>
      <c r="R73" s="23">
        <v>110</v>
      </c>
      <c r="S73" s="25" t="s">
        <v>678</v>
      </c>
      <c r="T73" s="25" t="s">
        <v>616</v>
      </c>
      <c r="U73" s="25" t="s">
        <v>686</v>
      </c>
      <c r="V73" s="25" t="s">
        <v>504</v>
      </c>
      <c r="W73" s="25" t="s">
        <v>1816</v>
      </c>
      <c r="X73" s="25" t="s">
        <v>1817</v>
      </c>
      <c r="Y73" s="25" t="s">
        <v>414</v>
      </c>
      <c r="Z73" s="25" t="s">
        <v>1416</v>
      </c>
      <c r="AA73" s="25" t="s">
        <v>1403</v>
      </c>
      <c r="AB73" s="25"/>
      <c r="AC73" s="25" t="s">
        <v>1818</v>
      </c>
      <c r="AD73" s="25" t="s">
        <v>416</v>
      </c>
      <c r="AE73" s="25" t="s">
        <v>1819</v>
      </c>
      <c r="AF73" s="25" t="s">
        <v>1820</v>
      </c>
      <c r="AG73" s="25" t="s">
        <v>417</v>
      </c>
      <c r="AH73" s="25"/>
      <c r="AI73" s="25"/>
      <c r="AJ73" s="36"/>
      <c r="AK73" s="25"/>
      <c r="AL73" s="26"/>
      <c r="AM73" s="23"/>
      <c r="AN73" s="25"/>
      <c r="AO73" s="146" t="s">
        <v>233</v>
      </c>
      <c r="AP73" s="23">
        <v>1000</v>
      </c>
      <c r="AQ73" s="23" t="str">
        <f t="shared" si="4"/>
        <v>1CP</v>
      </c>
      <c r="AR73" s="23" t="str">
        <f t="shared" si="5"/>
        <v>06</v>
      </c>
      <c r="AS73" s="23">
        <v>6</v>
      </c>
      <c r="AT73" s="23"/>
      <c r="AU73" s="23"/>
      <c r="AV73" s="23"/>
      <c r="AW73" s="23"/>
      <c r="AX73" s="23"/>
      <c r="AY73" s="23">
        <v>1297</v>
      </c>
      <c r="AZ73" s="185">
        <v>41184</v>
      </c>
      <c r="BA73" s="192"/>
    </row>
    <row r="74" spans="1:53" ht="11.25" customHeight="1">
      <c r="A74" s="125">
        <v>73</v>
      </c>
      <c r="B74" s="129" t="str">
        <f>VLOOKUP(Z74,'コード表'!$T$2:$X$36,5,0)</f>
        <v>01</v>
      </c>
      <c r="C74" s="83">
        <f>VLOOKUP(N74,'コード表'!$W$47:$X$50,2,0)</f>
        <v>2</v>
      </c>
      <c r="D74" s="83">
        <f>VLOOKUP(M74,'コード表'!$W$53:$X$56,2,0)</f>
        <v>2</v>
      </c>
      <c r="E74" s="129" t="str">
        <f>VLOOKUP(AA74,'コード表'!Y:AA,3,0)</f>
        <v>014</v>
      </c>
      <c r="F74" s="83">
        <f>VLOOKUP(K74,'コード表'!$W$38:$X$44,2,0)</f>
        <v>2</v>
      </c>
      <c r="G74" s="83">
        <f>VLOOKUP(S74,'コード表'!A:D,4,0)</f>
        <v>110</v>
      </c>
      <c r="H74" s="83">
        <f>VLOOKUP(U74,'コード表'!A:D,4,0)</f>
        <v>560</v>
      </c>
      <c r="I74" s="25">
        <v>73</v>
      </c>
      <c r="J74" s="83" t="s">
        <v>1487</v>
      </c>
      <c r="K74" s="23" t="s">
        <v>847</v>
      </c>
      <c r="L74" s="25" t="s">
        <v>1821</v>
      </c>
      <c r="M74" s="23" t="s">
        <v>544</v>
      </c>
      <c r="N74" s="23">
        <v>5</v>
      </c>
      <c r="O74" s="23">
        <v>675</v>
      </c>
      <c r="P74" s="23">
        <v>475</v>
      </c>
      <c r="Q74" s="23">
        <v>475</v>
      </c>
      <c r="R74" s="23">
        <v>120</v>
      </c>
      <c r="S74" s="25" t="s">
        <v>673</v>
      </c>
      <c r="T74" s="25" t="s">
        <v>1</v>
      </c>
      <c r="U74" s="25" t="s">
        <v>1182</v>
      </c>
      <c r="V74" s="25" t="s">
        <v>506</v>
      </c>
      <c r="W74" s="25" t="s">
        <v>1822</v>
      </c>
      <c r="X74" s="25" t="s">
        <v>1823</v>
      </c>
      <c r="Y74" s="25" t="s">
        <v>414</v>
      </c>
      <c r="Z74" s="25" t="s">
        <v>1416</v>
      </c>
      <c r="AA74" s="25" t="s">
        <v>1403</v>
      </c>
      <c r="AB74" s="25"/>
      <c r="AC74" s="25" t="s">
        <v>1824</v>
      </c>
      <c r="AD74" s="25" t="s">
        <v>416</v>
      </c>
      <c r="AE74" s="25" t="s">
        <v>1825</v>
      </c>
      <c r="AF74" s="25" t="s">
        <v>1826</v>
      </c>
      <c r="AG74" s="25" t="s">
        <v>417</v>
      </c>
      <c r="AH74" s="25"/>
      <c r="AI74" s="25"/>
      <c r="AJ74" s="36"/>
      <c r="AK74" s="25"/>
      <c r="AL74" s="26"/>
      <c r="AM74" s="23"/>
      <c r="AN74" s="25"/>
      <c r="AO74" s="146" t="s">
        <v>234</v>
      </c>
      <c r="AP74" s="23">
        <v>1000</v>
      </c>
      <c r="AQ74" s="23" t="str">
        <f t="shared" si="4"/>
        <v>1CP</v>
      </c>
      <c r="AR74" s="23" t="str">
        <f t="shared" si="5"/>
        <v>06</v>
      </c>
      <c r="AS74" s="23">
        <v>6</v>
      </c>
      <c r="AT74" s="23"/>
      <c r="AU74" s="23"/>
      <c r="AV74" s="23"/>
      <c r="AW74" s="23">
        <v>2</v>
      </c>
      <c r="AX74" s="23"/>
      <c r="AY74" s="23">
        <v>1298</v>
      </c>
      <c r="AZ74" s="185">
        <v>41184</v>
      </c>
      <c r="BA74" s="192"/>
    </row>
    <row r="75" spans="1:53" ht="11.25" customHeight="1">
      <c r="A75" s="125">
        <v>74</v>
      </c>
      <c r="B75" s="129" t="str">
        <f>VLOOKUP(Z75,'コード表'!$T$2:$X$36,5,0)</f>
        <v>01</v>
      </c>
      <c r="C75" s="83">
        <f>VLOOKUP(N75,'コード表'!$W$47:$X$50,2,0)</f>
        <v>2</v>
      </c>
      <c r="D75" s="83">
        <f>VLOOKUP(M75,'コード表'!$W$53:$X$56,2,0)</f>
        <v>1</v>
      </c>
      <c r="E75" s="129" t="str">
        <f>VLOOKUP(AA75,'コード表'!Y:AA,3,0)</f>
        <v>011</v>
      </c>
      <c r="F75" s="83">
        <f>VLOOKUP(K75,'コード表'!$W$38:$X$44,2,0)</f>
        <v>1</v>
      </c>
      <c r="G75" s="83">
        <f>VLOOKUP(S75,'コード表'!A:D,4,0)</f>
        <v>100</v>
      </c>
      <c r="H75" s="83">
        <f>VLOOKUP(U75,'コード表'!A:D,4,0)</f>
        <v>700</v>
      </c>
      <c r="I75" s="25">
        <v>74</v>
      </c>
      <c r="J75" s="83" t="s">
        <v>1488</v>
      </c>
      <c r="K75" s="23" t="s">
        <v>541</v>
      </c>
      <c r="L75" s="25" t="s">
        <v>1170</v>
      </c>
      <c r="M75" s="23" t="s">
        <v>543</v>
      </c>
      <c r="N75" s="23">
        <v>5</v>
      </c>
      <c r="O75" s="23">
        <v>675</v>
      </c>
      <c r="P75" s="23">
        <v>520</v>
      </c>
      <c r="Q75" s="23">
        <v>365</v>
      </c>
      <c r="R75" s="23">
        <v>130</v>
      </c>
      <c r="S75" s="25" t="s">
        <v>677</v>
      </c>
      <c r="T75" s="25" t="s">
        <v>1023</v>
      </c>
      <c r="U75" s="25" t="s">
        <v>1230</v>
      </c>
      <c r="V75" s="25" t="s">
        <v>512</v>
      </c>
      <c r="W75" s="25" t="s">
        <v>1228</v>
      </c>
      <c r="X75" s="25" t="s">
        <v>1229</v>
      </c>
      <c r="Y75" s="25" t="s">
        <v>414</v>
      </c>
      <c r="Z75" s="25" t="s">
        <v>1416</v>
      </c>
      <c r="AA75" s="25" t="s">
        <v>75</v>
      </c>
      <c r="AB75" s="25"/>
      <c r="AC75" s="25" t="s">
        <v>337</v>
      </c>
      <c r="AD75" s="25" t="s">
        <v>416</v>
      </c>
      <c r="AE75" s="25" t="s">
        <v>338</v>
      </c>
      <c r="AF75" s="25" t="s">
        <v>339</v>
      </c>
      <c r="AG75" s="25" t="s">
        <v>417</v>
      </c>
      <c r="AH75" s="25"/>
      <c r="AI75" s="25"/>
      <c r="AJ75" s="36"/>
      <c r="AK75" s="25"/>
      <c r="AL75" s="26"/>
      <c r="AM75" s="23"/>
      <c r="AN75" s="25"/>
      <c r="AO75" s="146" t="s">
        <v>1162</v>
      </c>
      <c r="AP75" s="23">
        <v>1000</v>
      </c>
      <c r="AQ75" s="23" t="str">
        <f t="shared" si="4"/>
        <v>1PR</v>
      </c>
      <c r="AR75" s="23" t="str">
        <f t="shared" si="5"/>
        <v>25</v>
      </c>
      <c r="AS75" s="23">
        <v>5</v>
      </c>
      <c r="AT75" s="23"/>
      <c r="AU75" s="23"/>
      <c r="AV75" s="23"/>
      <c r="AW75" s="23"/>
      <c r="AX75" s="23"/>
      <c r="AY75" s="23">
        <v>1299</v>
      </c>
      <c r="AZ75" s="185">
        <v>41184</v>
      </c>
      <c r="BA75" s="192"/>
    </row>
    <row r="76" spans="1:53" s="28" customFormat="1" ht="11.25" customHeight="1">
      <c r="A76" s="125">
        <v>75</v>
      </c>
      <c r="B76" s="129" t="str">
        <f>VLOOKUP(Z76,'コード表'!$T$2:$X$36,5,0)</f>
        <v>01</v>
      </c>
      <c r="C76" s="83">
        <f>VLOOKUP(N76,'コード表'!$W$47:$X$50,2,0)</f>
        <v>2</v>
      </c>
      <c r="D76" s="83">
        <f>VLOOKUP(M76,'コード表'!$W$53:$X$56,2,0)</f>
        <v>3</v>
      </c>
      <c r="E76" s="129" t="str">
        <f>VLOOKUP(AA76,'コード表'!Y:AA,3,0)</f>
        <v>011</v>
      </c>
      <c r="F76" s="83">
        <f>VLOOKUP(K76,'コード表'!$W$38:$X$44,2,0)</f>
        <v>1</v>
      </c>
      <c r="G76" s="83">
        <f>VLOOKUP(S76,'コード表'!A:D,4,0)</f>
        <v>111</v>
      </c>
      <c r="H76" s="83">
        <f>VLOOKUP(U76,'コード表'!A:D,4,0)</f>
        <v>111</v>
      </c>
      <c r="I76" s="25">
        <v>75</v>
      </c>
      <c r="J76" s="83" t="s">
        <v>1489</v>
      </c>
      <c r="K76" s="23" t="s">
        <v>541</v>
      </c>
      <c r="L76" s="25" t="s">
        <v>393</v>
      </c>
      <c r="M76" s="23" t="s">
        <v>542</v>
      </c>
      <c r="N76" s="23">
        <v>5</v>
      </c>
      <c r="O76" s="23">
        <v>675</v>
      </c>
      <c r="P76" s="23">
        <v>490</v>
      </c>
      <c r="Q76" s="23">
        <v>490</v>
      </c>
      <c r="R76" s="23">
        <v>115</v>
      </c>
      <c r="S76" s="25" t="s">
        <v>71</v>
      </c>
      <c r="T76" s="25" t="s">
        <v>72</v>
      </c>
      <c r="U76" s="25" t="s">
        <v>665</v>
      </c>
      <c r="V76" s="25" t="s">
        <v>73</v>
      </c>
      <c r="W76" s="25" t="s">
        <v>353</v>
      </c>
      <c r="X76" s="25" t="s">
        <v>1396</v>
      </c>
      <c r="Y76" s="25" t="s">
        <v>414</v>
      </c>
      <c r="Z76" s="25" t="s">
        <v>1382</v>
      </c>
      <c r="AA76" s="25" t="s">
        <v>75</v>
      </c>
      <c r="AB76" s="25"/>
      <c r="AC76" s="25" t="s">
        <v>286</v>
      </c>
      <c r="AD76" s="25" t="s">
        <v>416</v>
      </c>
      <c r="AE76" s="25" t="s">
        <v>287</v>
      </c>
      <c r="AF76" s="25" t="s">
        <v>687</v>
      </c>
      <c r="AG76" s="25" t="s">
        <v>417</v>
      </c>
      <c r="AH76" s="25"/>
      <c r="AI76" s="25"/>
      <c r="AJ76" s="36"/>
      <c r="AK76" s="25"/>
      <c r="AL76" s="23"/>
      <c r="AM76" s="23"/>
      <c r="AN76" s="25"/>
      <c r="AO76" s="146" t="s">
        <v>1163</v>
      </c>
      <c r="AP76" s="23">
        <v>2000</v>
      </c>
      <c r="AQ76" s="23" t="str">
        <f t="shared" si="4"/>
        <v>2PR</v>
      </c>
      <c r="AR76" s="23" t="str">
        <f t="shared" si="5"/>
        <v>24</v>
      </c>
      <c r="AS76" s="23">
        <v>4</v>
      </c>
      <c r="AT76" s="23"/>
      <c r="AU76" s="23">
        <v>2</v>
      </c>
      <c r="AV76" s="23" t="s">
        <v>1177</v>
      </c>
      <c r="AW76" s="23">
        <v>2</v>
      </c>
      <c r="AX76" s="23" t="s">
        <v>1177</v>
      </c>
      <c r="AY76" s="23">
        <v>1300</v>
      </c>
      <c r="AZ76" s="185">
        <v>41184</v>
      </c>
      <c r="BA76" s="192"/>
    </row>
    <row r="77" spans="1:53" ht="11.25" customHeight="1">
      <c r="A77" s="125">
        <v>76</v>
      </c>
      <c r="B77" s="129" t="str">
        <f>VLOOKUP(Z77,'コード表'!$T$2:$X$36,5,0)</f>
        <v>01</v>
      </c>
      <c r="C77" s="83">
        <f>VLOOKUP(N77,'コード表'!$W$47:$X$50,2,0)</f>
        <v>1</v>
      </c>
      <c r="D77" s="83">
        <f>VLOOKUP(M77,'コード表'!$W$53:$X$56,2,0)</f>
        <v>2</v>
      </c>
      <c r="E77" s="129" t="str">
        <f>VLOOKUP(AA77,'コード表'!Y:AA,3,0)</f>
        <v>011</v>
      </c>
      <c r="F77" s="83">
        <f>VLOOKUP(K77,'コード表'!$W$38:$X$44,2,0)</f>
        <v>1</v>
      </c>
      <c r="G77" s="83">
        <f>VLOOKUP(S77,'コード表'!A:D,4,0)</f>
        <v>400</v>
      </c>
      <c r="H77" s="83">
        <f>VLOOKUP(U77,'コード表'!A:D,4,0)</f>
        <v>400</v>
      </c>
      <c r="I77" s="25">
        <v>76</v>
      </c>
      <c r="J77" s="83" t="s">
        <v>1490</v>
      </c>
      <c r="K77" s="23" t="s">
        <v>541</v>
      </c>
      <c r="L77" s="25" t="s">
        <v>1553</v>
      </c>
      <c r="M77" s="23" t="s">
        <v>544</v>
      </c>
      <c r="N77" s="23">
        <v>6</v>
      </c>
      <c r="O77" s="23">
        <v>795</v>
      </c>
      <c r="P77" s="23">
        <v>600</v>
      </c>
      <c r="Q77" s="23">
        <v>720</v>
      </c>
      <c r="R77" s="23">
        <v>100</v>
      </c>
      <c r="S77" s="25" t="s">
        <v>619</v>
      </c>
      <c r="T77" s="25" t="s">
        <v>1405</v>
      </c>
      <c r="U77" s="25" t="s">
        <v>619</v>
      </c>
      <c r="V77" s="25" t="s">
        <v>1406</v>
      </c>
      <c r="W77" s="25" t="s">
        <v>1554</v>
      </c>
      <c r="X77" s="25" t="s">
        <v>995</v>
      </c>
      <c r="Y77" s="25" t="s">
        <v>414</v>
      </c>
      <c r="Z77" s="25" t="s">
        <v>1416</v>
      </c>
      <c r="AA77" s="25" t="s">
        <v>75</v>
      </c>
      <c r="AB77" s="25"/>
      <c r="AC77" s="25" t="s">
        <v>383</v>
      </c>
      <c r="AD77" s="25" t="s">
        <v>416</v>
      </c>
      <c r="AE77" s="25" t="s">
        <v>1505</v>
      </c>
      <c r="AF77" s="25" t="s">
        <v>384</v>
      </c>
      <c r="AG77" s="25" t="s">
        <v>417</v>
      </c>
      <c r="AH77" s="25"/>
      <c r="AI77" s="25"/>
      <c r="AJ77" s="36"/>
      <c r="AK77" s="25"/>
      <c r="AL77" s="26"/>
      <c r="AM77" s="23"/>
      <c r="AN77" s="25"/>
      <c r="AO77" s="146" t="s">
        <v>1506</v>
      </c>
      <c r="AP77" s="23">
        <v>1000</v>
      </c>
      <c r="AQ77" s="23" t="str">
        <f t="shared" si="4"/>
        <v>1PR</v>
      </c>
      <c r="AR77" s="23" t="str">
        <f t="shared" si="5"/>
        <v>14</v>
      </c>
      <c r="AS77" s="23">
        <v>4</v>
      </c>
      <c r="AT77" s="23"/>
      <c r="AU77" s="23"/>
      <c r="AV77" s="23"/>
      <c r="AW77" s="23"/>
      <c r="AX77" s="23"/>
      <c r="AY77" s="23">
        <v>1301</v>
      </c>
      <c r="AZ77" s="185">
        <v>41184</v>
      </c>
      <c r="BA77" s="192"/>
    </row>
    <row r="78" spans="1:53" ht="11.25" customHeight="1">
      <c r="A78" s="125">
        <v>77</v>
      </c>
      <c r="B78" s="129" t="str">
        <f>VLOOKUP(Z78,'コード表'!$T$2:$X$36,5,0)</f>
        <v>01</v>
      </c>
      <c r="C78" s="83">
        <f>VLOOKUP(N78,'コード表'!$W$47:$X$50,2,0)</f>
        <v>1</v>
      </c>
      <c r="D78" s="83">
        <f>VLOOKUP(M78,'コード表'!$W$53:$X$56,2,0)</f>
        <v>1</v>
      </c>
      <c r="E78" s="129" t="str">
        <f>VLOOKUP(AA78,'コード表'!Y:AA,3,0)</f>
        <v>011</v>
      </c>
      <c r="F78" s="83">
        <f>VLOOKUP(K78,'コード表'!$W$38:$X$44,2,0)</f>
        <v>1</v>
      </c>
      <c r="G78" s="83">
        <f>VLOOKUP(S78,'コード表'!A:D,4,0)</f>
        <v>300</v>
      </c>
      <c r="H78" s="83">
        <f>VLOOKUP(U78,'コード表'!A:D,4,0)</f>
        <v>300</v>
      </c>
      <c r="I78" s="25">
        <v>77</v>
      </c>
      <c r="J78" s="83" t="s">
        <v>1491</v>
      </c>
      <c r="K78" s="23" t="s">
        <v>541</v>
      </c>
      <c r="L78" s="25" t="s">
        <v>1168</v>
      </c>
      <c r="M78" s="23" t="s">
        <v>543</v>
      </c>
      <c r="N78" s="23">
        <v>6</v>
      </c>
      <c r="O78" s="23">
        <v>795</v>
      </c>
      <c r="P78" s="23">
        <v>660</v>
      </c>
      <c r="Q78" s="23">
        <v>660</v>
      </c>
      <c r="R78" s="23">
        <v>100</v>
      </c>
      <c r="S78" s="25" t="s">
        <v>678</v>
      </c>
      <c r="T78" s="25" t="s">
        <v>87</v>
      </c>
      <c r="U78" s="25" t="s">
        <v>678</v>
      </c>
      <c r="V78" s="25" t="s">
        <v>89</v>
      </c>
      <c r="W78" s="25" t="s">
        <v>1811</v>
      </c>
      <c r="X78" s="25" t="s">
        <v>1812</v>
      </c>
      <c r="Y78" s="25" t="s">
        <v>414</v>
      </c>
      <c r="Z78" s="25" t="s">
        <v>1416</v>
      </c>
      <c r="AA78" s="25" t="s">
        <v>75</v>
      </c>
      <c r="AB78" s="25"/>
      <c r="AC78" s="25" t="s">
        <v>552</v>
      </c>
      <c r="AD78" s="25" t="s">
        <v>416</v>
      </c>
      <c r="AE78" s="25" t="s">
        <v>1495</v>
      </c>
      <c r="AF78" s="25" t="s">
        <v>556</v>
      </c>
      <c r="AG78" s="25" t="s">
        <v>417</v>
      </c>
      <c r="AH78" s="25"/>
      <c r="AI78" s="25"/>
      <c r="AJ78" s="36"/>
      <c r="AK78" s="25"/>
      <c r="AL78" s="26"/>
      <c r="AM78" s="23"/>
      <c r="AN78" s="25"/>
      <c r="AO78" s="146" t="s">
        <v>1507</v>
      </c>
      <c r="AP78" s="23">
        <v>1000</v>
      </c>
      <c r="AQ78" s="23" t="str">
        <f t="shared" si="4"/>
        <v>1PR</v>
      </c>
      <c r="AR78" s="23" t="str">
        <f t="shared" si="5"/>
        <v>14</v>
      </c>
      <c r="AS78" s="23">
        <v>4</v>
      </c>
      <c r="AT78" s="23"/>
      <c r="AU78" s="23"/>
      <c r="AV78" s="23"/>
      <c r="AW78" s="23"/>
      <c r="AX78" s="23"/>
      <c r="AY78" s="23">
        <v>1302</v>
      </c>
      <c r="AZ78" s="185">
        <v>41184</v>
      </c>
      <c r="BA78" s="192"/>
    </row>
    <row r="79" spans="1:53" ht="11.25" customHeight="1">
      <c r="A79" s="125">
        <v>78</v>
      </c>
      <c r="B79" s="129" t="str">
        <f>VLOOKUP(Z79,'コード表'!$T$2:$X$36,5,0)</f>
        <v>01</v>
      </c>
      <c r="C79" s="83">
        <f>VLOOKUP(N79,'コード表'!$W$47:$X$50,2,0)</f>
        <v>1</v>
      </c>
      <c r="D79" s="83">
        <f>VLOOKUP(M79,'コード表'!$W$53:$X$56,2,0)</f>
        <v>3</v>
      </c>
      <c r="E79" s="129" t="str">
        <f>VLOOKUP(AA79,'コード表'!Y:AA,3,0)</f>
        <v>011</v>
      </c>
      <c r="F79" s="83">
        <f>VLOOKUP(K79,'コード表'!$W$38:$X$44,2,0)</f>
        <v>1</v>
      </c>
      <c r="G79" s="83">
        <f>VLOOKUP(S79,'コード表'!A:D,4,0)</f>
        <v>140</v>
      </c>
      <c r="H79" s="83">
        <f>VLOOKUP(U79,'コード表'!A:D,4,0)</f>
        <v>140</v>
      </c>
      <c r="I79" s="25">
        <v>78</v>
      </c>
      <c r="J79" s="83" t="s">
        <v>1263</v>
      </c>
      <c r="K79" s="23" t="s">
        <v>541</v>
      </c>
      <c r="L79" s="25" t="s">
        <v>1168</v>
      </c>
      <c r="M79" s="23" t="s">
        <v>542</v>
      </c>
      <c r="N79" s="23">
        <v>6</v>
      </c>
      <c r="O79" s="23">
        <v>795</v>
      </c>
      <c r="P79" s="23">
        <v>660</v>
      </c>
      <c r="Q79" s="23">
        <v>660</v>
      </c>
      <c r="R79" s="23">
        <v>100</v>
      </c>
      <c r="S79" s="25" t="s">
        <v>680</v>
      </c>
      <c r="T79" s="25" t="s">
        <v>1000</v>
      </c>
      <c r="U79" s="25" t="s">
        <v>680</v>
      </c>
      <c r="V79" s="25" t="s">
        <v>865</v>
      </c>
      <c r="W79" s="25" t="s">
        <v>694</v>
      </c>
      <c r="X79" s="25" t="s">
        <v>994</v>
      </c>
      <c r="Y79" s="25" t="s">
        <v>414</v>
      </c>
      <c r="Z79" s="25" t="s">
        <v>1416</v>
      </c>
      <c r="AA79" s="25" t="s">
        <v>75</v>
      </c>
      <c r="AB79" s="25"/>
      <c r="AC79" s="25" t="s">
        <v>552</v>
      </c>
      <c r="AD79" s="25" t="s">
        <v>416</v>
      </c>
      <c r="AE79" s="25" t="s">
        <v>1495</v>
      </c>
      <c r="AF79" s="25" t="s">
        <v>556</v>
      </c>
      <c r="AG79" s="25" t="s">
        <v>417</v>
      </c>
      <c r="AH79" s="25"/>
      <c r="AI79" s="25"/>
      <c r="AJ79" s="36"/>
      <c r="AK79" s="25"/>
      <c r="AL79" s="26"/>
      <c r="AM79" s="23"/>
      <c r="AN79" s="25"/>
      <c r="AO79" s="146" t="s">
        <v>1264</v>
      </c>
      <c r="AP79" s="23">
        <v>1000</v>
      </c>
      <c r="AQ79" s="23" t="str">
        <f t="shared" si="4"/>
        <v>1PR</v>
      </c>
      <c r="AR79" s="23" t="str">
        <f t="shared" si="5"/>
        <v>14</v>
      </c>
      <c r="AS79" s="23">
        <v>4</v>
      </c>
      <c r="AT79" s="23"/>
      <c r="AU79" s="23"/>
      <c r="AV79" s="23"/>
      <c r="AW79" s="23"/>
      <c r="AX79" s="23"/>
      <c r="AY79" s="23">
        <v>1418</v>
      </c>
      <c r="AZ79" s="185">
        <v>41191</v>
      </c>
      <c r="BA79" s="192" t="s">
        <v>2284</v>
      </c>
    </row>
    <row r="80" spans="1:53" ht="11.25" customHeight="1">
      <c r="A80" s="125">
        <v>79</v>
      </c>
      <c r="B80" s="129" t="str">
        <f>VLOOKUP(Z80,'コード表'!$T$2:$X$36,5,0)</f>
        <v>01</v>
      </c>
      <c r="C80" s="83">
        <f>VLOOKUP(N80,'コード表'!$W$47:$X$50,2,0)</f>
        <v>1</v>
      </c>
      <c r="D80" s="83">
        <f>VLOOKUP(M80,'コード表'!$W$53:$X$56,2,0)</f>
        <v>4</v>
      </c>
      <c r="E80" s="129" t="str">
        <f>VLOOKUP(AA80,'コード表'!Y:AA,3,0)</f>
        <v>011</v>
      </c>
      <c r="F80" s="83">
        <f>VLOOKUP(K80,'コード表'!$W$38:$X$44,2,0)</f>
        <v>1</v>
      </c>
      <c r="G80" s="83">
        <f>VLOOKUP(S80,'コード表'!A:D,4,0)</f>
        <v>100</v>
      </c>
      <c r="H80" s="83">
        <f>VLOOKUP(U80,'コード表'!A:D,4,0)</f>
        <v>100</v>
      </c>
      <c r="I80" s="25">
        <v>79</v>
      </c>
      <c r="J80" s="83" t="s">
        <v>326</v>
      </c>
      <c r="K80" s="23" t="s">
        <v>541</v>
      </c>
      <c r="L80" s="25" t="s">
        <v>1168</v>
      </c>
      <c r="M80" s="23" t="s">
        <v>546</v>
      </c>
      <c r="N80" s="23">
        <v>6</v>
      </c>
      <c r="O80" s="23">
        <v>795</v>
      </c>
      <c r="P80" s="23">
        <v>660</v>
      </c>
      <c r="Q80" s="23">
        <v>660</v>
      </c>
      <c r="R80" s="23">
        <v>100</v>
      </c>
      <c r="S80" s="25" t="s">
        <v>677</v>
      </c>
      <c r="T80" s="25" t="s">
        <v>87</v>
      </c>
      <c r="U80" s="25" t="s">
        <v>677</v>
      </c>
      <c r="V80" s="25" t="s">
        <v>89</v>
      </c>
      <c r="W80" s="25" t="s">
        <v>1169</v>
      </c>
      <c r="X80" s="25" t="s">
        <v>1417</v>
      </c>
      <c r="Y80" s="25" t="s">
        <v>414</v>
      </c>
      <c r="Z80" s="25" t="s">
        <v>1416</v>
      </c>
      <c r="AA80" s="25" t="s">
        <v>1865</v>
      </c>
      <c r="AB80" s="25"/>
      <c r="AC80" s="25" t="s">
        <v>552</v>
      </c>
      <c r="AD80" s="25" t="s">
        <v>416</v>
      </c>
      <c r="AE80" s="25" t="s">
        <v>1495</v>
      </c>
      <c r="AF80" s="25" t="s">
        <v>556</v>
      </c>
      <c r="AG80" s="25" t="s">
        <v>417</v>
      </c>
      <c r="AH80" s="25"/>
      <c r="AI80" s="25"/>
      <c r="AJ80" s="36"/>
      <c r="AK80" s="25"/>
      <c r="AL80" s="26"/>
      <c r="AM80" s="23"/>
      <c r="AN80" s="25"/>
      <c r="AO80" s="146" t="s">
        <v>1864</v>
      </c>
      <c r="AP80" s="23">
        <v>1000</v>
      </c>
      <c r="AQ80" s="23" t="str">
        <f t="shared" si="4"/>
        <v>1PR</v>
      </c>
      <c r="AR80" s="23" t="str">
        <f t="shared" si="5"/>
        <v>14</v>
      </c>
      <c r="AS80" s="23">
        <v>4</v>
      </c>
      <c r="AT80" s="27"/>
      <c r="AU80" s="23"/>
      <c r="AV80" s="23" t="s">
        <v>1178</v>
      </c>
      <c r="AW80" s="23"/>
      <c r="AX80" s="23"/>
      <c r="AY80" s="23">
        <v>1425</v>
      </c>
      <c r="AZ80" s="185">
        <v>41197</v>
      </c>
      <c r="BA80" s="192" t="s">
        <v>2285</v>
      </c>
    </row>
    <row r="81" spans="1:53" ht="11.25" customHeight="1">
      <c r="A81" s="125">
        <v>80</v>
      </c>
      <c r="B81" s="129" t="str">
        <f>VLOOKUP(Z81,'コード表'!$T$2:$X$36,5,0)</f>
        <v>22</v>
      </c>
      <c r="C81" s="83">
        <f>VLOOKUP(N81,'コード表'!$W$47:$X$50,2,0)</f>
        <v>2</v>
      </c>
      <c r="D81" s="83">
        <f>VLOOKUP(M81,'コード表'!$W$53:$X$56,2,0)</f>
        <v>1</v>
      </c>
      <c r="E81" s="129">
        <f>VLOOKUP(AA81,'コード表'!Y:AA,3,0)</f>
        <v>224</v>
      </c>
      <c r="F81" s="83">
        <f>VLOOKUP(K81,'コード表'!$W$38:$X$44,2,0)</f>
        <v>2</v>
      </c>
      <c r="G81" s="83">
        <f>VLOOKUP(S81,'コード表'!A:D,4,0)</f>
        <v>140</v>
      </c>
      <c r="H81" s="83">
        <f>VLOOKUP(U81,'コード表'!A:D,4,0)</f>
        <v>140</v>
      </c>
      <c r="I81" s="25">
        <v>80</v>
      </c>
      <c r="J81" s="83" t="s">
        <v>327</v>
      </c>
      <c r="K81" s="23" t="s">
        <v>847</v>
      </c>
      <c r="L81" s="25" t="s">
        <v>1568</v>
      </c>
      <c r="M81" s="23" t="s">
        <v>543</v>
      </c>
      <c r="N81" s="23">
        <v>5</v>
      </c>
      <c r="O81" s="23">
        <v>675</v>
      </c>
      <c r="P81" s="23">
        <v>605</v>
      </c>
      <c r="Q81" s="23">
        <v>420</v>
      </c>
      <c r="R81" s="23">
        <v>110</v>
      </c>
      <c r="S81" s="25" t="s">
        <v>680</v>
      </c>
      <c r="T81" s="25" t="s">
        <v>1001</v>
      </c>
      <c r="U81" s="25" t="s">
        <v>680</v>
      </c>
      <c r="V81" s="25" t="s">
        <v>903</v>
      </c>
      <c r="W81" s="25" t="s">
        <v>1569</v>
      </c>
      <c r="X81" s="25" t="s">
        <v>840</v>
      </c>
      <c r="Y81" s="25" t="s">
        <v>414</v>
      </c>
      <c r="Z81" s="25" t="s">
        <v>407</v>
      </c>
      <c r="AA81" s="25" t="s">
        <v>1859</v>
      </c>
      <c r="AB81" s="25"/>
      <c r="AC81" s="25" t="s">
        <v>1929</v>
      </c>
      <c r="AD81" s="25" t="s">
        <v>416</v>
      </c>
      <c r="AE81" s="25" t="s">
        <v>2108</v>
      </c>
      <c r="AF81" s="25" t="s">
        <v>841</v>
      </c>
      <c r="AG81" s="25" t="s">
        <v>417</v>
      </c>
      <c r="AH81" s="25" t="s">
        <v>1004</v>
      </c>
      <c r="AI81" s="25" t="s">
        <v>2092</v>
      </c>
      <c r="AJ81" s="36" t="s">
        <v>377</v>
      </c>
      <c r="AK81" s="25"/>
      <c r="AL81" s="26"/>
      <c r="AM81" s="23"/>
      <c r="AN81" s="25"/>
      <c r="AO81" s="146" t="s">
        <v>316</v>
      </c>
      <c r="AP81" s="23">
        <v>7000</v>
      </c>
      <c r="AQ81" s="23" t="str">
        <f t="shared" si="4"/>
        <v>7CP</v>
      </c>
      <c r="AR81" s="23" t="str">
        <f t="shared" si="5"/>
        <v>25</v>
      </c>
      <c r="AS81" s="23">
        <v>5</v>
      </c>
      <c r="AT81" s="23"/>
      <c r="AU81" s="23"/>
      <c r="AV81" s="23" t="s">
        <v>1177</v>
      </c>
      <c r="AW81" s="23"/>
      <c r="AX81" s="23" t="s">
        <v>1177</v>
      </c>
      <c r="AY81" s="23">
        <v>1500</v>
      </c>
      <c r="AZ81" s="185">
        <v>41205</v>
      </c>
      <c r="BA81" s="192"/>
    </row>
    <row r="82" spans="1:53" ht="11.25" customHeight="1">
      <c r="A82" s="125">
        <v>81</v>
      </c>
      <c r="B82" s="129" t="str">
        <f>VLOOKUP(Z82,'コード表'!$T$2:$X$36,5,0)</f>
        <v>22</v>
      </c>
      <c r="C82" s="83">
        <f>VLOOKUP(N82,'コード表'!$W$47:$X$50,2,0)</f>
        <v>2</v>
      </c>
      <c r="D82" s="83">
        <f>VLOOKUP(M82,'コード表'!$W$53:$X$56,2,0)</f>
        <v>3</v>
      </c>
      <c r="E82" s="129">
        <f>VLOOKUP(AA82,'コード表'!Y:AA,3,0)</f>
        <v>224</v>
      </c>
      <c r="F82" s="83">
        <f>VLOOKUP(K82,'コード表'!$W$38:$X$44,2,0)</f>
        <v>2</v>
      </c>
      <c r="G82" s="83">
        <f>VLOOKUP(S82,'コード表'!A:D,4,0)</f>
        <v>370</v>
      </c>
      <c r="H82" s="83">
        <f>VLOOKUP(U82,'コード表'!A:D,4,0)</f>
        <v>370</v>
      </c>
      <c r="I82" s="25">
        <v>81</v>
      </c>
      <c r="J82" s="83" t="s">
        <v>328</v>
      </c>
      <c r="K82" s="23" t="s">
        <v>847</v>
      </c>
      <c r="L82" s="25" t="s">
        <v>271</v>
      </c>
      <c r="M82" s="23" t="s">
        <v>542</v>
      </c>
      <c r="N82" s="23">
        <v>5</v>
      </c>
      <c r="O82" s="23">
        <v>675</v>
      </c>
      <c r="P82" s="23">
        <v>460</v>
      </c>
      <c r="Q82" s="23">
        <v>660</v>
      </c>
      <c r="R82" s="23">
        <v>100</v>
      </c>
      <c r="S82" s="25" t="s">
        <v>682</v>
      </c>
      <c r="T82" s="25" t="s">
        <v>902</v>
      </c>
      <c r="U82" s="25" t="s">
        <v>682</v>
      </c>
      <c r="V82" s="25" t="s">
        <v>720</v>
      </c>
      <c r="W82" s="25" t="s">
        <v>272</v>
      </c>
      <c r="X82" s="25" t="s">
        <v>1956</v>
      </c>
      <c r="Y82" s="25" t="s">
        <v>414</v>
      </c>
      <c r="Z82" s="25" t="s">
        <v>407</v>
      </c>
      <c r="AA82" s="25" t="s">
        <v>1859</v>
      </c>
      <c r="AB82" s="25"/>
      <c r="AC82" s="25" t="s">
        <v>1930</v>
      </c>
      <c r="AD82" s="25" t="s">
        <v>416</v>
      </c>
      <c r="AE82" s="25" t="s">
        <v>2109</v>
      </c>
      <c r="AF82" s="25" t="s">
        <v>1957</v>
      </c>
      <c r="AG82" s="25" t="s">
        <v>417</v>
      </c>
      <c r="AH82" s="25" t="s">
        <v>1005</v>
      </c>
      <c r="AI82" s="25" t="s">
        <v>2093</v>
      </c>
      <c r="AJ82" s="36" t="s">
        <v>377</v>
      </c>
      <c r="AK82" s="25"/>
      <c r="AL82" s="26"/>
      <c r="AM82" s="23"/>
      <c r="AN82" s="25"/>
      <c r="AO82" s="146" t="s">
        <v>317</v>
      </c>
      <c r="AP82" s="23">
        <v>7000</v>
      </c>
      <c r="AQ82" s="23" t="str">
        <f t="shared" si="4"/>
        <v>7CP</v>
      </c>
      <c r="AR82" s="23" t="str">
        <f t="shared" si="5"/>
        <v>25</v>
      </c>
      <c r="AS82" s="23">
        <v>5</v>
      </c>
      <c r="AT82" s="23"/>
      <c r="AU82" s="23"/>
      <c r="AV82" s="23" t="s">
        <v>1178</v>
      </c>
      <c r="AW82" s="23"/>
      <c r="AX82" s="23" t="s">
        <v>1178</v>
      </c>
      <c r="AY82" s="23">
        <v>1501</v>
      </c>
      <c r="AZ82" s="185">
        <v>41205</v>
      </c>
      <c r="BA82" s="192"/>
    </row>
    <row r="83" spans="1:53" ht="11.25" customHeight="1">
      <c r="A83" s="125">
        <v>82</v>
      </c>
      <c r="B83" s="129" t="str">
        <f>VLOOKUP(Z83,'コード表'!$T$2:$X$36,5,0)</f>
        <v>22</v>
      </c>
      <c r="C83" s="83">
        <f>VLOOKUP(N83,'コード表'!$W$47:$X$50,2,0)</f>
        <v>2</v>
      </c>
      <c r="D83" s="83">
        <f>VLOOKUP(M83,'コード表'!$W$53:$X$56,2,0)</f>
        <v>2</v>
      </c>
      <c r="E83" s="129">
        <f>VLOOKUP(AA83,'コード表'!Y:AA,3,0)</f>
        <v>224</v>
      </c>
      <c r="F83" s="83">
        <f>VLOOKUP(K83,'コード表'!$W$38:$X$44,2,0)</f>
        <v>2</v>
      </c>
      <c r="G83" s="83">
        <f>VLOOKUP(S83,'コード表'!A:D,4,0)</f>
        <v>360</v>
      </c>
      <c r="H83" s="83">
        <f>VLOOKUP(U83,'コード表'!A:D,4,0)</f>
        <v>360</v>
      </c>
      <c r="I83" s="25">
        <v>82</v>
      </c>
      <c r="J83" s="83" t="s">
        <v>329</v>
      </c>
      <c r="K83" s="23" t="s">
        <v>847</v>
      </c>
      <c r="L83" s="25" t="s">
        <v>848</v>
      </c>
      <c r="M83" s="23" t="s">
        <v>544</v>
      </c>
      <c r="N83" s="23">
        <v>5</v>
      </c>
      <c r="O83" s="23">
        <v>675</v>
      </c>
      <c r="P83" s="23">
        <v>440</v>
      </c>
      <c r="Q83" s="23">
        <v>440</v>
      </c>
      <c r="R83" s="23">
        <v>130</v>
      </c>
      <c r="S83" s="25" t="s">
        <v>683</v>
      </c>
      <c r="T83" s="25" t="s">
        <v>1003</v>
      </c>
      <c r="U83" s="25" t="s">
        <v>683</v>
      </c>
      <c r="V83" s="25" t="s">
        <v>366</v>
      </c>
      <c r="W83" s="25" t="s">
        <v>849</v>
      </c>
      <c r="X83" s="25" t="s">
        <v>1958</v>
      </c>
      <c r="Y83" s="25" t="s">
        <v>414</v>
      </c>
      <c r="Z83" s="25" t="s">
        <v>407</v>
      </c>
      <c r="AA83" s="25" t="s">
        <v>1859</v>
      </c>
      <c r="AB83" s="25"/>
      <c r="AC83" s="25" t="s">
        <v>1931</v>
      </c>
      <c r="AD83" s="25" t="s">
        <v>416</v>
      </c>
      <c r="AE83" s="25" t="s">
        <v>2110</v>
      </c>
      <c r="AF83" s="25" t="s">
        <v>1959</v>
      </c>
      <c r="AG83" s="25" t="s">
        <v>417</v>
      </c>
      <c r="AH83" s="25" t="s">
        <v>1006</v>
      </c>
      <c r="AI83" s="25" t="s">
        <v>2094</v>
      </c>
      <c r="AJ83" s="36" t="s">
        <v>377</v>
      </c>
      <c r="AK83" s="25"/>
      <c r="AL83" s="26"/>
      <c r="AM83" s="23"/>
      <c r="AN83" s="25"/>
      <c r="AO83" s="146" t="s">
        <v>318</v>
      </c>
      <c r="AP83" s="23">
        <v>7000</v>
      </c>
      <c r="AQ83" s="23" t="str">
        <f t="shared" si="4"/>
        <v>7CP</v>
      </c>
      <c r="AR83" s="23" t="str">
        <f t="shared" si="5"/>
        <v>25</v>
      </c>
      <c r="AS83" s="23">
        <v>5</v>
      </c>
      <c r="AT83" s="23"/>
      <c r="AU83" s="23"/>
      <c r="AV83" s="23" t="s">
        <v>1178</v>
      </c>
      <c r="AW83" s="23"/>
      <c r="AX83" s="23" t="s">
        <v>1178</v>
      </c>
      <c r="AY83" s="23">
        <v>1502</v>
      </c>
      <c r="AZ83" s="185">
        <v>41205</v>
      </c>
      <c r="BA83" s="192"/>
    </row>
    <row r="84" spans="1:53" ht="11.25" customHeight="1">
      <c r="A84" s="125">
        <v>83</v>
      </c>
      <c r="B84" s="129" t="str">
        <f>VLOOKUP(Z84,'コード表'!$T$2:$X$36,5,0)</f>
        <v>22</v>
      </c>
      <c r="C84" s="83">
        <f>VLOOKUP(N84,'コード表'!$W$47:$X$50,2,0)</f>
        <v>2</v>
      </c>
      <c r="D84" s="83">
        <f>VLOOKUP(M84,'コード表'!$W$53:$X$56,2,0)</f>
        <v>1</v>
      </c>
      <c r="E84" s="129">
        <f>VLOOKUP(AA84,'コード表'!Y:AA,3,0)</f>
        <v>224</v>
      </c>
      <c r="F84" s="83">
        <f>VLOOKUP(K84,'コード表'!$W$38:$X$44,2,0)</f>
        <v>2</v>
      </c>
      <c r="G84" s="83">
        <f>VLOOKUP(S84,'コード表'!A:D,4,0)</f>
        <v>100</v>
      </c>
      <c r="H84" s="83">
        <f>VLOOKUP(U84,'コード表'!A:D,4,0)</f>
        <v>100</v>
      </c>
      <c r="I84" s="25">
        <v>83</v>
      </c>
      <c r="J84" s="83" t="s">
        <v>330</v>
      </c>
      <c r="K84" s="23" t="s">
        <v>847</v>
      </c>
      <c r="L84" s="25" t="s">
        <v>1973</v>
      </c>
      <c r="M84" s="23" t="s">
        <v>543</v>
      </c>
      <c r="N84" s="23">
        <v>5</v>
      </c>
      <c r="O84" s="23">
        <v>675</v>
      </c>
      <c r="P84" s="23">
        <v>710</v>
      </c>
      <c r="Q84" s="23">
        <v>410</v>
      </c>
      <c r="R84" s="23">
        <v>100</v>
      </c>
      <c r="S84" s="25" t="s">
        <v>677</v>
      </c>
      <c r="T84" s="25" t="s">
        <v>1023</v>
      </c>
      <c r="U84" s="25" t="s">
        <v>677</v>
      </c>
      <c r="V84" s="25" t="s">
        <v>1232</v>
      </c>
      <c r="W84" s="25" t="s">
        <v>1974</v>
      </c>
      <c r="X84" s="25" t="s">
        <v>1975</v>
      </c>
      <c r="Y84" s="25" t="s">
        <v>414</v>
      </c>
      <c r="Z84" s="25" t="s">
        <v>407</v>
      </c>
      <c r="AA84" s="25" t="s">
        <v>1859</v>
      </c>
      <c r="AB84" s="25"/>
      <c r="AC84" s="25" t="s">
        <v>1976</v>
      </c>
      <c r="AD84" s="25" t="s">
        <v>416</v>
      </c>
      <c r="AE84" s="25" t="s">
        <v>1977</v>
      </c>
      <c r="AF84" s="25" t="s">
        <v>1978</v>
      </c>
      <c r="AG84" s="25" t="s">
        <v>417</v>
      </c>
      <c r="AH84" s="25" t="s">
        <v>1014</v>
      </c>
      <c r="AI84" s="25" t="s">
        <v>1015</v>
      </c>
      <c r="AJ84" s="36" t="s">
        <v>377</v>
      </c>
      <c r="AK84" s="25"/>
      <c r="AL84" s="26"/>
      <c r="AM84" s="23"/>
      <c r="AN84" s="25"/>
      <c r="AO84" s="146" t="s">
        <v>319</v>
      </c>
      <c r="AP84" s="23">
        <v>7000</v>
      </c>
      <c r="AQ84" s="23" t="str">
        <f t="shared" si="4"/>
        <v>7CP</v>
      </c>
      <c r="AR84" s="23" t="str">
        <f t="shared" si="5"/>
        <v>25</v>
      </c>
      <c r="AS84" s="23">
        <v>5</v>
      </c>
      <c r="AT84" s="23"/>
      <c r="AU84" s="23"/>
      <c r="AV84" s="23" t="s">
        <v>1178</v>
      </c>
      <c r="AW84" s="23"/>
      <c r="AX84" s="23" t="s">
        <v>1178</v>
      </c>
      <c r="AY84" s="23">
        <v>1503</v>
      </c>
      <c r="AZ84" s="185">
        <v>41205</v>
      </c>
      <c r="BA84" s="192"/>
    </row>
    <row r="85" spans="1:53" ht="11.25" customHeight="1">
      <c r="A85" s="125">
        <v>84</v>
      </c>
      <c r="B85" s="129" t="str">
        <f>VLOOKUP(Z85,'コード表'!$T$2:$X$36,5,0)</f>
        <v>22</v>
      </c>
      <c r="C85" s="83">
        <f>VLOOKUP(N85,'コード表'!$W$47:$X$50,2,0)</f>
        <v>2</v>
      </c>
      <c r="D85" s="83">
        <f>VLOOKUP(M85,'コード表'!$W$53:$X$56,2,0)</f>
        <v>2</v>
      </c>
      <c r="E85" s="129">
        <f>VLOOKUP(AA85,'コード表'!Y:AA,3,0)</f>
        <v>224</v>
      </c>
      <c r="F85" s="83">
        <f>VLOOKUP(K85,'コード表'!$W$38:$X$44,2,0)</f>
        <v>2</v>
      </c>
      <c r="G85" s="83">
        <f>VLOOKUP(S85,'コード表'!A:D,4,0)</f>
        <v>130</v>
      </c>
      <c r="H85" s="83">
        <f>VLOOKUP(U85,'コード表'!A:D,4,0)</f>
        <v>130</v>
      </c>
      <c r="I85" s="25">
        <v>84</v>
      </c>
      <c r="J85" s="83" t="s">
        <v>331</v>
      </c>
      <c r="K85" s="23" t="s">
        <v>847</v>
      </c>
      <c r="L85" s="25" t="s">
        <v>1979</v>
      </c>
      <c r="M85" s="23" t="s">
        <v>544</v>
      </c>
      <c r="N85" s="23">
        <v>5</v>
      </c>
      <c r="O85" s="23">
        <v>675</v>
      </c>
      <c r="P85" s="23">
        <v>410</v>
      </c>
      <c r="Q85" s="23">
        <v>710</v>
      </c>
      <c r="R85" s="23">
        <v>100</v>
      </c>
      <c r="S85" s="25" t="s">
        <v>676</v>
      </c>
      <c r="T85" s="25" t="s">
        <v>452</v>
      </c>
      <c r="U85" s="25" t="s">
        <v>676</v>
      </c>
      <c r="V85" s="25" t="s">
        <v>1231</v>
      </c>
      <c r="W85" s="25" t="s">
        <v>1980</v>
      </c>
      <c r="X85" s="25" t="s">
        <v>1981</v>
      </c>
      <c r="Y85" s="25" t="s">
        <v>414</v>
      </c>
      <c r="Z85" s="25" t="s">
        <v>407</v>
      </c>
      <c r="AA85" s="25" t="s">
        <v>1859</v>
      </c>
      <c r="AB85" s="25"/>
      <c r="AC85" s="25" t="s">
        <v>1982</v>
      </c>
      <c r="AD85" s="25" t="s">
        <v>416</v>
      </c>
      <c r="AE85" s="25" t="s">
        <v>1983</v>
      </c>
      <c r="AF85" s="25" t="s">
        <v>1984</v>
      </c>
      <c r="AG85" s="25" t="s">
        <v>417</v>
      </c>
      <c r="AH85" s="25" t="s">
        <v>795</v>
      </c>
      <c r="AI85" s="25" t="s">
        <v>796</v>
      </c>
      <c r="AJ85" s="36" t="s">
        <v>377</v>
      </c>
      <c r="AK85" s="25"/>
      <c r="AL85" s="26"/>
      <c r="AM85" s="23"/>
      <c r="AN85" s="25"/>
      <c r="AO85" s="146" t="s">
        <v>320</v>
      </c>
      <c r="AP85" s="23">
        <v>7000</v>
      </c>
      <c r="AQ85" s="23" t="str">
        <f t="shared" si="4"/>
        <v>7CP</v>
      </c>
      <c r="AR85" s="23" t="str">
        <f t="shared" si="5"/>
        <v>25</v>
      </c>
      <c r="AS85" s="23">
        <v>5</v>
      </c>
      <c r="AT85" s="23"/>
      <c r="AU85" s="23"/>
      <c r="AV85" s="23" t="s">
        <v>1177</v>
      </c>
      <c r="AW85" s="23"/>
      <c r="AX85" s="23" t="s">
        <v>1177</v>
      </c>
      <c r="AY85" s="23">
        <v>1504</v>
      </c>
      <c r="AZ85" s="185">
        <v>41205</v>
      </c>
      <c r="BA85" s="192"/>
    </row>
    <row r="86" spans="1:53" ht="11.25" customHeight="1">
      <c r="A86" s="125">
        <v>85</v>
      </c>
      <c r="B86" s="129" t="str">
        <f>VLOOKUP(Z86,'コード表'!$T$2:$X$36,5,0)</f>
        <v>22</v>
      </c>
      <c r="C86" s="83">
        <f>VLOOKUP(N86,'コード表'!$W$47:$X$50,2,0)</f>
        <v>2</v>
      </c>
      <c r="D86" s="83">
        <f>VLOOKUP(M86,'コード表'!$W$53:$X$56,2,0)</f>
        <v>3</v>
      </c>
      <c r="E86" s="129">
        <f>VLOOKUP(AA86,'コード表'!Y:AA,3,0)</f>
        <v>224</v>
      </c>
      <c r="F86" s="83">
        <f>VLOOKUP(K86,'コード表'!$W$38:$X$44,2,0)</f>
        <v>2</v>
      </c>
      <c r="G86" s="83">
        <f>VLOOKUP(S86,'コード表'!A:D,4,0)</f>
        <v>300</v>
      </c>
      <c r="H86" s="83">
        <f>VLOOKUP(U86,'コード表'!A:D,4,0)</f>
        <v>400</v>
      </c>
      <c r="I86" s="25">
        <v>85</v>
      </c>
      <c r="J86" s="83" t="s">
        <v>332</v>
      </c>
      <c r="K86" s="23" t="s">
        <v>847</v>
      </c>
      <c r="L86" s="25" t="s">
        <v>1985</v>
      </c>
      <c r="M86" s="23" t="s">
        <v>542</v>
      </c>
      <c r="N86" s="23">
        <v>5</v>
      </c>
      <c r="O86" s="23">
        <v>675</v>
      </c>
      <c r="P86" s="23">
        <v>440</v>
      </c>
      <c r="Q86" s="23">
        <v>440</v>
      </c>
      <c r="R86" s="23">
        <v>130</v>
      </c>
      <c r="S86" s="25" t="s">
        <v>678</v>
      </c>
      <c r="T86" s="25" t="s">
        <v>1023</v>
      </c>
      <c r="U86" s="25" t="s">
        <v>619</v>
      </c>
      <c r="V86" s="25" t="s">
        <v>508</v>
      </c>
      <c r="W86" s="25" t="s">
        <v>1986</v>
      </c>
      <c r="X86" s="25" t="s">
        <v>1987</v>
      </c>
      <c r="Y86" s="25" t="s">
        <v>414</v>
      </c>
      <c r="Z86" s="25" t="s">
        <v>407</v>
      </c>
      <c r="AA86" s="25" t="s">
        <v>1859</v>
      </c>
      <c r="AB86" s="25"/>
      <c r="AC86" s="25" t="s">
        <v>1988</v>
      </c>
      <c r="AD86" s="25" t="s">
        <v>416</v>
      </c>
      <c r="AE86" s="25" t="s">
        <v>1989</v>
      </c>
      <c r="AF86" s="25" t="s">
        <v>1990</v>
      </c>
      <c r="AG86" s="25" t="s">
        <v>417</v>
      </c>
      <c r="AH86" s="25" t="s">
        <v>797</v>
      </c>
      <c r="AI86" s="25" t="s">
        <v>798</v>
      </c>
      <c r="AJ86" s="36" t="s">
        <v>377</v>
      </c>
      <c r="AK86" s="25"/>
      <c r="AL86" s="26"/>
      <c r="AM86" s="23"/>
      <c r="AN86" s="25"/>
      <c r="AO86" s="146" t="s">
        <v>321</v>
      </c>
      <c r="AP86" s="23">
        <v>7000</v>
      </c>
      <c r="AQ86" s="23" t="str">
        <f t="shared" si="4"/>
        <v>7CP</v>
      </c>
      <c r="AR86" s="23" t="str">
        <f t="shared" si="5"/>
        <v>25</v>
      </c>
      <c r="AS86" s="23">
        <v>5</v>
      </c>
      <c r="AT86" s="23"/>
      <c r="AU86" s="23"/>
      <c r="AV86" s="23" t="s">
        <v>1178</v>
      </c>
      <c r="AW86" s="23"/>
      <c r="AX86" s="23" t="s">
        <v>1178</v>
      </c>
      <c r="AY86" s="23">
        <v>1505</v>
      </c>
      <c r="AZ86" s="185">
        <v>41205</v>
      </c>
      <c r="BA86" s="192"/>
    </row>
    <row r="87" spans="1:53" ht="11.25" customHeight="1">
      <c r="A87" s="125">
        <v>86</v>
      </c>
      <c r="B87" s="129" t="str">
        <f>VLOOKUP(Z87,'コード表'!$T$2:$X$36,5,0)</f>
        <v>22</v>
      </c>
      <c r="C87" s="83">
        <f>VLOOKUP(N87,'コード表'!$W$47:$X$50,2,0)</f>
        <v>1</v>
      </c>
      <c r="D87" s="83">
        <f>VLOOKUP(M87,'コード表'!$W$53:$X$56,2,0)</f>
        <v>1</v>
      </c>
      <c r="E87" s="129">
        <f>VLOOKUP(AA87,'コード表'!Y:AA,3,0)</f>
        <v>221</v>
      </c>
      <c r="F87" s="83">
        <f>VLOOKUP(K87,'コード表'!$W$38:$X$44,2,0)</f>
        <v>1</v>
      </c>
      <c r="G87" s="83">
        <f>VLOOKUP(S87,'コード表'!A:D,4,0)</f>
        <v>110</v>
      </c>
      <c r="H87" s="83">
        <f>VLOOKUP(U87,'コード表'!A:D,4,0)</f>
        <v>110</v>
      </c>
      <c r="I87" s="25">
        <v>86</v>
      </c>
      <c r="J87" s="83" t="s">
        <v>333</v>
      </c>
      <c r="K87" s="23" t="s">
        <v>541</v>
      </c>
      <c r="L87" s="25" t="s">
        <v>1967</v>
      </c>
      <c r="M87" s="23" t="s">
        <v>543</v>
      </c>
      <c r="N87" s="23">
        <v>6</v>
      </c>
      <c r="O87" s="23">
        <v>795</v>
      </c>
      <c r="P87" s="23">
        <v>710</v>
      </c>
      <c r="Q87" s="23">
        <v>495</v>
      </c>
      <c r="R87" s="23">
        <v>110</v>
      </c>
      <c r="S87" s="25" t="s">
        <v>673</v>
      </c>
      <c r="T87" s="25" t="s">
        <v>1216</v>
      </c>
      <c r="U87" s="25" t="s">
        <v>673</v>
      </c>
      <c r="V87" s="25" t="s">
        <v>1861</v>
      </c>
      <c r="W87" s="25" t="s">
        <v>1465</v>
      </c>
      <c r="X87" s="25" t="s">
        <v>1961</v>
      </c>
      <c r="Y87" s="25" t="s">
        <v>414</v>
      </c>
      <c r="Z87" s="25" t="s">
        <v>407</v>
      </c>
      <c r="AA87" s="25" t="s">
        <v>1862</v>
      </c>
      <c r="AB87" s="25"/>
      <c r="AC87" s="25" t="s">
        <v>1968</v>
      </c>
      <c r="AD87" s="25" t="s">
        <v>416</v>
      </c>
      <c r="AE87" s="25" t="s">
        <v>2112</v>
      </c>
      <c r="AF87" s="25" t="s">
        <v>1934</v>
      </c>
      <c r="AG87" s="25" t="s">
        <v>417</v>
      </c>
      <c r="AH87" s="25" t="s">
        <v>1013</v>
      </c>
      <c r="AI87" s="25" t="s">
        <v>2096</v>
      </c>
      <c r="AJ87" s="36" t="s">
        <v>377</v>
      </c>
      <c r="AK87" s="25"/>
      <c r="AL87" s="26"/>
      <c r="AM87" s="23"/>
      <c r="AN87" s="25"/>
      <c r="AO87" s="146" t="s">
        <v>322</v>
      </c>
      <c r="AP87" s="23">
        <v>7000</v>
      </c>
      <c r="AQ87" s="23" t="str">
        <f t="shared" si="4"/>
        <v>7PR</v>
      </c>
      <c r="AR87" s="23" t="str">
        <f t="shared" si="5"/>
        <v>15</v>
      </c>
      <c r="AS87" s="23">
        <v>5</v>
      </c>
      <c r="AT87" s="23"/>
      <c r="AU87" s="23">
        <v>2</v>
      </c>
      <c r="AV87" s="23" t="s">
        <v>1177</v>
      </c>
      <c r="AW87" s="23">
        <v>2</v>
      </c>
      <c r="AX87" s="23" t="s">
        <v>1177</v>
      </c>
      <c r="AY87" s="23">
        <v>1506</v>
      </c>
      <c r="AZ87" s="185">
        <v>41205</v>
      </c>
      <c r="BA87" s="192"/>
    </row>
    <row r="88" spans="1:53" ht="11.25" customHeight="1">
      <c r="A88" s="125">
        <v>87</v>
      </c>
      <c r="B88" s="129" t="str">
        <f>VLOOKUP(Z88,'コード表'!$T$2:$X$36,5,0)</f>
        <v>22</v>
      </c>
      <c r="C88" s="83">
        <f>VLOOKUP(N88,'コード表'!$W$47:$X$50,2,0)</f>
        <v>1</v>
      </c>
      <c r="D88" s="83">
        <f>VLOOKUP(M88,'コード表'!$W$53:$X$56,2,0)</f>
        <v>2</v>
      </c>
      <c r="E88" s="129">
        <f>VLOOKUP(AA88,'コード表'!Y:AA,3,0)</f>
        <v>221</v>
      </c>
      <c r="F88" s="83">
        <f>VLOOKUP(K88,'コード表'!$W$38:$X$44,2,0)</f>
        <v>1</v>
      </c>
      <c r="G88" s="83">
        <f>VLOOKUP(S88,'コード表'!A:D,4,0)</f>
        <v>100</v>
      </c>
      <c r="H88" s="83">
        <f>VLOOKUP(U88,'コード表'!A:D,4,0)</f>
        <v>450</v>
      </c>
      <c r="I88" s="25">
        <v>87</v>
      </c>
      <c r="J88" s="83" t="s">
        <v>334</v>
      </c>
      <c r="K88" s="23" t="s">
        <v>541</v>
      </c>
      <c r="L88" s="25" t="s">
        <v>1468</v>
      </c>
      <c r="M88" s="23" t="s">
        <v>544</v>
      </c>
      <c r="N88" s="23">
        <v>6</v>
      </c>
      <c r="O88" s="23">
        <v>795</v>
      </c>
      <c r="P88" s="23">
        <v>520</v>
      </c>
      <c r="Q88" s="23">
        <v>520</v>
      </c>
      <c r="R88" s="23">
        <v>130</v>
      </c>
      <c r="S88" s="25" t="s">
        <v>677</v>
      </c>
      <c r="T88" s="25" t="s">
        <v>87</v>
      </c>
      <c r="U88" s="25" t="s">
        <v>618</v>
      </c>
      <c r="V88" s="25" t="s">
        <v>974</v>
      </c>
      <c r="W88" s="25" t="s">
        <v>1082</v>
      </c>
      <c r="X88" s="25" t="s">
        <v>844</v>
      </c>
      <c r="Y88" s="25" t="s">
        <v>414</v>
      </c>
      <c r="Z88" s="25" t="s">
        <v>407</v>
      </c>
      <c r="AA88" s="25" t="s">
        <v>1862</v>
      </c>
      <c r="AB88" s="25"/>
      <c r="AC88" s="25" t="s">
        <v>742</v>
      </c>
      <c r="AD88" s="25" t="s">
        <v>416</v>
      </c>
      <c r="AE88" s="25" t="s">
        <v>1083</v>
      </c>
      <c r="AF88" s="25" t="s">
        <v>745</v>
      </c>
      <c r="AG88" s="25" t="s">
        <v>417</v>
      </c>
      <c r="AH88" s="25" t="s">
        <v>364</v>
      </c>
      <c r="AI88" s="25" t="s">
        <v>365</v>
      </c>
      <c r="AJ88" s="36" t="s">
        <v>377</v>
      </c>
      <c r="AK88" s="25"/>
      <c r="AL88" s="26"/>
      <c r="AM88" s="25"/>
      <c r="AN88" s="25"/>
      <c r="AO88" s="146" t="s">
        <v>323</v>
      </c>
      <c r="AP88" s="23">
        <v>7000</v>
      </c>
      <c r="AQ88" s="23" t="str">
        <f t="shared" si="4"/>
        <v>7PR</v>
      </c>
      <c r="AR88" s="23" t="str">
        <f t="shared" si="5"/>
        <v>14</v>
      </c>
      <c r="AS88" s="23">
        <v>4</v>
      </c>
      <c r="AT88" s="23"/>
      <c r="AU88" s="23"/>
      <c r="AV88" s="23"/>
      <c r="AW88" s="23"/>
      <c r="AX88" s="23"/>
      <c r="AY88" s="23">
        <v>1507</v>
      </c>
      <c r="AZ88" s="185">
        <v>41205</v>
      </c>
      <c r="BA88" s="192"/>
    </row>
    <row r="89" spans="1:53" ht="11.25" customHeight="1">
      <c r="A89" s="125">
        <v>88</v>
      </c>
      <c r="B89" s="129" t="str">
        <f>VLOOKUP(Z89,'コード表'!$T$2:$X$36,5,0)</f>
        <v>22</v>
      </c>
      <c r="C89" s="83">
        <f>VLOOKUP(N89,'コード表'!$W$47:$X$50,2,0)</f>
        <v>1</v>
      </c>
      <c r="D89" s="83">
        <f>VLOOKUP(M89,'コード表'!$W$53:$X$56,2,0)</f>
        <v>4</v>
      </c>
      <c r="E89" s="129">
        <f>VLOOKUP(AA89,'コード表'!Y:AA,3,0)</f>
        <v>221</v>
      </c>
      <c r="F89" s="83">
        <f>VLOOKUP(K89,'コード表'!$W$38:$X$44,2,0)</f>
        <v>1</v>
      </c>
      <c r="G89" s="83">
        <f>VLOOKUP(S89,'コード表'!A:D,4,0)</f>
        <v>120</v>
      </c>
      <c r="H89" s="83">
        <f>VLOOKUP(U89,'コード表'!A:D,4,0)</f>
        <v>120</v>
      </c>
      <c r="I89" s="25">
        <v>88</v>
      </c>
      <c r="J89" s="83" t="s">
        <v>335</v>
      </c>
      <c r="K89" s="23" t="s">
        <v>541</v>
      </c>
      <c r="L89" s="25" t="s">
        <v>958</v>
      </c>
      <c r="M89" s="23" t="s">
        <v>546</v>
      </c>
      <c r="N89" s="23">
        <v>6</v>
      </c>
      <c r="O89" s="23">
        <v>795</v>
      </c>
      <c r="P89" s="23">
        <v>660</v>
      </c>
      <c r="Q89" s="23">
        <v>1170</v>
      </c>
      <c r="R89" s="23">
        <v>70</v>
      </c>
      <c r="S89" s="25" t="s">
        <v>675</v>
      </c>
      <c r="T89" s="25" t="s">
        <v>451</v>
      </c>
      <c r="U89" s="25" t="s">
        <v>675</v>
      </c>
      <c r="V89" s="25" t="s">
        <v>1030</v>
      </c>
      <c r="W89" s="25" t="s">
        <v>60</v>
      </c>
      <c r="X89" s="25" t="s">
        <v>2085</v>
      </c>
      <c r="Y89" s="25" t="s">
        <v>414</v>
      </c>
      <c r="Z89" s="25" t="s">
        <v>407</v>
      </c>
      <c r="AA89" s="25" t="s">
        <v>1862</v>
      </c>
      <c r="AB89" s="25"/>
      <c r="AC89" s="25" t="s">
        <v>917</v>
      </c>
      <c r="AD89" s="25" t="s">
        <v>416</v>
      </c>
      <c r="AE89" s="25" t="s">
        <v>1144</v>
      </c>
      <c r="AF89" s="25" t="s">
        <v>2086</v>
      </c>
      <c r="AG89" s="25" t="s">
        <v>417</v>
      </c>
      <c r="AH89" s="25" t="s">
        <v>959</v>
      </c>
      <c r="AI89" s="25" t="s">
        <v>960</v>
      </c>
      <c r="AJ89" s="36" t="s">
        <v>377</v>
      </c>
      <c r="AK89" s="25"/>
      <c r="AL89" s="26"/>
      <c r="AM89" s="23"/>
      <c r="AN89" s="25"/>
      <c r="AO89" s="146" t="s">
        <v>324</v>
      </c>
      <c r="AP89" s="23">
        <v>7000</v>
      </c>
      <c r="AQ89" s="23" t="str">
        <f t="shared" si="4"/>
        <v>7PR</v>
      </c>
      <c r="AR89" s="23" t="str">
        <f t="shared" si="5"/>
        <v>14</v>
      </c>
      <c r="AS89" s="23">
        <v>4</v>
      </c>
      <c r="AT89" s="23"/>
      <c r="AU89" s="23"/>
      <c r="AV89" s="23" t="s">
        <v>1177</v>
      </c>
      <c r="AW89" s="23"/>
      <c r="AX89" s="23" t="s">
        <v>1177</v>
      </c>
      <c r="AY89" s="23">
        <v>1508</v>
      </c>
      <c r="AZ89" s="185">
        <v>41205</v>
      </c>
      <c r="BA89" s="192"/>
    </row>
    <row r="90" spans="1:53" ht="11.25" customHeight="1">
      <c r="A90" s="125">
        <v>89</v>
      </c>
      <c r="B90" s="129" t="str">
        <f>VLOOKUP(Z90,'コード表'!$T$2:$X$36,5,0)</f>
        <v>22</v>
      </c>
      <c r="C90" s="83">
        <f>VLOOKUP(N90,'コード表'!$W$47:$X$50,2,0)</f>
        <v>1</v>
      </c>
      <c r="D90" s="83">
        <f>VLOOKUP(M90,'コード表'!$W$53:$X$56,2,0)</f>
        <v>3</v>
      </c>
      <c r="E90" s="129">
        <f>VLOOKUP(AA90,'コード表'!Y:AA,3,0)</f>
        <v>221</v>
      </c>
      <c r="F90" s="83">
        <f>VLOOKUP(K90,'コード表'!$W$38:$X$44,2,0)</f>
        <v>1</v>
      </c>
      <c r="G90" s="83">
        <f>VLOOKUP(S90,'コード表'!A:D,4,0)</f>
        <v>110</v>
      </c>
      <c r="H90" s="83">
        <f>VLOOKUP(U90,'コード表'!A:D,4,0)</f>
        <v>110</v>
      </c>
      <c r="I90" s="25">
        <v>89</v>
      </c>
      <c r="J90" s="83" t="s">
        <v>336</v>
      </c>
      <c r="K90" s="23" t="s">
        <v>541</v>
      </c>
      <c r="L90" s="25" t="s">
        <v>1469</v>
      </c>
      <c r="M90" s="23" t="s">
        <v>542</v>
      </c>
      <c r="N90" s="23">
        <v>6</v>
      </c>
      <c r="O90" s="23">
        <v>795</v>
      </c>
      <c r="P90" s="23">
        <v>610</v>
      </c>
      <c r="Q90" s="23">
        <v>425</v>
      </c>
      <c r="R90" s="23">
        <v>130</v>
      </c>
      <c r="S90" s="25" t="s">
        <v>673</v>
      </c>
      <c r="T90" s="25" t="s">
        <v>1025</v>
      </c>
      <c r="U90" s="25" t="s">
        <v>673</v>
      </c>
      <c r="V90" s="25" t="s">
        <v>509</v>
      </c>
      <c r="W90" s="25" t="s">
        <v>1470</v>
      </c>
      <c r="X90" s="25" t="s">
        <v>1960</v>
      </c>
      <c r="Y90" s="25" t="s">
        <v>414</v>
      </c>
      <c r="Z90" s="25" t="s">
        <v>407</v>
      </c>
      <c r="AA90" s="25" t="s">
        <v>1862</v>
      </c>
      <c r="AB90" s="25"/>
      <c r="AC90" s="25" t="s">
        <v>1932</v>
      </c>
      <c r="AD90" s="25" t="s">
        <v>416</v>
      </c>
      <c r="AE90" s="25" t="s">
        <v>1083</v>
      </c>
      <c r="AF90" s="25" t="s">
        <v>745</v>
      </c>
      <c r="AG90" s="25" t="s">
        <v>417</v>
      </c>
      <c r="AH90" s="25" t="s">
        <v>1235</v>
      </c>
      <c r="AI90" s="25" t="s">
        <v>743</v>
      </c>
      <c r="AJ90" s="36" t="s">
        <v>377</v>
      </c>
      <c r="AK90" s="25"/>
      <c r="AL90" s="26"/>
      <c r="AM90" s="23"/>
      <c r="AN90" s="25"/>
      <c r="AO90" s="146" t="s">
        <v>325</v>
      </c>
      <c r="AP90" s="23">
        <v>7000</v>
      </c>
      <c r="AQ90" s="23" t="str">
        <f t="shared" si="4"/>
        <v>7PR</v>
      </c>
      <c r="AR90" s="23" t="str">
        <f t="shared" si="5"/>
        <v>14</v>
      </c>
      <c r="AS90" s="23">
        <v>4</v>
      </c>
      <c r="AT90" s="23"/>
      <c r="AU90" s="23">
        <v>2</v>
      </c>
      <c r="AV90" s="23" t="s">
        <v>1177</v>
      </c>
      <c r="AW90" s="23">
        <v>2</v>
      </c>
      <c r="AX90" s="23" t="s">
        <v>1177</v>
      </c>
      <c r="AY90" s="23">
        <v>1509</v>
      </c>
      <c r="AZ90" s="185">
        <v>41205</v>
      </c>
      <c r="BA90" s="192"/>
    </row>
    <row r="91" spans="1:53" ht="11.25" customHeight="1">
      <c r="A91" s="125">
        <v>90</v>
      </c>
      <c r="B91" s="129" t="str">
        <f>VLOOKUP(Z91,'コード表'!$T$2:$X$36,5,0)</f>
        <v>22</v>
      </c>
      <c r="C91" s="83">
        <f>VLOOKUP(N91,'コード表'!$W$47:$X$50,2,0)</f>
        <v>1</v>
      </c>
      <c r="D91" s="83">
        <f>VLOOKUP(M91,'コード表'!$W$53:$X$56,2,0)</f>
        <v>1</v>
      </c>
      <c r="E91" s="129">
        <f>VLOOKUP(AA91,'コード表'!Y:AA,3,0)</f>
        <v>221</v>
      </c>
      <c r="F91" s="83">
        <f>VLOOKUP(K91,'コード表'!$W$38:$X$44,2,0)</f>
        <v>1</v>
      </c>
      <c r="G91" s="83">
        <f>VLOOKUP(S91,'コード表'!A:D,4,0)</f>
        <v>300</v>
      </c>
      <c r="H91" s="83">
        <f>VLOOKUP(U91,'コード表'!A:D,4,0)</f>
        <v>450</v>
      </c>
      <c r="I91" s="25">
        <v>90</v>
      </c>
      <c r="J91" s="83" t="s">
        <v>1074</v>
      </c>
      <c r="K91" s="23" t="s">
        <v>541</v>
      </c>
      <c r="L91" s="25" t="s">
        <v>1084</v>
      </c>
      <c r="M91" s="23" t="s">
        <v>543</v>
      </c>
      <c r="N91" s="23">
        <v>6</v>
      </c>
      <c r="O91" s="23">
        <v>795</v>
      </c>
      <c r="P91" s="23">
        <v>520</v>
      </c>
      <c r="Q91" s="23">
        <v>520</v>
      </c>
      <c r="R91" s="23">
        <v>130</v>
      </c>
      <c r="S91" s="25" t="s">
        <v>678</v>
      </c>
      <c r="T91" s="25" t="s">
        <v>87</v>
      </c>
      <c r="U91" s="25" t="s">
        <v>618</v>
      </c>
      <c r="V91" s="25" t="s">
        <v>974</v>
      </c>
      <c r="W91" s="25" t="s">
        <v>1082</v>
      </c>
      <c r="X91" s="25" t="s">
        <v>844</v>
      </c>
      <c r="Y91" s="25" t="s">
        <v>414</v>
      </c>
      <c r="Z91" s="25" t="s">
        <v>407</v>
      </c>
      <c r="AA91" s="25" t="s">
        <v>1862</v>
      </c>
      <c r="AB91" s="25"/>
      <c r="AC91" s="25" t="s">
        <v>839</v>
      </c>
      <c r="AD91" s="25" t="s">
        <v>416</v>
      </c>
      <c r="AE91" s="25" t="s">
        <v>1083</v>
      </c>
      <c r="AF91" s="25" t="s">
        <v>745</v>
      </c>
      <c r="AG91" s="25" t="s">
        <v>417</v>
      </c>
      <c r="AH91" s="25" t="s">
        <v>364</v>
      </c>
      <c r="AI91" s="25" t="s">
        <v>365</v>
      </c>
      <c r="AJ91" s="36" t="s">
        <v>377</v>
      </c>
      <c r="AK91" s="25"/>
      <c r="AL91" s="26"/>
      <c r="AM91" s="23"/>
      <c r="AN91" s="25"/>
      <c r="AO91" s="146" t="s">
        <v>617</v>
      </c>
      <c r="AP91" s="23">
        <v>7000</v>
      </c>
      <c r="AQ91" s="23" t="str">
        <f t="shared" si="4"/>
        <v>7PR</v>
      </c>
      <c r="AR91" s="23" t="str">
        <f t="shared" si="5"/>
        <v>14</v>
      </c>
      <c r="AS91" s="23">
        <v>4</v>
      </c>
      <c r="AT91" s="23"/>
      <c r="AU91" s="23"/>
      <c r="AV91" s="23"/>
      <c r="AW91" s="23"/>
      <c r="AX91" s="23"/>
      <c r="AY91" s="23">
        <v>1520</v>
      </c>
      <c r="AZ91" s="185">
        <v>41212</v>
      </c>
      <c r="BA91" s="192" t="s">
        <v>2284</v>
      </c>
    </row>
    <row r="92" spans="1:53" ht="11.25" customHeight="1">
      <c r="A92" s="125">
        <v>91</v>
      </c>
      <c r="B92" s="129" t="str">
        <f>VLOOKUP(Z92,'コード表'!$T$2:$X$36,5,0)</f>
        <v>22</v>
      </c>
      <c r="C92" s="83">
        <f>VLOOKUP(N92,'コード表'!$W$47:$X$50,2,0)</f>
        <v>4</v>
      </c>
      <c r="D92" s="83">
        <f>VLOOKUP(M92,'コード表'!$W$53:$X$56,2,0)</f>
        <v>4</v>
      </c>
      <c r="E92" s="129">
        <f>VLOOKUP(AA92,'コード表'!Y:AA,3,0)</f>
        <v>224</v>
      </c>
      <c r="F92" s="83">
        <f>VLOOKUP(K92,'コード表'!$W$38:$X$44,2,0)</f>
        <v>1</v>
      </c>
      <c r="G92" s="83">
        <f>VLOOKUP(S92,'コード表'!A:D,4,0)</f>
        <v>661</v>
      </c>
      <c r="H92" s="83">
        <f>VLOOKUP(U92,'コード表'!A:D,4,0)</f>
        <v>642</v>
      </c>
      <c r="I92" s="25">
        <v>91</v>
      </c>
      <c r="J92" s="83" t="s">
        <v>1075</v>
      </c>
      <c r="K92" s="23" t="s">
        <v>541</v>
      </c>
      <c r="L92" s="25" t="s">
        <v>1290</v>
      </c>
      <c r="M92" s="23" t="s">
        <v>546</v>
      </c>
      <c r="N92" s="23">
        <v>3</v>
      </c>
      <c r="O92" s="23">
        <v>435</v>
      </c>
      <c r="P92" s="23">
        <v>320</v>
      </c>
      <c r="Q92" s="23">
        <v>320</v>
      </c>
      <c r="R92" s="23">
        <v>115</v>
      </c>
      <c r="S92" s="25" t="s">
        <v>582</v>
      </c>
      <c r="T92" s="25" t="s">
        <v>450</v>
      </c>
      <c r="U92" s="25" t="s">
        <v>1181</v>
      </c>
      <c r="V92" s="25" t="s">
        <v>350</v>
      </c>
      <c r="W92" s="25" t="s">
        <v>1291</v>
      </c>
      <c r="X92" s="25" t="s">
        <v>1292</v>
      </c>
      <c r="Y92" s="25" t="s">
        <v>414</v>
      </c>
      <c r="Z92" s="25" t="s">
        <v>407</v>
      </c>
      <c r="AA92" s="25" t="s">
        <v>1859</v>
      </c>
      <c r="AB92" s="25"/>
      <c r="AC92" s="25" t="s">
        <v>1293</v>
      </c>
      <c r="AD92" s="25" t="s">
        <v>416</v>
      </c>
      <c r="AE92" s="25" t="s">
        <v>1083</v>
      </c>
      <c r="AF92" s="25" t="s">
        <v>745</v>
      </c>
      <c r="AG92" s="25" t="s">
        <v>417</v>
      </c>
      <c r="AH92" s="25" t="s">
        <v>376</v>
      </c>
      <c r="AI92" s="25" t="s">
        <v>743</v>
      </c>
      <c r="AJ92" s="36" t="s">
        <v>377</v>
      </c>
      <c r="AK92" s="25"/>
      <c r="AL92" s="26"/>
      <c r="AM92" s="25"/>
      <c r="AN92" s="25"/>
      <c r="AO92" s="146" t="s">
        <v>1022</v>
      </c>
      <c r="AP92" s="23">
        <v>7000</v>
      </c>
      <c r="AQ92" s="23" t="str">
        <f t="shared" si="4"/>
        <v>7PR</v>
      </c>
      <c r="AR92" s="23" t="str">
        <f t="shared" si="5"/>
        <v>04</v>
      </c>
      <c r="AS92" s="23">
        <v>4</v>
      </c>
      <c r="AT92" s="23"/>
      <c r="AU92" s="23"/>
      <c r="AV92" s="23"/>
      <c r="AW92" s="23"/>
      <c r="AX92" s="23"/>
      <c r="AY92" s="23">
        <v>1524</v>
      </c>
      <c r="AZ92" s="185">
        <v>41219</v>
      </c>
      <c r="BA92" s="192" t="s">
        <v>2285</v>
      </c>
    </row>
    <row r="93" spans="1:53" s="28" customFormat="1" ht="11.25" customHeight="1">
      <c r="A93" s="125">
        <v>92</v>
      </c>
      <c r="B93" s="129" t="str">
        <f>VLOOKUP(Z93,'コード表'!$T$2:$X$36,5,0)</f>
        <v>20</v>
      </c>
      <c r="C93" s="83">
        <f>VLOOKUP(N93,'コード表'!$W$47:$X$50,2,0)</f>
        <v>4</v>
      </c>
      <c r="D93" s="83">
        <f>VLOOKUP(M93,'コード表'!$W$53:$X$56,2,0)</f>
        <v>2</v>
      </c>
      <c r="E93" s="129">
        <f>VLOOKUP(AA93,'コード表'!Y:AA,3,0)</f>
        <v>204</v>
      </c>
      <c r="F93" s="83">
        <f>VLOOKUP(K93,'コード表'!$W$38:$X$44,2,0)</f>
        <v>1</v>
      </c>
      <c r="G93" s="83">
        <f>VLOOKUP(S93,'コード表'!A:D,4,0)</f>
        <v>661</v>
      </c>
      <c r="H93" s="83">
        <f>VLOOKUP(U93,'コード表'!A:D,4,0)</f>
        <v>660</v>
      </c>
      <c r="I93" s="25">
        <v>92</v>
      </c>
      <c r="J93" s="83" t="s">
        <v>1076</v>
      </c>
      <c r="K93" s="23" t="s">
        <v>541</v>
      </c>
      <c r="L93" s="25" t="s">
        <v>1923</v>
      </c>
      <c r="M93" s="23" t="s">
        <v>1389</v>
      </c>
      <c r="N93" s="23">
        <v>3</v>
      </c>
      <c r="O93" s="23">
        <v>435</v>
      </c>
      <c r="P93" s="23">
        <v>285</v>
      </c>
      <c r="Q93" s="23">
        <v>335</v>
      </c>
      <c r="R93" s="23">
        <v>120</v>
      </c>
      <c r="S93" s="25" t="s">
        <v>1010</v>
      </c>
      <c r="T93" s="25" t="s">
        <v>1251</v>
      </c>
      <c r="U93" s="25" t="s">
        <v>1259</v>
      </c>
      <c r="V93" s="25" t="s">
        <v>641</v>
      </c>
      <c r="W93" s="25" t="s">
        <v>1924</v>
      </c>
      <c r="X93" s="25" t="s">
        <v>1925</v>
      </c>
      <c r="Y93" s="25" t="s">
        <v>414</v>
      </c>
      <c r="Z93" s="25" t="s">
        <v>647</v>
      </c>
      <c r="AA93" s="25" t="s">
        <v>1077</v>
      </c>
      <c r="AB93" s="25"/>
      <c r="AC93" s="25" t="s">
        <v>1926</v>
      </c>
      <c r="AD93" s="25" t="s">
        <v>416</v>
      </c>
      <c r="AE93" s="25" t="s">
        <v>601</v>
      </c>
      <c r="AF93" s="25" t="s">
        <v>602</v>
      </c>
      <c r="AG93" s="25" t="s">
        <v>417</v>
      </c>
      <c r="AH93" s="25"/>
      <c r="AI93" s="25"/>
      <c r="AJ93" s="36"/>
      <c r="AK93" s="25"/>
      <c r="AL93" s="23"/>
      <c r="AM93" s="23"/>
      <c r="AN93" s="25"/>
      <c r="AO93" s="146" t="s">
        <v>1073</v>
      </c>
      <c r="AP93" s="23">
        <v>6000</v>
      </c>
      <c r="AQ93" s="23" t="str">
        <f t="shared" si="4"/>
        <v>6PR</v>
      </c>
      <c r="AR93" s="23" t="str">
        <f t="shared" si="5"/>
        <v>05</v>
      </c>
      <c r="AS93" s="23">
        <v>5</v>
      </c>
      <c r="AT93" s="23"/>
      <c r="AU93" s="23"/>
      <c r="AV93" s="23"/>
      <c r="AW93" s="23"/>
      <c r="AX93" s="23"/>
      <c r="AY93" s="23">
        <v>1521</v>
      </c>
      <c r="AZ93" s="185">
        <v>41212</v>
      </c>
      <c r="BA93" s="192"/>
    </row>
    <row r="94" spans="1:53" ht="11.25" customHeight="1">
      <c r="A94" s="125">
        <v>93</v>
      </c>
      <c r="B94" s="129" t="str">
        <f>VLOOKUP(Z94,'コード表'!$T$2:$X$36,5,0)</f>
        <v>18</v>
      </c>
      <c r="C94" s="83">
        <f>VLOOKUP(N94,'コード表'!$W$47:$X$50,2,0)</f>
        <v>2</v>
      </c>
      <c r="D94" s="83">
        <f>VLOOKUP(M94,'コード表'!$W$53:$X$56,2,0)</f>
        <v>3</v>
      </c>
      <c r="E94" s="129">
        <f>VLOOKUP(AA94,'コード表'!Y:AA,3,0)</f>
        <v>182</v>
      </c>
      <c r="F94" s="83">
        <f>VLOOKUP(K94,'コード表'!$W$38:$X$44,2,0)</f>
        <v>2</v>
      </c>
      <c r="G94" s="83">
        <f>VLOOKUP(S94,'コード表'!A:D,4,0)</f>
        <v>300</v>
      </c>
      <c r="H94" s="83">
        <f>VLOOKUP(U94,'コード表'!A:D,4,0)</f>
        <v>300</v>
      </c>
      <c r="I94" s="25">
        <v>93</v>
      </c>
      <c r="J94" s="83" t="s">
        <v>214</v>
      </c>
      <c r="K94" s="23" t="s">
        <v>847</v>
      </c>
      <c r="L94" s="25" t="s">
        <v>964</v>
      </c>
      <c r="M94" s="23" t="s">
        <v>542</v>
      </c>
      <c r="N94" s="23">
        <v>5</v>
      </c>
      <c r="O94" s="23">
        <v>675</v>
      </c>
      <c r="P94" s="23">
        <v>480</v>
      </c>
      <c r="Q94" s="23">
        <v>405</v>
      </c>
      <c r="R94" s="23">
        <v>130</v>
      </c>
      <c r="S94" s="25" t="s">
        <v>678</v>
      </c>
      <c r="T94" s="25" t="s">
        <v>616</v>
      </c>
      <c r="U94" s="25" t="s">
        <v>678</v>
      </c>
      <c r="V94" s="25" t="s">
        <v>0</v>
      </c>
      <c r="W94" s="25" t="s">
        <v>965</v>
      </c>
      <c r="X94" s="25" t="s">
        <v>98</v>
      </c>
      <c r="Y94" s="25" t="s">
        <v>414</v>
      </c>
      <c r="Z94" s="25" t="s">
        <v>2058</v>
      </c>
      <c r="AA94" s="25" t="s">
        <v>1295</v>
      </c>
      <c r="AB94" s="25"/>
      <c r="AC94" s="25" t="s">
        <v>637</v>
      </c>
      <c r="AD94" s="25" t="s">
        <v>416</v>
      </c>
      <c r="AE94" s="25" t="s">
        <v>186</v>
      </c>
      <c r="AF94" s="25" t="s">
        <v>638</v>
      </c>
      <c r="AG94" s="25" t="s">
        <v>417</v>
      </c>
      <c r="AH94" s="25"/>
      <c r="AI94" s="25"/>
      <c r="AJ94" s="36"/>
      <c r="AK94" s="25"/>
      <c r="AL94" s="26"/>
      <c r="AM94" s="23"/>
      <c r="AN94" s="25"/>
      <c r="AO94" s="146" t="s">
        <v>227</v>
      </c>
      <c r="AP94" s="23">
        <v>7000</v>
      </c>
      <c r="AQ94" s="23" t="str">
        <f t="shared" si="4"/>
        <v>7CP</v>
      </c>
      <c r="AR94" s="23" t="str">
        <f t="shared" si="5"/>
        <v>25</v>
      </c>
      <c r="AS94" s="23">
        <v>5</v>
      </c>
      <c r="AT94" s="23"/>
      <c r="AU94" s="23"/>
      <c r="AV94" s="23"/>
      <c r="AW94" s="23"/>
      <c r="AX94" s="23"/>
      <c r="AY94" s="23">
        <v>1584</v>
      </c>
      <c r="AZ94" s="185">
        <v>41226</v>
      </c>
      <c r="BA94" s="192"/>
    </row>
    <row r="95" spans="1:53" ht="11.25" customHeight="1">
      <c r="A95" s="125">
        <v>94</v>
      </c>
      <c r="B95" s="129" t="str">
        <f>VLOOKUP(Z95,'コード表'!$T$2:$X$36,5,0)</f>
        <v>19</v>
      </c>
      <c r="C95" s="83">
        <f>VLOOKUP(N95,'コード表'!$W$47:$X$50,2,0)</f>
        <v>2</v>
      </c>
      <c r="D95" s="83">
        <f>VLOOKUP(M95,'コード表'!$W$53:$X$56,2,0)</f>
        <v>3</v>
      </c>
      <c r="E95" s="129">
        <f>VLOOKUP(AA95,'コード表'!Y:AA,3,0)</f>
        <v>192</v>
      </c>
      <c r="F95" s="83">
        <f>VLOOKUP(K95,'コード表'!$W$38:$X$44,2,0)</f>
        <v>2</v>
      </c>
      <c r="G95" s="83">
        <f>VLOOKUP(S95,'コード表'!A:D,4,0)</f>
        <v>100</v>
      </c>
      <c r="H95" s="83">
        <f>VLOOKUP(U95,'コード表'!A:D,4,0)</f>
        <v>400</v>
      </c>
      <c r="I95" s="25">
        <v>94</v>
      </c>
      <c r="J95" s="83" t="s">
        <v>215</v>
      </c>
      <c r="K95" s="23" t="s">
        <v>847</v>
      </c>
      <c r="L95" s="25" t="s">
        <v>1551</v>
      </c>
      <c r="M95" s="23" t="s">
        <v>542</v>
      </c>
      <c r="N95" s="23">
        <v>5</v>
      </c>
      <c r="O95" s="23">
        <v>675</v>
      </c>
      <c r="P95" s="23">
        <v>460</v>
      </c>
      <c r="Q95" s="23">
        <v>660</v>
      </c>
      <c r="R95" s="23">
        <v>100</v>
      </c>
      <c r="S95" s="25" t="s">
        <v>677</v>
      </c>
      <c r="T95" s="25" t="s">
        <v>616</v>
      </c>
      <c r="U95" s="25" t="s">
        <v>619</v>
      </c>
      <c r="V95" s="25" t="s">
        <v>1296</v>
      </c>
      <c r="W95" s="25" t="s">
        <v>1552</v>
      </c>
      <c r="X95" s="25" t="s">
        <v>950</v>
      </c>
      <c r="Y95" s="25" t="s">
        <v>414</v>
      </c>
      <c r="Z95" s="25" t="s">
        <v>410</v>
      </c>
      <c r="AA95" s="25" t="s">
        <v>1297</v>
      </c>
      <c r="AB95" s="25"/>
      <c r="AC95" s="25" t="s">
        <v>639</v>
      </c>
      <c r="AD95" s="25" t="s">
        <v>416</v>
      </c>
      <c r="AE95" s="25" t="s">
        <v>187</v>
      </c>
      <c r="AF95" s="25" t="s">
        <v>640</v>
      </c>
      <c r="AG95" s="25" t="s">
        <v>417</v>
      </c>
      <c r="AH95" s="25"/>
      <c r="AI95" s="25"/>
      <c r="AJ95" s="36"/>
      <c r="AK95" s="25"/>
      <c r="AL95" s="26"/>
      <c r="AM95" s="23"/>
      <c r="AN95" s="25"/>
      <c r="AO95" s="146" t="s">
        <v>228</v>
      </c>
      <c r="AP95" s="23">
        <v>7000</v>
      </c>
      <c r="AQ95" s="23" t="str">
        <f t="shared" si="4"/>
        <v>7CP</v>
      </c>
      <c r="AR95" s="23" t="str">
        <f t="shared" si="5"/>
        <v>25</v>
      </c>
      <c r="AS95" s="23">
        <v>5</v>
      </c>
      <c r="AT95" s="23"/>
      <c r="AU95" s="23"/>
      <c r="AV95" s="23"/>
      <c r="AW95" s="23"/>
      <c r="AX95" s="23"/>
      <c r="AY95" s="23">
        <v>1585</v>
      </c>
      <c r="AZ95" s="185">
        <v>41226</v>
      </c>
      <c r="BA95" s="192"/>
    </row>
    <row r="96" spans="1:53" ht="11.25" customHeight="1">
      <c r="A96" s="125">
        <v>95</v>
      </c>
      <c r="B96" s="129" t="str">
        <f>VLOOKUP(Z96,'コード表'!$T$2:$X$36,5,0)</f>
        <v>20</v>
      </c>
      <c r="C96" s="83">
        <f>VLOOKUP(N96,'コード表'!$W$47:$X$50,2,0)</f>
        <v>2</v>
      </c>
      <c r="D96" s="83">
        <f>VLOOKUP(M96,'コード表'!$W$53:$X$56,2,0)</f>
        <v>1</v>
      </c>
      <c r="E96" s="129">
        <f>VLOOKUP(AA96,'コード表'!Y:AA,3,0)</f>
        <v>201</v>
      </c>
      <c r="F96" s="83">
        <f>VLOOKUP(K96,'コード表'!$W$38:$X$44,2,0)</f>
        <v>2</v>
      </c>
      <c r="G96" s="83">
        <f>VLOOKUP(S96,'コード表'!A:D,4,0)</f>
        <v>100</v>
      </c>
      <c r="H96" s="83">
        <f>VLOOKUP(U96,'コード表'!A:D,4,0)</f>
        <v>400</v>
      </c>
      <c r="I96" s="25">
        <v>95</v>
      </c>
      <c r="J96" s="83" t="s">
        <v>216</v>
      </c>
      <c r="K96" s="23" t="s">
        <v>847</v>
      </c>
      <c r="L96" s="25" t="s">
        <v>1555</v>
      </c>
      <c r="M96" s="23" t="s">
        <v>543</v>
      </c>
      <c r="N96" s="23">
        <v>5</v>
      </c>
      <c r="O96" s="23">
        <v>700</v>
      </c>
      <c r="P96" s="23">
        <v>500</v>
      </c>
      <c r="Q96" s="23">
        <v>425</v>
      </c>
      <c r="R96" s="23">
        <v>130</v>
      </c>
      <c r="S96" s="25" t="s">
        <v>677</v>
      </c>
      <c r="T96" s="25" t="s">
        <v>1023</v>
      </c>
      <c r="U96" s="25" t="s">
        <v>619</v>
      </c>
      <c r="V96" s="25" t="s">
        <v>1025</v>
      </c>
      <c r="W96" s="25" t="s">
        <v>1556</v>
      </c>
      <c r="X96" s="25" t="s">
        <v>1480</v>
      </c>
      <c r="Y96" s="25" t="s">
        <v>414</v>
      </c>
      <c r="Z96" s="25" t="s">
        <v>1444</v>
      </c>
      <c r="AA96" s="25" t="s">
        <v>1298</v>
      </c>
      <c r="AB96" s="25"/>
      <c r="AC96" s="25" t="s">
        <v>2098</v>
      </c>
      <c r="AD96" s="25" t="s">
        <v>416</v>
      </c>
      <c r="AE96" s="25" t="s">
        <v>188</v>
      </c>
      <c r="AF96" s="25" t="s">
        <v>1407</v>
      </c>
      <c r="AG96" s="25" t="s">
        <v>417</v>
      </c>
      <c r="AH96" s="25"/>
      <c r="AI96" s="25"/>
      <c r="AJ96" s="36"/>
      <c r="AK96" s="25"/>
      <c r="AL96" s="26"/>
      <c r="AM96" s="23"/>
      <c r="AN96" s="25"/>
      <c r="AO96" s="146" t="s">
        <v>229</v>
      </c>
      <c r="AP96" s="23">
        <v>7000</v>
      </c>
      <c r="AQ96" s="23" t="str">
        <f t="shared" si="4"/>
        <v>7CP</v>
      </c>
      <c r="AR96" s="23" t="str">
        <f t="shared" si="5"/>
        <v>24</v>
      </c>
      <c r="AS96" s="23">
        <v>4</v>
      </c>
      <c r="AT96" s="23"/>
      <c r="AU96" s="23"/>
      <c r="AV96" s="23"/>
      <c r="AW96" s="23"/>
      <c r="AX96" s="23"/>
      <c r="AY96" s="23">
        <v>1586</v>
      </c>
      <c r="AZ96" s="185">
        <v>41226</v>
      </c>
      <c r="BA96" s="192"/>
    </row>
    <row r="97" spans="1:53" ht="11.25" customHeight="1">
      <c r="A97" s="125">
        <v>96</v>
      </c>
      <c r="B97" s="129" t="str">
        <f>VLOOKUP(Z97,'コード表'!$T$2:$X$36,5,0)</f>
        <v>17</v>
      </c>
      <c r="C97" s="83">
        <f>VLOOKUP(N97,'コード表'!$W$47:$X$50,2,0)</f>
        <v>2</v>
      </c>
      <c r="D97" s="83">
        <f>VLOOKUP(M97,'コード表'!$W$53:$X$56,2,0)</f>
        <v>3</v>
      </c>
      <c r="E97" s="129">
        <f>VLOOKUP(AA97,'コード表'!Y:AA,3,0)</f>
        <v>171</v>
      </c>
      <c r="F97" s="83">
        <f>VLOOKUP(K97,'コード表'!$W$38:$X$44,2,0)</f>
        <v>2</v>
      </c>
      <c r="G97" s="83">
        <f>VLOOKUP(S97,'コード表'!A:D,4,0)</f>
        <v>150</v>
      </c>
      <c r="H97" s="83">
        <f>VLOOKUP(U97,'コード表'!A:D,4,0)</f>
        <v>150</v>
      </c>
      <c r="I97" s="25">
        <v>96</v>
      </c>
      <c r="J97" s="83" t="s">
        <v>217</v>
      </c>
      <c r="K97" s="23" t="s">
        <v>847</v>
      </c>
      <c r="L97" s="25" t="s">
        <v>695</v>
      </c>
      <c r="M97" s="23" t="s">
        <v>542</v>
      </c>
      <c r="N97" s="23">
        <v>5</v>
      </c>
      <c r="O97" s="23">
        <v>700</v>
      </c>
      <c r="P97" s="23">
        <v>800</v>
      </c>
      <c r="Q97" s="23">
        <v>465</v>
      </c>
      <c r="R97" s="23">
        <v>90</v>
      </c>
      <c r="S97" s="25" t="s">
        <v>1362</v>
      </c>
      <c r="T97" s="25" t="s">
        <v>213</v>
      </c>
      <c r="U97" s="25" t="s">
        <v>1362</v>
      </c>
      <c r="V97" s="25" t="s">
        <v>212</v>
      </c>
      <c r="W97" s="25" t="s">
        <v>696</v>
      </c>
      <c r="X97" s="25" t="s">
        <v>19</v>
      </c>
      <c r="Y97" s="25" t="s">
        <v>414</v>
      </c>
      <c r="Z97" s="25" t="s">
        <v>409</v>
      </c>
      <c r="AA97" s="25" t="s">
        <v>1299</v>
      </c>
      <c r="AB97" s="25"/>
      <c r="AC97" s="25" t="s">
        <v>2099</v>
      </c>
      <c r="AD97" s="25" t="s">
        <v>416</v>
      </c>
      <c r="AE97" s="25" t="s">
        <v>904</v>
      </c>
      <c r="AF97" s="25" t="s">
        <v>1408</v>
      </c>
      <c r="AG97" s="25" t="s">
        <v>417</v>
      </c>
      <c r="AH97" s="25"/>
      <c r="AI97" s="25"/>
      <c r="AJ97" s="36"/>
      <c r="AK97" s="25"/>
      <c r="AL97" s="26"/>
      <c r="AM97" s="23"/>
      <c r="AN97" s="25"/>
      <c r="AO97" s="146" t="s">
        <v>230</v>
      </c>
      <c r="AP97" s="23">
        <v>7000</v>
      </c>
      <c r="AQ97" s="23" t="str">
        <f t="shared" si="4"/>
        <v>7CP</v>
      </c>
      <c r="AR97" s="23" t="str">
        <f t="shared" si="5"/>
        <v>24</v>
      </c>
      <c r="AS97" s="23">
        <v>4</v>
      </c>
      <c r="AT97" s="23"/>
      <c r="AU97" s="23"/>
      <c r="AV97" s="23"/>
      <c r="AW97" s="23"/>
      <c r="AX97" s="23"/>
      <c r="AY97" s="23">
        <v>1587</v>
      </c>
      <c r="AZ97" s="185">
        <v>41226</v>
      </c>
      <c r="BA97" s="192"/>
    </row>
    <row r="98" spans="1:53" ht="11.25" customHeight="1">
      <c r="A98" s="125">
        <v>97</v>
      </c>
      <c r="B98" s="129" t="str">
        <f>VLOOKUP(Z98,'コード表'!$T$2:$X$36,5,0)</f>
        <v>16</v>
      </c>
      <c r="C98" s="83">
        <f>VLOOKUP(N98,'コード表'!$W$47:$X$50,2,0)</f>
        <v>2</v>
      </c>
      <c r="D98" s="83">
        <f>VLOOKUP(M98,'コード表'!$W$53:$X$56,2,0)</f>
        <v>1</v>
      </c>
      <c r="E98" s="129">
        <f>VLOOKUP(AA98,'コード表'!Y:AA,3,0)</f>
        <v>161</v>
      </c>
      <c r="F98" s="83">
        <f>VLOOKUP(K98,'コード表'!$W$38:$X$44,2,0)</f>
        <v>2</v>
      </c>
      <c r="G98" s="83">
        <f>VLOOKUP(S98,'コード表'!A:D,4,0)</f>
        <v>360</v>
      </c>
      <c r="H98" s="83">
        <f>VLOOKUP(U98,'コード表'!A:D,4,0)</f>
        <v>360</v>
      </c>
      <c r="I98" s="25">
        <v>97</v>
      </c>
      <c r="J98" s="83" t="s">
        <v>218</v>
      </c>
      <c r="K98" s="23" t="s">
        <v>847</v>
      </c>
      <c r="L98" s="25" t="s">
        <v>850</v>
      </c>
      <c r="M98" s="23" t="s">
        <v>543</v>
      </c>
      <c r="N98" s="23">
        <v>5</v>
      </c>
      <c r="O98" s="23">
        <v>700</v>
      </c>
      <c r="P98" s="23">
        <v>580</v>
      </c>
      <c r="Q98" s="23">
        <v>580</v>
      </c>
      <c r="R98" s="23">
        <v>100</v>
      </c>
      <c r="S98" s="25" t="s">
        <v>683</v>
      </c>
      <c r="T98" s="25" t="s">
        <v>211</v>
      </c>
      <c r="U98" s="25" t="s">
        <v>683</v>
      </c>
      <c r="V98" s="25" t="s">
        <v>210</v>
      </c>
      <c r="W98" s="25" t="s">
        <v>27</v>
      </c>
      <c r="X98" s="25" t="s">
        <v>20</v>
      </c>
      <c r="Y98" s="25" t="s">
        <v>414</v>
      </c>
      <c r="Z98" s="25" t="s">
        <v>1448</v>
      </c>
      <c r="AA98" s="25" t="s">
        <v>1300</v>
      </c>
      <c r="AB98" s="25"/>
      <c r="AC98" s="25" t="s">
        <v>209</v>
      </c>
      <c r="AD98" s="25" t="s">
        <v>416</v>
      </c>
      <c r="AE98" s="25" t="s">
        <v>905</v>
      </c>
      <c r="AF98" s="25" t="s">
        <v>1409</v>
      </c>
      <c r="AG98" s="25" t="s">
        <v>417</v>
      </c>
      <c r="AH98" s="25"/>
      <c r="AI98" s="25"/>
      <c r="AJ98" s="36"/>
      <c r="AK98" s="25"/>
      <c r="AL98" s="26"/>
      <c r="AM98" s="23"/>
      <c r="AN98" s="25"/>
      <c r="AO98" s="146" t="s">
        <v>231</v>
      </c>
      <c r="AP98" s="23">
        <v>7000</v>
      </c>
      <c r="AQ98" s="23" t="str">
        <f aca="true" t="shared" si="6" ref="AQ98:AQ107">LEFT(AP98,1)&amp;K98</f>
        <v>7CP</v>
      </c>
      <c r="AR98" s="23" t="str">
        <f aca="true" t="shared" si="7" ref="AR98:AR107">IF(AND($H98&gt;500,$H98&lt;700),"0"&amp;$AS98,$C98&amp;$AS98)</f>
        <v>24</v>
      </c>
      <c r="AS98" s="23">
        <v>4</v>
      </c>
      <c r="AT98" s="23"/>
      <c r="AU98" s="23"/>
      <c r="AV98" s="23"/>
      <c r="AW98" s="23"/>
      <c r="AX98" s="23"/>
      <c r="AY98" s="23">
        <v>1589</v>
      </c>
      <c r="AZ98" s="185">
        <v>41226</v>
      </c>
      <c r="BA98" s="192"/>
    </row>
    <row r="99" spans="1:53" ht="11.25" customHeight="1">
      <c r="A99" s="125">
        <v>98</v>
      </c>
      <c r="B99" s="129" t="str">
        <f>VLOOKUP(Z99,'コード表'!$T$2:$X$36,5,0)</f>
        <v>21</v>
      </c>
      <c r="C99" s="83">
        <f>VLOOKUP(N99,'コード表'!$W$47:$X$50,2,0)</f>
        <v>4</v>
      </c>
      <c r="D99" s="83">
        <f>VLOOKUP(M99,'コード表'!$W$53:$X$56,2,0)</f>
        <v>3</v>
      </c>
      <c r="E99" s="129">
        <f>VLOOKUP(AA99,'コード表'!Y:AA,3,0)</f>
        <v>214</v>
      </c>
      <c r="F99" s="83">
        <f>VLOOKUP(K99,'コード表'!$W$38:$X$44,2,0)</f>
        <v>2</v>
      </c>
      <c r="G99" s="83">
        <f>VLOOKUP(S99,'コード表'!A:D,4,0)</f>
        <v>710</v>
      </c>
      <c r="H99" s="83">
        <f>VLOOKUP(U99,'コード表'!A:D,4,0)</f>
        <v>705</v>
      </c>
      <c r="I99" s="25">
        <v>98</v>
      </c>
      <c r="J99" s="83" t="s">
        <v>219</v>
      </c>
      <c r="K99" s="23" t="s">
        <v>847</v>
      </c>
      <c r="L99" s="25" t="s">
        <v>96</v>
      </c>
      <c r="M99" s="23" t="s">
        <v>542</v>
      </c>
      <c r="N99" s="23">
        <v>3</v>
      </c>
      <c r="O99" s="23">
        <v>410</v>
      </c>
      <c r="P99" s="23">
        <v>300</v>
      </c>
      <c r="Q99" s="23">
        <v>300</v>
      </c>
      <c r="R99" s="23">
        <v>115</v>
      </c>
      <c r="S99" s="25" t="s">
        <v>208</v>
      </c>
      <c r="T99" s="25"/>
      <c r="U99" s="25" t="s">
        <v>579</v>
      </c>
      <c r="V99" s="25" t="s">
        <v>1301</v>
      </c>
      <c r="W99" s="25" t="s">
        <v>934</v>
      </c>
      <c r="X99" s="25" t="s">
        <v>669</v>
      </c>
      <c r="Y99" s="25" t="s">
        <v>414</v>
      </c>
      <c r="Z99" s="25" t="s">
        <v>405</v>
      </c>
      <c r="AA99" s="25" t="s">
        <v>1302</v>
      </c>
      <c r="AB99" s="25"/>
      <c r="AC99" s="25" t="s">
        <v>2100</v>
      </c>
      <c r="AD99" s="25" t="s">
        <v>416</v>
      </c>
      <c r="AE99" s="25" t="s">
        <v>184</v>
      </c>
      <c r="AF99" s="25" t="s">
        <v>634</v>
      </c>
      <c r="AG99" s="25" t="s">
        <v>417</v>
      </c>
      <c r="AH99" s="25"/>
      <c r="AI99" s="25"/>
      <c r="AJ99" s="36"/>
      <c r="AK99" s="25"/>
      <c r="AL99" s="26"/>
      <c r="AM99" s="23"/>
      <c r="AN99" s="25"/>
      <c r="AO99" s="146" t="s">
        <v>232</v>
      </c>
      <c r="AP99" s="23">
        <v>7000</v>
      </c>
      <c r="AQ99" s="23" t="str">
        <f t="shared" si="6"/>
        <v>7CP</v>
      </c>
      <c r="AR99" s="23" t="str">
        <f t="shared" si="7"/>
        <v>45</v>
      </c>
      <c r="AS99" s="23">
        <v>5</v>
      </c>
      <c r="AT99" s="23"/>
      <c r="AU99" s="23"/>
      <c r="AV99" s="23"/>
      <c r="AW99" s="23"/>
      <c r="AX99" s="23"/>
      <c r="AY99" s="23">
        <v>1590</v>
      </c>
      <c r="AZ99" s="185">
        <v>41226</v>
      </c>
      <c r="BA99" s="192"/>
    </row>
    <row r="100" spans="1:53" ht="11.25" customHeight="1">
      <c r="A100" s="125">
        <v>99</v>
      </c>
      <c r="B100" s="129" t="str">
        <f>VLOOKUP(Z100,'コード表'!$T$2:$X$36,5,0)</f>
        <v>21</v>
      </c>
      <c r="C100" s="83">
        <f>VLOOKUP(N100,'コード表'!$W$47:$X$50,2,0)</f>
        <v>1</v>
      </c>
      <c r="D100" s="83">
        <f>VLOOKUP(M100,'コード表'!$W$53:$X$56,2,0)</f>
        <v>2</v>
      </c>
      <c r="E100" s="129">
        <f>VLOOKUP(AA100,'コード表'!Y:AA,3,0)</f>
        <v>211</v>
      </c>
      <c r="F100" s="83">
        <f>VLOOKUP(K100,'コード表'!$W$38:$X$44,2,0)</f>
        <v>1</v>
      </c>
      <c r="G100" s="83">
        <f>VLOOKUP(S100,'コード表'!A:D,4,0)</f>
        <v>100</v>
      </c>
      <c r="H100" s="83">
        <f>VLOOKUP(U100,'コード表'!A:D,4,0)</f>
        <v>100</v>
      </c>
      <c r="I100" s="25">
        <v>99</v>
      </c>
      <c r="J100" s="83" t="s">
        <v>220</v>
      </c>
      <c r="K100" s="23" t="s">
        <v>541</v>
      </c>
      <c r="L100" s="25" t="s">
        <v>1561</v>
      </c>
      <c r="M100" s="23" t="s">
        <v>544</v>
      </c>
      <c r="N100" s="23">
        <v>6</v>
      </c>
      <c r="O100" s="23">
        <v>795</v>
      </c>
      <c r="P100" s="23">
        <v>565</v>
      </c>
      <c r="Q100" s="23">
        <v>475</v>
      </c>
      <c r="R100" s="23">
        <v>130</v>
      </c>
      <c r="S100" s="25" t="s">
        <v>677</v>
      </c>
      <c r="T100" s="25" t="s">
        <v>87</v>
      </c>
      <c r="U100" s="25" t="s">
        <v>677</v>
      </c>
      <c r="V100" s="25" t="s">
        <v>89</v>
      </c>
      <c r="W100" s="25" t="s">
        <v>1562</v>
      </c>
      <c r="X100" s="25" t="s">
        <v>413</v>
      </c>
      <c r="Y100" s="25" t="s">
        <v>414</v>
      </c>
      <c r="Z100" s="25" t="s">
        <v>405</v>
      </c>
      <c r="AA100" s="25" t="s">
        <v>1304</v>
      </c>
      <c r="AB100" s="25"/>
      <c r="AC100" s="25" t="s">
        <v>549</v>
      </c>
      <c r="AD100" s="25" t="s">
        <v>416</v>
      </c>
      <c r="AE100" s="25" t="s">
        <v>1494</v>
      </c>
      <c r="AF100" s="25" t="s">
        <v>555</v>
      </c>
      <c r="AG100" s="25" t="s">
        <v>417</v>
      </c>
      <c r="AH100" s="25"/>
      <c r="AI100" s="25"/>
      <c r="AJ100" s="36"/>
      <c r="AK100" s="25"/>
      <c r="AL100" s="26"/>
      <c r="AM100" s="25"/>
      <c r="AN100" s="25"/>
      <c r="AO100" s="146" t="s">
        <v>158</v>
      </c>
      <c r="AP100" s="23">
        <v>7000</v>
      </c>
      <c r="AQ100" s="23" t="str">
        <f t="shared" si="6"/>
        <v>7PR</v>
      </c>
      <c r="AR100" s="23" t="str">
        <f t="shared" si="7"/>
        <v>14</v>
      </c>
      <c r="AS100" s="23">
        <v>4</v>
      </c>
      <c r="AT100" s="23"/>
      <c r="AU100" s="23"/>
      <c r="AV100" s="23" t="s">
        <v>1177</v>
      </c>
      <c r="AW100" s="23"/>
      <c r="AX100" s="23"/>
      <c r="AY100" s="23">
        <v>1591</v>
      </c>
      <c r="AZ100" s="185">
        <v>41226</v>
      </c>
      <c r="BA100" s="192"/>
    </row>
    <row r="101" spans="1:53" ht="11.25" customHeight="1">
      <c r="A101" s="125">
        <v>100</v>
      </c>
      <c r="B101" s="129" t="str">
        <f>VLOOKUP(Z101,'コード表'!$T$2:$X$36,5,0)</f>
        <v>21</v>
      </c>
      <c r="C101" s="83">
        <f>VLOOKUP(N101,'コード表'!$W$47:$X$50,2,0)</f>
        <v>1</v>
      </c>
      <c r="D101" s="83">
        <f>VLOOKUP(M101,'コード表'!$W$53:$X$56,2,0)</f>
        <v>3</v>
      </c>
      <c r="E101" s="129">
        <f>VLOOKUP(AA101,'コード表'!Y:AA,3,0)</f>
        <v>211</v>
      </c>
      <c r="F101" s="83">
        <f>VLOOKUP(K101,'コード表'!$W$38:$X$44,2,0)</f>
        <v>1</v>
      </c>
      <c r="G101" s="83">
        <f>VLOOKUP(S101,'コード表'!A:D,4,0)</f>
        <v>100</v>
      </c>
      <c r="H101" s="83">
        <f>VLOOKUP(U101,'コード表'!A:D,4,0)</f>
        <v>100</v>
      </c>
      <c r="I101" s="25">
        <v>100</v>
      </c>
      <c r="J101" s="83" t="s">
        <v>221</v>
      </c>
      <c r="K101" s="23" t="s">
        <v>541</v>
      </c>
      <c r="L101" s="25" t="s">
        <v>1563</v>
      </c>
      <c r="M101" s="23" t="s">
        <v>542</v>
      </c>
      <c r="N101" s="23">
        <v>6</v>
      </c>
      <c r="O101" s="23">
        <v>795</v>
      </c>
      <c r="P101" s="23">
        <v>660</v>
      </c>
      <c r="Q101" s="23">
        <v>660</v>
      </c>
      <c r="R101" s="23">
        <v>100</v>
      </c>
      <c r="S101" s="25" t="s">
        <v>677</v>
      </c>
      <c r="T101" s="25" t="s">
        <v>87</v>
      </c>
      <c r="U101" s="25" t="s">
        <v>677</v>
      </c>
      <c r="V101" s="25" t="s">
        <v>89</v>
      </c>
      <c r="W101" s="25" t="s">
        <v>1562</v>
      </c>
      <c r="X101" s="25" t="s">
        <v>413</v>
      </c>
      <c r="Y101" s="25" t="s">
        <v>414</v>
      </c>
      <c r="Z101" s="25" t="s">
        <v>405</v>
      </c>
      <c r="AA101" s="25" t="s">
        <v>1304</v>
      </c>
      <c r="AB101" s="25"/>
      <c r="AC101" s="25" t="s">
        <v>744</v>
      </c>
      <c r="AD101" s="25" t="s">
        <v>416</v>
      </c>
      <c r="AE101" s="25" t="s">
        <v>1494</v>
      </c>
      <c r="AF101" s="25" t="s">
        <v>555</v>
      </c>
      <c r="AG101" s="25" t="s">
        <v>417</v>
      </c>
      <c r="AH101" s="25"/>
      <c r="AI101" s="25"/>
      <c r="AJ101" s="36"/>
      <c r="AK101" s="25"/>
      <c r="AL101" s="26"/>
      <c r="AM101" s="25"/>
      <c r="AN101" s="25"/>
      <c r="AO101" s="146" t="s">
        <v>159</v>
      </c>
      <c r="AP101" s="23">
        <v>7000</v>
      </c>
      <c r="AQ101" s="23" t="str">
        <f t="shared" si="6"/>
        <v>7PR</v>
      </c>
      <c r="AR101" s="23" t="str">
        <f t="shared" si="7"/>
        <v>14</v>
      </c>
      <c r="AS101" s="23">
        <v>4</v>
      </c>
      <c r="AT101" s="23"/>
      <c r="AU101" s="23"/>
      <c r="AV101" s="23" t="s">
        <v>1177</v>
      </c>
      <c r="AW101" s="23"/>
      <c r="AX101" s="23"/>
      <c r="AY101" s="23">
        <v>1592</v>
      </c>
      <c r="AZ101" s="185">
        <v>41226</v>
      </c>
      <c r="BA101" s="192"/>
    </row>
    <row r="102" spans="1:53" ht="11.25" customHeight="1">
      <c r="A102" s="125">
        <v>101</v>
      </c>
      <c r="B102" s="129" t="str">
        <f>VLOOKUP(Z102,'コード表'!$T$2:$X$36,5,0)</f>
        <v>21</v>
      </c>
      <c r="C102" s="83">
        <f>VLOOKUP(N102,'コード表'!$W$47:$X$50,2,0)</f>
        <v>1</v>
      </c>
      <c r="D102" s="83">
        <f>VLOOKUP(M102,'コード表'!$W$53:$X$56,2,0)</f>
        <v>1</v>
      </c>
      <c r="E102" s="129">
        <f>VLOOKUP(AA102,'コード表'!Y:AA,3,0)</f>
        <v>211</v>
      </c>
      <c r="F102" s="83">
        <f>VLOOKUP(K102,'コード表'!$W$38:$X$44,2,0)</f>
        <v>1</v>
      </c>
      <c r="G102" s="83">
        <f>VLOOKUP(S102,'コード表'!A:D,4,0)</f>
        <v>100</v>
      </c>
      <c r="H102" s="83">
        <f>VLOOKUP(U102,'コード表'!A:D,4,0)</f>
        <v>100</v>
      </c>
      <c r="I102" s="25">
        <v>101</v>
      </c>
      <c r="J102" s="83" t="s">
        <v>222</v>
      </c>
      <c r="K102" s="23" t="s">
        <v>541</v>
      </c>
      <c r="L102" s="25" t="s">
        <v>1566</v>
      </c>
      <c r="M102" s="23" t="s">
        <v>543</v>
      </c>
      <c r="N102" s="23">
        <v>6</v>
      </c>
      <c r="O102" s="23">
        <v>795</v>
      </c>
      <c r="P102" s="23">
        <v>480</v>
      </c>
      <c r="Q102" s="23">
        <v>840</v>
      </c>
      <c r="R102" s="23">
        <v>100</v>
      </c>
      <c r="S102" s="25" t="s">
        <v>677</v>
      </c>
      <c r="T102" s="25" t="s">
        <v>87</v>
      </c>
      <c r="U102" s="25" t="s">
        <v>677</v>
      </c>
      <c r="V102" s="25" t="s">
        <v>89</v>
      </c>
      <c r="W102" s="25" t="s">
        <v>1562</v>
      </c>
      <c r="X102" s="25" t="s">
        <v>413</v>
      </c>
      <c r="Y102" s="25" t="s">
        <v>414</v>
      </c>
      <c r="Z102" s="25" t="s">
        <v>405</v>
      </c>
      <c r="AA102" s="25" t="s">
        <v>1304</v>
      </c>
      <c r="AB102" s="25"/>
      <c r="AC102" s="25" t="s">
        <v>550</v>
      </c>
      <c r="AD102" s="25" t="s">
        <v>416</v>
      </c>
      <c r="AE102" s="25" t="s">
        <v>1494</v>
      </c>
      <c r="AF102" s="25" t="s">
        <v>555</v>
      </c>
      <c r="AG102" s="25" t="s">
        <v>417</v>
      </c>
      <c r="AH102" s="25"/>
      <c r="AI102" s="25"/>
      <c r="AJ102" s="36"/>
      <c r="AK102" s="25"/>
      <c r="AL102" s="26"/>
      <c r="AM102" s="23"/>
      <c r="AN102" s="25"/>
      <c r="AO102" s="146" t="s">
        <v>160</v>
      </c>
      <c r="AP102" s="23">
        <v>7000</v>
      </c>
      <c r="AQ102" s="23" t="str">
        <f t="shared" si="6"/>
        <v>7PR</v>
      </c>
      <c r="AR102" s="23" t="str">
        <f t="shared" si="7"/>
        <v>14</v>
      </c>
      <c r="AS102" s="23">
        <v>4</v>
      </c>
      <c r="AT102" s="23"/>
      <c r="AU102" s="23"/>
      <c r="AV102" s="23"/>
      <c r="AW102" s="23"/>
      <c r="AX102" s="23"/>
      <c r="AY102" s="23">
        <v>1593</v>
      </c>
      <c r="AZ102" s="185">
        <v>41226</v>
      </c>
      <c r="BA102" s="192"/>
    </row>
    <row r="103" spans="1:53" ht="11.25" customHeight="1">
      <c r="A103" s="125">
        <v>102</v>
      </c>
      <c r="B103" s="129" t="str">
        <f>VLOOKUP(Z103,'コード表'!$T$2:$X$36,5,0)</f>
        <v>21</v>
      </c>
      <c r="C103" s="83">
        <f>VLOOKUP(N103,'コード表'!$W$47:$X$50,2,0)</f>
        <v>1</v>
      </c>
      <c r="D103" s="83">
        <f>VLOOKUP(M103,'コード表'!$W$53:$X$56,2,0)</f>
        <v>2</v>
      </c>
      <c r="E103" s="129">
        <f>VLOOKUP(AA103,'コード表'!Y:AA,3,0)</f>
        <v>211</v>
      </c>
      <c r="F103" s="83">
        <f>VLOOKUP(K103,'コード表'!$W$38:$X$44,2,0)</f>
        <v>1</v>
      </c>
      <c r="G103" s="83">
        <f>VLOOKUP(S103,'コード表'!A:D,4,0)</f>
        <v>100</v>
      </c>
      <c r="H103" s="83">
        <f>VLOOKUP(U103,'コード表'!A:D,4,0)</f>
        <v>130</v>
      </c>
      <c r="I103" s="25">
        <v>102</v>
      </c>
      <c r="J103" s="83" t="s">
        <v>223</v>
      </c>
      <c r="K103" s="23" t="s">
        <v>541</v>
      </c>
      <c r="L103" s="25" t="s">
        <v>1464</v>
      </c>
      <c r="M103" s="23" t="s">
        <v>544</v>
      </c>
      <c r="N103" s="23">
        <v>6</v>
      </c>
      <c r="O103" s="23">
        <v>795</v>
      </c>
      <c r="P103" s="23">
        <v>735</v>
      </c>
      <c r="Q103" s="23">
        <v>425</v>
      </c>
      <c r="R103" s="23">
        <v>115</v>
      </c>
      <c r="S103" s="25" t="s">
        <v>677</v>
      </c>
      <c r="T103" s="25" t="s">
        <v>87</v>
      </c>
      <c r="U103" s="25" t="s">
        <v>676</v>
      </c>
      <c r="V103" s="25" t="s">
        <v>513</v>
      </c>
      <c r="W103" s="25" t="s">
        <v>906</v>
      </c>
      <c r="X103" s="25" t="s">
        <v>418</v>
      </c>
      <c r="Y103" s="25" t="s">
        <v>414</v>
      </c>
      <c r="Z103" s="25" t="s">
        <v>405</v>
      </c>
      <c r="AA103" s="25" t="s">
        <v>1304</v>
      </c>
      <c r="AB103" s="25"/>
      <c r="AC103" s="25" t="s">
        <v>551</v>
      </c>
      <c r="AD103" s="25" t="s">
        <v>416</v>
      </c>
      <c r="AE103" s="25" t="s">
        <v>1494</v>
      </c>
      <c r="AF103" s="25" t="s">
        <v>555</v>
      </c>
      <c r="AG103" s="25" t="s">
        <v>417</v>
      </c>
      <c r="AH103" s="25"/>
      <c r="AI103" s="25"/>
      <c r="AJ103" s="36"/>
      <c r="AK103" s="25"/>
      <c r="AL103" s="26"/>
      <c r="AM103" s="25"/>
      <c r="AN103" s="25"/>
      <c r="AO103" s="146" t="s">
        <v>161</v>
      </c>
      <c r="AP103" s="23">
        <v>7000</v>
      </c>
      <c r="AQ103" s="23" t="str">
        <f t="shared" si="6"/>
        <v>7PR</v>
      </c>
      <c r="AR103" s="23" t="str">
        <f t="shared" si="7"/>
        <v>14</v>
      </c>
      <c r="AS103" s="23">
        <v>4</v>
      </c>
      <c r="AT103" s="23"/>
      <c r="AU103" s="23"/>
      <c r="AV103" s="23"/>
      <c r="AW103" s="23"/>
      <c r="AX103" s="23"/>
      <c r="AY103" s="23">
        <v>1594</v>
      </c>
      <c r="AZ103" s="185">
        <v>41226</v>
      </c>
      <c r="BA103" s="192"/>
    </row>
    <row r="104" spans="1:53" ht="11.25" customHeight="1">
      <c r="A104" s="125">
        <v>103</v>
      </c>
      <c r="B104" s="129" t="str">
        <f>VLOOKUP(Z104,'コード表'!$T$2:$X$36,5,0)</f>
        <v>21</v>
      </c>
      <c r="C104" s="83">
        <f>VLOOKUP(N104,'コード表'!$W$47:$X$50,2,0)</f>
        <v>1</v>
      </c>
      <c r="D104" s="83">
        <f>VLOOKUP(M104,'コード表'!$W$53:$X$56,2,0)</f>
        <v>1</v>
      </c>
      <c r="E104" s="129">
        <f>VLOOKUP(AA104,'コード表'!Y:AA,3,0)</f>
        <v>211</v>
      </c>
      <c r="F104" s="83">
        <f>VLOOKUP(K104,'コード表'!$W$38:$X$44,2,0)</f>
        <v>1</v>
      </c>
      <c r="G104" s="83">
        <f>VLOOKUP(S104,'コード表'!A:D,4,0)</f>
        <v>400</v>
      </c>
      <c r="H104" s="83">
        <f>VLOOKUP(U104,'コード表'!A:D,4,0)</f>
        <v>400</v>
      </c>
      <c r="I104" s="25">
        <v>103</v>
      </c>
      <c r="J104" s="83" t="s">
        <v>224</v>
      </c>
      <c r="K104" s="23" t="s">
        <v>541</v>
      </c>
      <c r="L104" s="25" t="s">
        <v>1557</v>
      </c>
      <c r="M104" s="23" t="s">
        <v>543</v>
      </c>
      <c r="N104" s="23">
        <v>6</v>
      </c>
      <c r="O104" s="23">
        <v>795</v>
      </c>
      <c r="P104" s="23">
        <v>630</v>
      </c>
      <c r="Q104" s="23">
        <v>630</v>
      </c>
      <c r="R104" s="23">
        <v>105</v>
      </c>
      <c r="S104" s="25" t="s">
        <v>619</v>
      </c>
      <c r="T104" s="25" t="s">
        <v>1029</v>
      </c>
      <c r="U104" s="25" t="s">
        <v>619</v>
      </c>
      <c r="V104" s="25" t="s">
        <v>54</v>
      </c>
      <c r="W104" s="25" t="s">
        <v>1558</v>
      </c>
      <c r="X104" s="25" t="s">
        <v>1962</v>
      </c>
      <c r="Y104" s="25" t="s">
        <v>414</v>
      </c>
      <c r="Z104" s="25" t="s">
        <v>405</v>
      </c>
      <c r="AA104" s="25" t="s">
        <v>1304</v>
      </c>
      <c r="AB104" s="25"/>
      <c r="AC104" s="25" t="s">
        <v>1935</v>
      </c>
      <c r="AD104" s="25" t="s">
        <v>416</v>
      </c>
      <c r="AE104" s="25" t="s">
        <v>1494</v>
      </c>
      <c r="AF104" s="25" t="s">
        <v>555</v>
      </c>
      <c r="AG104" s="25" t="s">
        <v>417</v>
      </c>
      <c r="AH104" s="25"/>
      <c r="AI104" s="25"/>
      <c r="AJ104" s="36"/>
      <c r="AK104" s="25"/>
      <c r="AL104" s="26"/>
      <c r="AM104" s="23"/>
      <c r="AN104" s="25"/>
      <c r="AO104" s="146" t="s">
        <v>162</v>
      </c>
      <c r="AP104" s="23">
        <v>7000</v>
      </c>
      <c r="AQ104" s="23" t="str">
        <f t="shared" si="6"/>
        <v>7PR</v>
      </c>
      <c r="AR104" s="23" t="str">
        <f t="shared" si="7"/>
        <v>14</v>
      </c>
      <c r="AS104" s="23">
        <v>4</v>
      </c>
      <c r="AT104" s="23"/>
      <c r="AU104" s="23"/>
      <c r="AV104" s="23"/>
      <c r="AW104" s="23"/>
      <c r="AX104" s="23"/>
      <c r="AY104" s="23">
        <v>1595</v>
      </c>
      <c r="AZ104" s="185">
        <v>41226</v>
      </c>
      <c r="BA104" s="192"/>
    </row>
    <row r="105" spans="1:53" ht="11.25" customHeight="1">
      <c r="A105" s="125">
        <v>104</v>
      </c>
      <c r="B105" s="129" t="str">
        <f>VLOOKUP(Z105,'コード表'!$T$2:$X$36,5,0)</f>
        <v>21</v>
      </c>
      <c r="C105" s="83">
        <f>VLOOKUP(N105,'コード表'!$W$47:$X$50,2,0)</f>
        <v>1</v>
      </c>
      <c r="D105" s="83">
        <f>VLOOKUP(M105,'コード表'!$W$53:$X$56,2,0)</f>
        <v>3</v>
      </c>
      <c r="E105" s="129">
        <f>VLOOKUP(AA105,'コード表'!Y:AA,3,0)</f>
        <v>211</v>
      </c>
      <c r="F105" s="83">
        <f>VLOOKUP(K105,'コード表'!$W$38:$X$44,2,0)</f>
        <v>1</v>
      </c>
      <c r="G105" s="83">
        <f>VLOOKUP(S105,'コード表'!A:D,4,0)</f>
        <v>100</v>
      </c>
      <c r="H105" s="83">
        <f>VLOOKUP(U105,'コード表'!A:D,4,0)</f>
        <v>170</v>
      </c>
      <c r="I105" s="25">
        <v>104</v>
      </c>
      <c r="J105" s="83" t="s">
        <v>225</v>
      </c>
      <c r="K105" s="23" t="s">
        <v>541</v>
      </c>
      <c r="L105" s="25" t="s">
        <v>2121</v>
      </c>
      <c r="M105" s="23" t="s">
        <v>542</v>
      </c>
      <c r="N105" s="23">
        <v>6</v>
      </c>
      <c r="O105" s="23">
        <v>795</v>
      </c>
      <c r="P105" s="23">
        <v>735</v>
      </c>
      <c r="Q105" s="23">
        <v>425</v>
      </c>
      <c r="R105" s="23">
        <v>115</v>
      </c>
      <c r="S105" s="25" t="s">
        <v>677</v>
      </c>
      <c r="T105" s="25" t="s">
        <v>1030</v>
      </c>
      <c r="U105" s="25" t="s">
        <v>674</v>
      </c>
      <c r="V105" s="25" t="s">
        <v>206</v>
      </c>
      <c r="W105" s="25" t="s">
        <v>698</v>
      </c>
      <c r="X105" s="25" t="s">
        <v>496</v>
      </c>
      <c r="Y105" s="25" t="s">
        <v>414</v>
      </c>
      <c r="Z105" s="25" t="s">
        <v>405</v>
      </c>
      <c r="AA105" s="25" t="s">
        <v>1304</v>
      </c>
      <c r="AB105" s="25"/>
      <c r="AC105" s="25" t="s">
        <v>836</v>
      </c>
      <c r="AD105" s="25" t="s">
        <v>416</v>
      </c>
      <c r="AE105" s="25" t="s">
        <v>1494</v>
      </c>
      <c r="AF105" s="25" t="s">
        <v>555</v>
      </c>
      <c r="AG105" s="25" t="s">
        <v>417</v>
      </c>
      <c r="AH105" s="25"/>
      <c r="AI105" s="25"/>
      <c r="AJ105" s="36"/>
      <c r="AK105" s="25"/>
      <c r="AL105" s="26"/>
      <c r="AM105" s="25"/>
      <c r="AN105" s="25"/>
      <c r="AO105" s="146" t="s">
        <v>163</v>
      </c>
      <c r="AP105" s="23">
        <v>7000</v>
      </c>
      <c r="AQ105" s="23" t="str">
        <f t="shared" si="6"/>
        <v>7PR</v>
      </c>
      <c r="AR105" s="23" t="str">
        <f t="shared" si="7"/>
        <v>14</v>
      </c>
      <c r="AS105" s="23">
        <v>4</v>
      </c>
      <c r="AT105" s="23"/>
      <c r="AU105" s="23"/>
      <c r="AV105" s="23"/>
      <c r="AW105" s="23"/>
      <c r="AX105" s="23"/>
      <c r="AY105" s="23">
        <v>1596</v>
      </c>
      <c r="AZ105" s="185">
        <v>41226</v>
      </c>
      <c r="BA105" s="192"/>
    </row>
    <row r="106" spans="1:53" ht="11.25" customHeight="1">
      <c r="A106" s="125">
        <v>105</v>
      </c>
      <c r="B106" s="129" t="str">
        <f>VLOOKUP(Z106,'コード表'!$T$2:$X$36,5,0)</f>
        <v>21</v>
      </c>
      <c r="C106" s="83">
        <f>VLOOKUP(N106,'コード表'!$W$47:$X$50,2,0)</f>
        <v>1</v>
      </c>
      <c r="D106" s="83">
        <f>VLOOKUP(M106,'コード表'!$W$53:$X$56,2,0)</f>
        <v>2</v>
      </c>
      <c r="E106" s="129">
        <f>VLOOKUP(AA106,'コード表'!Y:AA,3,0)</f>
        <v>211</v>
      </c>
      <c r="F106" s="83">
        <f>VLOOKUP(K106,'コード表'!$W$38:$X$44,2,0)</f>
        <v>1</v>
      </c>
      <c r="G106" s="83">
        <f>VLOOKUP(S106,'コード表'!A:D,4,0)</f>
        <v>170</v>
      </c>
      <c r="H106" s="83">
        <f>VLOOKUP(U106,'コード表'!A:D,4,0)</f>
        <v>170</v>
      </c>
      <c r="I106" s="25">
        <v>105</v>
      </c>
      <c r="J106" s="83" t="s">
        <v>226</v>
      </c>
      <c r="K106" s="23" t="s">
        <v>541</v>
      </c>
      <c r="L106" s="25" t="s">
        <v>1057</v>
      </c>
      <c r="M106" s="23" t="s">
        <v>544</v>
      </c>
      <c r="N106" s="23">
        <v>6</v>
      </c>
      <c r="O106" s="23">
        <v>820</v>
      </c>
      <c r="P106" s="23">
        <v>650</v>
      </c>
      <c r="Q106" s="23">
        <v>650</v>
      </c>
      <c r="R106" s="23">
        <v>105</v>
      </c>
      <c r="S106" s="25" t="s">
        <v>674</v>
      </c>
      <c r="T106" s="25" t="s">
        <v>207</v>
      </c>
      <c r="U106" s="25" t="s">
        <v>674</v>
      </c>
      <c r="V106" s="25" t="s">
        <v>206</v>
      </c>
      <c r="W106" s="25" t="s">
        <v>699</v>
      </c>
      <c r="X106" s="25" t="s">
        <v>1363</v>
      </c>
      <c r="Y106" s="25" t="s">
        <v>414</v>
      </c>
      <c r="Z106" s="25" t="s">
        <v>405</v>
      </c>
      <c r="AA106" s="25" t="s">
        <v>1304</v>
      </c>
      <c r="AB106" s="25"/>
      <c r="AC106" s="25" t="s">
        <v>837</v>
      </c>
      <c r="AD106" s="25" t="s">
        <v>416</v>
      </c>
      <c r="AE106" s="25" t="s">
        <v>1494</v>
      </c>
      <c r="AF106" s="25" t="s">
        <v>555</v>
      </c>
      <c r="AG106" s="25" t="s">
        <v>417</v>
      </c>
      <c r="AH106" s="25"/>
      <c r="AI106" s="25"/>
      <c r="AJ106" s="36"/>
      <c r="AK106" s="25"/>
      <c r="AL106" s="26"/>
      <c r="AM106" s="25"/>
      <c r="AN106" s="25"/>
      <c r="AO106" s="146" t="s">
        <v>164</v>
      </c>
      <c r="AP106" s="23">
        <v>7000</v>
      </c>
      <c r="AQ106" s="23" t="str">
        <f t="shared" si="6"/>
        <v>7PR</v>
      </c>
      <c r="AR106" s="23" t="str">
        <f t="shared" si="7"/>
        <v>14</v>
      </c>
      <c r="AS106" s="23">
        <v>4</v>
      </c>
      <c r="AT106" s="23"/>
      <c r="AU106" s="23"/>
      <c r="AV106" s="23"/>
      <c r="AW106" s="23"/>
      <c r="AX106" s="23"/>
      <c r="AY106" s="23">
        <v>1598</v>
      </c>
      <c r="AZ106" s="185">
        <v>41226</v>
      </c>
      <c r="BA106" s="192"/>
    </row>
    <row r="107" spans="1:53" ht="11.25" customHeight="1">
      <c r="A107" s="125">
        <v>106</v>
      </c>
      <c r="B107" s="129" t="str">
        <f>VLOOKUP(Z107,'コード表'!$T$2:$X$36,5,0)</f>
        <v>21</v>
      </c>
      <c r="C107" s="83">
        <f>VLOOKUP(N107,'コード表'!$W$47:$X$50,2,0)</f>
        <v>1</v>
      </c>
      <c r="D107" s="83">
        <f>VLOOKUP(M107,'コード表'!$W$53:$X$56,2,0)</f>
        <v>4</v>
      </c>
      <c r="E107" s="129">
        <f>VLOOKUP(AA107,'コード表'!Y:AA,3,0)</f>
        <v>211</v>
      </c>
      <c r="F107" s="83">
        <f>VLOOKUP(K107,'コード表'!$W$38:$X$44,2,0)</f>
        <v>1</v>
      </c>
      <c r="G107" s="83">
        <f>VLOOKUP(S107,'コード表'!A:D,4,0)</f>
        <v>100</v>
      </c>
      <c r="H107" s="83">
        <f>VLOOKUP(U107,'コード表'!A:D,4,0)</f>
        <v>100</v>
      </c>
      <c r="I107" s="25">
        <v>106</v>
      </c>
      <c r="J107" s="83" t="s">
        <v>1312</v>
      </c>
      <c r="K107" s="23" t="s">
        <v>541</v>
      </c>
      <c r="L107" s="25" t="s">
        <v>1564</v>
      </c>
      <c r="M107" s="23" t="s">
        <v>546</v>
      </c>
      <c r="N107" s="23">
        <v>6</v>
      </c>
      <c r="O107" s="23">
        <v>795</v>
      </c>
      <c r="P107" s="23">
        <v>660</v>
      </c>
      <c r="Q107" s="23">
        <v>660</v>
      </c>
      <c r="R107" s="23">
        <v>100</v>
      </c>
      <c r="S107" s="25" t="s">
        <v>677</v>
      </c>
      <c r="T107" s="25" t="s">
        <v>87</v>
      </c>
      <c r="U107" s="25" t="s">
        <v>677</v>
      </c>
      <c r="V107" s="25" t="s">
        <v>89</v>
      </c>
      <c r="W107" s="25" t="s">
        <v>1562</v>
      </c>
      <c r="X107" s="25" t="s">
        <v>413</v>
      </c>
      <c r="Y107" s="25" t="s">
        <v>414</v>
      </c>
      <c r="Z107" s="25" t="s">
        <v>405</v>
      </c>
      <c r="AA107" s="25" t="s">
        <v>1304</v>
      </c>
      <c r="AB107" s="25"/>
      <c r="AC107" s="25" t="s">
        <v>547</v>
      </c>
      <c r="AD107" s="25" t="s">
        <v>416</v>
      </c>
      <c r="AE107" s="25" t="s">
        <v>1494</v>
      </c>
      <c r="AF107" s="25" t="s">
        <v>555</v>
      </c>
      <c r="AG107" s="25" t="s">
        <v>417</v>
      </c>
      <c r="AH107" s="25"/>
      <c r="AI107" s="25"/>
      <c r="AJ107" s="36"/>
      <c r="AK107" s="25"/>
      <c r="AL107" s="26"/>
      <c r="AM107" s="23"/>
      <c r="AN107" s="25"/>
      <c r="AO107" s="146" t="s">
        <v>176</v>
      </c>
      <c r="AP107" s="23">
        <v>7000</v>
      </c>
      <c r="AQ107" s="23" t="str">
        <f t="shared" si="6"/>
        <v>7PR</v>
      </c>
      <c r="AR107" s="23" t="str">
        <f t="shared" si="7"/>
        <v>14</v>
      </c>
      <c r="AS107" s="23">
        <v>4</v>
      </c>
      <c r="AT107" s="23"/>
      <c r="AU107" s="23"/>
      <c r="AV107" s="23"/>
      <c r="AW107" s="23"/>
      <c r="AX107" s="23"/>
      <c r="AY107" s="23">
        <v>1612</v>
      </c>
      <c r="AZ107" s="185">
        <v>41233</v>
      </c>
      <c r="BA107" s="192" t="s">
        <v>2284</v>
      </c>
    </row>
    <row r="108" spans="1:53" ht="12" customHeight="1">
      <c r="A108" s="125">
        <v>107</v>
      </c>
      <c r="B108" s="129" t="str">
        <f>VLOOKUP(Z108,'コード表'!$T$2:$X$36,5,0)</f>
        <v>21</v>
      </c>
      <c r="C108" s="83">
        <f>VLOOKUP(N108,'コード表'!$W$47:$X$50,2,0)</f>
        <v>1</v>
      </c>
      <c r="D108" s="83">
        <f>VLOOKUP(M108,'コード表'!$W$53:$X$56,2,0)</f>
        <v>1</v>
      </c>
      <c r="E108" s="129">
        <f>VLOOKUP(AA108,'コード表'!Y:AA,3,0)</f>
        <v>211</v>
      </c>
      <c r="F108" s="83">
        <f>VLOOKUP(K108,'コード表'!$W$38:$X$44,2,0)</f>
        <v>1</v>
      </c>
      <c r="G108" s="83">
        <f>VLOOKUP(S108,'コード表'!A:D,4,0)</f>
        <v>100</v>
      </c>
      <c r="H108" s="83">
        <f>VLOOKUP(U108,'コード表'!A:D,4,0)</f>
        <v>170</v>
      </c>
      <c r="I108" s="25">
        <v>107</v>
      </c>
      <c r="J108" s="83" t="s">
        <v>1313</v>
      </c>
      <c r="K108" s="23" t="s">
        <v>541</v>
      </c>
      <c r="L108" s="25" t="s">
        <v>2119</v>
      </c>
      <c r="M108" s="23" t="s">
        <v>543</v>
      </c>
      <c r="N108" s="23">
        <v>6</v>
      </c>
      <c r="O108" s="23">
        <v>795</v>
      </c>
      <c r="P108" s="23">
        <v>560</v>
      </c>
      <c r="Q108" s="23">
        <v>560</v>
      </c>
      <c r="R108" s="23">
        <v>120</v>
      </c>
      <c r="S108" s="25" t="s">
        <v>677</v>
      </c>
      <c r="T108" s="25" t="s">
        <v>1030</v>
      </c>
      <c r="U108" s="25" t="s">
        <v>674</v>
      </c>
      <c r="V108" s="25" t="s">
        <v>1536</v>
      </c>
      <c r="W108" s="25" t="s">
        <v>2120</v>
      </c>
      <c r="X108" s="25" t="s">
        <v>495</v>
      </c>
      <c r="Y108" s="25" t="s">
        <v>414</v>
      </c>
      <c r="Z108" s="25" t="s">
        <v>405</v>
      </c>
      <c r="AA108" s="25" t="s">
        <v>1304</v>
      </c>
      <c r="AB108" s="25"/>
      <c r="AC108" s="25" t="s">
        <v>746</v>
      </c>
      <c r="AD108" s="25" t="s">
        <v>416</v>
      </c>
      <c r="AE108" s="25" t="s">
        <v>182</v>
      </c>
      <c r="AF108" s="25" t="s">
        <v>835</v>
      </c>
      <c r="AG108" s="25" t="s">
        <v>417</v>
      </c>
      <c r="AH108" s="25"/>
      <c r="AI108" s="25"/>
      <c r="AJ108" s="36"/>
      <c r="AK108" s="25"/>
      <c r="AL108" s="26"/>
      <c r="AM108" s="25"/>
      <c r="AN108" s="25"/>
      <c r="AO108" s="146" t="s">
        <v>177</v>
      </c>
      <c r="AP108" s="23">
        <v>7000</v>
      </c>
      <c r="AQ108" s="23" t="str">
        <f>LEFT(AP108,1)&amp;K108</f>
        <v>7PR</v>
      </c>
      <c r="AR108" s="23" t="str">
        <f>IF(AND($H108&gt;500,$H108&lt;700),"0"&amp;$AS108,$C108&amp;$AS108)</f>
        <v>14</v>
      </c>
      <c r="AS108" s="23">
        <v>4</v>
      </c>
      <c r="AT108" s="23"/>
      <c r="AU108" s="23"/>
      <c r="AV108" s="23"/>
      <c r="AW108" s="23"/>
      <c r="AX108" s="23"/>
      <c r="AY108" s="23">
        <v>1615</v>
      </c>
      <c r="AZ108" s="185">
        <v>41240</v>
      </c>
      <c r="BA108" s="192" t="s">
        <v>2285</v>
      </c>
    </row>
    <row r="109" spans="1:53" s="28" customFormat="1" ht="11.25" customHeight="1">
      <c r="A109" s="125">
        <v>108</v>
      </c>
      <c r="B109" s="129" t="str">
        <f>VLOOKUP(Z109,'コード表'!$T$2:$X$36,5,0)</f>
        <v>18</v>
      </c>
      <c r="C109" s="83">
        <f>VLOOKUP(N109,'コード表'!$W$47:$X$50,2,0)</f>
        <v>2</v>
      </c>
      <c r="D109" s="83">
        <f>VLOOKUP(M109,'コード表'!$W$53:$X$56,2,0)</f>
        <v>1</v>
      </c>
      <c r="E109" s="129">
        <f>VLOOKUP(AA109,'コード表'!Y:AA,3,0)</f>
        <v>184</v>
      </c>
      <c r="F109" s="83">
        <f>VLOOKUP(K109,'コード表'!$W$38:$X$44,2,0)</f>
        <v>2</v>
      </c>
      <c r="G109" s="83">
        <f>VLOOKUP(S109,'コード表'!A:D,4,0)</f>
        <v>130</v>
      </c>
      <c r="H109" s="83">
        <f>VLOOKUP(U109,'コード表'!A:D,4,0)</f>
        <v>130</v>
      </c>
      <c r="I109" s="25">
        <v>108</v>
      </c>
      <c r="J109" s="83" t="s">
        <v>2193</v>
      </c>
      <c r="K109" s="23" t="s">
        <v>847</v>
      </c>
      <c r="L109" s="25" t="s">
        <v>368</v>
      </c>
      <c r="M109" s="23" t="s">
        <v>600</v>
      </c>
      <c r="N109" s="23">
        <v>5</v>
      </c>
      <c r="O109" s="23">
        <v>675</v>
      </c>
      <c r="P109" s="23">
        <v>560</v>
      </c>
      <c r="Q109" s="23">
        <v>390</v>
      </c>
      <c r="R109" s="23">
        <v>120</v>
      </c>
      <c r="S109" s="25" t="s">
        <v>294</v>
      </c>
      <c r="T109" s="25" t="s">
        <v>1160</v>
      </c>
      <c r="U109" s="25" t="s">
        <v>294</v>
      </c>
      <c r="V109" s="25" t="s">
        <v>2222</v>
      </c>
      <c r="W109" s="25" t="s">
        <v>2061</v>
      </c>
      <c r="X109" s="25" t="s">
        <v>2062</v>
      </c>
      <c r="Y109" s="25" t="s">
        <v>414</v>
      </c>
      <c r="Z109" s="25" t="s">
        <v>1479</v>
      </c>
      <c r="AA109" s="25" t="s">
        <v>2223</v>
      </c>
      <c r="AB109" s="25"/>
      <c r="AC109" s="25" t="s">
        <v>2029</v>
      </c>
      <c r="AD109" s="25" t="s">
        <v>416</v>
      </c>
      <c r="AE109" s="25" t="s">
        <v>2030</v>
      </c>
      <c r="AF109" s="25" t="s">
        <v>2031</v>
      </c>
      <c r="AG109" s="25" t="s">
        <v>417</v>
      </c>
      <c r="AH109" s="25"/>
      <c r="AI109" s="25"/>
      <c r="AJ109" s="36"/>
      <c r="AK109" s="25"/>
      <c r="AL109" s="23"/>
      <c r="AM109" s="23"/>
      <c r="AN109" s="25"/>
      <c r="AO109" s="146" t="s">
        <v>2207</v>
      </c>
      <c r="AP109" s="23">
        <v>6000</v>
      </c>
      <c r="AQ109" s="23" t="str">
        <f>LEFT(AP109,1)&amp;K109</f>
        <v>6CP</v>
      </c>
      <c r="AR109" s="23" t="str">
        <f>IF(AND($H109&gt;500,$H109&lt;700),"0"&amp;$AS109,$C109&amp;$AS109)</f>
        <v>26</v>
      </c>
      <c r="AS109" s="23">
        <v>6</v>
      </c>
      <c r="AT109" s="23"/>
      <c r="AU109" s="23"/>
      <c r="AV109" s="23"/>
      <c r="AW109" s="23"/>
      <c r="AX109" s="23"/>
      <c r="AY109" s="23">
        <v>1719</v>
      </c>
      <c r="AZ109" s="185">
        <v>41254</v>
      </c>
      <c r="BA109" s="192"/>
    </row>
    <row r="110" spans="1:53" s="28" customFormat="1" ht="11.25" customHeight="1">
      <c r="A110" s="125">
        <v>109</v>
      </c>
      <c r="B110" s="129" t="str">
        <f>VLOOKUP(Z110,'コード表'!$T$2:$X$36,5,0)</f>
        <v>18</v>
      </c>
      <c r="C110" s="83">
        <f>VLOOKUP(N110,'コード表'!$W$47:$X$50,2,0)</f>
        <v>4</v>
      </c>
      <c r="D110" s="83">
        <f>VLOOKUP(M110,'コード表'!$W$53:$X$56,2,0)</f>
        <v>2</v>
      </c>
      <c r="E110" s="129">
        <f>VLOOKUP(AA110,'コード表'!Y:AA,3,0)</f>
        <v>184</v>
      </c>
      <c r="F110" s="83">
        <f>VLOOKUP(K110,'コード表'!$W$38:$X$44,2,0)</f>
        <v>2</v>
      </c>
      <c r="G110" s="83">
        <f>VLOOKUP(S110,'コード表'!A:D,4,0)</f>
        <v>641</v>
      </c>
      <c r="H110" s="83">
        <f>VLOOKUP(U110,'コード表'!A:D,4,0)</f>
        <v>640</v>
      </c>
      <c r="I110" s="25">
        <v>109</v>
      </c>
      <c r="J110" s="83" t="s">
        <v>2194</v>
      </c>
      <c r="K110" s="23" t="s">
        <v>847</v>
      </c>
      <c r="L110" s="25" t="s">
        <v>1388</v>
      </c>
      <c r="M110" s="23" t="s">
        <v>70</v>
      </c>
      <c r="N110" s="23">
        <v>3</v>
      </c>
      <c r="O110" s="23">
        <v>410</v>
      </c>
      <c r="P110" s="23">
        <v>325</v>
      </c>
      <c r="Q110" s="23">
        <v>270</v>
      </c>
      <c r="R110" s="23">
        <v>115</v>
      </c>
      <c r="S110" s="25" t="s">
        <v>1294</v>
      </c>
      <c r="T110" s="25" t="s">
        <v>1217</v>
      </c>
      <c r="U110" s="25" t="s">
        <v>642</v>
      </c>
      <c r="V110" s="25" t="s">
        <v>1387</v>
      </c>
      <c r="W110" s="25" t="s">
        <v>2032</v>
      </c>
      <c r="X110" s="25" t="s">
        <v>2033</v>
      </c>
      <c r="Y110" s="25" t="s">
        <v>414</v>
      </c>
      <c r="Z110" s="25" t="s">
        <v>1479</v>
      </c>
      <c r="AA110" s="25" t="s">
        <v>2223</v>
      </c>
      <c r="AB110" s="25"/>
      <c r="AC110" s="25" t="s">
        <v>2036</v>
      </c>
      <c r="AD110" s="25" t="s">
        <v>416</v>
      </c>
      <c r="AE110" s="25" t="s">
        <v>2034</v>
      </c>
      <c r="AF110" s="25" t="s">
        <v>2035</v>
      </c>
      <c r="AG110" s="25" t="s">
        <v>417</v>
      </c>
      <c r="AH110" s="25"/>
      <c r="AI110" s="25"/>
      <c r="AJ110" s="36"/>
      <c r="AK110" s="25"/>
      <c r="AL110" s="23"/>
      <c r="AM110" s="23"/>
      <c r="AN110" s="25"/>
      <c r="AO110" s="146" t="s">
        <v>2208</v>
      </c>
      <c r="AP110" s="23">
        <v>6000</v>
      </c>
      <c r="AQ110" s="23" t="str">
        <f>LEFT(AP110,1)&amp;K110</f>
        <v>6CP</v>
      </c>
      <c r="AR110" s="23" t="str">
        <f>IF(AND($H110&gt;500,$H110&lt;700),"0"&amp;$AS110,$C110&amp;$AS110)</f>
        <v>05</v>
      </c>
      <c r="AS110" s="23">
        <v>5</v>
      </c>
      <c r="AT110" s="23"/>
      <c r="AU110" s="23"/>
      <c r="AV110" s="23"/>
      <c r="AW110" s="23"/>
      <c r="AX110" s="23"/>
      <c r="AY110" s="23">
        <v>1720</v>
      </c>
      <c r="AZ110" s="185">
        <v>41254</v>
      </c>
      <c r="BA110" s="192"/>
    </row>
    <row r="111" spans="1:53" s="28" customFormat="1" ht="11.25" customHeight="1">
      <c r="A111" s="125">
        <v>110</v>
      </c>
      <c r="B111" s="129" t="str">
        <f>VLOOKUP(Z111,'コード表'!$T$2:$X$36,5,0)</f>
        <v>18</v>
      </c>
      <c r="C111" s="83">
        <f>VLOOKUP(N111,'コード表'!$W$47:$X$50,2,0)</f>
        <v>2</v>
      </c>
      <c r="D111" s="83">
        <f>VLOOKUP(M111,'コード表'!$W$53:$X$56,2,0)</f>
        <v>3</v>
      </c>
      <c r="E111" s="129">
        <f>VLOOKUP(AA111,'コード表'!Y:AA,3,0)</f>
        <v>184</v>
      </c>
      <c r="F111" s="83">
        <f>VLOOKUP(K111,'コード表'!$W$38:$X$44,2,0)</f>
        <v>2</v>
      </c>
      <c r="G111" s="83">
        <f>VLOOKUP(S111,'コード表'!A:D,4,0)</f>
        <v>100</v>
      </c>
      <c r="H111" s="83">
        <f>VLOOKUP(U111,'コード表'!A:D,4,0)</f>
        <v>100</v>
      </c>
      <c r="I111" s="25">
        <v>110</v>
      </c>
      <c r="J111" s="83" t="s">
        <v>2195</v>
      </c>
      <c r="K111" s="23" t="s">
        <v>847</v>
      </c>
      <c r="L111" s="25" t="s">
        <v>530</v>
      </c>
      <c r="M111" s="23" t="s">
        <v>480</v>
      </c>
      <c r="N111" s="23">
        <v>5</v>
      </c>
      <c r="O111" s="23">
        <v>675</v>
      </c>
      <c r="P111" s="23">
        <v>475</v>
      </c>
      <c r="Q111" s="23">
        <v>475</v>
      </c>
      <c r="R111" s="23">
        <v>120</v>
      </c>
      <c r="S111" s="25" t="s">
        <v>291</v>
      </c>
      <c r="T111" s="25" t="s">
        <v>1909</v>
      </c>
      <c r="U111" s="25" t="s">
        <v>291</v>
      </c>
      <c r="V111" s="25" t="s">
        <v>2078</v>
      </c>
      <c r="W111" s="25" t="s">
        <v>1226</v>
      </c>
      <c r="X111" s="25" t="s">
        <v>1227</v>
      </c>
      <c r="Y111" s="25" t="s">
        <v>414</v>
      </c>
      <c r="Z111" s="25" t="s">
        <v>1479</v>
      </c>
      <c r="AA111" s="25" t="s">
        <v>2223</v>
      </c>
      <c r="AB111" s="25"/>
      <c r="AC111" s="25" t="s">
        <v>1223</v>
      </c>
      <c r="AD111" s="25" t="s">
        <v>416</v>
      </c>
      <c r="AE111" s="25" t="s">
        <v>1906</v>
      </c>
      <c r="AF111" s="25" t="s">
        <v>1266</v>
      </c>
      <c r="AG111" s="25" t="s">
        <v>417</v>
      </c>
      <c r="AH111" s="25" t="s">
        <v>360</v>
      </c>
      <c r="AI111" s="25" t="s">
        <v>361</v>
      </c>
      <c r="AJ111" s="36" t="s">
        <v>377</v>
      </c>
      <c r="AK111" s="25"/>
      <c r="AL111" s="136"/>
      <c r="AM111" s="23"/>
      <c r="AN111" s="23"/>
      <c r="AO111" s="146" t="s">
        <v>2209</v>
      </c>
      <c r="AP111" s="23">
        <v>6000</v>
      </c>
      <c r="AQ111" s="23" t="str">
        <f aca="true" t="shared" si="8" ref="AQ111:AQ132">LEFT(AP111,1)&amp;K111</f>
        <v>6CP</v>
      </c>
      <c r="AR111" s="23" t="str">
        <f aca="true" t="shared" si="9" ref="AR111:AR132">IF(AND($H111&gt;500,$H111&lt;700),"0"&amp;$AS111,$C111&amp;$AS111)</f>
        <v>25</v>
      </c>
      <c r="AS111" s="23">
        <v>5</v>
      </c>
      <c r="AT111" s="25"/>
      <c r="AU111" s="23"/>
      <c r="AV111" s="23"/>
      <c r="AW111" s="23"/>
      <c r="AX111" s="23"/>
      <c r="AY111" s="23">
        <v>1721</v>
      </c>
      <c r="AZ111" s="185">
        <v>41254</v>
      </c>
      <c r="BA111" s="192"/>
    </row>
    <row r="112" spans="1:53" s="28" customFormat="1" ht="11.25" customHeight="1">
      <c r="A112" s="125">
        <v>111</v>
      </c>
      <c r="B112" s="129" t="str">
        <f>VLOOKUP(Z112,'コード表'!$T$2:$X$36,5,0)</f>
        <v>18</v>
      </c>
      <c r="C112" s="83">
        <f>VLOOKUP(N112,'コード表'!$W$47:$X$50,2,0)</f>
        <v>2</v>
      </c>
      <c r="D112" s="83">
        <f>VLOOKUP(M112,'コード表'!$W$53:$X$56,2,0)</f>
        <v>2</v>
      </c>
      <c r="E112" s="129">
        <f>VLOOKUP(AA112,'コード表'!Y:AA,3,0)</f>
        <v>184</v>
      </c>
      <c r="F112" s="83">
        <f>VLOOKUP(K112,'コード表'!$W$38:$X$44,2,0)</f>
        <v>2</v>
      </c>
      <c r="G112" s="83">
        <f>VLOOKUP(S112,'コード表'!A:D,4,0)</f>
        <v>110</v>
      </c>
      <c r="H112" s="83">
        <f>VLOOKUP(U112,'コード表'!A:D,4,0)</f>
        <v>110</v>
      </c>
      <c r="I112" s="25">
        <v>111</v>
      </c>
      <c r="J112" s="83" t="s">
        <v>2196</v>
      </c>
      <c r="K112" s="23" t="s">
        <v>847</v>
      </c>
      <c r="L112" s="25" t="s">
        <v>531</v>
      </c>
      <c r="M112" s="23" t="s">
        <v>1152</v>
      </c>
      <c r="N112" s="23">
        <v>5</v>
      </c>
      <c r="O112" s="23">
        <v>675</v>
      </c>
      <c r="P112" s="23">
        <v>560</v>
      </c>
      <c r="Q112" s="23">
        <v>325</v>
      </c>
      <c r="R112" s="23">
        <v>130</v>
      </c>
      <c r="S112" s="25" t="s">
        <v>1410</v>
      </c>
      <c r="T112" s="25" t="s">
        <v>72</v>
      </c>
      <c r="U112" s="25" t="s">
        <v>292</v>
      </c>
      <c r="V112" s="25" t="s">
        <v>723</v>
      </c>
      <c r="W112" s="25" t="s">
        <v>1358</v>
      </c>
      <c r="X112" s="25" t="s">
        <v>1359</v>
      </c>
      <c r="Y112" s="25" t="s">
        <v>414</v>
      </c>
      <c r="Z112" s="25" t="s">
        <v>1479</v>
      </c>
      <c r="AA112" s="25" t="s">
        <v>2223</v>
      </c>
      <c r="AB112" s="25"/>
      <c r="AC112" s="25" t="s">
        <v>1224</v>
      </c>
      <c r="AD112" s="25" t="s">
        <v>416</v>
      </c>
      <c r="AE112" s="25" t="s">
        <v>1907</v>
      </c>
      <c r="AF112" s="25" t="s">
        <v>1267</v>
      </c>
      <c r="AG112" s="25" t="s">
        <v>417</v>
      </c>
      <c r="AH112" s="25" t="s">
        <v>1437</v>
      </c>
      <c r="AI112" s="25" t="s">
        <v>1072</v>
      </c>
      <c r="AJ112" s="36" t="s">
        <v>377</v>
      </c>
      <c r="AK112" s="25"/>
      <c r="AL112" s="136"/>
      <c r="AM112" s="23"/>
      <c r="AN112" s="23"/>
      <c r="AO112" s="146" t="s">
        <v>2210</v>
      </c>
      <c r="AP112" s="23">
        <v>6000</v>
      </c>
      <c r="AQ112" s="23" t="str">
        <f t="shared" si="8"/>
        <v>6CP</v>
      </c>
      <c r="AR112" s="23" t="str">
        <f t="shared" si="9"/>
        <v>25</v>
      </c>
      <c r="AS112" s="23">
        <v>5</v>
      </c>
      <c r="AT112" s="25"/>
      <c r="AU112" s="23">
        <v>2</v>
      </c>
      <c r="AV112" s="23"/>
      <c r="AW112" s="23">
        <v>2</v>
      </c>
      <c r="AX112" s="23"/>
      <c r="AY112" s="23">
        <v>1722</v>
      </c>
      <c r="AZ112" s="185">
        <v>41254</v>
      </c>
      <c r="BA112" s="192"/>
    </row>
    <row r="113" spans="1:53" s="28" customFormat="1" ht="11.25" customHeight="1">
      <c r="A113" s="125">
        <v>112</v>
      </c>
      <c r="B113" s="129" t="str">
        <f>VLOOKUP(Z113,'コード表'!$T$2:$X$36,5,0)</f>
        <v>18</v>
      </c>
      <c r="C113" s="83">
        <f>VLOOKUP(N113,'コード表'!$W$47:$X$50,2,0)</f>
        <v>2</v>
      </c>
      <c r="D113" s="83">
        <f>VLOOKUP(M113,'コード表'!$W$53:$X$56,2,0)</f>
        <v>1</v>
      </c>
      <c r="E113" s="129">
        <f>VLOOKUP(AA113,'コード表'!Y:AA,3,0)</f>
        <v>184</v>
      </c>
      <c r="F113" s="83">
        <f>VLOOKUP(K113,'コード表'!$W$38:$X$44,2,0)</f>
        <v>2</v>
      </c>
      <c r="G113" s="83">
        <f>VLOOKUP(S113,'コード表'!A:D,4,0)</f>
        <v>120</v>
      </c>
      <c r="H113" s="83">
        <f>VLOOKUP(U113,'コード表'!A:D,4,0)</f>
        <v>120</v>
      </c>
      <c r="I113" s="25">
        <v>112</v>
      </c>
      <c r="J113" s="83" t="s">
        <v>2197</v>
      </c>
      <c r="K113" s="23" t="s">
        <v>847</v>
      </c>
      <c r="L113" s="25" t="s">
        <v>532</v>
      </c>
      <c r="M113" s="23" t="s">
        <v>1151</v>
      </c>
      <c r="N113" s="23">
        <v>5</v>
      </c>
      <c r="O113" s="23">
        <v>675</v>
      </c>
      <c r="P113" s="23">
        <v>465</v>
      </c>
      <c r="Q113" s="23">
        <v>560</v>
      </c>
      <c r="R113" s="23">
        <v>110</v>
      </c>
      <c r="S113" s="25" t="s">
        <v>1919</v>
      </c>
      <c r="T113" s="25" t="s">
        <v>1544</v>
      </c>
      <c r="U113" s="25" t="s">
        <v>1545</v>
      </c>
      <c r="V113" s="25" t="s">
        <v>1546</v>
      </c>
      <c r="W113" s="25" t="s">
        <v>518</v>
      </c>
      <c r="X113" s="25" t="s">
        <v>519</v>
      </c>
      <c r="Y113" s="25" t="s">
        <v>414</v>
      </c>
      <c r="Z113" s="25" t="s">
        <v>1479</v>
      </c>
      <c r="AA113" s="25" t="s">
        <v>2223</v>
      </c>
      <c r="AB113" s="25"/>
      <c r="AC113" s="25" t="s">
        <v>1225</v>
      </c>
      <c r="AD113" s="25" t="s">
        <v>416</v>
      </c>
      <c r="AE113" s="25" t="s">
        <v>1908</v>
      </c>
      <c r="AF113" s="25" t="s">
        <v>1268</v>
      </c>
      <c r="AG113" s="25" t="s">
        <v>417</v>
      </c>
      <c r="AH113" s="25" t="s">
        <v>1070</v>
      </c>
      <c r="AI113" s="25" t="s">
        <v>1071</v>
      </c>
      <c r="AJ113" s="36" t="s">
        <v>377</v>
      </c>
      <c r="AK113" s="25"/>
      <c r="AL113" s="136"/>
      <c r="AM113" s="23"/>
      <c r="AN113" s="23"/>
      <c r="AO113" s="146" t="s">
        <v>2211</v>
      </c>
      <c r="AP113" s="23">
        <v>6000</v>
      </c>
      <c r="AQ113" s="23" t="str">
        <f t="shared" si="8"/>
        <v>6CP</v>
      </c>
      <c r="AR113" s="23" t="str">
        <f t="shared" si="9"/>
        <v>25</v>
      </c>
      <c r="AS113" s="23">
        <v>5</v>
      </c>
      <c r="AT113" s="25"/>
      <c r="AU113" s="23"/>
      <c r="AV113" s="23"/>
      <c r="AW113" s="23"/>
      <c r="AX113" s="23"/>
      <c r="AY113" s="23">
        <v>1723</v>
      </c>
      <c r="AZ113" s="185">
        <v>41254</v>
      </c>
      <c r="BA113" s="192"/>
    </row>
    <row r="114" spans="1:53" s="28" customFormat="1" ht="11.25" customHeight="1">
      <c r="A114" s="125">
        <v>113</v>
      </c>
      <c r="B114" s="129" t="str">
        <f>VLOOKUP(Z114,'コード表'!$T$2:$X$36,5,0)</f>
        <v>18</v>
      </c>
      <c r="C114" s="83">
        <f>VLOOKUP(N114,'コード表'!$W$47:$X$50,2,0)</f>
        <v>2</v>
      </c>
      <c r="D114" s="83">
        <f>VLOOKUP(M114,'コード表'!$W$53:$X$56,2,0)</f>
        <v>4</v>
      </c>
      <c r="E114" s="129">
        <f>VLOOKUP(AA114,'コード表'!Y:AA,3,0)</f>
        <v>184</v>
      </c>
      <c r="F114" s="83">
        <f>VLOOKUP(K114,'コード表'!$W$38:$X$44,2,0)</f>
        <v>2</v>
      </c>
      <c r="G114" s="83">
        <f>VLOOKUP(S114,'コード表'!A:D,4,0)</f>
        <v>120</v>
      </c>
      <c r="H114" s="83">
        <f>VLOOKUP(U114,'コード表'!A:D,4,0)</f>
        <v>120</v>
      </c>
      <c r="I114" s="25">
        <v>113</v>
      </c>
      <c r="J114" s="83" t="s">
        <v>2198</v>
      </c>
      <c r="K114" s="23" t="s">
        <v>847</v>
      </c>
      <c r="L114" s="25" t="s">
        <v>533</v>
      </c>
      <c r="M114" s="23" t="s">
        <v>599</v>
      </c>
      <c r="N114" s="23">
        <v>5</v>
      </c>
      <c r="O114" s="23">
        <v>675</v>
      </c>
      <c r="P114" s="23">
        <v>560</v>
      </c>
      <c r="Q114" s="23">
        <v>390</v>
      </c>
      <c r="R114" s="23">
        <v>120</v>
      </c>
      <c r="S114" s="25" t="s">
        <v>1919</v>
      </c>
      <c r="T114" s="25" t="s">
        <v>1544</v>
      </c>
      <c r="U114" s="25" t="s">
        <v>1545</v>
      </c>
      <c r="V114" s="25" t="s">
        <v>1546</v>
      </c>
      <c r="W114" s="25" t="s">
        <v>522</v>
      </c>
      <c r="X114" s="25" t="s">
        <v>523</v>
      </c>
      <c r="Y114" s="25" t="s">
        <v>414</v>
      </c>
      <c r="Z114" s="25" t="s">
        <v>1479</v>
      </c>
      <c r="AA114" s="25" t="s">
        <v>2223</v>
      </c>
      <c r="AB114" s="25"/>
      <c r="AC114" s="25" t="s">
        <v>2024</v>
      </c>
      <c r="AD114" s="25" t="s">
        <v>416</v>
      </c>
      <c r="AE114" s="25" t="s">
        <v>802</v>
      </c>
      <c r="AF114" s="25" t="s">
        <v>2025</v>
      </c>
      <c r="AG114" s="25" t="s">
        <v>417</v>
      </c>
      <c r="AH114" s="25"/>
      <c r="AI114" s="25"/>
      <c r="AJ114" s="36"/>
      <c r="AK114" s="25"/>
      <c r="AL114" s="136"/>
      <c r="AM114" s="23"/>
      <c r="AN114" s="23"/>
      <c r="AO114" s="146" t="s">
        <v>2206</v>
      </c>
      <c r="AP114" s="23">
        <v>6000</v>
      </c>
      <c r="AQ114" s="23" t="str">
        <f t="shared" si="8"/>
        <v>6CP</v>
      </c>
      <c r="AR114" s="23" t="str">
        <f t="shared" si="9"/>
        <v>25</v>
      </c>
      <c r="AS114" s="23">
        <v>5</v>
      </c>
      <c r="AT114" s="25"/>
      <c r="AU114" s="23"/>
      <c r="AV114" s="23"/>
      <c r="AW114" s="23"/>
      <c r="AX114" s="23"/>
      <c r="AY114" s="23">
        <v>1724</v>
      </c>
      <c r="AZ114" s="185">
        <v>41254</v>
      </c>
      <c r="BA114" s="192"/>
    </row>
    <row r="115" spans="1:53" s="28" customFormat="1" ht="11.25" customHeight="1">
      <c r="A115" s="125">
        <v>114</v>
      </c>
      <c r="B115" s="129" t="str">
        <f>VLOOKUP(Z115,'コード表'!$T$2:$X$36,5,0)</f>
        <v>18</v>
      </c>
      <c r="C115" s="83">
        <f>VLOOKUP(N115,'コード表'!$W$47:$X$50,2,0)</f>
        <v>1</v>
      </c>
      <c r="D115" s="83">
        <f>VLOOKUP(M115,'コード表'!$W$53:$X$56,2,0)</f>
        <v>1</v>
      </c>
      <c r="E115" s="129">
        <f>VLOOKUP(AA115,'コード表'!Y:AA,3,0)</f>
        <v>181</v>
      </c>
      <c r="F115" s="83">
        <f>VLOOKUP(K115,'コード表'!$W$38:$X$44,2,0)</f>
        <v>1</v>
      </c>
      <c r="G115" s="83">
        <f>VLOOKUP(S115,'コード表'!A:D,4,0)</f>
        <v>170</v>
      </c>
      <c r="H115" s="83">
        <f>VLOOKUP(U115,'コード表'!A:D,4,0)</f>
        <v>940</v>
      </c>
      <c r="I115" s="25">
        <v>114</v>
      </c>
      <c r="J115" s="83" t="s">
        <v>2199</v>
      </c>
      <c r="K115" s="23" t="s">
        <v>541</v>
      </c>
      <c r="L115" s="25" t="s">
        <v>367</v>
      </c>
      <c r="M115" s="23" t="s">
        <v>543</v>
      </c>
      <c r="N115" s="23">
        <v>6</v>
      </c>
      <c r="O115" s="23">
        <v>795</v>
      </c>
      <c r="P115" s="23">
        <v>685</v>
      </c>
      <c r="Q115" s="23">
        <v>475</v>
      </c>
      <c r="R115" s="23">
        <v>115</v>
      </c>
      <c r="S115" s="25" t="s">
        <v>1215</v>
      </c>
      <c r="T115" s="25" t="s">
        <v>207</v>
      </c>
      <c r="U115" s="25" t="s">
        <v>2216</v>
      </c>
      <c r="V115" s="25" t="s">
        <v>644</v>
      </c>
      <c r="W115" s="25" t="s">
        <v>2130</v>
      </c>
      <c r="X115" s="25" t="s">
        <v>1019</v>
      </c>
      <c r="Y115" s="25" t="s">
        <v>372</v>
      </c>
      <c r="Z115" s="25" t="s">
        <v>1479</v>
      </c>
      <c r="AA115" s="25" t="s">
        <v>2224</v>
      </c>
      <c r="AB115" s="25"/>
      <c r="AC115" s="25" t="s">
        <v>1020</v>
      </c>
      <c r="AD115" s="25" t="s">
        <v>416</v>
      </c>
      <c r="AE115" s="25" t="s">
        <v>428</v>
      </c>
      <c r="AF115" s="25" t="s">
        <v>1021</v>
      </c>
      <c r="AG115" s="25" t="s">
        <v>417</v>
      </c>
      <c r="AH115" s="25" t="s">
        <v>116</v>
      </c>
      <c r="AI115" s="25" t="s">
        <v>117</v>
      </c>
      <c r="AJ115" s="36" t="s">
        <v>281</v>
      </c>
      <c r="AK115" s="25"/>
      <c r="AL115" s="23"/>
      <c r="AM115" s="23"/>
      <c r="AN115" s="25"/>
      <c r="AO115" s="146" t="s">
        <v>2205</v>
      </c>
      <c r="AP115" s="23">
        <v>6000</v>
      </c>
      <c r="AQ115" s="23" t="str">
        <f t="shared" si="8"/>
        <v>6PR</v>
      </c>
      <c r="AR115" s="23" t="str">
        <f t="shared" si="9"/>
        <v>14</v>
      </c>
      <c r="AS115" s="23">
        <v>4</v>
      </c>
      <c r="AT115" s="23"/>
      <c r="AU115" s="23"/>
      <c r="AV115" s="23"/>
      <c r="AW115" s="23"/>
      <c r="AX115" s="23"/>
      <c r="AY115" s="23">
        <v>1725</v>
      </c>
      <c r="AZ115" s="185">
        <v>41254</v>
      </c>
      <c r="BA115" s="192"/>
    </row>
    <row r="116" spans="1:53" ht="11.25" customHeight="1">
      <c r="A116" s="125">
        <v>115</v>
      </c>
      <c r="B116" s="129" t="str">
        <f>VLOOKUP(Z116,'コード表'!$T$2:$X$36,5,0)</f>
        <v>19</v>
      </c>
      <c r="C116" s="83">
        <f>VLOOKUP(N116,'コード表'!$W$47:$X$50,2,0)</f>
        <v>1</v>
      </c>
      <c r="D116" s="83">
        <f>VLOOKUP(M116,'コード表'!$W$53:$X$56,2,0)</f>
        <v>3</v>
      </c>
      <c r="E116" s="129">
        <f>VLOOKUP(AA116,'コード表'!Y:AA,3,0)</f>
        <v>191</v>
      </c>
      <c r="F116" s="83">
        <f>VLOOKUP(K116,'コード表'!$W$38:$X$44,2,0)</f>
        <v>1</v>
      </c>
      <c r="G116" s="83">
        <f>VLOOKUP(S116,'コード表'!A:D,4,0)</f>
        <v>400</v>
      </c>
      <c r="H116" s="83">
        <f>VLOOKUP(U116,'コード表'!A:D,4,0)</f>
        <v>400</v>
      </c>
      <c r="I116" s="25">
        <v>115</v>
      </c>
      <c r="J116" s="83" t="s">
        <v>2200</v>
      </c>
      <c r="K116" s="23" t="s">
        <v>541</v>
      </c>
      <c r="L116" s="25" t="s">
        <v>1139</v>
      </c>
      <c r="M116" s="23" t="s">
        <v>2225</v>
      </c>
      <c r="N116" s="23">
        <v>6</v>
      </c>
      <c r="O116" s="23">
        <v>795</v>
      </c>
      <c r="P116" s="23">
        <v>580</v>
      </c>
      <c r="Q116" s="23">
        <v>580</v>
      </c>
      <c r="R116" s="23">
        <v>115</v>
      </c>
      <c r="S116" s="25" t="s">
        <v>1528</v>
      </c>
      <c r="T116" s="25" t="s">
        <v>1529</v>
      </c>
      <c r="U116" s="25" t="s">
        <v>479</v>
      </c>
      <c r="V116" s="25" t="s">
        <v>105</v>
      </c>
      <c r="W116" s="25" t="s">
        <v>79</v>
      </c>
      <c r="X116" s="25" t="s">
        <v>891</v>
      </c>
      <c r="Y116" s="25" t="s">
        <v>414</v>
      </c>
      <c r="Z116" s="25" t="s">
        <v>123</v>
      </c>
      <c r="AA116" s="25" t="s">
        <v>2226</v>
      </c>
      <c r="AB116" s="25"/>
      <c r="AC116" s="25" t="s">
        <v>892</v>
      </c>
      <c r="AD116" s="25" t="s">
        <v>416</v>
      </c>
      <c r="AE116" s="25" t="s">
        <v>80</v>
      </c>
      <c r="AF116" s="25" t="s">
        <v>893</v>
      </c>
      <c r="AG116" s="25" t="s">
        <v>417</v>
      </c>
      <c r="AH116" s="25"/>
      <c r="AI116" s="25"/>
      <c r="AJ116" s="36"/>
      <c r="AK116" s="25"/>
      <c r="AL116" s="26"/>
      <c r="AM116" s="23"/>
      <c r="AN116" s="25"/>
      <c r="AO116" s="146" t="s">
        <v>2204</v>
      </c>
      <c r="AP116" s="23">
        <v>6000</v>
      </c>
      <c r="AQ116" s="23" t="str">
        <f t="shared" si="8"/>
        <v>6PR</v>
      </c>
      <c r="AR116" s="23" t="str">
        <f t="shared" si="9"/>
        <v>14</v>
      </c>
      <c r="AS116" s="23">
        <v>4</v>
      </c>
      <c r="AT116" s="23"/>
      <c r="AU116" s="23"/>
      <c r="AV116" s="23"/>
      <c r="AW116" s="23"/>
      <c r="AX116" s="23"/>
      <c r="AY116" s="23">
        <v>1726</v>
      </c>
      <c r="AZ116" s="185">
        <v>41254</v>
      </c>
      <c r="BA116" s="192"/>
    </row>
    <row r="117" spans="1:53" s="28" customFormat="1" ht="11.25" customHeight="1">
      <c r="A117" s="125">
        <v>116</v>
      </c>
      <c r="B117" s="129" t="str">
        <f>VLOOKUP(Z117,'コード表'!$T$2:$X$36,5,0)</f>
        <v>21</v>
      </c>
      <c r="C117" s="83">
        <f>VLOOKUP(N117,'コード表'!$W$47:$X$50,2,0)</f>
        <v>1</v>
      </c>
      <c r="D117" s="83">
        <f>VLOOKUP(M117,'コード表'!$W$53:$X$56,2,0)</f>
        <v>2</v>
      </c>
      <c r="E117" s="129">
        <f>VLOOKUP(AA117,'コード表'!Y:AA,3,0)</f>
        <v>211</v>
      </c>
      <c r="F117" s="83">
        <f>VLOOKUP(K117,'コード表'!$W$38:$X$44,2,0)</f>
        <v>1</v>
      </c>
      <c r="G117" s="83">
        <f>VLOOKUP(S117,'コード表'!A:D,4,0)</f>
        <v>180</v>
      </c>
      <c r="H117" s="83">
        <f>VLOOKUP(U117,'コード表'!A:D,4,0)</f>
        <v>960</v>
      </c>
      <c r="I117" s="25">
        <v>116</v>
      </c>
      <c r="J117" s="83" t="s">
        <v>2201</v>
      </c>
      <c r="K117" s="23" t="s">
        <v>541</v>
      </c>
      <c r="L117" s="25" t="s">
        <v>2087</v>
      </c>
      <c r="M117" s="23" t="s">
        <v>2228</v>
      </c>
      <c r="N117" s="23">
        <v>6</v>
      </c>
      <c r="O117" s="23">
        <v>795</v>
      </c>
      <c r="P117" s="23">
        <v>565</v>
      </c>
      <c r="Q117" s="23">
        <v>475</v>
      </c>
      <c r="R117" s="23">
        <v>130</v>
      </c>
      <c r="S117" s="25" t="s">
        <v>715</v>
      </c>
      <c r="T117" s="25" t="s">
        <v>589</v>
      </c>
      <c r="U117" s="25" t="s">
        <v>2215</v>
      </c>
      <c r="V117" s="25" t="s">
        <v>972</v>
      </c>
      <c r="W117" s="25" t="s">
        <v>2129</v>
      </c>
      <c r="X117" s="25" t="s">
        <v>172</v>
      </c>
      <c r="Y117" s="25" t="s">
        <v>372</v>
      </c>
      <c r="Z117" s="25" t="s">
        <v>986</v>
      </c>
      <c r="AA117" s="25" t="s">
        <v>2229</v>
      </c>
      <c r="AB117" s="25"/>
      <c r="AC117" s="25" t="s">
        <v>173</v>
      </c>
      <c r="AD117" s="25" t="s">
        <v>416</v>
      </c>
      <c r="AE117" s="25" t="s">
        <v>2084</v>
      </c>
      <c r="AF117" s="25" t="s">
        <v>1265</v>
      </c>
      <c r="AG117" s="25" t="s">
        <v>417</v>
      </c>
      <c r="AH117" s="25" t="s">
        <v>174</v>
      </c>
      <c r="AI117" s="25" t="s">
        <v>175</v>
      </c>
      <c r="AJ117" s="36" t="s">
        <v>281</v>
      </c>
      <c r="AK117" s="25"/>
      <c r="AL117" s="23"/>
      <c r="AM117" s="23"/>
      <c r="AN117" s="25"/>
      <c r="AO117" s="146" t="s">
        <v>2241</v>
      </c>
      <c r="AP117" s="23">
        <v>6000</v>
      </c>
      <c r="AQ117" s="23" t="str">
        <f t="shared" si="8"/>
        <v>6PR</v>
      </c>
      <c r="AR117" s="23" t="str">
        <f t="shared" si="9"/>
        <v>14</v>
      </c>
      <c r="AS117" s="23">
        <v>4</v>
      </c>
      <c r="AT117" s="23"/>
      <c r="AU117" s="23"/>
      <c r="AV117" s="23"/>
      <c r="AW117" s="23"/>
      <c r="AX117" s="23"/>
      <c r="AY117" s="23">
        <v>1728</v>
      </c>
      <c r="AZ117" s="185">
        <v>41254</v>
      </c>
      <c r="BA117" s="192"/>
    </row>
    <row r="118" spans="1:53" s="28" customFormat="1" ht="11.25" customHeight="1">
      <c r="A118" s="125">
        <v>117</v>
      </c>
      <c r="B118" s="129" t="str">
        <f>VLOOKUP(Z118,'コード表'!$T$2:$X$36,5,0)</f>
        <v>19</v>
      </c>
      <c r="C118" s="83">
        <f>VLOOKUP(N118,'コード表'!$W$47:$X$50,2,0)</f>
        <v>1</v>
      </c>
      <c r="D118" s="83">
        <f>VLOOKUP(M118,'コード表'!$W$53:$X$56,2,0)</f>
        <v>4</v>
      </c>
      <c r="E118" s="129">
        <f>VLOOKUP(AA118,'コード表'!Y:AA,3,0)</f>
        <v>191</v>
      </c>
      <c r="F118" s="83">
        <f>VLOOKUP(K118,'コード表'!$W$38:$X$44,2,0)</f>
        <v>1</v>
      </c>
      <c r="G118" s="83">
        <f>VLOOKUP(S118,'コード表'!A:D,4,0)</f>
        <v>170</v>
      </c>
      <c r="H118" s="83">
        <f>VLOOKUP(U118,'コード表'!A:D,4,0)</f>
        <v>662</v>
      </c>
      <c r="I118" s="25">
        <v>117</v>
      </c>
      <c r="J118" s="83" t="s">
        <v>2202</v>
      </c>
      <c r="K118" s="23" t="s">
        <v>541</v>
      </c>
      <c r="L118" s="25" t="s">
        <v>1436</v>
      </c>
      <c r="M118" s="23" t="s">
        <v>2230</v>
      </c>
      <c r="N118" s="23">
        <v>6</v>
      </c>
      <c r="O118" s="23">
        <v>795</v>
      </c>
      <c r="P118" s="23">
        <v>540</v>
      </c>
      <c r="Q118" s="23">
        <v>540</v>
      </c>
      <c r="R118" s="23">
        <v>125</v>
      </c>
      <c r="S118" s="25" t="s">
        <v>2231</v>
      </c>
      <c r="T118" s="25" t="s">
        <v>2232</v>
      </c>
      <c r="U118" s="25" t="s">
        <v>2233</v>
      </c>
      <c r="V118" s="25" t="s">
        <v>2234</v>
      </c>
      <c r="W118" s="25" t="s">
        <v>2191</v>
      </c>
      <c r="X118" s="25" t="s">
        <v>2192</v>
      </c>
      <c r="Y118" s="25" t="s">
        <v>414</v>
      </c>
      <c r="Z118" s="25" t="s">
        <v>2212</v>
      </c>
      <c r="AA118" s="25" t="s">
        <v>2226</v>
      </c>
      <c r="AB118" s="25"/>
      <c r="AC118" s="25" t="s">
        <v>535</v>
      </c>
      <c r="AD118" s="25" t="s">
        <v>416</v>
      </c>
      <c r="AE118" s="25"/>
      <c r="AF118" s="25"/>
      <c r="AG118" s="25" t="s">
        <v>417</v>
      </c>
      <c r="AH118" s="25"/>
      <c r="AI118" s="25"/>
      <c r="AJ118" s="36"/>
      <c r="AK118" s="25"/>
      <c r="AL118" s="136"/>
      <c r="AM118" s="23"/>
      <c r="AN118" s="23"/>
      <c r="AO118" s="146" t="s">
        <v>2203</v>
      </c>
      <c r="AP118" s="23">
        <v>6000</v>
      </c>
      <c r="AQ118" s="23" t="str">
        <f t="shared" si="8"/>
        <v>6PR</v>
      </c>
      <c r="AR118" s="23" t="str">
        <f t="shared" si="9"/>
        <v>04</v>
      </c>
      <c r="AS118" s="23">
        <v>4</v>
      </c>
      <c r="AT118" s="25"/>
      <c r="AU118" s="23"/>
      <c r="AV118" s="23"/>
      <c r="AW118" s="23"/>
      <c r="AX118" s="23"/>
      <c r="AY118" s="23">
        <v>1730</v>
      </c>
      <c r="AZ118" s="185">
        <v>41254</v>
      </c>
      <c r="BA118" s="192"/>
    </row>
    <row r="119" spans="1:53" ht="11.25" customHeight="1">
      <c r="A119" s="125">
        <v>118</v>
      </c>
      <c r="B119" s="129" t="str">
        <f>VLOOKUP(Z119,'コード表'!$T$2:$X$36,5,0)</f>
        <v>21</v>
      </c>
      <c r="C119" s="83">
        <f>VLOOKUP(N119,'コード表'!$W$47:$X$50,2,0)</f>
        <v>1</v>
      </c>
      <c r="D119" s="83">
        <f>VLOOKUP(M119,'コード表'!$W$53:$X$56,2,0)</f>
        <v>3</v>
      </c>
      <c r="E119" s="129">
        <f>VLOOKUP(AA119,'コード表'!Y:AA,3,0)</f>
        <v>211</v>
      </c>
      <c r="F119" s="83">
        <f>VLOOKUP(K119,'コード表'!$W$38:$X$44,2,0)</f>
        <v>1</v>
      </c>
      <c r="G119" s="83">
        <f>VLOOKUP(S119,'コード表'!A:D,4,0)</f>
        <v>180</v>
      </c>
      <c r="H119" s="83">
        <f>VLOOKUP(U119,'コード表'!A:D,4,0)</f>
        <v>180</v>
      </c>
      <c r="I119" s="25">
        <v>118</v>
      </c>
      <c r="J119" s="83" t="s">
        <v>2244</v>
      </c>
      <c r="K119" s="23" t="s">
        <v>541</v>
      </c>
      <c r="L119" s="25" t="s">
        <v>99</v>
      </c>
      <c r="M119" s="23" t="s">
        <v>542</v>
      </c>
      <c r="N119" s="23">
        <v>6</v>
      </c>
      <c r="O119" s="23">
        <v>795</v>
      </c>
      <c r="P119" s="23">
        <v>660</v>
      </c>
      <c r="Q119" s="23">
        <v>660</v>
      </c>
      <c r="R119" s="23">
        <v>100</v>
      </c>
      <c r="S119" s="25" t="s">
        <v>578</v>
      </c>
      <c r="T119" s="25" t="s">
        <v>2246</v>
      </c>
      <c r="U119" s="25" t="s">
        <v>578</v>
      </c>
      <c r="V119" s="25" t="s">
        <v>2247</v>
      </c>
      <c r="W119" s="25" t="s">
        <v>2052</v>
      </c>
      <c r="X119" s="25" t="s">
        <v>2053</v>
      </c>
      <c r="Y119" s="25" t="s">
        <v>414</v>
      </c>
      <c r="Z119" s="25" t="s">
        <v>405</v>
      </c>
      <c r="AA119" s="25" t="s">
        <v>2248</v>
      </c>
      <c r="AB119" s="25"/>
      <c r="AC119" s="25" t="s">
        <v>2055</v>
      </c>
      <c r="AD119" s="25" t="s">
        <v>416</v>
      </c>
      <c r="AE119" s="25" t="s">
        <v>99</v>
      </c>
      <c r="AF119" s="25" t="s">
        <v>2055</v>
      </c>
      <c r="AG119" s="25" t="s">
        <v>417</v>
      </c>
      <c r="AH119" s="25" t="s">
        <v>174</v>
      </c>
      <c r="AI119" s="25" t="s">
        <v>175</v>
      </c>
      <c r="AJ119" s="36" t="s">
        <v>377</v>
      </c>
      <c r="AK119" s="25"/>
      <c r="AL119" s="26"/>
      <c r="AM119" s="23"/>
      <c r="AN119" s="25"/>
      <c r="AO119" s="146" t="s">
        <v>2243</v>
      </c>
      <c r="AP119" s="23">
        <v>6000</v>
      </c>
      <c r="AQ119" s="23" t="str">
        <f>LEFT(AP119,1)&amp;K119</f>
        <v>6PR</v>
      </c>
      <c r="AR119" s="23" t="str">
        <f>IF(AND($H119&gt;500,$H119&lt;700),"0"&amp;$AS119,$C119&amp;$AS119)</f>
        <v>14</v>
      </c>
      <c r="AS119" s="23">
        <v>4</v>
      </c>
      <c r="AT119" s="23"/>
      <c r="AU119" s="23"/>
      <c r="AV119" s="23"/>
      <c r="AW119" s="23"/>
      <c r="AX119" s="23"/>
      <c r="AY119" s="23">
        <v>1737</v>
      </c>
      <c r="AZ119" s="185">
        <v>41261</v>
      </c>
      <c r="BA119" s="192" t="s">
        <v>2284</v>
      </c>
    </row>
    <row r="120" spans="1:53" ht="11.25" customHeight="1">
      <c r="A120" s="125">
        <v>119</v>
      </c>
      <c r="B120" s="129" t="str">
        <f>VLOOKUP(Z120,'コード表'!$T$2:$X$36,5,0)</f>
        <v>21</v>
      </c>
      <c r="C120" s="83">
        <f>VLOOKUP(N120,'コード表'!$W$47:$X$50,2,0)</f>
        <v>4</v>
      </c>
      <c r="D120" s="83">
        <f>VLOOKUP(M120,'コード表'!$W$53:$X$56,2,0)</f>
        <v>4</v>
      </c>
      <c r="E120" s="129">
        <f>VLOOKUP(AA120,'コード表'!Y:AA,3,0)</f>
        <v>214</v>
      </c>
      <c r="F120" s="83">
        <f>VLOOKUP(K120,'コード表'!$W$38:$X$44,2,0)</f>
        <v>1</v>
      </c>
      <c r="G120" s="83">
        <f>VLOOKUP(S120,'コード表'!A:D,4,0)</f>
        <v>641</v>
      </c>
      <c r="H120" s="83">
        <f>VLOOKUP(U120,'コード表'!A:D,4,0)</f>
        <v>550</v>
      </c>
      <c r="I120" s="25">
        <v>119</v>
      </c>
      <c r="J120" s="83" t="s">
        <v>2245</v>
      </c>
      <c r="K120" s="23" t="s">
        <v>541</v>
      </c>
      <c r="L120" s="25" t="s">
        <v>2049</v>
      </c>
      <c r="M120" s="23" t="s">
        <v>546</v>
      </c>
      <c r="N120" s="23">
        <v>3</v>
      </c>
      <c r="O120" s="23">
        <v>410</v>
      </c>
      <c r="P120" s="23">
        <v>300</v>
      </c>
      <c r="Q120" s="23">
        <v>300</v>
      </c>
      <c r="R120" s="23">
        <v>120</v>
      </c>
      <c r="S120" s="25" t="s">
        <v>1829</v>
      </c>
      <c r="T120" s="25" t="s">
        <v>1028</v>
      </c>
      <c r="U120" s="25" t="s">
        <v>1928</v>
      </c>
      <c r="V120" s="25" t="s">
        <v>510</v>
      </c>
      <c r="W120" s="25" t="s">
        <v>2050</v>
      </c>
      <c r="X120" s="25" t="s">
        <v>115</v>
      </c>
      <c r="Y120" s="25" t="s">
        <v>414</v>
      </c>
      <c r="Z120" s="25" t="s">
        <v>405</v>
      </c>
      <c r="AA120" s="25" t="s">
        <v>2249</v>
      </c>
      <c r="AB120" s="25"/>
      <c r="AC120" s="25" t="s">
        <v>2051</v>
      </c>
      <c r="AD120" s="25" t="s">
        <v>416</v>
      </c>
      <c r="AE120" s="25" t="s">
        <v>182</v>
      </c>
      <c r="AF120" s="25" t="s">
        <v>835</v>
      </c>
      <c r="AG120" s="25" t="s">
        <v>417</v>
      </c>
      <c r="AH120" s="25"/>
      <c r="AI120" s="25"/>
      <c r="AJ120" s="36"/>
      <c r="AK120" s="25"/>
      <c r="AL120" s="26"/>
      <c r="AM120" s="23"/>
      <c r="AN120" s="25"/>
      <c r="AO120" s="146" t="s">
        <v>2242</v>
      </c>
      <c r="AP120" s="23">
        <v>6000</v>
      </c>
      <c r="AQ120" s="23" t="str">
        <f t="shared" si="8"/>
        <v>6PR</v>
      </c>
      <c r="AR120" s="23" t="str">
        <f t="shared" si="9"/>
        <v>05</v>
      </c>
      <c r="AS120" s="23">
        <v>5</v>
      </c>
      <c r="AT120" s="23"/>
      <c r="AU120" s="23"/>
      <c r="AV120" s="23"/>
      <c r="AW120" s="23"/>
      <c r="AX120" s="23"/>
      <c r="AY120" s="23">
        <v>1738</v>
      </c>
      <c r="AZ120" s="185">
        <v>41261</v>
      </c>
      <c r="BA120" s="192" t="s">
        <v>2284</v>
      </c>
    </row>
    <row r="121" spans="1:53" ht="11.25" customHeight="1">
      <c r="A121" s="125">
        <v>120</v>
      </c>
      <c r="B121" s="129" t="str">
        <f>VLOOKUP(Z121,'コード表'!$T$2:$X$36,5,0)</f>
        <v>05</v>
      </c>
      <c r="C121" s="83">
        <f>VLOOKUP(N121,'コード表'!$W$47:$X$50,2,0)</f>
        <v>1</v>
      </c>
      <c r="D121" s="83">
        <f>VLOOKUP(M121,'コード表'!$W$53:$X$56,2,0)</f>
        <v>3</v>
      </c>
      <c r="E121" s="129" t="str">
        <f>VLOOKUP(AA121,'コード表'!Y:AA,3,0)</f>
        <v>050</v>
      </c>
      <c r="F121" s="83">
        <f>VLOOKUP(K121,'コード表'!$W$38:$X$44,2,0)</f>
        <v>1</v>
      </c>
      <c r="G121" s="83">
        <f>VLOOKUP(S121,'コード表'!A:D,4,0)</f>
        <v>120</v>
      </c>
      <c r="H121" s="83">
        <f>VLOOKUP(U121,'コード表'!A:D,4,0)</f>
        <v>120</v>
      </c>
      <c r="I121" s="25">
        <v>120</v>
      </c>
      <c r="J121" s="83" t="s">
        <v>2252</v>
      </c>
      <c r="K121" s="23" t="s">
        <v>541</v>
      </c>
      <c r="L121" s="25" t="s">
        <v>704</v>
      </c>
      <c r="M121" s="23" t="s">
        <v>542</v>
      </c>
      <c r="N121" s="23">
        <v>6</v>
      </c>
      <c r="O121" s="23">
        <v>795</v>
      </c>
      <c r="P121" s="23">
        <v>660</v>
      </c>
      <c r="Q121" s="23">
        <v>550</v>
      </c>
      <c r="R121" s="23">
        <v>110</v>
      </c>
      <c r="S121" s="25" t="s">
        <v>675</v>
      </c>
      <c r="T121" s="25" t="s">
        <v>2254</v>
      </c>
      <c r="U121" s="25" t="s">
        <v>675</v>
      </c>
      <c r="V121" s="25" t="s">
        <v>2255</v>
      </c>
      <c r="W121" s="25" t="s">
        <v>705</v>
      </c>
      <c r="X121" s="25" t="s">
        <v>354</v>
      </c>
      <c r="Y121" s="25" t="s">
        <v>414</v>
      </c>
      <c r="Z121" s="25" t="s">
        <v>406</v>
      </c>
      <c r="AA121" s="25" t="s">
        <v>2258</v>
      </c>
      <c r="AB121" s="25"/>
      <c r="AC121" s="25" t="s">
        <v>2044</v>
      </c>
      <c r="AD121" s="25" t="s">
        <v>416</v>
      </c>
      <c r="AE121" s="25" t="s">
        <v>181</v>
      </c>
      <c r="AF121" s="25" t="s">
        <v>2045</v>
      </c>
      <c r="AG121" s="25" t="s">
        <v>417</v>
      </c>
      <c r="AH121" s="25"/>
      <c r="AI121" s="25"/>
      <c r="AJ121" s="36"/>
      <c r="AK121" s="25"/>
      <c r="AL121" s="26"/>
      <c r="AM121" s="25"/>
      <c r="AN121" s="25"/>
      <c r="AO121" s="146" t="s">
        <v>2250</v>
      </c>
      <c r="AP121" s="23">
        <v>1000</v>
      </c>
      <c r="AQ121" s="23" t="str">
        <f t="shared" si="8"/>
        <v>1PR</v>
      </c>
      <c r="AR121" s="23" t="str">
        <f t="shared" si="9"/>
        <v>15</v>
      </c>
      <c r="AS121" s="23">
        <v>5</v>
      </c>
      <c r="AT121" s="23"/>
      <c r="AU121" s="23"/>
      <c r="AV121" s="23"/>
      <c r="AW121" s="23"/>
      <c r="AX121" s="23"/>
      <c r="AY121" s="23">
        <v>1741</v>
      </c>
      <c r="AZ121" s="185">
        <v>41268</v>
      </c>
      <c r="BA121" s="192" t="s">
        <v>2285</v>
      </c>
    </row>
    <row r="122" spans="1:53" ht="11.25" customHeight="1">
      <c r="A122" s="125">
        <v>121</v>
      </c>
      <c r="B122" s="129" t="str">
        <f>VLOOKUP(Z122,'コード表'!$T$2:$X$36,5,0)</f>
        <v>22</v>
      </c>
      <c r="C122" s="83">
        <f>VLOOKUP(N122,'コード表'!$W$47:$X$50,2,0)</f>
        <v>1</v>
      </c>
      <c r="D122" s="83">
        <f>VLOOKUP(M122,'コード表'!$W$53:$X$56,2,0)</f>
        <v>4</v>
      </c>
      <c r="E122" s="129">
        <f>VLOOKUP(AA122,'コード表'!Y:AA,3,0)</f>
        <v>221</v>
      </c>
      <c r="F122" s="83">
        <f>VLOOKUP(K122,'コード表'!$W$38:$X$44,2,0)</f>
        <v>1</v>
      </c>
      <c r="G122" s="83">
        <f>VLOOKUP(S122,'コード表'!A:D,4,0)</f>
        <v>100</v>
      </c>
      <c r="H122" s="83">
        <f>VLOOKUP(U122,'コード表'!A:D,4,0)</f>
        <v>450</v>
      </c>
      <c r="I122" s="25">
        <v>121</v>
      </c>
      <c r="J122" s="83" t="s">
        <v>2253</v>
      </c>
      <c r="K122" s="23" t="s">
        <v>541</v>
      </c>
      <c r="L122" s="25" t="s">
        <v>1083</v>
      </c>
      <c r="M122" s="23" t="s">
        <v>546</v>
      </c>
      <c r="N122" s="23">
        <v>6</v>
      </c>
      <c r="O122" s="23">
        <v>795</v>
      </c>
      <c r="P122" s="23">
        <v>520</v>
      </c>
      <c r="Q122" s="23">
        <v>520</v>
      </c>
      <c r="R122" s="23">
        <v>130</v>
      </c>
      <c r="S122" s="25" t="s">
        <v>677</v>
      </c>
      <c r="T122" s="25" t="s">
        <v>2256</v>
      </c>
      <c r="U122" s="25" t="s">
        <v>618</v>
      </c>
      <c r="V122" s="25" t="s">
        <v>2257</v>
      </c>
      <c r="W122" s="25" t="s">
        <v>1082</v>
      </c>
      <c r="X122" s="25" t="s">
        <v>844</v>
      </c>
      <c r="Y122" s="25" t="s">
        <v>414</v>
      </c>
      <c r="Z122" s="25" t="s">
        <v>407</v>
      </c>
      <c r="AA122" s="25" t="s">
        <v>2259</v>
      </c>
      <c r="AB122" s="25"/>
      <c r="AC122" s="25" t="s">
        <v>745</v>
      </c>
      <c r="AD122" s="25" t="s">
        <v>416</v>
      </c>
      <c r="AE122" s="25" t="s">
        <v>1083</v>
      </c>
      <c r="AF122" s="25" t="s">
        <v>745</v>
      </c>
      <c r="AG122" s="25" t="s">
        <v>417</v>
      </c>
      <c r="AH122" s="25" t="s">
        <v>376</v>
      </c>
      <c r="AI122" s="25" t="s">
        <v>743</v>
      </c>
      <c r="AJ122" s="36" t="s">
        <v>377</v>
      </c>
      <c r="AK122" s="25"/>
      <c r="AL122" s="26"/>
      <c r="AM122" s="25"/>
      <c r="AN122" s="25"/>
      <c r="AO122" s="146" t="s">
        <v>2251</v>
      </c>
      <c r="AP122" s="23">
        <v>7000</v>
      </c>
      <c r="AQ122" s="23" t="str">
        <f t="shared" si="8"/>
        <v>7PR</v>
      </c>
      <c r="AR122" s="23" t="str">
        <f t="shared" si="9"/>
        <v>14</v>
      </c>
      <c r="AS122" s="23">
        <v>4</v>
      </c>
      <c r="AT122" s="23"/>
      <c r="AU122" s="23"/>
      <c r="AV122" s="23"/>
      <c r="AW122" s="23"/>
      <c r="AX122" s="23"/>
      <c r="AY122" s="23">
        <v>1742</v>
      </c>
      <c r="AZ122" s="185">
        <v>41268</v>
      </c>
      <c r="BA122" s="192" t="s">
        <v>2285</v>
      </c>
    </row>
    <row r="123" spans="1:53" s="202" customFormat="1" ht="11.25" customHeight="1">
      <c r="A123" s="125">
        <v>122</v>
      </c>
      <c r="B123" s="198" t="str">
        <f>VLOOKUP(Z123,'コード表'!$T$2:$X$36,5,0)</f>
        <v>01</v>
      </c>
      <c r="C123" s="199" t="e">
        <f>VLOOKUP(N123,'コード表'!$W$47:$X$50,2,0)</f>
        <v>#N/A</v>
      </c>
      <c r="D123" s="199" t="e">
        <f>VLOOKUP(M123,'コード表'!$W$53:$X$56,2,0)</f>
        <v>#N/A</v>
      </c>
      <c r="E123" s="198" t="str">
        <f>VLOOKUP(AA123,'コード表'!Y:AA,3,0)</f>
        <v>013</v>
      </c>
      <c r="F123" s="199">
        <f>VLOOKUP(K123,'コード表'!$W$38:$X$44,2,0)</f>
        <v>2</v>
      </c>
      <c r="G123" s="199">
        <f>VLOOKUP(S123,'コード表'!A:D,4,0)</f>
        <v>100</v>
      </c>
      <c r="H123" s="199">
        <f>VLOOKUP(U123,'コード表'!A:D,4,0)</f>
        <v>450</v>
      </c>
      <c r="I123" s="25">
        <v>122</v>
      </c>
      <c r="J123" s="199" t="s">
        <v>2287</v>
      </c>
      <c r="K123" s="187" t="s">
        <v>2298</v>
      </c>
      <c r="L123" s="186" t="s">
        <v>1549</v>
      </c>
      <c r="M123" s="221"/>
      <c r="N123" s="221"/>
      <c r="O123" s="221"/>
      <c r="P123" s="221"/>
      <c r="Q123" s="221"/>
      <c r="R123" s="221"/>
      <c r="S123" s="186" t="s">
        <v>677</v>
      </c>
      <c r="T123" s="222" t="s">
        <v>1023</v>
      </c>
      <c r="U123" s="186" t="s">
        <v>618</v>
      </c>
      <c r="V123" s="222" t="s">
        <v>511</v>
      </c>
      <c r="W123" s="186" t="s">
        <v>1813</v>
      </c>
      <c r="X123" s="186" t="s">
        <v>1814</v>
      </c>
      <c r="Y123" s="186" t="s">
        <v>414</v>
      </c>
      <c r="Z123" s="186" t="s">
        <v>1416</v>
      </c>
      <c r="AA123" s="222" t="s">
        <v>355</v>
      </c>
      <c r="AB123" s="186"/>
      <c r="AC123" s="186" t="s">
        <v>553</v>
      </c>
      <c r="AD123" s="186" t="s">
        <v>416</v>
      </c>
      <c r="AE123" s="186" t="s">
        <v>1496</v>
      </c>
      <c r="AF123" s="186" t="s">
        <v>557</v>
      </c>
      <c r="AG123" s="186" t="s">
        <v>417</v>
      </c>
      <c r="AH123" s="186"/>
      <c r="AI123" s="186"/>
      <c r="AJ123" s="200"/>
      <c r="AK123" s="186"/>
      <c r="AL123" s="201"/>
      <c r="AM123" s="187"/>
      <c r="AN123" s="186"/>
      <c r="AO123" s="190" t="s">
        <v>2299</v>
      </c>
      <c r="AP123" s="187">
        <v>1000</v>
      </c>
      <c r="AQ123" s="187" t="str">
        <f t="shared" si="8"/>
        <v>1CP</v>
      </c>
      <c r="AR123" s="187" t="e">
        <f t="shared" si="9"/>
        <v>#N/A</v>
      </c>
      <c r="AS123" s="187">
        <v>5</v>
      </c>
      <c r="AT123" s="187"/>
      <c r="AU123" s="187"/>
      <c r="AV123" s="187"/>
      <c r="AW123" s="187"/>
      <c r="AX123" s="187"/>
      <c r="AY123" s="187"/>
      <c r="AZ123" s="195">
        <v>41310</v>
      </c>
      <c r="BA123" s="193"/>
    </row>
    <row r="124" spans="1:53" s="188" customFormat="1" ht="11.25" customHeight="1">
      <c r="A124" s="125">
        <v>123</v>
      </c>
      <c r="B124" s="198" t="str">
        <f>VLOOKUP(Z124,'コード表'!$T$2:$X$36,5,0)</f>
        <v>06</v>
      </c>
      <c r="C124" s="199" t="e">
        <f>VLOOKUP(N124,'コード表'!$W$47:$X$50,2,0)</f>
        <v>#N/A</v>
      </c>
      <c r="D124" s="199" t="e">
        <f>VLOOKUP(M124,'コード表'!$W$53:$X$56,2,0)</f>
        <v>#N/A</v>
      </c>
      <c r="E124" s="198" t="str">
        <f>VLOOKUP(AA124,'コード表'!Y:AA,3,0)</f>
        <v>065</v>
      </c>
      <c r="F124" s="199">
        <f>VLOOKUP(K124,'コード表'!$W$38:$X$44,2,0)</f>
        <v>2</v>
      </c>
      <c r="G124" s="199">
        <f>VLOOKUP(S124,'コード表'!A:D,4,0)</f>
        <v>651</v>
      </c>
      <c r="H124" s="199">
        <f>VLOOKUP(U124,'コード表'!A:D,4,0)</f>
        <v>650</v>
      </c>
      <c r="I124" s="25">
        <v>123</v>
      </c>
      <c r="J124" s="199" t="s">
        <v>2288</v>
      </c>
      <c r="K124" s="187" t="s">
        <v>2298</v>
      </c>
      <c r="L124" s="186" t="s">
        <v>97</v>
      </c>
      <c r="M124" s="221"/>
      <c r="N124" s="221"/>
      <c r="O124" s="221"/>
      <c r="P124" s="221"/>
      <c r="Q124" s="221"/>
      <c r="R124" s="221"/>
      <c r="S124" s="186" t="s">
        <v>1910</v>
      </c>
      <c r="T124" s="222" t="s">
        <v>2001</v>
      </c>
      <c r="U124" s="186" t="s">
        <v>118</v>
      </c>
      <c r="V124" s="222" t="s">
        <v>119</v>
      </c>
      <c r="W124" s="186" t="s">
        <v>1270</v>
      </c>
      <c r="X124" s="186" t="s">
        <v>1193</v>
      </c>
      <c r="Y124" s="186" t="s">
        <v>414</v>
      </c>
      <c r="Z124" s="186" t="s">
        <v>370</v>
      </c>
      <c r="AA124" s="222" t="s">
        <v>120</v>
      </c>
      <c r="AB124" s="186"/>
      <c r="AC124" s="186" t="s">
        <v>1194</v>
      </c>
      <c r="AD124" s="186" t="s">
        <v>416</v>
      </c>
      <c r="AE124" s="186" t="s">
        <v>956</v>
      </c>
      <c r="AF124" s="186" t="s">
        <v>957</v>
      </c>
      <c r="AG124" s="186" t="s">
        <v>417</v>
      </c>
      <c r="AH124" s="186"/>
      <c r="AI124" s="186"/>
      <c r="AJ124" s="200"/>
      <c r="AK124" s="186"/>
      <c r="AL124" s="187"/>
      <c r="AM124" s="187"/>
      <c r="AN124" s="186"/>
      <c r="AO124" s="190" t="s">
        <v>2300</v>
      </c>
      <c r="AP124" s="187">
        <v>2000</v>
      </c>
      <c r="AQ124" s="187" t="str">
        <f t="shared" si="8"/>
        <v>2CP</v>
      </c>
      <c r="AR124" s="187" t="str">
        <f t="shared" si="9"/>
        <v>05</v>
      </c>
      <c r="AS124" s="187">
        <v>5</v>
      </c>
      <c r="AT124" s="187"/>
      <c r="AU124" s="187"/>
      <c r="AV124" s="187"/>
      <c r="AW124" s="187"/>
      <c r="AX124" s="187"/>
      <c r="AY124" s="187"/>
      <c r="AZ124" s="195">
        <v>41310</v>
      </c>
      <c r="BA124" s="193"/>
    </row>
    <row r="125" spans="1:53" s="202" customFormat="1" ht="11.25" customHeight="1">
      <c r="A125" s="125">
        <v>124</v>
      </c>
      <c r="B125" s="198" t="str">
        <f>VLOOKUP(Z125,'コード表'!$T$2:$X$36,5,0)</f>
        <v>18</v>
      </c>
      <c r="C125" s="199" t="e">
        <f>VLOOKUP(N125,'コード表'!$W$47:$X$50,2,0)</f>
        <v>#N/A</v>
      </c>
      <c r="D125" s="199" t="e">
        <f>VLOOKUP(M125,'コード表'!$W$53:$X$56,2,0)</f>
        <v>#N/A</v>
      </c>
      <c r="E125" s="198">
        <f>VLOOKUP(AA125,'コード表'!Y:AA,3,0)</f>
        <v>185</v>
      </c>
      <c r="F125" s="199">
        <f>VLOOKUP(K125,'コード表'!$W$38:$X$44,2,0)</f>
        <v>2</v>
      </c>
      <c r="G125" s="199">
        <f>VLOOKUP(S125,'コード表'!A:D,4,0)</f>
        <v>108</v>
      </c>
      <c r="H125" s="199">
        <f>VLOOKUP(U125,'コード表'!A:D,4,0)</f>
        <v>108</v>
      </c>
      <c r="I125" s="25">
        <v>124</v>
      </c>
      <c r="J125" s="199" t="s">
        <v>2289</v>
      </c>
      <c r="K125" s="187" t="s">
        <v>2298</v>
      </c>
      <c r="L125" s="186" t="s">
        <v>312</v>
      </c>
      <c r="M125" s="221"/>
      <c r="N125" s="221"/>
      <c r="O125" s="221"/>
      <c r="P125" s="221"/>
      <c r="Q125" s="221"/>
      <c r="R125" s="221"/>
      <c r="S125" s="186" t="s">
        <v>1999</v>
      </c>
      <c r="T125" s="222" t="s">
        <v>2088</v>
      </c>
      <c r="U125" s="186" t="s">
        <v>1999</v>
      </c>
      <c r="V125" s="222" t="s">
        <v>380</v>
      </c>
      <c r="W125" s="186" t="s">
        <v>1008</v>
      </c>
      <c r="X125" s="186" t="s">
        <v>987</v>
      </c>
      <c r="Y125" s="186" t="s">
        <v>414</v>
      </c>
      <c r="Z125" s="186" t="s">
        <v>1479</v>
      </c>
      <c r="AA125" s="222" t="s">
        <v>988</v>
      </c>
      <c r="AB125" s="186"/>
      <c r="AC125" s="186" t="s">
        <v>894</v>
      </c>
      <c r="AD125" s="186" t="s">
        <v>416</v>
      </c>
      <c r="AE125" s="186" t="s">
        <v>428</v>
      </c>
      <c r="AF125" s="186" t="s">
        <v>28</v>
      </c>
      <c r="AG125" s="186" t="s">
        <v>417</v>
      </c>
      <c r="AH125" s="186" t="s">
        <v>895</v>
      </c>
      <c r="AI125" s="186" t="s">
        <v>896</v>
      </c>
      <c r="AJ125" s="200" t="s">
        <v>281</v>
      </c>
      <c r="AK125" s="186"/>
      <c r="AL125" s="201"/>
      <c r="AM125" s="187"/>
      <c r="AN125" s="186"/>
      <c r="AO125" s="190" t="s">
        <v>2301</v>
      </c>
      <c r="AP125" s="187">
        <v>6000</v>
      </c>
      <c r="AQ125" s="187" t="str">
        <f t="shared" si="8"/>
        <v>6CP</v>
      </c>
      <c r="AR125" s="187" t="e">
        <f t="shared" si="9"/>
        <v>#N/A</v>
      </c>
      <c r="AS125" s="187">
        <v>5</v>
      </c>
      <c r="AT125" s="187"/>
      <c r="AU125" s="187"/>
      <c r="AV125" s="187"/>
      <c r="AW125" s="187"/>
      <c r="AX125" s="187"/>
      <c r="AY125" s="187"/>
      <c r="AZ125" s="195">
        <v>41310</v>
      </c>
      <c r="BA125" s="193"/>
    </row>
    <row r="126" spans="1:53" s="202" customFormat="1" ht="11.25" customHeight="1">
      <c r="A126" s="125">
        <v>125</v>
      </c>
      <c r="B126" s="198" t="str">
        <f>VLOOKUP(Z126,'コード表'!$T$2:$X$36,5,0)</f>
        <v>20</v>
      </c>
      <c r="C126" s="199" t="e">
        <f>VLOOKUP(N126,'コード表'!$W$47:$X$50,2,0)</f>
        <v>#N/A</v>
      </c>
      <c r="D126" s="199" t="e">
        <f>VLOOKUP(M126,'コード表'!$W$53:$X$56,2,0)</f>
        <v>#N/A</v>
      </c>
      <c r="E126" s="198">
        <f>VLOOKUP(AA126,'コード表'!Y:AA,3,0)</f>
        <v>205</v>
      </c>
      <c r="F126" s="199">
        <f>VLOOKUP(K126,'コード表'!$W$38:$X$44,2,0)</f>
        <v>2</v>
      </c>
      <c r="G126" s="199">
        <f>VLOOKUP(S126,'コード表'!A:D,4,0)</f>
        <v>651</v>
      </c>
      <c r="H126" s="199">
        <f>VLOOKUP(U126,'コード表'!A:D,4,0)</f>
        <v>960</v>
      </c>
      <c r="I126" s="25">
        <v>125</v>
      </c>
      <c r="J126" s="199" t="s">
        <v>2290</v>
      </c>
      <c r="K126" s="187" t="s">
        <v>2298</v>
      </c>
      <c r="L126" s="186" t="s">
        <v>104</v>
      </c>
      <c r="M126" s="221"/>
      <c r="N126" s="221"/>
      <c r="O126" s="221"/>
      <c r="P126" s="221"/>
      <c r="Q126" s="221"/>
      <c r="R126" s="221"/>
      <c r="S126" s="186" t="s">
        <v>1831</v>
      </c>
      <c r="T126" s="222" t="s">
        <v>1027</v>
      </c>
      <c r="U126" s="186" t="s">
        <v>2215</v>
      </c>
      <c r="V126" s="222" t="s">
        <v>1439</v>
      </c>
      <c r="W126" s="186" t="s">
        <v>36</v>
      </c>
      <c r="X126" s="186" t="s">
        <v>915</v>
      </c>
      <c r="Y126" s="186" t="s">
        <v>2057</v>
      </c>
      <c r="Z126" s="186" t="s">
        <v>1444</v>
      </c>
      <c r="AA126" s="222" t="s">
        <v>916</v>
      </c>
      <c r="AB126" s="186"/>
      <c r="AC126" s="186" t="s">
        <v>347</v>
      </c>
      <c r="AD126" s="186" t="s">
        <v>416</v>
      </c>
      <c r="AE126" s="186" t="s">
        <v>1289</v>
      </c>
      <c r="AF126" s="186" t="s">
        <v>348</v>
      </c>
      <c r="AG126" s="186" t="s">
        <v>417</v>
      </c>
      <c r="AH126" s="186" t="s">
        <v>362</v>
      </c>
      <c r="AI126" s="186" t="s">
        <v>363</v>
      </c>
      <c r="AJ126" s="200" t="s">
        <v>377</v>
      </c>
      <c r="AK126" s="186"/>
      <c r="AL126" s="201"/>
      <c r="AM126" s="187"/>
      <c r="AN126" s="186"/>
      <c r="AO126" s="190" t="s">
        <v>2302</v>
      </c>
      <c r="AP126" s="187">
        <v>6000</v>
      </c>
      <c r="AQ126" s="187" t="str">
        <f t="shared" si="8"/>
        <v>6CP</v>
      </c>
      <c r="AR126" s="187" t="e">
        <f t="shared" si="9"/>
        <v>#N/A</v>
      </c>
      <c r="AS126" s="187">
        <v>5</v>
      </c>
      <c r="AT126" s="187"/>
      <c r="AU126" s="187"/>
      <c r="AV126" s="187"/>
      <c r="AW126" s="187"/>
      <c r="AX126" s="187"/>
      <c r="AY126" s="187"/>
      <c r="AZ126" s="195">
        <v>41310</v>
      </c>
      <c r="BA126" s="193"/>
    </row>
    <row r="127" spans="1:53" s="202" customFormat="1" ht="11.25" customHeight="1">
      <c r="A127" s="125">
        <v>126</v>
      </c>
      <c r="B127" s="198" t="str">
        <f>VLOOKUP(Z127,'コード表'!$T$2:$X$36,5,0)</f>
        <v>20</v>
      </c>
      <c r="C127" s="199" t="e">
        <f>VLOOKUP(N127,'コード表'!$W$47:$X$50,2,0)</f>
        <v>#N/A</v>
      </c>
      <c r="D127" s="199" t="e">
        <f>VLOOKUP(M127,'コード表'!$W$53:$X$56,2,0)</f>
        <v>#N/A</v>
      </c>
      <c r="E127" s="198">
        <f>VLOOKUP(AA127,'コード表'!Y:AA,3,0)</f>
        <v>203</v>
      </c>
      <c r="F127" s="199">
        <f>VLOOKUP(K127,'コード表'!$W$38:$X$44,2,0)</f>
        <v>2</v>
      </c>
      <c r="G127" s="199">
        <f>VLOOKUP(S127,'コード表'!A:D,4,0)</f>
        <v>100</v>
      </c>
      <c r="H127" s="199">
        <f>VLOOKUP(U127,'コード表'!A:D,4,0)</f>
        <v>660</v>
      </c>
      <c r="I127" s="25">
        <v>126</v>
      </c>
      <c r="J127" s="199" t="s">
        <v>2291</v>
      </c>
      <c r="K127" s="187" t="s">
        <v>2298</v>
      </c>
      <c r="L127" s="186" t="s">
        <v>77</v>
      </c>
      <c r="M127" s="221"/>
      <c r="N127" s="221"/>
      <c r="O127" s="221"/>
      <c r="P127" s="221"/>
      <c r="Q127" s="221"/>
      <c r="R127" s="221"/>
      <c r="S127" s="186" t="s">
        <v>677</v>
      </c>
      <c r="T127" s="222" t="s">
        <v>1174</v>
      </c>
      <c r="U127" s="186" t="s">
        <v>684</v>
      </c>
      <c r="V127" s="222" t="s">
        <v>351</v>
      </c>
      <c r="W127" s="186" t="s">
        <v>78</v>
      </c>
      <c r="X127" s="186" t="s">
        <v>1384</v>
      </c>
      <c r="Y127" s="186" t="s">
        <v>414</v>
      </c>
      <c r="Z127" s="186" t="s">
        <v>1444</v>
      </c>
      <c r="AA127" s="222" t="s">
        <v>1445</v>
      </c>
      <c r="AB127" s="186"/>
      <c r="AC127" s="186" t="s">
        <v>838</v>
      </c>
      <c r="AD127" s="186" t="s">
        <v>416</v>
      </c>
      <c r="AE127" s="186" t="s">
        <v>183</v>
      </c>
      <c r="AF127" s="186" t="s">
        <v>1385</v>
      </c>
      <c r="AG127" s="186" t="s">
        <v>417</v>
      </c>
      <c r="AH127" s="186"/>
      <c r="AI127" s="186"/>
      <c r="AJ127" s="200"/>
      <c r="AK127" s="186"/>
      <c r="AL127" s="201"/>
      <c r="AM127" s="187"/>
      <c r="AN127" s="186"/>
      <c r="AO127" s="190" t="s">
        <v>2303</v>
      </c>
      <c r="AP127" s="187">
        <v>7000</v>
      </c>
      <c r="AQ127" s="187" t="str">
        <f t="shared" si="8"/>
        <v>7CP</v>
      </c>
      <c r="AR127" s="187" t="str">
        <f t="shared" si="9"/>
        <v>05</v>
      </c>
      <c r="AS127" s="187">
        <v>5</v>
      </c>
      <c r="AT127" s="187"/>
      <c r="AU127" s="187"/>
      <c r="AV127" s="187"/>
      <c r="AW127" s="187"/>
      <c r="AX127" s="187"/>
      <c r="AY127" s="187"/>
      <c r="AZ127" s="195">
        <v>41310</v>
      </c>
      <c r="BA127" s="193"/>
    </row>
    <row r="128" spans="1:53" s="188" customFormat="1" ht="11.25" customHeight="1">
      <c r="A128" s="125">
        <v>127</v>
      </c>
      <c r="B128" s="198" t="str">
        <f>VLOOKUP(Z128,'コード表'!$T$2:$X$36,5,0)</f>
        <v>31</v>
      </c>
      <c r="C128" s="199" t="e">
        <f>VLOOKUP(N128,'コード表'!$W$47:$X$50,2,0)</f>
        <v>#N/A</v>
      </c>
      <c r="D128" s="199" t="e">
        <f>VLOOKUP(M128,'コード表'!$W$53:$X$56,2,0)</f>
        <v>#N/A</v>
      </c>
      <c r="E128" s="198">
        <f>VLOOKUP(AA128,'コード表'!Y:AA,3,0)</f>
        <v>312</v>
      </c>
      <c r="F128" s="199">
        <f>VLOOKUP(K128,'コード表'!$W$38:$X$44,2,0)</f>
        <v>2</v>
      </c>
      <c r="G128" s="199">
        <f>VLOOKUP(S128,'コード表'!A:D,4,0)</f>
        <v>100</v>
      </c>
      <c r="H128" s="199">
        <f>VLOOKUP(U128,'コード表'!A:D,4,0)</f>
        <v>700</v>
      </c>
      <c r="I128" s="25">
        <v>127</v>
      </c>
      <c r="J128" s="199" t="s">
        <v>2292</v>
      </c>
      <c r="K128" s="187" t="s">
        <v>2298</v>
      </c>
      <c r="L128" s="186" t="s">
        <v>2265</v>
      </c>
      <c r="M128" s="221"/>
      <c r="N128" s="221"/>
      <c r="O128" s="221"/>
      <c r="P128" s="221"/>
      <c r="Q128" s="221"/>
      <c r="R128" s="221"/>
      <c r="S128" s="186" t="s">
        <v>291</v>
      </c>
      <c r="T128" s="222" t="s">
        <v>1909</v>
      </c>
      <c r="U128" s="186" t="s">
        <v>1158</v>
      </c>
      <c r="V128" s="222" t="s">
        <v>1159</v>
      </c>
      <c r="W128" s="186" t="s">
        <v>58</v>
      </c>
      <c r="X128" s="186" t="s">
        <v>59</v>
      </c>
      <c r="Y128" s="186" t="s">
        <v>414</v>
      </c>
      <c r="Z128" s="186" t="s">
        <v>2006</v>
      </c>
      <c r="AA128" s="222" t="s">
        <v>1280</v>
      </c>
      <c r="AB128" s="186"/>
      <c r="AC128" s="186" t="s">
        <v>670</v>
      </c>
      <c r="AD128" s="186" t="s">
        <v>416</v>
      </c>
      <c r="AE128" s="186" t="s">
        <v>603</v>
      </c>
      <c r="AF128" s="186" t="s">
        <v>482</v>
      </c>
      <c r="AG128" s="186" t="s">
        <v>417</v>
      </c>
      <c r="AH128" s="186"/>
      <c r="AI128" s="186"/>
      <c r="AJ128" s="200"/>
      <c r="AK128" s="186"/>
      <c r="AL128" s="187"/>
      <c r="AM128" s="187"/>
      <c r="AN128" s="186"/>
      <c r="AO128" s="190" t="s">
        <v>2304</v>
      </c>
      <c r="AP128" s="187">
        <v>8000</v>
      </c>
      <c r="AQ128" s="187" t="str">
        <f t="shared" si="8"/>
        <v>8CP</v>
      </c>
      <c r="AR128" s="187" t="e">
        <f t="shared" si="9"/>
        <v>#N/A</v>
      </c>
      <c r="AS128" s="187">
        <v>5</v>
      </c>
      <c r="AT128" s="187"/>
      <c r="AU128" s="187"/>
      <c r="AV128" s="187"/>
      <c r="AW128" s="187"/>
      <c r="AX128" s="187"/>
      <c r="AY128" s="187"/>
      <c r="AZ128" s="195">
        <v>41310</v>
      </c>
      <c r="BA128" s="193"/>
    </row>
    <row r="129" spans="1:53" s="188" customFormat="1" ht="11.25" customHeight="1">
      <c r="A129" s="125">
        <v>128</v>
      </c>
      <c r="B129" s="198" t="str">
        <f>VLOOKUP(Z129,'コード表'!$T$2:$X$36,5,0)</f>
        <v>07</v>
      </c>
      <c r="C129" s="199" t="e">
        <f>VLOOKUP(N129,'コード表'!$W$47:$X$50,2,0)</f>
        <v>#N/A</v>
      </c>
      <c r="D129" s="199" t="e">
        <f>VLOOKUP(M129,'コード表'!$W$53:$X$56,2,0)</f>
        <v>#N/A</v>
      </c>
      <c r="E129" s="198" t="str">
        <f>VLOOKUP(AA129,'コード表'!Y:AA,3,0)</f>
        <v>075</v>
      </c>
      <c r="F129" s="199">
        <f>VLOOKUP(K129,'コード表'!$W$38:$X$44,2,0)</f>
        <v>1</v>
      </c>
      <c r="G129" s="199">
        <f>VLOOKUP(S129,'コード表'!A:D,4,0)</f>
        <v>641</v>
      </c>
      <c r="H129" s="199">
        <f>VLOOKUP(U129,'コード表'!A:D,4,0)</f>
        <v>640</v>
      </c>
      <c r="I129" s="25">
        <v>128</v>
      </c>
      <c r="J129" s="199" t="s">
        <v>2293</v>
      </c>
      <c r="K129" s="187" t="s">
        <v>2297</v>
      </c>
      <c r="L129" s="186" t="s">
        <v>1197</v>
      </c>
      <c r="M129" s="221"/>
      <c r="N129" s="221"/>
      <c r="O129" s="221"/>
      <c r="P129" s="221"/>
      <c r="Q129" s="221"/>
      <c r="R129" s="221"/>
      <c r="S129" s="186" t="s">
        <v>2137</v>
      </c>
      <c r="T129" s="222" t="s">
        <v>1217</v>
      </c>
      <c r="U129" s="186" t="s">
        <v>2138</v>
      </c>
      <c r="V129" s="222" t="s">
        <v>1387</v>
      </c>
      <c r="W129" s="186" t="s">
        <v>483</v>
      </c>
      <c r="X129" s="186" t="s">
        <v>484</v>
      </c>
      <c r="Y129" s="186" t="s">
        <v>414</v>
      </c>
      <c r="Z129" s="186" t="s">
        <v>1412</v>
      </c>
      <c r="AA129" s="222" t="s">
        <v>2139</v>
      </c>
      <c r="AB129" s="186"/>
      <c r="AC129" s="186" t="s">
        <v>485</v>
      </c>
      <c r="AD129" s="186" t="s">
        <v>416</v>
      </c>
      <c r="AE129" s="186" t="s">
        <v>486</v>
      </c>
      <c r="AF129" s="186" t="s">
        <v>485</v>
      </c>
      <c r="AG129" s="186" t="s">
        <v>417</v>
      </c>
      <c r="AH129" s="186"/>
      <c r="AI129" s="186"/>
      <c r="AJ129" s="200"/>
      <c r="AK129" s="186"/>
      <c r="AL129" s="203"/>
      <c r="AM129" s="187"/>
      <c r="AN129" s="187"/>
      <c r="AO129" s="190" t="s">
        <v>2305</v>
      </c>
      <c r="AP129" s="187">
        <v>2000</v>
      </c>
      <c r="AQ129" s="187" t="str">
        <f t="shared" si="8"/>
        <v>2PR</v>
      </c>
      <c r="AR129" s="187" t="str">
        <f t="shared" si="9"/>
        <v>05</v>
      </c>
      <c r="AS129" s="187">
        <v>5</v>
      </c>
      <c r="AT129" s="186"/>
      <c r="AU129" s="187"/>
      <c r="AV129" s="187"/>
      <c r="AW129" s="187"/>
      <c r="AX129" s="187"/>
      <c r="AY129" s="187"/>
      <c r="AZ129" s="195">
        <v>41310</v>
      </c>
      <c r="BA129" s="193"/>
    </row>
    <row r="130" spans="1:53" s="188" customFormat="1" ht="11.25" customHeight="1">
      <c r="A130" s="125">
        <v>129</v>
      </c>
      <c r="B130" s="198" t="str">
        <f>VLOOKUP(Z130,'コード表'!$T$2:$X$36,5,0)</f>
        <v>21</v>
      </c>
      <c r="C130" s="199" t="e">
        <f>VLOOKUP(N130,'コード表'!$W$47:$X$50,2,0)</f>
        <v>#N/A</v>
      </c>
      <c r="D130" s="199" t="e">
        <f>VLOOKUP(M130,'コード表'!$W$53:$X$56,2,0)</f>
        <v>#N/A</v>
      </c>
      <c r="E130" s="198">
        <f>VLOOKUP(AA130,'コード表'!Y:AA,3,0)</f>
        <v>212</v>
      </c>
      <c r="F130" s="199">
        <f>VLOOKUP(K130,'コード表'!$W$38:$X$44,2,0)</f>
        <v>1</v>
      </c>
      <c r="G130" s="199">
        <f>VLOOKUP(S130,'コード表'!A:D,4,0)</f>
        <v>100</v>
      </c>
      <c r="H130" s="199">
        <f>VLOOKUP(U130,'コード表'!A:D,4,0)</f>
        <v>170</v>
      </c>
      <c r="I130" s="25">
        <v>129</v>
      </c>
      <c r="J130" s="199" t="s">
        <v>2294</v>
      </c>
      <c r="K130" s="187" t="s">
        <v>2297</v>
      </c>
      <c r="L130" s="186" t="s">
        <v>534</v>
      </c>
      <c r="M130" s="221"/>
      <c r="N130" s="221"/>
      <c r="O130" s="221"/>
      <c r="P130" s="221"/>
      <c r="Q130" s="221"/>
      <c r="R130" s="221"/>
      <c r="S130" s="186" t="s">
        <v>291</v>
      </c>
      <c r="T130" s="222" t="s">
        <v>589</v>
      </c>
      <c r="U130" s="186" t="s">
        <v>1195</v>
      </c>
      <c r="V130" s="222" t="s">
        <v>206</v>
      </c>
      <c r="W130" s="186" t="s">
        <v>524</v>
      </c>
      <c r="X130" s="186" t="s">
        <v>525</v>
      </c>
      <c r="Y130" s="186" t="s">
        <v>414</v>
      </c>
      <c r="Z130" s="186" t="s">
        <v>986</v>
      </c>
      <c r="AA130" s="222" t="s">
        <v>244</v>
      </c>
      <c r="AB130" s="186"/>
      <c r="AC130" s="186" t="s">
        <v>662</v>
      </c>
      <c r="AD130" s="186" t="s">
        <v>416</v>
      </c>
      <c r="AE130" s="186" t="s">
        <v>663</v>
      </c>
      <c r="AF130" s="186" t="s">
        <v>662</v>
      </c>
      <c r="AG130" s="186" t="s">
        <v>417</v>
      </c>
      <c r="AH130" s="186" t="s">
        <v>664</v>
      </c>
      <c r="AI130" s="186" t="s">
        <v>1357</v>
      </c>
      <c r="AJ130" s="200" t="s">
        <v>377</v>
      </c>
      <c r="AK130" s="186"/>
      <c r="AL130" s="203"/>
      <c r="AM130" s="187"/>
      <c r="AN130" s="187"/>
      <c r="AO130" s="190" t="s">
        <v>2306</v>
      </c>
      <c r="AP130" s="187">
        <v>6000</v>
      </c>
      <c r="AQ130" s="187" t="str">
        <f t="shared" si="8"/>
        <v>6PR</v>
      </c>
      <c r="AR130" s="187" t="e">
        <f t="shared" si="9"/>
        <v>#N/A</v>
      </c>
      <c r="AS130" s="187">
        <v>4</v>
      </c>
      <c r="AT130" s="186"/>
      <c r="AU130" s="187"/>
      <c r="AV130" s="187"/>
      <c r="AW130" s="187"/>
      <c r="AX130" s="187"/>
      <c r="AY130" s="187"/>
      <c r="AZ130" s="195">
        <v>41310</v>
      </c>
      <c r="BA130" s="193"/>
    </row>
    <row r="131" spans="1:53" s="202" customFormat="1" ht="11.25" customHeight="1">
      <c r="A131" s="125">
        <v>130</v>
      </c>
      <c r="B131" s="198" t="str">
        <f>VLOOKUP(Z131,'コード表'!$T$2:$X$36,5,0)</f>
        <v>22</v>
      </c>
      <c r="C131" s="199" t="e">
        <f>VLOOKUP(N131,'コード表'!$W$47:$X$50,2,0)</f>
        <v>#N/A</v>
      </c>
      <c r="D131" s="199" t="e">
        <f>VLOOKUP(M131,'コード表'!$W$53:$X$56,2,0)</f>
        <v>#N/A</v>
      </c>
      <c r="E131" s="198">
        <f>VLOOKUP(AA131,'コード表'!Y:AA,3,0)</f>
        <v>222</v>
      </c>
      <c r="F131" s="199">
        <f>VLOOKUP(K131,'コード表'!$W$38:$X$44,2,0)</f>
        <v>1</v>
      </c>
      <c r="G131" s="199">
        <f>VLOOKUP(S131,'コード表'!A:D,4,0)</f>
        <v>300</v>
      </c>
      <c r="H131" s="199">
        <f>VLOOKUP(U131,'コード表'!A:D,4,0)</f>
        <v>310</v>
      </c>
      <c r="I131" s="25">
        <v>130</v>
      </c>
      <c r="J131" s="199" t="s">
        <v>2295</v>
      </c>
      <c r="K131" s="187" t="s">
        <v>2297</v>
      </c>
      <c r="L131" s="186" t="s">
        <v>1969</v>
      </c>
      <c r="M131" s="221"/>
      <c r="N131" s="221"/>
      <c r="O131" s="221"/>
      <c r="P131" s="221"/>
      <c r="Q131" s="221"/>
      <c r="R131" s="221"/>
      <c r="S131" s="186" t="s">
        <v>678</v>
      </c>
      <c r="T131" s="222" t="s">
        <v>1030</v>
      </c>
      <c r="U131" s="186" t="s">
        <v>1180</v>
      </c>
      <c r="V131" s="222" t="s">
        <v>1025</v>
      </c>
      <c r="W131" s="186" t="s">
        <v>1970</v>
      </c>
      <c r="X131" s="186" t="s">
        <v>1971</v>
      </c>
      <c r="Y131" s="186" t="s">
        <v>414</v>
      </c>
      <c r="Z131" s="186" t="s">
        <v>407</v>
      </c>
      <c r="AA131" s="222" t="s">
        <v>420</v>
      </c>
      <c r="AB131" s="186"/>
      <c r="AC131" s="186" t="s">
        <v>1972</v>
      </c>
      <c r="AD131" s="186" t="s">
        <v>416</v>
      </c>
      <c r="AE131" s="186" t="s">
        <v>1083</v>
      </c>
      <c r="AF131" s="186" t="s">
        <v>745</v>
      </c>
      <c r="AG131" s="186" t="s">
        <v>417</v>
      </c>
      <c r="AH131" s="186" t="s">
        <v>376</v>
      </c>
      <c r="AI131" s="186" t="s">
        <v>743</v>
      </c>
      <c r="AJ131" s="200" t="s">
        <v>377</v>
      </c>
      <c r="AK131" s="186"/>
      <c r="AL131" s="201"/>
      <c r="AM131" s="187"/>
      <c r="AN131" s="186"/>
      <c r="AO131" s="190" t="s">
        <v>2307</v>
      </c>
      <c r="AP131" s="187">
        <v>7000</v>
      </c>
      <c r="AQ131" s="187" t="str">
        <f t="shared" si="8"/>
        <v>7PR</v>
      </c>
      <c r="AR131" s="187" t="e">
        <f t="shared" si="9"/>
        <v>#N/A</v>
      </c>
      <c r="AS131" s="187">
        <v>4</v>
      </c>
      <c r="AT131" s="187"/>
      <c r="AU131" s="187">
        <v>3</v>
      </c>
      <c r="AV131" s="187"/>
      <c r="AW131" s="187"/>
      <c r="AX131" s="187"/>
      <c r="AY131" s="187"/>
      <c r="AZ131" s="195">
        <v>41310</v>
      </c>
      <c r="BA131" s="193"/>
    </row>
    <row r="132" spans="1:53" s="188" customFormat="1" ht="11.25" customHeight="1">
      <c r="A132" s="125">
        <v>131</v>
      </c>
      <c r="B132" s="198" t="str">
        <f>VLOOKUP(Z132,'コード表'!$T$2:$X$36,5,0)</f>
        <v>26</v>
      </c>
      <c r="C132" s="199" t="e">
        <f>VLOOKUP(N132,'コード表'!$W$47:$X$50,2,0)</f>
        <v>#N/A</v>
      </c>
      <c r="D132" s="199" t="e">
        <f>VLOOKUP(M132,'コード表'!$W$53:$X$56,2,0)</f>
        <v>#N/A</v>
      </c>
      <c r="E132" s="198">
        <f>VLOOKUP(AA132,'コード表'!Y:AA,3,0)</f>
        <v>261</v>
      </c>
      <c r="F132" s="199">
        <f>VLOOKUP(K132,'コード表'!$W$38:$X$44,2,0)</f>
        <v>1</v>
      </c>
      <c r="G132" s="199">
        <f>VLOOKUP(S132,'コード表'!A:D,4,0)</f>
        <v>110</v>
      </c>
      <c r="H132" s="199">
        <f>VLOOKUP(U132,'コード表'!A:D,4,0)</f>
        <v>112</v>
      </c>
      <c r="I132" s="25">
        <v>131</v>
      </c>
      <c r="J132" s="199" t="s">
        <v>2296</v>
      </c>
      <c r="K132" s="187" t="s">
        <v>2297</v>
      </c>
      <c r="L132" s="186" t="s">
        <v>2260</v>
      </c>
      <c r="M132" s="221"/>
      <c r="N132" s="221"/>
      <c r="O132" s="221"/>
      <c r="P132" s="221"/>
      <c r="Q132" s="221"/>
      <c r="R132" s="221"/>
      <c r="S132" s="186" t="s">
        <v>2135</v>
      </c>
      <c r="T132" s="222" t="s">
        <v>1216</v>
      </c>
      <c r="U132" s="186" t="s">
        <v>2266</v>
      </c>
      <c r="V132" s="222" t="s">
        <v>974</v>
      </c>
      <c r="W132" s="186" t="s">
        <v>2263</v>
      </c>
      <c r="X132" s="186" t="s">
        <v>2264</v>
      </c>
      <c r="Y132" s="186" t="s">
        <v>414</v>
      </c>
      <c r="Z132" s="186" t="s">
        <v>2262</v>
      </c>
      <c r="AA132" s="222" t="s">
        <v>68</v>
      </c>
      <c r="AB132" s="186"/>
      <c r="AC132" s="186" t="s">
        <v>2261</v>
      </c>
      <c r="AD132" s="186" t="s">
        <v>416</v>
      </c>
      <c r="AE132" s="186" t="s">
        <v>2002</v>
      </c>
      <c r="AF132" s="186" t="s">
        <v>2003</v>
      </c>
      <c r="AG132" s="186" t="s">
        <v>417</v>
      </c>
      <c r="AH132" s="186"/>
      <c r="AI132" s="186"/>
      <c r="AJ132" s="186"/>
      <c r="AK132" s="186"/>
      <c r="AL132" s="187"/>
      <c r="AM132" s="189"/>
      <c r="AN132" s="187"/>
      <c r="AO132" s="190" t="s">
        <v>2308</v>
      </c>
      <c r="AP132" s="187">
        <v>8000</v>
      </c>
      <c r="AQ132" s="187" t="str">
        <f t="shared" si="8"/>
        <v>8PR</v>
      </c>
      <c r="AR132" s="187" t="e">
        <f t="shared" si="9"/>
        <v>#N/A</v>
      </c>
      <c r="AS132" s="187">
        <v>4</v>
      </c>
      <c r="AT132" s="186"/>
      <c r="AU132" s="187">
        <v>2</v>
      </c>
      <c r="AV132" s="187"/>
      <c r="AW132" s="187">
        <v>2</v>
      </c>
      <c r="AX132" s="187"/>
      <c r="AY132" s="187"/>
      <c r="AZ132" s="195">
        <v>41310</v>
      </c>
      <c r="BA132" s="193"/>
    </row>
    <row r="134" spans="13:28" ht="11.25" customHeight="1">
      <c r="M134" s="223" t="s">
        <v>2315</v>
      </c>
      <c r="AB134" s="27" t="s">
        <v>2313</v>
      </c>
    </row>
    <row r="135" ht="11.25" customHeight="1">
      <c r="M135" s="223" t="s">
        <v>2318</v>
      </c>
    </row>
    <row r="136" ht="11.25" customHeight="1">
      <c r="O136" s="223"/>
    </row>
    <row r="137" spans="14:28" ht="11.25" customHeight="1">
      <c r="N137" s="223" t="s">
        <v>2316</v>
      </c>
      <c r="P137" s="223"/>
      <c r="S137" s="27" t="s">
        <v>2320</v>
      </c>
      <c r="V137" s="75" t="s">
        <v>2317</v>
      </c>
      <c r="AB137" s="27" t="s">
        <v>2321</v>
      </c>
    </row>
    <row r="138" spans="15:19" ht="11.25" customHeight="1">
      <c r="O138" s="223"/>
      <c r="P138" s="223"/>
      <c r="S138" s="27" t="s">
        <v>2319</v>
      </c>
    </row>
    <row r="139" spans="15:16" ht="11.25" customHeight="1">
      <c r="O139" s="223"/>
      <c r="P139" s="223"/>
    </row>
  </sheetData>
  <sheetProtection/>
  <autoFilter ref="A1:AY132"/>
  <conditionalFormatting sqref="AR80:AS80 AR81:AT108 AR119:AT120 AR121:AR122 AR2:AT79">
    <cfRule type="expression" priority="41" dxfId="41" stopIfTrue="1">
      <formula>AND($H2&gt;500,$H2&lt;700)</formula>
    </cfRule>
  </conditionalFormatting>
  <conditionalFormatting sqref="AR36:AT36">
    <cfRule type="expression" priority="42" dxfId="41" stopIfTrue="1">
      <formula>AND(#REF!&gt;500,#REF!&lt;700)</formula>
    </cfRule>
  </conditionalFormatting>
  <conditionalFormatting sqref="H119:H120 H2:H108">
    <cfRule type="cellIs" priority="44" dxfId="41" operator="between" stopIfTrue="1">
      <formula>501</formula>
      <formula>699</formula>
    </cfRule>
  </conditionalFormatting>
  <conditionalFormatting sqref="AR111:AT113">
    <cfRule type="expression" priority="39" dxfId="41" stopIfTrue="1">
      <formula>AND($H111&gt;500,$H111&lt;700)</formula>
    </cfRule>
  </conditionalFormatting>
  <conditionalFormatting sqref="H111:H113">
    <cfRule type="cellIs" priority="40" dxfId="41" operator="between" stopIfTrue="1">
      <formula>501</formula>
      <formula>699</formula>
    </cfRule>
  </conditionalFormatting>
  <conditionalFormatting sqref="AR109:AT109">
    <cfRule type="expression" priority="37" dxfId="41" stopIfTrue="1">
      <formula>AND($H109&gt;500,$H109&lt;700)</formula>
    </cfRule>
  </conditionalFormatting>
  <conditionalFormatting sqref="H109">
    <cfRule type="cellIs" priority="38" dxfId="41" operator="between" stopIfTrue="1">
      <formula>501</formula>
      <formula>699</formula>
    </cfRule>
  </conditionalFormatting>
  <conditionalFormatting sqref="AR110:AT110">
    <cfRule type="expression" priority="35" dxfId="41" stopIfTrue="1">
      <formula>AND($H110&gt;500,$H110&lt;700)</formula>
    </cfRule>
  </conditionalFormatting>
  <conditionalFormatting sqref="H110">
    <cfRule type="cellIs" priority="36" dxfId="41" operator="between" stopIfTrue="1">
      <formula>501</formula>
      <formula>699</formula>
    </cfRule>
  </conditionalFormatting>
  <conditionalFormatting sqref="AR114:AT114">
    <cfRule type="expression" priority="33" dxfId="41" stopIfTrue="1">
      <formula>AND($H114&gt;500,$H114&lt;700)</formula>
    </cfRule>
  </conditionalFormatting>
  <conditionalFormatting sqref="H114">
    <cfRule type="cellIs" priority="34" dxfId="41" operator="between" stopIfTrue="1">
      <formula>501</formula>
      <formula>699</formula>
    </cfRule>
  </conditionalFormatting>
  <conditionalFormatting sqref="AR115:AT115">
    <cfRule type="expression" priority="31" dxfId="41" stopIfTrue="1">
      <formula>AND($H115&gt;500,$H115&lt;700)</formula>
    </cfRule>
  </conditionalFormatting>
  <conditionalFormatting sqref="H115">
    <cfRule type="cellIs" priority="32" dxfId="41" operator="between" stopIfTrue="1">
      <formula>501</formula>
      <formula>699</formula>
    </cfRule>
  </conditionalFormatting>
  <conditionalFormatting sqref="AR116:AT116">
    <cfRule type="expression" priority="29" dxfId="41" stopIfTrue="1">
      <formula>AND($H116&gt;500,$H116&lt;700)</formula>
    </cfRule>
  </conditionalFormatting>
  <conditionalFormatting sqref="H116">
    <cfRule type="cellIs" priority="30" dxfId="41" operator="between" stopIfTrue="1">
      <formula>501</formula>
      <formula>699</formula>
    </cfRule>
  </conditionalFormatting>
  <conditionalFormatting sqref="AR117:AT117">
    <cfRule type="expression" priority="27" dxfId="41" stopIfTrue="1">
      <formula>AND($H117&gt;500,$H117&lt;700)</formula>
    </cfRule>
  </conditionalFormatting>
  <conditionalFormatting sqref="H117">
    <cfRule type="cellIs" priority="28" dxfId="41" operator="between" stopIfTrue="1">
      <formula>501</formula>
      <formula>699</formula>
    </cfRule>
  </conditionalFormatting>
  <conditionalFormatting sqref="AR118:AT118">
    <cfRule type="expression" priority="25" dxfId="41" stopIfTrue="1">
      <formula>AND($H118&gt;500,$H118&lt;700)</formula>
    </cfRule>
  </conditionalFormatting>
  <conditionalFormatting sqref="H118">
    <cfRule type="cellIs" priority="26" dxfId="41" operator="between" stopIfTrue="1">
      <formula>501</formula>
      <formula>699</formula>
    </cfRule>
  </conditionalFormatting>
  <conditionalFormatting sqref="AS121:AT122">
    <cfRule type="expression" priority="21" dxfId="41" stopIfTrue="1">
      <formula>AND($H121&gt;500,$H121&lt;700)</formula>
    </cfRule>
  </conditionalFormatting>
  <conditionalFormatting sqref="H121:H122">
    <cfRule type="cellIs" priority="22" dxfId="41" operator="between" stopIfTrue="1">
      <formula>501</formula>
      <formula>699</formula>
    </cfRule>
  </conditionalFormatting>
  <conditionalFormatting sqref="AR123:AT123">
    <cfRule type="expression" priority="19" dxfId="41" stopIfTrue="1">
      <formula>AND($H123&gt;500,$H123&lt;700)</formula>
    </cfRule>
  </conditionalFormatting>
  <conditionalFormatting sqref="H123">
    <cfRule type="cellIs" priority="20" dxfId="41" operator="between" stopIfTrue="1">
      <formula>501</formula>
      <formula>699</formula>
    </cfRule>
  </conditionalFormatting>
  <conditionalFormatting sqref="AR124:AT124">
    <cfRule type="expression" priority="17" dxfId="41" stopIfTrue="1">
      <formula>AND($H124&gt;500,$H124&lt;700)</formula>
    </cfRule>
  </conditionalFormatting>
  <conditionalFormatting sqref="H124">
    <cfRule type="cellIs" priority="18" dxfId="41" operator="between" stopIfTrue="1">
      <formula>501</formula>
      <formula>699</formula>
    </cfRule>
  </conditionalFormatting>
  <conditionalFormatting sqref="AR125:AT125">
    <cfRule type="expression" priority="15" dxfId="41" stopIfTrue="1">
      <formula>AND($H125&gt;500,$H125&lt;700)</formula>
    </cfRule>
  </conditionalFormatting>
  <conditionalFormatting sqref="H125">
    <cfRule type="cellIs" priority="16" dxfId="41" operator="between" stopIfTrue="1">
      <formula>501</formula>
      <formula>699</formula>
    </cfRule>
  </conditionalFormatting>
  <conditionalFormatting sqref="AR126:AT126">
    <cfRule type="expression" priority="13" dxfId="41" stopIfTrue="1">
      <formula>AND($H126&gt;500,$H126&lt;700)</formula>
    </cfRule>
  </conditionalFormatting>
  <conditionalFormatting sqref="H126">
    <cfRule type="cellIs" priority="14" dxfId="41" operator="between" stopIfTrue="1">
      <formula>501</formula>
      <formula>699</formula>
    </cfRule>
  </conditionalFormatting>
  <conditionalFormatting sqref="AR127:AT127">
    <cfRule type="expression" priority="11" dxfId="41" stopIfTrue="1">
      <formula>AND($H127&gt;500,$H127&lt;700)</formula>
    </cfRule>
  </conditionalFormatting>
  <conditionalFormatting sqref="H127">
    <cfRule type="cellIs" priority="12" dxfId="41" operator="between" stopIfTrue="1">
      <formula>501</formula>
      <formula>699</formula>
    </cfRule>
  </conditionalFormatting>
  <conditionalFormatting sqref="AR128:AT128">
    <cfRule type="expression" priority="9" dxfId="41" stopIfTrue="1">
      <formula>AND($H128&gt;500,$H128&lt;700)</formula>
    </cfRule>
  </conditionalFormatting>
  <conditionalFormatting sqref="H128">
    <cfRule type="cellIs" priority="10" dxfId="41" operator="between" stopIfTrue="1">
      <formula>501</formula>
      <formula>699</formula>
    </cfRule>
  </conditionalFormatting>
  <conditionalFormatting sqref="AR129:AT129">
    <cfRule type="expression" priority="7" dxfId="41" stopIfTrue="1">
      <formula>AND($H129&gt;500,$H129&lt;700)</formula>
    </cfRule>
  </conditionalFormatting>
  <conditionalFormatting sqref="H129">
    <cfRule type="cellIs" priority="8" dxfId="41" operator="between" stopIfTrue="1">
      <formula>501</formula>
      <formula>699</formula>
    </cfRule>
  </conditionalFormatting>
  <conditionalFormatting sqref="AR130:AT130">
    <cfRule type="expression" priority="5" dxfId="41" stopIfTrue="1">
      <formula>AND($H130&gt;500,$H130&lt;700)</formula>
    </cfRule>
  </conditionalFormatting>
  <conditionalFormatting sqref="H130">
    <cfRule type="cellIs" priority="6" dxfId="41" operator="between" stopIfTrue="1">
      <formula>501</formula>
      <formula>699</formula>
    </cfRule>
  </conditionalFormatting>
  <conditionalFormatting sqref="AR131:AT131">
    <cfRule type="expression" priority="3" dxfId="41" stopIfTrue="1">
      <formula>AND($H131&gt;500,$H131&lt;700)</formula>
    </cfRule>
  </conditionalFormatting>
  <conditionalFormatting sqref="H131">
    <cfRule type="cellIs" priority="4" dxfId="41" operator="between" stopIfTrue="1">
      <formula>501</formula>
      <formula>699</formula>
    </cfRule>
  </conditionalFormatting>
  <conditionalFormatting sqref="AR132:AS132">
    <cfRule type="expression" priority="1" dxfId="41" stopIfTrue="1">
      <formula>AND($H132&gt;500,$H132&lt;700)</formula>
    </cfRule>
  </conditionalFormatting>
  <conditionalFormatting sqref="H132">
    <cfRule type="cellIs" priority="2" dxfId="41" operator="between" stopIfTrue="1">
      <formula>501</formula>
      <formula>699</formula>
    </cfRule>
  </conditionalFormatting>
  <dataValidations count="5">
    <dataValidation type="list" allowBlank="1" showInputMessage="1" showErrorMessage="1" sqref="M117:M118 M26:M87 M89:M99 M101:M115 M121:M124 M127:M128 M130:M131 M2:M23">
      <formula1>"力,技,魔,無"</formula1>
    </dataValidation>
    <dataValidation type="list" allowBlank="1" showInputMessage="1" showErrorMessage="1" sqref="N26:N87 N89:N99 N117:N118 N101:N115 N121:N124 N127:N128 N130:N131 N2:N23">
      <formula1>"3,4,5,6"</formula1>
    </dataValidation>
    <dataValidation type="whole" allowBlank="1" showInputMessage="1" showErrorMessage="1" imeMode="halfAlpha" sqref="O117:R118 O26:R87 O89:R99 O101:R115 O121:R124 O2:R23 O130:R131 O127:R128">
      <formula1>0</formula1>
      <formula2>1500</formula2>
    </dataValidation>
    <dataValidation type="list" allowBlank="1" showInputMessage="1" showErrorMessage="1" sqref="AM104 AL64:AM64 AM49:AM63 AL76:AM76 AM65:AM75 AM77:AM87 AM89:AM91 AM93:AM99 AM102 AM107 AM123:AM124 AM127 AM131 K101:K65536 K2:K99">
      <formula1>"N,S,H,SP,PR,CP"</formula1>
    </dataValidation>
    <dataValidation type="list" allowBlank="1" showInputMessage="1" showErrorMessage="1" sqref="AM128">
      <formula1>"N,SR,CR,MR,SMR"</formula1>
    </dataValidation>
  </dataValidations>
  <printOptions/>
  <pageMargins left="0.75" right="0.75" top="1" bottom="1" header="0.512" footer="0.512"/>
  <pageSetup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4">
    <tabColor rgb="FF00B050"/>
  </sheetPr>
  <dimension ref="A1:P83"/>
  <sheetViews>
    <sheetView zoomScalePageLayoutView="0" workbookViewId="0" topLeftCell="A1">
      <pane xSplit="1" ySplit="2" topLeftCell="B3" activePane="bottomRight" state="frozen"/>
      <selection pane="topLeft" activeCell="A1" sqref="A1"/>
      <selection pane="topRight" activeCell="E1" sqref="E1"/>
      <selection pane="bottomLeft" activeCell="A5" sqref="A5"/>
      <selection pane="bottomRight" activeCell="A23" sqref="A23:A26"/>
    </sheetView>
  </sheetViews>
  <sheetFormatPr defaultColWidth="9.00390625" defaultRowHeight="13.5"/>
  <cols>
    <col min="1" max="1" width="9.75390625" style="17" customWidth="1"/>
    <col min="2" max="2" width="138.75390625" style="66" customWidth="1"/>
    <col min="3" max="3" width="4.00390625" style="3" customWidth="1"/>
    <col min="4" max="4" width="7.625" style="4" hidden="1" customWidth="1"/>
    <col min="5" max="5" width="13.375" style="18" hidden="1" customWidth="1"/>
    <col min="6" max="6" width="9.625" style="4" hidden="1" customWidth="1"/>
    <col min="7" max="7" width="5.75390625" style="18" hidden="1" customWidth="1"/>
    <col min="8" max="8" width="9.125" style="4" hidden="1" customWidth="1"/>
    <col min="9" max="9" width="9.75390625" style="4" hidden="1" customWidth="1"/>
    <col min="10" max="10" width="2.125" style="17" hidden="1" customWidth="1"/>
    <col min="11" max="11" width="2.75390625" style="17" hidden="1" customWidth="1"/>
    <col min="12" max="12" width="9.50390625" style="17" hidden="1" customWidth="1"/>
    <col min="13" max="14" width="7.00390625" style="17" hidden="1" customWidth="1"/>
    <col min="15" max="15" width="5.125" style="17" hidden="1" customWidth="1"/>
    <col min="16" max="16" width="2.75390625" style="17" hidden="1" customWidth="1"/>
    <col min="17" max="16384" width="9.00390625" style="17" customWidth="1"/>
  </cols>
  <sheetData>
    <row r="1" spans="1:16" ht="14.25" thickBot="1">
      <c r="A1" s="39" t="s">
        <v>487</v>
      </c>
      <c r="B1" s="76" t="s">
        <v>1415</v>
      </c>
      <c r="D1" s="51" t="s">
        <v>914</v>
      </c>
      <c r="E1" s="51" t="s">
        <v>911</v>
      </c>
      <c r="F1" s="52" t="s">
        <v>51</v>
      </c>
      <c r="G1" s="51" t="s">
        <v>52</v>
      </c>
      <c r="H1" s="52" t="s">
        <v>869</v>
      </c>
      <c r="I1" s="53" t="s">
        <v>56</v>
      </c>
      <c r="J1" s="54"/>
      <c r="K1" s="169"/>
      <c r="L1" s="169"/>
      <c r="M1" s="169"/>
      <c r="N1" s="169"/>
      <c r="O1" s="169"/>
      <c r="P1" s="169"/>
    </row>
    <row r="2" spans="1:16" ht="14.25" thickBot="1">
      <c r="A2" s="1">
        <v>122</v>
      </c>
      <c r="B2" s="66" t="str">
        <f>E2</f>
        <v>*0122_桃華仙ミヤビ</v>
      </c>
      <c r="C2" s="6"/>
      <c r="D2" s="55">
        <f>IF(F20="","",VLOOKUP(#REF!,'①カード一覧(入力用)'!$I:$AB,4,0))</f>
      </c>
      <c r="E2" s="56" t="str">
        <f>IF($A$2="","","*"&amp;VLOOKUP($A$2,'①カード一覧(入力用)'!$I:$AB,2,0)&amp;"_"&amp;VLOOKUP($A$2,'①カード一覧(入力用)'!$I:$AB,4,0))</f>
        <v>*0122_桃華仙ミヤビ</v>
      </c>
      <c r="F2" s="57"/>
      <c r="G2" s="57" t="s">
        <v>189</v>
      </c>
      <c r="H2" s="57"/>
      <c r="I2" s="57"/>
      <c r="J2" s="57"/>
      <c r="K2" s="57"/>
      <c r="L2" s="57"/>
      <c r="M2" s="57"/>
      <c r="N2" s="57"/>
      <c r="O2" s="57"/>
      <c r="P2" s="57"/>
    </row>
    <row r="3" spans="1:16" s="10" customFormat="1" ht="13.5" customHeight="1">
      <c r="A3" s="224" t="s">
        <v>2323</v>
      </c>
      <c r="B3" s="66" t="str">
        <f>E3</f>
        <v>#image(0122_桃華仙ミヤビ.jpg)</v>
      </c>
      <c r="C3" s="6"/>
      <c r="D3" s="55" t="str">
        <f>IF($A$2="","",VLOOKUP($A$2,'①カード一覧(入力用)'!$I:$AB,18,0))</f>
        <v>聖龍</v>
      </c>
      <c r="E3" s="58" t="str">
        <f>IF($A$2="","","#image("&amp;VLOOKUP($A$2,'①カード一覧(入力用)'!$I:$AB,2,0)&amp;"_"&amp;VLOOKUP($A$2,'①カード一覧(入力用)'!$I:$AB,4,0)&amp;".jpg)")</f>
        <v>#image(0122_桃華仙ミヤビ.jpg)</v>
      </c>
      <c r="F3" s="57"/>
      <c r="G3" s="57"/>
      <c r="H3" s="57"/>
      <c r="I3" s="57"/>
      <c r="J3" s="59"/>
      <c r="K3" s="163"/>
      <c r="L3" s="163"/>
      <c r="M3" s="163"/>
      <c r="N3" s="163"/>
      <c r="O3" s="163"/>
      <c r="P3" s="163"/>
    </row>
    <row r="4" spans="1:16" s="10" customFormat="1" ht="12" customHeight="1">
      <c r="A4" s="205"/>
      <c r="B4" s="66" t="str">
        <f>IF($A$2="","",CONCATENATE("|",E4,"|",F4,"|",G4,"|",H4,"|",I4))</f>
        <v>|[[聖龍&gt;勢力/聖龍]]|&gt;|&gt;|0122 桃華仙ミヤビ　(とうかせんみやび)|h</v>
      </c>
      <c r="C4" s="6"/>
      <c r="D4" s="55" t="str">
        <f>IF($A$2="","",VLOOKUP($A$2,'①カード一覧(入力用)'!$I:$AB,19,0))</f>
        <v>聖龍五魂陣</v>
      </c>
      <c r="E4" s="60" t="str">
        <f>IF($A$2="","","[["&amp;D3&amp;"&gt;勢力/"&amp;D3&amp;"]]")</f>
        <v>[[聖龍&gt;勢力/聖龍]]</v>
      </c>
      <c r="F4" s="55" t="str">
        <f>IF($A$2="","","&gt;")</f>
        <v>&gt;</v>
      </c>
      <c r="G4" s="55" t="str">
        <f>IF($A$2="","","&gt;")</f>
        <v>&gt;</v>
      </c>
      <c r="H4" s="60" t="str">
        <f>IF($A$2="","",VLOOKUP($A$2,'①カード一覧(入力用)'!$I:$AB,2,0)&amp;" "&amp;VLOOKUP($A$2,'①カード一覧(入力用)'!$I:$AB,4,0)&amp;"　("&amp;VLOOKUP($A$2,'①カード一覧(入力用)'!$I:$AC,21,0)&amp;")")</f>
        <v>0122 桃華仙ミヤビ　(とうかせんみやび)</v>
      </c>
      <c r="I4" s="60" t="str">
        <f>IF($A$2="","","h")</f>
        <v>h</v>
      </c>
      <c r="J4" s="59"/>
      <c r="K4" s="163"/>
      <c r="L4" s="163"/>
      <c r="M4" s="163"/>
      <c r="N4" s="163"/>
      <c r="O4" s="163"/>
      <c r="P4" s="163"/>
    </row>
    <row r="5" spans="1:16" s="10" customFormat="1" ht="12">
      <c r="A5" s="205"/>
      <c r="B5" s="74" t="str">
        <f>IF($A$2="","",CONCATENATE("|",E5,"|",F5,"|",G5,"|",H5,"|",I5))</f>
        <v>|BGCOLOR(#647693):COLOR(#fff):&amp;space(2)勢力・陣形&amp;space(2)|BGCOLOR(#647693):COLOR(#fff):&amp;space(2)タイプ&amp;space(2)|BGCOLOR(#647693):COLOR(#fff):&amp;space(2)コスト&amp;space(2)|BGCOLOR(#647693):COLOR(#fff):&amp;space(44)基本技&amp;space(44)|h</v>
      </c>
      <c r="C5" s="6"/>
      <c r="D5" s="55">
        <f>IF($A$2="","",VLOOKUP($A$2,'①カード一覧(入力用)'!$I:$AB,5,0))</f>
        <v>0</v>
      </c>
      <c r="E5" s="61" t="str">
        <f>IF($A$2="","","BGCOLOR("&amp;VLOOKUP($D3,'コード表'!$T$2:$U$37,2,0)&amp;"):COLOR(#fff):&amp;space(2)勢力・陣形&amp;space(2)")</f>
        <v>BGCOLOR(#647693):COLOR(#fff):&amp;space(2)勢力・陣形&amp;space(2)</v>
      </c>
      <c r="F5" s="62" t="str">
        <f>IF($A$2="","","BGCOLOR("&amp;VLOOKUP($D3,'コード表'!$T$2:$U$37,2,0)&amp;"):COLOR(#fff):&amp;space(2)タイプ&amp;space(2)")</f>
        <v>BGCOLOR(#647693):COLOR(#fff):&amp;space(2)タイプ&amp;space(2)</v>
      </c>
      <c r="G5" s="62" t="str">
        <f>IF($A$2="","","BGCOLOR("&amp;VLOOKUP($D3,'コード表'!$T$2:$U$37,2,0)&amp;"):COLOR(#fff):&amp;space(2)コスト&amp;space(2)")</f>
        <v>BGCOLOR(#647693):COLOR(#fff):&amp;space(2)コスト&amp;space(2)</v>
      </c>
      <c r="H5" s="63" t="str">
        <f>IF($A$2="","","BGCOLOR("&amp;VLOOKUP($D3,'コード表'!$T$2:$U$37,2,0)&amp;"):COLOR(#fff):&amp;space("&amp;D7&amp;")基本技&amp;space("&amp;D7&amp;")")</f>
        <v>BGCOLOR(#647693):COLOR(#fff):&amp;space(44)基本技&amp;space(44)</v>
      </c>
      <c r="I5" s="58" t="str">
        <f>IF($A$2="","","h")</f>
        <v>h</v>
      </c>
      <c r="J5" s="59"/>
      <c r="K5" s="163"/>
      <c r="L5" s="163"/>
      <c r="M5" s="163"/>
      <c r="N5" s="163"/>
      <c r="O5" s="163"/>
      <c r="P5" s="163"/>
    </row>
    <row r="6" spans="1:16" s="10" customFormat="1" ht="12">
      <c r="A6" s="205"/>
      <c r="B6" s="74" t="e">
        <f>IF($A$2="","",CONCATENATE("|",E6,"|",F6,"|",G6,"|",H6,"|",I6))</f>
        <v>#N/A</v>
      </c>
      <c r="C6" s="6"/>
      <c r="D6" s="55">
        <f>IF($A$2="","",VLOOKUP($A$2,'①カード一覧(入力用)'!$I:$AB,6,0))</f>
        <v>0</v>
      </c>
      <c r="E6" s="60" t="str">
        <f>IF($A$2="","","&amp;link_anchor("&amp;VLOOKUP($D4,'コード表'!$Y$2:$Z$150,2,0)&amp;",page=勢力/"&amp;D3&amp;"){"&amp;D4&amp;"}")</f>
        <v>&amp;link_anchor(seiryu5k,page=勢力/聖龍){聖龍五魂陣}</v>
      </c>
      <c r="F6" s="60" t="e">
        <f>IF($A$2="","","&amp;link_anchor("&amp;VLOOKUP($D5&amp;$D6,'コード表'!$T$39:$U$54,2,0)&amp;",page=タイプ・コスト){"&amp;$D5&amp;"}")</f>
        <v>#N/A</v>
      </c>
      <c r="G6" s="60" t="e">
        <f>IF($A$2="","","&amp;link_anchor("&amp;VLOOKUP($D5&amp;$D6,'コード表'!$T$39:$U$54,2,0)&amp;",page=タイプ・コスト){"&amp;$D6&amp;"}")</f>
        <v>#N/A</v>
      </c>
      <c r="H6" s="60" t="str">
        <f>IF($A$2="","",VLOOKUP($A$2,'①カード一覧(入力用)'!$I:$AB,11,0)&amp;"【"&amp;VLOOKUP($A$2,'①カード一覧(入力用)'!$I:$AB,12,0)&amp;"】")</f>
        <v>正面の敵を攻撃【威力250】</v>
      </c>
      <c r="I6" s="60" t="str">
        <f>IF($A$2="","","h")</f>
        <v>h</v>
      </c>
      <c r="J6" s="59"/>
      <c r="K6" s="163"/>
      <c r="L6" s="163"/>
      <c r="M6" s="163"/>
      <c r="N6" s="163"/>
      <c r="O6" s="163"/>
      <c r="P6" s="163"/>
    </row>
    <row r="7" spans="2:16" s="10" customFormat="1" ht="12">
      <c r="B7" s="66" t="str">
        <f>E7</f>
        <v>//わかるなら技効果の後ろに直接間接を入力。基本技の記述が長いときは適当に改行を入れてください。こちらでの改行は&amp;br()になります</v>
      </c>
      <c r="C7" s="6"/>
      <c r="D7" s="55">
        <f>IF(LEN(D4)=5,44,IF(LEN(D4)=6,40,38))</f>
        <v>44</v>
      </c>
      <c r="E7" s="60" t="str">
        <f>IF($A$2="","","//わかるなら技効果の後ろに直接間接を入力。基本技の記述が長いときは適当に改行を入れてください。こちらでの改行は&amp;br()になります")</f>
        <v>//わかるなら技効果の後ろに直接間接を入力。基本技の記述が長いときは適当に改行を入れてください。こちらでの改行は&amp;br()になります</v>
      </c>
      <c r="F7" s="57"/>
      <c r="G7" s="57"/>
      <c r="H7" s="57"/>
      <c r="I7" s="57"/>
      <c r="J7" s="57"/>
      <c r="K7" s="173"/>
      <c r="L7" s="173"/>
      <c r="M7" s="173"/>
      <c r="N7" s="173"/>
      <c r="O7" s="173"/>
      <c r="P7" s="173"/>
    </row>
    <row r="8" spans="2:16" s="10" customFormat="1" ht="12">
      <c r="B8" s="66" t="str">
        <f>E8</f>
        <v>**能力</v>
      </c>
      <c r="D8" s="60"/>
      <c r="E8" s="60" t="str">
        <f>IF($A$2="","","**能力")</f>
        <v>**能力</v>
      </c>
      <c r="F8" s="57"/>
      <c r="G8" s="57"/>
      <c r="H8" s="57"/>
      <c r="I8" s="57"/>
      <c r="J8" s="57"/>
      <c r="K8" s="173"/>
      <c r="L8" s="173"/>
      <c r="M8" s="173"/>
      <c r="N8" s="173"/>
      <c r="O8" s="173"/>
      <c r="P8" s="173"/>
    </row>
    <row r="9" spans="2:16" s="10" customFormat="1" ht="12">
      <c r="B9" s="74" t="str">
        <f>IF($A$2="","",CONCATENATE("|",E9,"|",F9,"|",G9,"|",H9,"|",I9,"|",J9))</f>
        <v>|BGCOLOR(#647693):COLOR(#fff):初&amp;br()期&amp;br()ス&amp;br()テ|BGCOLOR(#647693):COLOR(#fff):&amp;space(4)Lv 0&amp;space(4)|BGCOLOR(#647693):COLOR(#fff):&amp;space(10)HP &amp;space(10)|BGCOLOR(#647693):COLOR(#fff):&amp;space(10)攻 &amp;space(10)|BGCOLOR(#647693):COLOR(#fff):&amp;space(10)防 &amp;space(10)|BGCOLOR(#647693):COLOR(#fff):&amp;space(10)速 &amp;space(10)|h</v>
      </c>
      <c r="D9" s="57"/>
      <c r="E9" s="64" t="str">
        <f>IF($A$2="","","BGCOLOR("&amp;VLOOKUP($D$3,'コード表'!$T$2:$U$37,2,0)&amp;"):COLOR(#fff):初&amp;br()期&amp;br()ス&amp;br()テ|BGCOLOR("&amp;VLOOKUP($D$3,'コード表'!$T$2:$U$37,2,0)&amp;"):COLOR(#fff):&amp;space(4)Lv 0&amp;space(4)")</f>
        <v>BGCOLOR(#647693):COLOR(#fff):初&amp;br()期&amp;br()ス&amp;br()テ|BGCOLOR(#647693):COLOR(#fff):&amp;space(4)Lv 0&amp;space(4)</v>
      </c>
      <c r="F9" s="65" t="str">
        <f>IF($A$2="","","BGCOLOR("&amp;VLOOKUP($D$3,'コード表'!$T$2:$U$37,2,0)&amp;"):COLOR(#fff):&amp;space(10)HP "&amp;VLOOKUP($A$2,'①カード一覧(入力用)'!$I:$AB,7,0)&amp;"&amp;space(10)")</f>
        <v>BGCOLOR(#647693):COLOR(#fff):&amp;space(10)HP &amp;space(10)</v>
      </c>
      <c r="G9" s="65" t="str">
        <f>IF($A$2="","","BGCOLOR("&amp;VLOOKUP($D$3,'コード表'!$T$2:$U$37,2,0)&amp;"):COLOR(#fff):&amp;space(10)攻 "&amp;VLOOKUP($A$2,'①カード一覧(入力用)'!$I:$AB,8,0)&amp;"&amp;space(10)")</f>
        <v>BGCOLOR(#647693):COLOR(#fff):&amp;space(10)攻 &amp;space(10)</v>
      </c>
      <c r="H9" s="65" t="str">
        <f>IF($A$2="","","BGCOLOR("&amp;VLOOKUP($D$3,'コード表'!$T$2:$U$37,2,0)&amp;"):COLOR(#fff):&amp;space(10)防 "&amp;VLOOKUP($A$2,'①カード一覧(入力用)'!$I:$AB,9,0)&amp;"&amp;space(10)")</f>
        <v>BGCOLOR(#647693):COLOR(#fff):&amp;space(10)防 &amp;space(10)</v>
      </c>
      <c r="I9" s="65" t="str">
        <f>IF($A$2="","","BGCOLOR("&amp;VLOOKUP($D$3,'コード表'!$T$2:$U$37,2,0)&amp;"):COLOR(#fff):&amp;space(10)速 "&amp;VLOOKUP($A$2,'①カード一覧(入力用)'!$I:$AB,10,0)&amp;"&amp;space(10)")</f>
        <v>BGCOLOR(#647693):COLOR(#fff):&amp;space(10)速 &amp;space(10)</v>
      </c>
      <c r="J9" s="60" t="str">
        <f>IF($I9="","","h")</f>
        <v>h</v>
      </c>
      <c r="K9" s="173"/>
      <c r="L9" s="173"/>
      <c r="M9" s="173"/>
      <c r="N9" s="173"/>
      <c r="O9" s="173"/>
      <c r="P9" s="173"/>
    </row>
    <row r="10" spans="1:16" s="10" customFormat="1" ht="12">
      <c r="A10" s="204"/>
      <c r="B10" s="74" t="s">
        <v>491</v>
      </c>
      <c r="D10" s="66"/>
      <c r="E10" s="66"/>
      <c r="F10" s="66"/>
      <c r="G10" s="66"/>
      <c r="H10" s="66"/>
      <c r="I10" s="66"/>
      <c r="J10" s="66"/>
      <c r="K10" s="173"/>
      <c r="L10" s="173"/>
      <c r="M10" s="173"/>
      <c r="N10" s="173"/>
      <c r="O10" s="173"/>
      <c r="P10" s="173"/>
    </row>
    <row r="11" spans="1:16" s="10" customFormat="1" ht="12" customHeight="1">
      <c r="A11" s="205" t="s">
        <v>2314</v>
      </c>
      <c r="B11" s="74" t="s">
        <v>492</v>
      </c>
      <c r="D11" s="66"/>
      <c r="E11" s="66"/>
      <c r="F11" s="66"/>
      <c r="G11" s="66"/>
      <c r="H11" s="66"/>
      <c r="I11" s="66"/>
      <c r="J11" s="66"/>
      <c r="K11" s="173"/>
      <c r="L11" s="173"/>
      <c r="M11" s="173"/>
      <c r="N11" s="173"/>
      <c r="O11" s="173"/>
      <c r="P11" s="173"/>
    </row>
    <row r="12" spans="1:16" s="10" customFormat="1" ht="12">
      <c r="A12" s="205"/>
      <c r="B12" s="74" t="s">
        <v>493</v>
      </c>
      <c r="D12" s="66"/>
      <c r="E12" s="66"/>
      <c r="F12" s="66"/>
      <c r="G12" s="66"/>
      <c r="H12" s="66"/>
      <c r="I12" s="66"/>
      <c r="J12" s="66"/>
      <c r="K12" s="173"/>
      <c r="L12" s="173"/>
      <c r="M12" s="173"/>
      <c r="N12" s="173"/>
      <c r="O12" s="173"/>
      <c r="P12" s="173"/>
    </row>
    <row r="13" spans="1:16" s="10" customFormat="1" ht="12">
      <c r="A13" s="205"/>
      <c r="B13" s="74" t="s">
        <v>494</v>
      </c>
      <c r="C13" s="6"/>
      <c r="D13" s="67"/>
      <c r="E13" s="68"/>
      <c r="F13" s="67"/>
      <c r="G13" s="68"/>
      <c r="H13" s="67"/>
      <c r="I13" s="67"/>
      <c r="J13" s="66"/>
      <c r="K13" s="173"/>
      <c r="L13" s="173"/>
      <c r="M13" s="173"/>
      <c r="N13" s="173"/>
      <c r="O13" s="173"/>
      <c r="P13" s="173"/>
    </row>
    <row r="14" spans="1:16" s="10" customFormat="1" ht="12">
      <c r="A14" s="205"/>
      <c r="B14" s="74" t="str">
        <f>IF($A$2="","",CONCATENATE("|",E14,"|",F14,"|",G14,"|",H14,"|",I14,"|",J14))</f>
        <v>|BGCOLOR(#647693):COLOR(#fff):1&amp;br()段&amp;br()階&amp;br()突&amp;br()破|BGCOLOR(#647693):COLOR(#fff):&amp;space(3)20&amp;space(3)|BGCOLOR(#647693):COLOR(#fff):突破後HP|BGCOLOR(#647693):COLOR(#fff):突破後攻|BGCOLOR(#647693):COLOR(#fff):突破後防|BGCOLOR(#647693):COLOR(#fff):突破後速|h</v>
      </c>
      <c r="C14" s="6"/>
      <c r="D14" s="67"/>
      <c r="E14" s="64" t="str">
        <f>IF($A$2="","","BGCOLOR("&amp;VLOOKUP($D$3,'コード表'!$T$2:$U$37,2,0)&amp;"):COLOR(#fff):1&amp;br()段&amp;br()階&amp;br()突&amp;br()破|BGCOLOR("&amp;VLOOKUP($D$3,'コード表'!$T$2:$U$37,2,0)&amp;"):COLOR(#fff):&amp;space(3)20&amp;space(3)")</f>
        <v>BGCOLOR(#647693):COLOR(#fff):1&amp;br()段&amp;br()階&amp;br()突&amp;br()破|BGCOLOR(#647693):COLOR(#fff):&amp;space(3)20&amp;space(3)</v>
      </c>
      <c r="F14" s="65" t="str">
        <f>IF($A$2="","","BGCOLOR("&amp;VLOOKUP($D$3,'コード表'!$T$2:$U$37,2,0)&amp;"):COLOR(#fff):突破後HP")</f>
        <v>BGCOLOR(#647693):COLOR(#fff):突破後HP</v>
      </c>
      <c r="G14" s="65" t="str">
        <f>IF($A$2="","","BGCOLOR("&amp;VLOOKUP($D$3,'コード表'!$T$2:$U$37,2,0)&amp;"):COLOR(#fff):突破後攻")</f>
        <v>BGCOLOR(#647693):COLOR(#fff):突破後攻</v>
      </c>
      <c r="H14" s="65" t="str">
        <f>IF($A$2="","","BGCOLOR("&amp;VLOOKUP($D$3,'コード表'!$T$2:$U$37,2,0)&amp;"):COLOR(#fff):突破後防")</f>
        <v>BGCOLOR(#647693):COLOR(#fff):突破後防</v>
      </c>
      <c r="I14" s="65" t="str">
        <f>IF($A$2="","","BGCOLOR("&amp;VLOOKUP($D$3,'コード表'!$T$2:$U$37,2,0)&amp;"):COLOR(#fff):突破後速")</f>
        <v>BGCOLOR(#647693):COLOR(#fff):突破後速</v>
      </c>
      <c r="J14" s="60" t="str">
        <f>IF($I14="","","h")</f>
        <v>h</v>
      </c>
      <c r="K14" s="173"/>
      <c r="L14" s="173"/>
      <c r="M14" s="173"/>
      <c r="N14" s="173"/>
      <c r="O14" s="173"/>
      <c r="P14" s="173"/>
    </row>
    <row r="15" spans="1:16" s="10" customFormat="1" ht="12">
      <c r="A15" s="205"/>
      <c r="B15" s="74" t="s">
        <v>313</v>
      </c>
      <c r="C15" s="6"/>
      <c r="D15" s="67"/>
      <c r="E15" s="68"/>
      <c r="F15" s="67"/>
      <c r="G15" s="68"/>
      <c r="H15" s="67"/>
      <c r="I15" s="67"/>
      <c r="J15" s="66"/>
      <c r="K15" s="173"/>
      <c r="L15" s="173"/>
      <c r="M15" s="173"/>
      <c r="N15" s="173"/>
      <c r="O15" s="173"/>
      <c r="P15" s="173"/>
    </row>
    <row r="16" spans="1:16" s="10" customFormat="1" ht="12">
      <c r="A16" s="205"/>
      <c r="B16" s="74" t="s">
        <v>314</v>
      </c>
      <c r="C16" s="6"/>
      <c r="D16" s="67"/>
      <c r="E16" s="68"/>
      <c r="F16" s="67"/>
      <c r="G16" s="68"/>
      <c r="H16" s="67"/>
      <c r="I16" s="67"/>
      <c r="J16" s="66"/>
      <c r="K16" s="173"/>
      <c r="L16" s="173"/>
      <c r="M16" s="173"/>
      <c r="N16" s="173"/>
      <c r="O16" s="173"/>
      <c r="P16" s="173"/>
    </row>
    <row r="17" spans="1:16" s="10" customFormat="1" ht="13.5" customHeight="1">
      <c r="A17" s="205" t="s">
        <v>2322</v>
      </c>
      <c r="B17" s="74" t="s">
        <v>1460</v>
      </c>
      <c r="C17" s="6"/>
      <c r="D17" s="67"/>
      <c r="E17" s="68"/>
      <c r="F17" s="67"/>
      <c r="G17" s="68"/>
      <c r="H17" s="67"/>
      <c r="I17" s="67"/>
      <c r="J17" s="66"/>
      <c r="K17" s="173"/>
      <c r="L17" s="173"/>
      <c r="M17" s="173"/>
      <c r="N17" s="173"/>
      <c r="O17" s="173"/>
      <c r="P17" s="173"/>
    </row>
    <row r="18" spans="1:16" s="10" customFormat="1" ht="12">
      <c r="A18" s="205"/>
      <c r="B18" s="74" t="s">
        <v>1461</v>
      </c>
      <c r="C18" s="6"/>
      <c r="D18" s="67"/>
      <c r="E18" s="68"/>
      <c r="F18" s="67"/>
      <c r="G18" s="68"/>
      <c r="H18" s="67"/>
      <c r="I18" s="67"/>
      <c r="J18" s="66"/>
      <c r="K18" s="173"/>
      <c r="L18" s="173"/>
      <c r="M18" s="173"/>
      <c r="N18" s="173"/>
      <c r="O18" s="173"/>
      <c r="P18" s="173"/>
    </row>
    <row r="19" spans="1:16" s="10" customFormat="1" ht="12">
      <c r="A19" s="205"/>
      <c r="B19" s="74" t="str">
        <f>IF($A$2="","",CONCATENATE("|",E19,"|",F19,"|",G19,"|",H19,"|",I19,"|",J19))</f>
        <v>|BGCOLOR(#647693):COLOR(#fff):2&amp;br()段&amp;br()階&amp;br()突&amp;br()破|BGCOLOR(#647693):COLOR(#fff):&amp;space(3)40&amp;space(3)|BGCOLOR(#647693):COLOR(#fff):突破後HP|BGCOLOR(#647693):COLOR(#fff):突破後攻|BGCOLOR(#647693):COLOR(#fff):突破後防|BGCOLOR(#647693):COLOR(#fff):突破後速|h</v>
      </c>
      <c r="C19" s="6"/>
      <c r="D19" s="67"/>
      <c r="E19" s="64" t="str">
        <f>IF($A$2="","","BGCOLOR("&amp;VLOOKUP($D$3,'コード表'!$T$2:$U$37,2,0)&amp;"):COLOR(#fff):2&amp;br()段&amp;br()階&amp;br()突&amp;br()破|BGCOLOR("&amp;VLOOKUP($D$3,'コード表'!$T$2:$U$37,2,0)&amp;"):COLOR(#fff):&amp;space(3)40&amp;space(3)")</f>
        <v>BGCOLOR(#647693):COLOR(#fff):2&amp;br()段&amp;br()階&amp;br()突&amp;br()破|BGCOLOR(#647693):COLOR(#fff):&amp;space(3)40&amp;space(3)</v>
      </c>
      <c r="F19" s="65" t="str">
        <f>IF($A$2="","","BGCOLOR("&amp;VLOOKUP($D$3,'コード表'!$T$2:$U$37,2,0)&amp;"):COLOR(#fff):突破後HP")</f>
        <v>BGCOLOR(#647693):COLOR(#fff):突破後HP</v>
      </c>
      <c r="G19" s="65" t="str">
        <f>IF($A$2="","","BGCOLOR("&amp;VLOOKUP($D$3,'コード表'!$T$2:$U$37,2,0)&amp;"):COLOR(#fff):突破後攻")</f>
        <v>BGCOLOR(#647693):COLOR(#fff):突破後攻</v>
      </c>
      <c r="H19" s="65" t="str">
        <f>IF($A$2="","","BGCOLOR("&amp;VLOOKUP($D$3,'コード表'!$T$2:$U$37,2,0)&amp;"):COLOR(#fff):突破後防")</f>
        <v>BGCOLOR(#647693):COLOR(#fff):突破後防</v>
      </c>
      <c r="I19" s="65" t="str">
        <f>IF($A$2="","","BGCOLOR("&amp;VLOOKUP($D$3,'コード表'!$T$2:$U$37,2,0)&amp;"):COLOR(#fff):突破後速")</f>
        <v>BGCOLOR(#647693):COLOR(#fff):突破後速</v>
      </c>
      <c r="J19" s="60" t="str">
        <f>IF($I19="","","h")</f>
        <v>h</v>
      </c>
      <c r="K19" s="173"/>
      <c r="L19" s="173"/>
      <c r="M19" s="173"/>
      <c r="N19" s="173"/>
      <c r="O19" s="173"/>
      <c r="P19" s="173"/>
    </row>
    <row r="20" spans="1:16" s="10" customFormat="1" ht="12">
      <c r="A20" s="205"/>
      <c r="B20" s="74" t="s">
        <v>1462</v>
      </c>
      <c r="D20" s="66"/>
      <c r="E20" s="66"/>
      <c r="F20" s="66"/>
      <c r="G20" s="66"/>
      <c r="H20" s="66"/>
      <c r="I20" s="66"/>
      <c r="J20" s="66"/>
      <c r="K20" s="173"/>
      <c r="L20" s="173"/>
      <c r="M20" s="173"/>
      <c r="N20" s="173"/>
      <c r="O20" s="173"/>
      <c r="P20" s="173"/>
    </row>
    <row r="21" spans="1:16" s="10" customFormat="1" ht="12">
      <c r="A21" s="205"/>
      <c r="B21" s="74" t="s">
        <v>1463</v>
      </c>
      <c r="D21" s="66"/>
      <c r="E21" s="66"/>
      <c r="F21" s="66"/>
      <c r="G21" s="66"/>
      <c r="H21" s="66"/>
      <c r="I21" s="66"/>
      <c r="J21" s="66"/>
      <c r="K21" s="173"/>
      <c r="L21" s="173"/>
      <c r="M21" s="173"/>
      <c r="N21" s="173"/>
      <c r="O21" s="173"/>
      <c r="P21" s="173"/>
    </row>
    <row r="22" spans="1:16" s="10" customFormat="1" ht="12">
      <c r="A22" s="205"/>
      <c r="B22" s="74" t="s">
        <v>873</v>
      </c>
      <c r="D22" s="66"/>
      <c r="E22" s="66"/>
      <c r="F22" s="66"/>
      <c r="G22" s="66"/>
      <c r="H22" s="66"/>
      <c r="I22" s="66"/>
      <c r="J22" s="66"/>
      <c r="K22" s="173"/>
      <c r="L22" s="173"/>
      <c r="M22" s="173"/>
      <c r="N22" s="173"/>
      <c r="O22" s="173"/>
      <c r="P22" s="173"/>
    </row>
    <row r="23" spans="1:16" s="10" customFormat="1" ht="12">
      <c r="A23" s="205" t="s">
        <v>2324</v>
      </c>
      <c r="B23" s="74" t="s">
        <v>874</v>
      </c>
      <c r="D23" s="66"/>
      <c r="E23" s="66"/>
      <c r="F23" s="66"/>
      <c r="G23" s="66"/>
      <c r="H23" s="66"/>
      <c r="I23" s="66"/>
      <c r="J23" s="66"/>
      <c r="K23" s="173"/>
      <c r="L23" s="173"/>
      <c r="M23" s="173"/>
      <c r="N23" s="173"/>
      <c r="O23" s="173"/>
      <c r="P23" s="173"/>
    </row>
    <row r="24" spans="1:16" s="10" customFormat="1" ht="12">
      <c r="A24" s="205"/>
      <c r="B24" s="74" t="str">
        <f>IF($A$2="","",CONCATENATE("|",E24,"|",F24,"|",G24,"|",H24,"|",I24,"|",J24))</f>
        <v>|BGCOLOR(#647693):COLOR(#fff):3&amp;br()段&amp;br()階&amp;br()突&amp;br()破|BGCOLOR(#647693):COLOR(#fff):&amp;space(3)60&amp;space(3)|BGCOLOR(#647693):COLOR(#fff):突破後HP|BGCOLOR(#647693):COLOR(#fff):突破後攻|BGCOLOR(#647693):COLOR(#fff):突破後防|BGCOLOR(#647693):COLOR(#fff):突破後速|h</v>
      </c>
      <c r="C24" s="6"/>
      <c r="D24" s="67"/>
      <c r="E24" s="64" t="str">
        <f>IF($A$2="","","BGCOLOR("&amp;VLOOKUP($D$3,'コード表'!$T$2:$U$37,2,0)&amp;"):COLOR(#fff):3&amp;br()段&amp;br()階&amp;br()突&amp;br()破|BGCOLOR("&amp;VLOOKUP($D$3,'コード表'!$T$2:$U$37,2,0)&amp;"):COLOR(#fff):&amp;space(3)60&amp;space(3)")</f>
        <v>BGCOLOR(#647693):COLOR(#fff):3&amp;br()段&amp;br()階&amp;br()突&amp;br()破|BGCOLOR(#647693):COLOR(#fff):&amp;space(3)60&amp;space(3)</v>
      </c>
      <c r="F24" s="65" t="str">
        <f>IF($A$2="","","BGCOLOR("&amp;VLOOKUP($D$3,'コード表'!$T$2:$U$37,2,0)&amp;"):COLOR(#fff):突破後HP")</f>
        <v>BGCOLOR(#647693):COLOR(#fff):突破後HP</v>
      </c>
      <c r="G24" s="65" t="str">
        <f>IF($A$2="","","BGCOLOR("&amp;VLOOKUP($D$3,'コード表'!$T$2:$U$37,2,0)&amp;"):COLOR(#fff):突破後攻")</f>
        <v>BGCOLOR(#647693):COLOR(#fff):突破後攻</v>
      </c>
      <c r="H24" s="65" t="str">
        <f>IF($A$2="","","BGCOLOR("&amp;VLOOKUP($D$3,'コード表'!$T$2:$U$37,2,0)&amp;"):COLOR(#fff):突破後防")</f>
        <v>BGCOLOR(#647693):COLOR(#fff):突破後防</v>
      </c>
      <c r="I24" s="65" t="str">
        <f>IF($A$2="","","BGCOLOR("&amp;VLOOKUP($D$3,'コード表'!$T$2:$U$37,2,0)&amp;"):COLOR(#fff):突破後速")</f>
        <v>BGCOLOR(#647693):COLOR(#fff):突破後速</v>
      </c>
      <c r="J24" s="60" t="str">
        <f>IF($I24="","","h")</f>
        <v>h</v>
      </c>
      <c r="K24" s="173"/>
      <c r="L24" s="173"/>
      <c r="M24" s="173"/>
      <c r="N24" s="173"/>
      <c r="O24" s="173"/>
      <c r="P24" s="173"/>
    </row>
    <row r="25" spans="1:16" s="10" customFormat="1" ht="12">
      <c r="A25" s="205"/>
      <c r="B25" s="74" t="s">
        <v>875</v>
      </c>
      <c r="D25" s="66"/>
      <c r="E25" s="66"/>
      <c r="F25" s="66"/>
      <c r="G25" s="66"/>
      <c r="H25" s="66"/>
      <c r="I25" s="66"/>
      <c r="J25" s="66"/>
      <c r="K25" s="173"/>
      <c r="L25" s="173"/>
      <c r="M25" s="173"/>
      <c r="N25" s="173"/>
      <c r="O25" s="173"/>
      <c r="P25" s="173"/>
    </row>
    <row r="26" spans="1:16" s="10" customFormat="1" ht="12">
      <c r="A26" s="205"/>
      <c r="B26" s="74" t="s">
        <v>876</v>
      </c>
      <c r="D26" s="66"/>
      <c r="E26" s="66"/>
      <c r="F26" s="66"/>
      <c r="G26" s="66"/>
      <c r="H26" s="66"/>
      <c r="I26" s="66"/>
      <c r="J26" s="66"/>
      <c r="K26" s="173"/>
      <c r="L26" s="173"/>
      <c r="M26" s="173"/>
      <c r="N26" s="173"/>
      <c r="O26" s="173"/>
      <c r="P26" s="173"/>
    </row>
    <row r="27" spans="1:16" s="10" customFormat="1" ht="12">
      <c r="A27" s="204"/>
      <c r="B27" s="74" t="s">
        <v>877</v>
      </c>
      <c r="D27" s="66"/>
      <c r="E27" s="66"/>
      <c r="F27" s="66"/>
      <c r="G27" s="66"/>
      <c r="H27" s="66"/>
      <c r="I27" s="66"/>
      <c r="J27" s="66"/>
      <c r="K27" s="173"/>
      <c r="L27" s="173"/>
      <c r="M27" s="173"/>
      <c r="N27" s="173"/>
      <c r="O27" s="173"/>
      <c r="P27" s="173"/>
    </row>
    <row r="28" spans="1:16" s="10" customFormat="1" ht="12">
      <c r="A28" s="204"/>
      <c r="B28" s="74" t="s">
        <v>878</v>
      </c>
      <c r="D28" s="66"/>
      <c r="E28" s="66"/>
      <c r="F28" s="66"/>
      <c r="G28" s="66"/>
      <c r="H28" s="66"/>
      <c r="I28" s="66"/>
      <c r="J28" s="66"/>
      <c r="K28" s="173"/>
      <c r="L28" s="173"/>
      <c r="M28" s="173"/>
      <c r="N28" s="173"/>
      <c r="O28" s="173"/>
      <c r="P28" s="173"/>
    </row>
    <row r="29" spans="1:16" s="10" customFormat="1" ht="12">
      <c r="A29" s="204"/>
      <c r="B29" s="74" t="str">
        <f>IF($A$2="","",CONCATENATE("|",E29,"|",F29,"|",G29,"|",H29,"|",I29,"|",J29))</f>
        <v>|BGCOLOR(#647693):COLOR(#fff):4&amp;br()段&amp;br()階&amp;br()突&amp;br()破|BGCOLOR(#647693):COLOR(#fff):&amp;space(3)80&amp;space(3)|BGCOLOR(#647693):COLOR(#fff):突破後HP|BGCOLOR(#647693):COLOR(#fff):突破後攻|BGCOLOR(#647693):COLOR(#fff):突破後防|BGCOLOR(#647693):COLOR(#fff):突破後速|h</v>
      </c>
      <c r="C29" s="6"/>
      <c r="D29" s="67"/>
      <c r="E29" s="64" t="str">
        <f>IF($A$2="","","BGCOLOR("&amp;VLOOKUP($D$3,'コード表'!$T$2:$U$37,2,0)&amp;"):COLOR(#fff):4&amp;br()段&amp;br()階&amp;br()突&amp;br()破|BGCOLOR("&amp;VLOOKUP($D$3,'コード表'!$T$2:$U$37,2,0)&amp;"):COLOR(#fff):&amp;space(3)80&amp;space(3)")</f>
        <v>BGCOLOR(#647693):COLOR(#fff):4&amp;br()段&amp;br()階&amp;br()突&amp;br()破|BGCOLOR(#647693):COLOR(#fff):&amp;space(3)80&amp;space(3)</v>
      </c>
      <c r="F29" s="65" t="str">
        <f>IF($A$2="","","BGCOLOR("&amp;VLOOKUP($D$3,'コード表'!$T$2:$U$37,2,0)&amp;"):COLOR(#fff):突破後HP")</f>
        <v>BGCOLOR(#647693):COLOR(#fff):突破後HP</v>
      </c>
      <c r="G29" s="65" t="str">
        <f>IF($A$2="","","BGCOLOR("&amp;VLOOKUP($D$3,'コード表'!$T$2:$U$37,2,0)&amp;"):COLOR(#fff):突破後攻")</f>
        <v>BGCOLOR(#647693):COLOR(#fff):突破後攻</v>
      </c>
      <c r="H29" s="65" t="str">
        <f>IF($A$2="","","BGCOLOR("&amp;VLOOKUP($D$3,'コード表'!$T$2:$U$37,2,0)&amp;"):COLOR(#fff):突破後防")</f>
        <v>BGCOLOR(#647693):COLOR(#fff):突破後防</v>
      </c>
      <c r="I29" s="65" t="str">
        <f>IF($A$2="","","BGCOLOR("&amp;VLOOKUP($D$3,'コード表'!$T$2:$U$37,2,0)&amp;"):COLOR(#fff):突破後速")</f>
        <v>BGCOLOR(#647693):COLOR(#fff):突破後速</v>
      </c>
      <c r="J29" s="60" t="str">
        <f>IF($I29="","","h")</f>
        <v>h</v>
      </c>
      <c r="K29" s="173"/>
      <c r="L29" s="173"/>
      <c r="M29" s="173"/>
      <c r="N29" s="173"/>
      <c r="O29" s="173"/>
      <c r="P29" s="173"/>
    </row>
    <row r="30" spans="1:16" s="10" customFormat="1" ht="12">
      <c r="A30" s="204"/>
      <c r="B30" s="74" t="s">
        <v>879</v>
      </c>
      <c r="E30" s="2"/>
      <c r="F30" s="2"/>
      <c r="G30" s="2"/>
      <c r="H30" s="2"/>
      <c r="I30" s="2"/>
      <c r="J30" s="2"/>
      <c r="K30" s="5"/>
      <c r="L30" s="5"/>
      <c r="M30" s="5"/>
      <c r="N30" s="5"/>
      <c r="O30" s="5"/>
      <c r="P30" s="5"/>
    </row>
    <row r="31" spans="1:16" s="10" customFormat="1" ht="12">
      <c r="A31" s="204"/>
      <c r="B31" s="74" t="s">
        <v>880</v>
      </c>
      <c r="E31" s="2"/>
      <c r="F31" s="2"/>
      <c r="G31" s="2"/>
      <c r="H31" s="2"/>
      <c r="I31" s="2"/>
      <c r="J31" s="2"/>
      <c r="K31" s="5"/>
      <c r="L31" s="5"/>
      <c r="M31" s="5"/>
      <c r="N31" s="5"/>
      <c r="O31" s="5"/>
      <c r="P31" s="5"/>
    </row>
    <row r="32" spans="1:16" s="10" customFormat="1" ht="12">
      <c r="A32" s="204"/>
      <c r="B32" s="74" t="s">
        <v>397</v>
      </c>
      <c r="E32" s="2"/>
      <c r="F32" s="2"/>
      <c r="G32" s="2"/>
      <c r="H32" s="2"/>
      <c r="I32" s="2"/>
      <c r="J32" s="2"/>
      <c r="K32" s="5"/>
      <c r="L32" s="5"/>
      <c r="M32" s="5"/>
      <c r="N32" s="5"/>
      <c r="O32" s="5"/>
      <c r="P32" s="5"/>
    </row>
    <row r="33" spans="1:16" s="10" customFormat="1" ht="12">
      <c r="A33" s="204"/>
      <c r="B33" s="74" t="s">
        <v>398</v>
      </c>
      <c r="E33" s="2"/>
      <c r="F33" s="2"/>
      <c r="G33" s="2"/>
      <c r="H33" s="2"/>
      <c r="I33" s="2"/>
      <c r="J33" s="2"/>
      <c r="K33" s="5"/>
      <c r="L33" s="5"/>
      <c r="M33" s="5"/>
      <c r="N33" s="5"/>
      <c r="O33" s="5"/>
      <c r="P33" s="5"/>
    </row>
    <row r="34" spans="1:16" s="10" customFormat="1" ht="12">
      <c r="A34" s="204"/>
      <c r="B34" s="66" t="s">
        <v>399</v>
      </c>
      <c r="E34" s="2"/>
      <c r="F34" s="2"/>
      <c r="G34" s="2"/>
      <c r="H34" s="2"/>
      <c r="I34" s="2"/>
      <c r="J34" s="2"/>
      <c r="K34" s="5"/>
      <c r="L34" s="5"/>
      <c r="M34" s="5"/>
      <c r="N34" s="5"/>
      <c r="O34" s="5"/>
      <c r="P34" s="5"/>
    </row>
    <row r="35" spans="1:16" s="10" customFormat="1" ht="13.5">
      <c r="A35" s="204"/>
      <c r="B35" s="66" t="s">
        <v>43</v>
      </c>
      <c r="C35" s="6"/>
      <c r="D35" s="4"/>
      <c r="E35" s="40"/>
      <c r="F35" s="45"/>
      <c r="G35" s="40"/>
      <c r="H35" s="45"/>
      <c r="I35" s="45"/>
      <c r="J35" s="2"/>
      <c r="K35" s="5"/>
      <c r="L35" s="5"/>
      <c r="M35" s="5"/>
      <c r="N35" s="5"/>
      <c r="O35" s="5"/>
      <c r="P35" s="5"/>
    </row>
    <row r="36" spans="1:16" s="10" customFormat="1" ht="13.5">
      <c r="A36" s="204"/>
      <c r="B36" s="74" t="s">
        <v>44</v>
      </c>
      <c r="C36" s="6"/>
      <c r="D36" s="4"/>
      <c r="E36" s="40"/>
      <c r="F36" s="45"/>
      <c r="G36" s="40"/>
      <c r="H36" s="45"/>
      <c r="I36" s="46"/>
      <c r="J36" s="5"/>
      <c r="K36" s="5"/>
      <c r="L36" s="5"/>
      <c r="M36" s="5"/>
      <c r="N36" s="5"/>
      <c r="O36" s="5"/>
      <c r="P36" s="5"/>
    </row>
    <row r="37" spans="1:16" s="10" customFormat="1" ht="13.5">
      <c r="A37" s="204"/>
      <c r="B37" s="74" t="s">
        <v>489</v>
      </c>
      <c r="C37" s="6"/>
      <c r="D37" s="4"/>
      <c r="E37" s="40"/>
      <c r="F37" s="45"/>
      <c r="G37" s="40"/>
      <c r="H37" s="45"/>
      <c r="I37" s="46"/>
      <c r="J37" s="5"/>
      <c r="K37" s="5"/>
      <c r="L37" s="5"/>
      <c r="M37" s="5"/>
      <c r="N37" s="5"/>
      <c r="O37" s="5"/>
      <c r="P37" s="5"/>
    </row>
    <row r="38" spans="1:16" s="10" customFormat="1" ht="13.5">
      <c r="A38" s="204"/>
      <c r="B38" s="74" t="s">
        <v>490</v>
      </c>
      <c r="C38" s="6"/>
      <c r="D38" s="4"/>
      <c r="E38" s="40"/>
      <c r="F38" s="45"/>
      <c r="G38" s="40"/>
      <c r="H38" s="45"/>
      <c r="I38" s="46"/>
      <c r="J38" s="5"/>
      <c r="K38" s="5"/>
      <c r="L38" s="5"/>
      <c r="M38" s="5"/>
      <c r="N38" s="5"/>
      <c r="O38" s="5"/>
      <c r="P38" s="5"/>
    </row>
    <row r="39" spans="1:16" s="10" customFormat="1" ht="13.5">
      <c r="A39" s="204"/>
      <c r="B39" s="74" t="s">
        <v>489</v>
      </c>
      <c r="C39" s="6"/>
      <c r="D39" s="4"/>
      <c r="E39" s="40"/>
      <c r="F39" s="45"/>
      <c r="G39" s="40"/>
      <c r="H39" s="45"/>
      <c r="I39" s="46"/>
      <c r="J39" s="5"/>
      <c r="K39" s="5"/>
      <c r="L39" s="5"/>
      <c r="M39" s="5"/>
      <c r="N39" s="5"/>
      <c r="O39" s="5"/>
      <c r="P39" s="5"/>
    </row>
    <row r="40" spans="1:16" s="10" customFormat="1" ht="13.5">
      <c r="A40" s="204"/>
      <c r="B40" s="74" t="s">
        <v>45</v>
      </c>
      <c r="C40" s="6"/>
      <c r="D40" s="4"/>
      <c r="E40" s="40"/>
      <c r="F40" s="45"/>
      <c r="G40" s="40"/>
      <c r="H40" s="45"/>
      <c r="I40" s="46"/>
      <c r="J40" s="5"/>
      <c r="K40" s="5"/>
      <c r="L40" s="5"/>
      <c r="M40" s="5"/>
      <c r="N40" s="5"/>
      <c r="O40" s="5"/>
      <c r="P40" s="5"/>
    </row>
    <row r="41" spans="1:16" s="10" customFormat="1" ht="12">
      <c r="A41" s="204"/>
      <c r="B41" s="74" t="str">
        <f>IF($A$2="","",CONCATENATE("|",E41,"|",F41,"|",G41,"|",H41,"|",I41,"|",J41))</f>
        <v>|BGCOLOR(#647693):COLOR(#fff):&amp;space(6)限界突破&amp;space(6)|BGCOLOR(#647693):COLOR(#fff):&amp;space(4)Lv上限&amp;space(4)|BGCOLOR(#647693):COLOR(#fff):&amp;space(4)コスト&amp;space(4)|BGCOLOR(#647693):COLOR(#fff):&amp;space(8)HP&amp;space(8)|BGCOLOR(#647693):COLOR(#fff):&amp;space(8)攻&amp;space(8)|BGCOLOR(#647693):COLOR(#fff):&amp;space(8)防&amp;space(8)|h</v>
      </c>
      <c r="C41" s="6"/>
      <c r="E41" s="69" t="str">
        <f>IF($A$2="","","BGCOLOR("&amp;VLOOKUP($D$3,'コード表'!$T$2:$U$37,2,0)&amp;"):COLOR(#fff):&amp;space(6)限界突破&amp;space(6)|BGCOLOR("&amp;VLOOKUP($D$3,'コード表'!$T$2:$U$37,2,0)&amp;"):COLOR(#fff):&amp;space(4)Lv上限&amp;space(4)")</f>
        <v>BGCOLOR(#647693):COLOR(#fff):&amp;space(6)限界突破&amp;space(6)|BGCOLOR(#647693):COLOR(#fff):&amp;space(4)Lv上限&amp;space(4)</v>
      </c>
      <c r="F41" s="69" t="str">
        <f>IF($A$2="","","BGCOLOR("&amp;VLOOKUP($D$3,'コード表'!$T$2:$U$37,2,0)&amp;"):COLOR(#fff):&amp;space(4)コスト&amp;space(4)")</f>
        <v>BGCOLOR(#647693):COLOR(#fff):&amp;space(4)コスト&amp;space(4)</v>
      </c>
      <c r="G41" s="69" t="str">
        <f>IF($A$2="","","BGCOLOR("&amp;VLOOKUP($D$3,'コード表'!$T$2:$U$37,2,0)&amp;"):COLOR(#fff):&amp;space(8)HP&amp;space(8)")</f>
        <v>BGCOLOR(#647693):COLOR(#fff):&amp;space(8)HP&amp;space(8)</v>
      </c>
      <c r="H41" s="69" t="str">
        <f>IF($A$2="","","BGCOLOR("&amp;VLOOKUP($D$3,'コード表'!$T$2:$U$37,2,0)&amp;"):COLOR(#fff):&amp;space(8)攻&amp;space(8)")</f>
        <v>BGCOLOR(#647693):COLOR(#fff):&amp;space(8)攻&amp;space(8)</v>
      </c>
      <c r="I41" s="69" t="str">
        <f>IF($A$2="","","BGCOLOR("&amp;VLOOKUP($D$3,'コード表'!$T$2:$U$37,2,0)&amp;"):COLOR(#fff):&amp;space(8)防&amp;space(8)")</f>
        <v>BGCOLOR(#647693):COLOR(#fff):&amp;space(8)防&amp;space(8)</v>
      </c>
      <c r="J41" s="60" t="str">
        <f>IF(E41="","","h")</f>
        <v>h</v>
      </c>
      <c r="K41" s="173"/>
      <c r="L41" s="173"/>
      <c r="M41" s="173"/>
      <c r="N41" s="173"/>
      <c r="O41" s="173"/>
      <c r="P41" s="173"/>
    </row>
    <row r="42" spans="1:16" s="10" customFormat="1" ht="13.5">
      <c r="A42" s="204"/>
      <c r="B42" s="66" t="str">
        <f>CONCATENATE(E42,F42,G42)</f>
        <v>|1段階|40|1|+|+|+|h</v>
      </c>
      <c r="C42" s="6"/>
      <c r="D42" s="4"/>
      <c r="E42" s="70" t="s">
        <v>46</v>
      </c>
      <c r="F42" s="71">
        <f>IF($A$2="","",$D$6+1)</f>
        <v>1</v>
      </c>
      <c r="G42" s="69" t="s">
        <v>47</v>
      </c>
      <c r="H42" s="45"/>
      <c r="I42" s="46"/>
      <c r="J42" s="5"/>
      <c r="K42" s="5"/>
      <c r="L42" s="5"/>
      <c r="M42" s="5"/>
      <c r="N42" s="5"/>
      <c r="O42" s="5"/>
      <c r="P42" s="5"/>
    </row>
    <row r="43" spans="1:16" s="10" customFormat="1" ht="13.5">
      <c r="A43" s="204"/>
      <c r="B43" s="66" t="str">
        <f>CONCATENATE(E43,F43,G43)</f>
        <v>|2段階|60|2|+|+|+|h</v>
      </c>
      <c r="C43" s="6"/>
      <c r="D43" s="4"/>
      <c r="E43" s="70" t="s">
        <v>48</v>
      </c>
      <c r="F43" s="71">
        <f>IF($A$2="","",$D$6+2)</f>
        <v>2</v>
      </c>
      <c r="G43" s="69" t="s">
        <v>47</v>
      </c>
      <c r="H43" s="45"/>
      <c r="I43" s="46"/>
      <c r="J43" s="5"/>
      <c r="K43" s="5"/>
      <c r="L43" s="5"/>
      <c r="M43" s="5"/>
      <c r="N43" s="5"/>
      <c r="O43" s="5"/>
      <c r="P43" s="5"/>
    </row>
    <row r="44" spans="1:16" s="10" customFormat="1" ht="13.5">
      <c r="A44" s="204"/>
      <c r="B44" s="66" t="str">
        <f>CONCATENATE(E44,F44,G44)</f>
        <v>|3段階|80|3|+|+|+|h</v>
      </c>
      <c r="C44" s="6"/>
      <c r="D44" s="41"/>
      <c r="E44" s="70" t="s">
        <v>49</v>
      </c>
      <c r="F44" s="71">
        <f>IF($A$2="","",$D$6+3)</f>
        <v>3</v>
      </c>
      <c r="G44" s="69" t="s">
        <v>47</v>
      </c>
      <c r="H44" s="45"/>
      <c r="I44" s="46"/>
      <c r="J44" s="5"/>
      <c r="K44" s="5"/>
      <c r="L44" s="5"/>
      <c r="M44" s="5"/>
      <c r="N44" s="5"/>
      <c r="O44" s="5"/>
      <c r="P44" s="5"/>
    </row>
    <row r="45" spans="1:16" s="10" customFormat="1" ht="13.5">
      <c r="A45" s="204"/>
      <c r="B45" s="66" t="str">
        <f>CONCATENATE(E45,F45,G45)</f>
        <v>|4段階|100|4|+|+|+|h</v>
      </c>
      <c r="C45" s="6"/>
      <c r="D45" s="41"/>
      <c r="E45" s="70" t="s">
        <v>50</v>
      </c>
      <c r="F45" s="71">
        <f>IF($A$2="","",$D$6+4)</f>
        <v>4</v>
      </c>
      <c r="G45" s="69" t="s">
        <v>47</v>
      </c>
      <c r="H45" s="45"/>
      <c r="I45" s="46"/>
      <c r="J45" s="5"/>
      <c r="K45" s="5"/>
      <c r="L45" s="5"/>
      <c r="M45" s="5"/>
      <c r="N45" s="5"/>
      <c r="O45" s="5"/>
      <c r="P45" s="5"/>
    </row>
    <row r="46" spans="1:16" s="10" customFormat="1" ht="12">
      <c r="A46" s="204"/>
      <c r="B46" s="66" t="str">
        <f>E48</f>
        <v>**必殺技：軌至界生</v>
      </c>
      <c r="C46" s="6"/>
      <c r="D46" s="72"/>
      <c r="F46" s="47"/>
      <c r="G46" s="48"/>
      <c r="H46" s="48"/>
      <c r="I46" s="49"/>
      <c r="J46" s="5"/>
      <c r="K46" s="5"/>
      <c r="L46" s="5"/>
      <c r="M46" s="5"/>
      <c r="N46" s="5"/>
      <c r="O46" s="5"/>
      <c r="P46" s="5"/>
    </row>
    <row r="47" spans="1:15" s="10" customFormat="1" ht="14.25" thickBot="1">
      <c r="A47" s="204"/>
      <c r="B47" s="74" t="str">
        <f>IF($A$2="","",CONCATENATE(E49,F49,G49,H49,I49,J49,K49))</f>
        <v>|&gt;|BGCOLOR(#647693):COLOR(#fff):&amp;space(45)効　　果&amp;space(45)|BGCOLOR(#647693):COLOR(#fff):技Lv|BGCOLOR(#647693):COLOR(#fff):威力|h</v>
      </c>
      <c r="C47" s="6"/>
      <c r="D47" s="145"/>
      <c r="E47" s="145" t="s">
        <v>1135</v>
      </c>
      <c r="F47" s="164"/>
      <c r="G47" s="164" t="s">
        <v>1016</v>
      </c>
      <c r="H47" s="164" t="s">
        <v>1126</v>
      </c>
      <c r="I47" s="164" t="s">
        <v>1127</v>
      </c>
      <c r="J47" s="164" t="s">
        <v>1128</v>
      </c>
      <c r="K47" s="164"/>
      <c r="L47" s="164"/>
      <c r="M47" s="164"/>
      <c r="N47" s="170" t="s">
        <v>171</v>
      </c>
      <c r="O47" s="170" t="s">
        <v>868</v>
      </c>
    </row>
    <row r="48" spans="1:15" s="10" customFormat="1" ht="12.75" thickBot="1">
      <c r="A48" s="204"/>
      <c r="B48" s="74" t="str">
        <f aca="true" t="shared" si="0" ref="B48:B53">IF($A$2="","",CONCATENATE(E50,F50,G50,H50,I50,J50,K50))</f>
        <v>|&gt;|瀕死時に直接攻撃に対して反撃|TOP:&amp;include_cache(技Lv)|TOP:&amp;include_cache(反撃_S・真_コスト0)|h</v>
      </c>
      <c r="C48" s="6"/>
      <c r="D48" s="28" t="str">
        <f>VLOOKUP($A$2,'①カード一覧(入力用)'!$I:$AB,2,0)&amp;"_"&amp;VLOOKUP($A$2,'①カード一覧(入力用)'!$I:$AB,4,0)</f>
        <v>0122_桃華仙ミヤビ</v>
      </c>
      <c r="E48" s="140" t="str">
        <f>IF($A$2="","","**必殺技："&amp;VLOOKUP($A$2,'①カード一覧(入力用)'!$I:$AB,15,0))</f>
        <v>**必殺技：軌至界生</v>
      </c>
      <c r="F48" s="138"/>
      <c r="G48" s="138"/>
      <c r="H48" s="49"/>
      <c r="I48" s="49"/>
      <c r="J48" s="49"/>
      <c r="K48" s="49"/>
      <c r="L48" s="49"/>
      <c r="M48" s="161">
        <f>A2</f>
        <v>122</v>
      </c>
      <c r="N48" s="171">
        <f>IF($A$2="","",VLOOKUP($A$2,'①カード一覧(入力用)'!$I:$AS,37,0))</f>
        <v>5</v>
      </c>
      <c r="O48" s="171">
        <f>IF($A$2="","",VLOOKUP($A$2,'①カード一覧(入力用)'!$I:$AB,6,0))</f>
        <v>0</v>
      </c>
    </row>
    <row r="49" spans="1:15" s="10" customFormat="1" ht="12">
      <c r="A49" s="204"/>
      <c r="B49" s="74" t="str">
        <f t="shared" si="0"/>
        <v>|BGCOLOR(#647693):COLOR(#fff):&amp;space(20)技ランク&amp;space(20)|BGCOLOR(#647693):COLOR(#fff):&amp;space(8)補　足&amp;space(8)|~|~|h</v>
      </c>
      <c r="C49" s="6"/>
      <c r="D49" s="141" t="str">
        <f>IF($A$2="","",D3)</f>
        <v>聖龍</v>
      </c>
      <c r="E49" s="142" t="s">
        <v>83</v>
      </c>
      <c r="F49" s="139" t="str">
        <f>IF($D48="","","|BGCOLOR("&amp;VLOOKUP($D49,'コード表'!$T$2:$U$34,2,0)&amp;"):COLOR(#fff):&amp;space(45)効　　果&amp;space(45)")</f>
        <v>|BGCOLOR(#647693):COLOR(#fff):&amp;space(45)効　　果&amp;space(45)</v>
      </c>
      <c r="G49" s="139" t="str">
        <f>IF($D48="","","|BGCOLOR("&amp;VLOOKUP($D49,'コード表'!$T$2:$U$34,2,0)&amp;"):COLOR(#fff):技Lv")</f>
        <v>|BGCOLOR(#647693):COLOR(#fff):技Lv</v>
      </c>
      <c r="H49" s="142" t="str">
        <f>IF($D48="","","|BGCOLOR("&amp;VLOOKUP($D49,'コード表'!$T$2:$U$34,2,0)&amp;"):COLOR(#fff):"&amp;$M50)</f>
        <v>|BGCOLOR(#647693):COLOR(#fff):威力</v>
      </c>
      <c r="I49" s="142">
        <f>IF($D48="","",IF($M51="","","|BGCOLOR("&amp;VLOOKUP($D49,'コード表'!$T$2:$U$34,2,0)&amp;"):COLOR(#fff):"&amp;$M51))</f>
      </c>
      <c r="J49" s="142">
        <f>IF($A2="","",IF($M52="","","|BGCOLOR("&amp;VLOOKUP($D49,'コード表'!$T$2:$U$34,2,0)&amp;"):COLOR(#fff):"&amp;$M52))</f>
      </c>
      <c r="K49" s="143" t="str">
        <f aca="true" t="shared" si="1" ref="K49:K55">IF($A$2="","","|h")</f>
        <v>|h</v>
      </c>
      <c r="L49" s="49" t="s">
        <v>82</v>
      </c>
      <c r="M49" s="160">
        <f>VLOOKUP($F50,'コード表'!$A:$N,8,0)</f>
        <v>1</v>
      </c>
      <c r="N49" s="165">
        <f>VLOOKUP($A$2,'①カード一覧(入力用)'!$A:$AV,47,0)</f>
        <v>0</v>
      </c>
      <c r="O49" s="165">
        <f>VLOOKUP($A$2,'①カード一覧(入力用)'!$A:$AV,48,0)</f>
        <v>0</v>
      </c>
    </row>
    <row r="50" spans="1:15" s="10" customFormat="1" ht="13.5">
      <c r="A50" s="204"/>
      <c r="B50" s="74" t="str">
        <f t="shared" si="0"/>
        <v>|S・真(コスト0)||~|~|h</v>
      </c>
      <c r="C50" s="6"/>
      <c r="D50"/>
      <c r="E50" s="142" t="s">
        <v>992</v>
      </c>
      <c r="F50" s="139" t="str">
        <f>IF($A$2="","",VLOOKUP($A$2,'①カード一覧(入力用)'!$I:$AB,13,0))</f>
        <v>瀕死時に直接攻撃に対して反撃</v>
      </c>
      <c r="G50" s="139" t="str">
        <f>IF($A2="","","|TOP:&amp;include_cache(技Lv)")</f>
        <v>|TOP:&amp;include_cache(技Lv)</v>
      </c>
      <c r="H50" s="142" t="str">
        <f>IF($A2="","",IF(H49="","",IF(OR(F50="正面の敵に連続攻撃",F50="ランダムに敵を連続攻撃"),"|TOP:&amp;include_cache("&amp;VLOOKUP(F50,'コード表'!$A:$N,10,0)&amp;"_"&amp;N49&amp;"回_"&amp;N50&amp;"_"&amp;"コスト"&amp;$O48&amp;")","|TOP:&amp;include_cache("&amp;VLOOKUP(F50,'コード表'!$A:$N,10,0)&amp;"_"&amp;N50&amp;IF(RIGHT(H49,1)="力","_"&amp;"コスト"&amp;$O48,"")&amp;")")))</f>
        <v>|TOP:&amp;include_cache(反撃_S・真_コスト0)</v>
      </c>
      <c r="I50" s="150">
        <f>IF($A2="","",IF(I49="","","|TOP:&amp;include_cache("&amp;VLOOKUP($F50,'コード表'!$A:$N,12,0)&amp;"_"&amp;N51&amp;IF(RIGHT(I49,1)="力","_"&amp;"コスト"&amp;$O48,"")&amp;")"))</f>
      </c>
      <c r="J50" s="150">
        <f>IF($A2="","",IF(J49="","","|TOP:&amp;include_cache("&amp;VLOOKUP($F50,'コード表'!$A:$N,14,0)&amp;"_"&amp;N52&amp;IF(RIGHT(J49,1)="力","_"&amp;"コスト"&amp;$O48,"")&amp;")"))</f>
      </c>
      <c r="K50" s="143" t="str">
        <f t="shared" si="1"/>
        <v>|h</v>
      </c>
      <c r="L50" s="156">
        <v>1</v>
      </c>
      <c r="M50" s="168" t="str">
        <f>IF(L50&gt;$M49,"",VLOOKUP($F50,'コード表'!$A:$N,9,0))</f>
        <v>威力</v>
      </c>
      <c r="N50" s="168" t="str">
        <f>IF(ISERROR(VLOOKUP($M48,'コード表'!$Q$8:$R$22,2,0)),VLOOKUP(N48,'コード表'!$Q$2:$R$5,2,0),IF(M50="威力",VLOOKUP(N48,'コード表'!$Q$2:$R$5,2,0),VLOOKUP($M48,'コード表'!$Q$8:$R$22,2,0)))</f>
        <v>S・真</v>
      </c>
      <c r="O50" s="168" t="str">
        <f>IF(OR(M50="",AND(M50&lt;&gt;"威力",M50&lt;&gt;"回復量")),"","（"&amp;O47&amp;O48&amp;")")</f>
        <v>（コスト0)</v>
      </c>
    </row>
    <row r="51" spans="1:15" s="10" customFormat="1" ht="13.5">
      <c r="A51" s="204"/>
      <c r="B51" s="74" t="str">
        <f t="shared" si="0"/>
        <v>|&gt;|スクショがあれば貼る|~|~|h</v>
      </c>
      <c r="C51" s="6"/>
      <c r="D51"/>
      <c r="E51" s="139" t="str">
        <f>IF($D48="","","|BGCOLOR("&amp;VLOOKUP($D49,'コード表'!$T$2:$U$34,2,0)&amp;"):COLOR(#fff):&amp;space(20)技ランク&amp;space(20)")</f>
        <v>|BGCOLOR(#647693):COLOR(#fff):&amp;space(20)技ランク&amp;space(20)</v>
      </c>
      <c r="F51" s="139" t="str">
        <f>IF($D48="","","|BGCOLOR("&amp;VLOOKUP($D$49,'コード表'!$T$2:$U$34,2,0)&amp;"):COLOR(#fff):&amp;space(8)補　足&amp;space(8)")</f>
        <v>|BGCOLOR(#647693):COLOR(#fff):&amp;space(8)補　足&amp;space(8)</v>
      </c>
      <c r="G51" s="142" t="s">
        <v>1129</v>
      </c>
      <c r="H51" s="142" t="s">
        <v>1130</v>
      </c>
      <c r="I51" s="150">
        <f>IF(I49="","","|~")</f>
      </c>
      <c r="J51" s="150">
        <f>IF(J49="","","|~")</f>
      </c>
      <c r="K51" s="143" t="str">
        <f t="shared" si="1"/>
        <v>|h</v>
      </c>
      <c r="L51" s="156">
        <v>2</v>
      </c>
      <c r="M51" s="168">
        <f>IF(L51&gt;$M49,"",VLOOKUP($F50,'コード表'!$A:$N,11,0))</f>
      </c>
      <c r="N51" s="168">
        <f>IF(M51="","",IF(ISERROR(VLOOKUP($M48,'コード表'!$Q$8:$R$22,2,0)),VLOOKUP(N48,'コード表'!$Q$2:$R$5,2,0),IF(M51="威力",VLOOKUP(N48,'コード表'!$Q$2:$R$5,2,0),VLOOKUP($M48,'コード表'!$Q$8:$R$22,2,0))))</f>
      </c>
      <c r="O51" s="155"/>
    </row>
    <row r="52" spans="1:15" s="10" customFormat="1" ht="13.5">
      <c r="A52" s="204"/>
      <c r="B52" s="74" t="str">
        <f t="shared" si="0"/>
        <v>|~|~||&amp;link_edit(page=反撃_S・真_コスト0,text=編集)|h</v>
      </c>
      <c r="C52" s="6"/>
      <c r="D52"/>
      <c r="E52" s="142" t="str">
        <f>IF($A2="","",IF(ISERROR(VLOOKUP(M48,'コード表'!$Q$8:$R$22,2,0)),"|"&amp;VLOOKUP($N48,'コード表'!$Q$2:$R$5,2,0)&amp;"(コスト"&amp;O48&amp;")","|"&amp;M54))</f>
        <v>|S・真(コスト0)</v>
      </c>
      <c r="F52" s="142" t="str">
        <f>"|"&amp;M55</f>
        <v>|</v>
      </c>
      <c r="G52" s="142" t="s">
        <v>1130</v>
      </c>
      <c r="H52" s="142" t="s">
        <v>1130</v>
      </c>
      <c r="I52" s="150">
        <f>IF(I49="","","|~")</f>
      </c>
      <c r="J52" s="150">
        <f>IF(J49="","","|~")</f>
      </c>
      <c r="K52" s="143" t="str">
        <f t="shared" si="1"/>
        <v>|h</v>
      </c>
      <c r="L52" s="156">
        <v>3</v>
      </c>
      <c r="M52" s="168">
        <f>IF(L52&gt;$M49,"",VLOOKUP($F50,'コード表'!$A:$N,13,0))</f>
      </c>
      <c r="N52" s="168">
        <f>IF(M52="","",IF(ISERROR(VLOOKUP(#REF!,'コード表'!$Q$8:$R$22,2,0)),VLOOKUP(N48,'コード表'!$Q$2:$R$5,2,0),IF(M52="威力",VLOOKUP(N48,'コード表'!$Q$2:$R$5,2,0),VLOOKUP(#REF!,'コード表'!$Q$8:$R$22,2,0))))</f>
      </c>
      <c r="O52" s="155"/>
    </row>
    <row r="53" spans="1:15" s="10" customFormat="1" ht="13.5">
      <c r="A53" s="204"/>
      <c r="B53" s="74" t="str">
        <f t="shared" si="0"/>
        <v>|&gt;|&gt;|&gt;|&amp;link_anchor(03,page=能力){この技の説明} / &amp;link_anchor(ca,page=技威力・効果一覧){この技の威力一覧} / &amp;link_anchor(ca,page=必殺技){この技を持つカードの一覧}|h</v>
      </c>
      <c r="C53" s="6"/>
      <c r="D53" s="137"/>
      <c r="E53" s="142" t="s">
        <v>2026</v>
      </c>
      <c r="F53" s="142" t="s">
        <v>84</v>
      </c>
      <c r="G53" s="142" t="s">
        <v>1131</v>
      </c>
      <c r="H53" s="142" t="s">
        <v>1131</v>
      </c>
      <c r="I53" s="150">
        <f>IF(I49="","","|~")</f>
      </c>
      <c r="J53" s="150">
        <f>IF(J49="","","|~")</f>
      </c>
      <c r="K53" s="143" t="str">
        <f t="shared" si="1"/>
        <v>|h</v>
      </c>
      <c r="L53" s="153"/>
      <c r="M53" s="154"/>
      <c r="N53" s="154"/>
      <c r="O53" s="154"/>
    </row>
    <row r="54" spans="1:15" s="10" customFormat="1" ht="13.5">
      <c r="A54" s="204"/>
      <c r="B54" s="68" t="s">
        <v>488</v>
      </c>
      <c r="C54" s="6"/>
      <c r="D54" s="137"/>
      <c r="E54" s="142" t="s">
        <v>2027</v>
      </c>
      <c r="F54" s="142" t="s">
        <v>1131</v>
      </c>
      <c r="G54" s="142" t="s">
        <v>1132</v>
      </c>
      <c r="H54" s="142" t="str">
        <f>IF($A2="","",IF(H49="","",IF(OR(F50="正面の敵に連続攻撃",F50="ランダムに敵を連続攻撃"),"|&amp;link_edit(page="&amp;VLOOKUP(F50,'コード表'!$A:$N,10,0)&amp;"_"&amp;N49&amp;"回_"&amp;N50&amp;"_"&amp;"コスト"&amp;$O48&amp;",text=編集)","|&amp;link_edit(page="&amp;VLOOKUP(F50,'コード表'!$A:$N,10,0)&amp;"_"&amp;N50&amp;IF(RIGHT(H49,1)="力","_"&amp;"コスト"&amp;$O48,"")&amp;",text=編集)")))</f>
        <v>|&amp;link_edit(page=反撃_S・真_コスト0,text=編集)</v>
      </c>
      <c r="I54" s="142">
        <f>IF(I49="","","|&amp;link_edit(page="&amp;VLOOKUP($F50,'コード表'!$A:$N,12,0)&amp;"_"&amp;N51&amp;IF(RIGHT(I49,1)="力","_"&amp;"コスト"&amp;$O48,"")&amp;",text=編集)")</f>
      </c>
      <c r="J54" s="142">
        <f>IF(J49="","","|&amp;link_edit(page="&amp;VLOOKUP($F50,'コード表'!$A:$N,14,0)&amp;"_"&amp;N52&amp;IF(RIGHT(J49,1)="力","_"&amp;"コスト"&amp;$O48,"")&amp;",text=編集)")</f>
      </c>
      <c r="K54" s="143" t="str">
        <f t="shared" si="1"/>
        <v>|h</v>
      </c>
      <c r="L54" s="162" t="s">
        <v>24</v>
      </c>
      <c r="M54" s="167" t="str">
        <f>IF($A$2="","",CONCATENATE(VLOOKUP(N48,'コード表'!Q2:R5,2,0),"(コスト",O48,"）"))</f>
        <v>S・真(コスト0）</v>
      </c>
      <c r="N54" s="154"/>
      <c r="O54" s="154"/>
    </row>
    <row r="55" spans="1:15" s="10" customFormat="1" ht="13.5">
      <c r="A55" s="204"/>
      <c r="B55" s="68" t="s">
        <v>489</v>
      </c>
      <c r="C55" s="6"/>
      <c r="D55" s="137"/>
      <c r="E55" s="142" t="s">
        <v>2028</v>
      </c>
      <c r="F55" s="142" t="str">
        <f>REPT(E53,$M49)</f>
        <v>|&gt;</v>
      </c>
      <c r="G55" s="142" t="s">
        <v>1133</v>
      </c>
      <c r="H55" s="142" t="str">
        <f>IF($A2="","","|&amp;link_anchor("&amp;VLOOKUP($F50,'コード表'!$A:$N,6,0)&amp;",page=能力){この技の説明} / ")</f>
        <v>|&amp;link_anchor(03,page=能力){この技の説明} / </v>
      </c>
      <c r="I55" s="159" t="str">
        <f>IF($A2="","","&amp;link_anchor("&amp;VLOOKUP($F50,'コード表'!$A:$N,7,0)&amp;",page=技威力・効果一覧){この技の威力一覧} / ")</f>
        <v>&amp;link_anchor(ca,page=技威力・効果一覧){この技の威力一覧} / </v>
      </c>
      <c r="J55" s="142" t="str">
        <f>IF($A2="","","&amp;link_anchor("&amp;VLOOKUP($F50,'コード表'!$A:$N,5,0)&amp;",page=必殺技){この技を持つカードの一覧}")</f>
        <v>&amp;link_anchor(ca,page=必殺技){この技を持つカードの一覧}</v>
      </c>
      <c r="K55" s="143" t="str">
        <f t="shared" si="1"/>
        <v>|h</v>
      </c>
      <c r="L55" s="162" t="s">
        <v>25</v>
      </c>
      <c r="M55" s="166">
        <f>IF(AND(N49&lt;&gt;0,O49&lt;&gt;0),N49&amp;"回・"&amp;O49,IF(AND(N49=0,O49&lt;&gt;0),O49,IF(AND(N49&lt;&gt;0,O49=0),N49&amp;"回","")))</f>
      </c>
      <c r="N55" s="154"/>
      <c r="O55" s="154"/>
    </row>
    <row r="56" spans="1:16" s="10" customFormat="1" ht="13.5">
      <c r="A56" s="204"/>
      <c r="B56" s="68" t="s">
        <v>490</v>
      </c>
      <c r="C56" s="6"/>
      <c r="D56" s="4"/>
      <c r="F56" s="4"/>
      <c r="G56" s="18"/>
      <c r="H56" s="4"/>
      <c r="I56" s="4"/>
      <c r="J56" s="17"/>
      <c r="K56" s="17"/>
      <c r="L56" s="17"/>
      <c r="M56" s="17"/>
      <c r="N56" s="17"/>
      <c r="O56" s="17"/>
      <c r="P56" s="17"/>
    </row>
    <row r="57" spans="1:16" s="10" customFormat="1" ht="13.5">
      <c r="A57" s="204"/>
      <c r="B57" s="68" t="s">
        <v>489</v>
      </c>
      <c r="C57" s="6"/>
      <c r="D57" s="172"/>
      <c r="E57" s="174" t="s">
        <v>1134</v>
      </c>
      <c r="F57" s="172"/>
      <c r="G57" s="175"/>
      <c r="H57" s="172"/>
      <c r="I57" s="4"/>
      <c r="J57" s="17"/>
      <c r="K57" s="17"/>
      <c r="L57" s="17"/>
      <c r="M57" s="17"/>
      <c r="N57" s="17"/>
      <c r="O57" s="17"/>
      <c r="P57" s="17"/>
    </row>
    <row r="58" spans="1:16" s="10" customFormat="1" ht="13.5">
      <c r="A58" s="204"/>
      <c r="B58" s="68" t="str">
        <f>IF(OR(E63="CP",E63="PR"),"**ゲームオリジナルカード","**神羅万象チョコでは")</f>
        <v>**ゲームオリジナルカード</v>
      </c>
      <c r="C58" s="6"/>
      <c r="D58" s="4"/>
      <c r="E58" s="44" t="str">
        <f>IF($A$2="","","**必殺技："&amp;VLOOKUP($A$2,'①カード一覧(入力用)'!$I:$AB,15,0))</f>
        <v>**必殺技：軌至界生</v>
      </c>
      <c r="G58" s="18"/>
      <c r="H58" s="4"/>
      <c r="I58" s="4"/>
      <c r="J58" s="17"/>
      <c r="K58" s="17"/>
      <c r="L58" s="17"/>
      <c r="M58" s="17"/>
      <c r="N58" s="17"/>
      <c r="O58" s="17"/>
      <c r="P58" s="17"/>
    </row>
    <row r="59" spans="1:16" s="10" customFormat="1" ht="13.5">
      <c r="A59" s="204"/>
      <c r="B59" s="68">
        <f>IF($A$2="","",IF(OR(E63="PR",E63="CP"),"",VLOOKUP($A$2,'①カード一覧(入力用)'!I:AO,29,0)&amp;"の"&amp;F63&amp;"カード("&amp;VLOOKUP($A$2,'①カード一覧(入力用)'!I:AO,30,0)&amp;")として登場。"))</f>
      </c>
      <c r="C59" s="6"/>
      <c r="D59" s="4"/>
      <c r="E59" s="50" t="str">
        <f>IF($A$2="","","BGCOLOR("&amp;VLOOKUP($D3,'コード表'!$T$2:$U$37,2,0)&amp;"):COLOR(#fff):Lv")</f>
        <v>BGCOLOR(#647693):COLOR(#fff):Lv</v>
      </c>
      <c r="F59" s="42" t="str">
        <f>IF($A$2="","","BGCOLOR("&amp;VLOOKUP($D3,'コード表'!$T$2:$U$37,2,0)&amp;"):COLOR(#fff):&amp;space(45)効　　果&amp;space(45)")</f>
        <v>BGCOLOR(#647693):COLOR(#fff):&amp;space(45)効　　果&amp;space(45)</v>
      </c>
      <c r="G59" s="43" t="str">
        <f>IF($A$2="","","BGCOLOR("&amp;VLOOKUP($D3,'コード表'!$T$2:$U$37,2,0)&amp;"):COLOR(#fff):&amp;space(8)補　足&amp;space(8)")</f>
        <v>BGCOLOR(#647693):COLOR(#fff):&amp;space(8)補　足&amp;space(8)</v>
      </c>
      <c r="H59" s="42" t="str">
        <f>IF($A$2="","","h")</f>
        <v>h</v>
      </c>
      <c r="I59" s="4"/>
      <c r="J59" s="17"/>
      <c r="K59" s="17"/>
      <c r="L59" s="17"/>
      <c r="M59" s="17"/>
      <c r="N59" s="17"/>
      <c r="O59" s="17"/>
      <c r="P59" s="17"/>
    </row>
    <row r="60" spans="1:16" s="10" customFormat="1" ht="13.5">
      <c r="A60" s="204"/>
      <c r="B60" s="68" t="str">
        <f>IF($A$2="","",VLOOKUP($A$2,'①カード一覧(入力用)'!I:AO,33,0))</f>
        <v>「バレンタイン祭」(2013年2月5日～2月12日)期間限定で
「神羅万象カード」「神羅万象カード・極」から引くことができるカード。
[[1302_桃華仙ミヤビ]]と絵柄は同じのアナザーで、背景とステータスが異なる。
技Lvを揃えれば[[強化合成]]が可能。</v>
      </c>
      <c r="C60" s="6"/>
      <c r="D60" s="4"/>
      <c r="E60" s="44">
        <f>IF($A$2="","",1)</f>
        <v>1</v>
      </c>
      <c r="F60" s="44" t="str">
        <f>IF($A$2="","",VLOOKUP($A$2,'①カード一覧(入力用)'!$I:$AB,13,0)&amp;"【"&amp;VLOOKUP($A$2,'①カード一覧(入力用)'!$I:$AB,14,0)&amp;"】")</f>
        <v>瀕死時に直接攻撃に対して反撃【威力175】</v>
      </c>
      <c r="G60" s="44"/>
      <c r="H60" s="48"/>
      <c r="I60" s="4"/>
      <c r="J60" s="17"/>
      <c r="K60" s="17"/>
      <c r="L60" s="17"/>
      <c r="M60" s="17"/>
      <c r="N60" s="17"/>
      <c r="O60" s="17"/>
      <c r="P60" s="17"/>
    </row>
    <row r="61" spans="1:16" s="10" customFormat="1" ht="13.5">
      <c r="A61" s="204"/>
      <c r="B61" s="10" t="str">
        <f>"実装日："&amp;TEXT(VLOOKUP(A2,'①カード一覧(入力用)'!A:AZ,52,0),"YYYY")&amp;"年"&amp;TEXT(VLOOKUP(A2,'①カード一覧(入力用)'!A:AZ,52,0),"M")&amp;"月"&amp;TEXT(VLOOKUP(A2,'①カード一覧(入力用)'!A:AZ,52,0),"D")&amp;"日"</f>
        <v>実装日：2013年2月5日</v>
      </c>
      <c r="C61" s="6"/>
      <c r="D61" s="4"/>
      <c r="I61" s="4"/>
      <c r="J61" s="17"/>
      <c r="K61" s="17"/>
      <c r="L61" s="17"/>
      <c r="M61" s="17"/>
      <c r="N61" s="17"/>
      <c r="O61" s="17"/>
      <c r="P61" s="17"/>
    </row>
    <row r="62" spans="1:16" s="10" customFormat="1" ht="13.5">
      <c r="A62" s="204"/>
      <c r="B62" s="68" t="s">
        <v>489</v>
      </c>
      <c r="C62" s="6"/>
      <c r="D62" s="4"/>
      <c r="E62" s="10" t="s">
        <v>284</v>
      </c>
      <c r="F62" s="10" t="s">
        <v>285</v>
      </c>
      <c r="G62" s="18"/>
      <c r="H62" s="4"/>
      <c r="I62" s="4"/>
      <c r="J62" s="17"/>
      <c r="K62" s="17"/>
      <c r="L62" s="17"/>
      <c r="M62" s="17"/>
      <c r="N62" s="17"/>
      <c r="O62" s="17"/>
      <c r="P62" s="17"/>
    </row>
    <row r="63" spans="1:16" s="10" customFormat="1" ht="13.5">
      <c r="A63" s="204"/>
      <c r="B63" s="68" t="s">
        <v>490</v>
      </c>
      <c r="C63" s="6"/>
      <c r="D63" s="4"/>
      <c r="E63" s="20" t="str">
        <f>VLOOKUP($A$2,'①カード一覧(入力用)'!I:AO,3,0)</f>
        <v>CP</v>
      </c>
      <c r="F63" s="20">
        <f>VLOOKUP($A$2,'①カード一覧(入力用)'!I:AO,31,0)</f>
        <v>0</v>
      </c>
      <c r="G63" s="18"/>
      <c r="H63" s="4"/>
      <c r="I63" s="4"/>
      <c r="J63" s="17"/>
      <c r="K63" s="17"/>
      <c r="L63" s="17"/>
      <c r="M63" s="17"/>
      <c r="N63" s="17"/>
      <c r="O63" s="17"/>
      <c r="P63" s="17"/>
    </row>
    <row r="64" spans="1:16" s="10" customFormat="1" ht="13.5">
      <c r="A64" s="204"/>
      <c r="B64" s="68" t="s">
        <v>489</v>
      </c>
      <c r="C64" s="6"/>
      <c r="D64" s="4"/>
      <c r="F64" s="4"/>
      <c r="G64" s="18"/>
      <c r="H64" s="4"/>
      <c r="I64" s="4"/>
      <c r="J64" s="17"/>
      <c r="K64" s="17"/>
      <c r="L64" s="17"/>
      <c r="M64" s="17"/>
      <c r="N64" s="17"/>
      <c r="O64" s="17"/>
      <c r="P64" s="17"/>
    </row>
    <row r="65" spans="1:16" s="10" customFormat="1" ht="13.5">
      <c r="A65" s="204"/>
      <c r="B65" s="68" t="str">
        <f>IF(A2="","","**[["&amp;MID(B2,2,30)&amp;"/コメント]]")</f>
        <v>**[[0122_桃華仙ミヤビ/コメント]]</v>
      </c>
      <c r="C65" s="6"/>
      <c r="D65" s="4"/>
      <c r="F65" s="4"/>
      <c r="G65" s="18"/>
      <c r="H65" s="4"/>
      <c r="I65" s="4"/>
      <c r="J65" s="17"/>
      <c r="K65" s="17"/>
      <c r="L65" s="17"/>
      <c r="M65" s="17"/>
      <c r="N65" s="17"/>
      <c r="O65" s="17"/>
      <c r="P65" s="17"/>
    </row>
    <row r="66" spans="1:16" s="10" customFormat="1" ht="13.5">
      <c r="A66" s="204"/>
      <c r="B66" s="68" t="str">
        <f>IF(A2="","","#pcomment(reply,10,"&amp;MID(B2,2,30)&amp;"/コメント)")</f>
        <v>#pcomment(reply,10,0122_桃華仙ミヤビ/コメント)</v>
      </c>
      <c r="C66" s="6"/>
      <c r="D66" s="4"/>
      <c r="F66" s="4"/>
      <c r="G66" s="18"/>
      <c r="H66" s="4"/>
      <c r="I66" s="4"/>
      <c r="J66" s="17"/>
      <c r="K66" s="17"/>
      <c r="L66" s="17"/>
      <c r="M66" s="17"/>
      <c r="N66" s="17"/>
      <c r="O66" s="17"/>
      <c r="P66" s="17"/>
    </row>
    <row r="67" spans="1:16" s="10" customFormat="1" ht="13.5">
      <c r="A67" s="204"/>
      <c r="B67" s="68"/>
      <c r="C67" s="6"/>
      <c r="D67" s="4"/>
      <c r="F67" s="4"/>
      <c r="G67" s="18"/>
      <c r="H67" s="4"/>
      <c r="I67" s="4"/>
      <c r="J67" s="17"/>
      <c r="K67" s="17"/>
      <c r="L67" s="17"/>
      <c r="M67" s="17"/>
      <c r="N67" s="17"/>
      <c r="O67" s="17"/>
      <c r="P67" s="17"/>
    </row>
    <row r="68" spans="1:16" s="10" customFormat="1" ht="13.5">
      <c r="A68" s="204"/>
      <c r="B68" s="10" t="s">
        <v>1524</v>
      </c>
      <c r="C68" s="6"/>
      <c r="D68" s="4"/>
      <c r="E68" s="18"/>
      <c r="F68" s="4"/>
      <c r="G68" s="18"/>
      <c r="H68" s="4"/>
      <c r="I68" s="4"/>
      <c r="J68" s="17"/>
      <c r="K68" s="17"/>
      <c r="L68" s="17"/>
      <c r="M68" s="17"/>
      <c r="N68" s="17"/>
      <c r="O68" s="17"/>
      <c r="P68" s="17"/>
    </row>
    <row r="69" spans="1:16" s="10" customFormat="1" ht="13.5">
      <c r="A69" s="204"/>
      <c r="C69" s="6"/>
      <c r="D69" s="4"/>
      <c r="E69" s="18"/>
      <c r="F69" s="4"/>
      <c r="G69" s="18"/>
      <c r="H69" s="4"/>
      <c r="I69" s="4"/>
      <c r="J69" s="17"/>
      <c r="K69" s="17"/>
      <c r="L69" s="17"/>
      <c r="M69" s="17"/>
      <c r="N69" s="17"/>
      <c r="O69" s="17"/>
      <c r="P69" s="17"/>
    </row>
    <row r="70" spans="1:16" s="10" customFormat="1" ht="13.5">
      <c r="A70" s="204"/>
      <c r="B70" s="68" t="s">
        <v>1525</v>
      </c>
      <c r="C70" s="6"/>
      <c r="D70" s="4"/>
      <c r="E70" s="18"/>
      <c r="F70" s="4"/>
      <c r="G70" s="18"/>
      <c r="H70" s="4"/>
      <c r="I70" s="4"/>
      <c r="J70" s="17"/>
      <c r="K70" s="17"/>
      <c r="L70" s="17"/>
      <c r="M70" s="17"/>
      <c r="N70" s="17"/>
      <c r="O70" s="17"/>
      <c r="P70" s="17"/>
    </row>
    <row r="71" spans="1:16" s="10" customFormat="1" ht="13.5">
      <c r="A71" s="204"/>
      <c r="B71" s="68" t="str">
        <f>"コメントの最初に、カード名として【&amp;nowiki(){ [["&amp;MID(B2,2,30)&amp;"]] }】を入力(【 】内をコピペ)してください"</f>
        <v>コメントの最初に、カード名として【&amp;nowiki(){ [[0122_桃華仙ミヤビ]] }】を入力(【 】内をコピペ)してください</v>
      </c>
      <c r="C71" s="6"/>
      <c r="D71" s="4"/>
      <c r="E71" s="18"/>
      <c r="F71" s="4"/>
      <c r="G71" s="18"/>
      <c r="H71" s="4"/>
      <c r="I71" s="4"/>
      <c r="J71" s="17"/>
      <c r="K71" s="17"/>
      <c r="L71" s="17"/>
      <c r="M71" s="17"/>
      <c r="N71" s="17"/>
      <c r="O71" s="17"/>
      <c r="P71" s="17"/>
    </row>
    <row r="72" spans="1:16" s="10" customFormat="1" ht="13.5">
      <c r="A72" s="204"/>
      <c r="B72" s="68" t="s">
        <v>382</v>
      </c>
      <c r="C72" s="6"/>
      <c r="D72" s="4"/>
      <c r="E72" s="18"/>
      <c r="F72" s="4"/>
      <c r="G72" s="18"/>
      <c r="H72" s="4"/>
      <c r="I72" s="4"/>
      <c r="J72" s="17"/>
      <c r="K72" s="17"/>
      <c r="L72" s="17"/>
      <c r="M72" s="17"/>
      <c r="N72" s="17"/>
      <c r="O72" s="17"/>
      <c r="P72" s="17"/>
    </row>
    <row r="73" spans="1:16" s="10" customFormat="1" ht="13.5">
      <c r="A73" s="204"/>
      <c r="B73" s="68" t="s">
        <v>166</v>
      </c>
      <c r="C73" s="6"/>
      <c r="D73" s="4"/>
      <c r="E73" s="18"/>
      <c r="F73" s="4"/>
      <c r="G73" s="18"/>
      <c r="H73" s="4"/>
      <c r="I73" s="4"/>
      <c r="J73" s="17"/>
      <c r="K73" s="17"/>
      <c r="L73" s="17"/>
      <c r="M73" s="17"/>
      <c r="N73" s="17"/>
      <c r="O73" s="17"/>
      <c r="P73" s="17"/>
    </row>
    <row r="74" spans="1:16" s="10" customFormat="1" ht="14.25" customHeight="1">
      <c r="A74" s="204"/>
      <c r="B74" s="68" t="s">
        <v>489</v>
      </c>
      <c r="C74" s="6"/>
      <c r="D74" s="4"/>
      <c r="E74" s="18"/>
      <c r="F74" s="4"/>
      <c r="G74" s="18"/>
      <c r="H74" s="4"/>
      <c r="I74" s="4"/>
      <c r="J74" s="17"/>
      <c r="K74" s="17"/>
      <c r="L74" s="17"/>
      <c r="M74" s="17"/>
      <c r="N74" s="17"/>
      <c r="O74" s="17"/>
      <c r="P74" s="17"/>
    </row>
    <row r="75" spans="1:16" s="10" customFormat="1" ht="13.5">
      <c r="A75" s="204"/>
      <c r="B75" s="68" t="s">
        <v>490</v>
      </c>
      <c r="C75" s="6"/>
      <c r="D75" s="4"/>
      <c r="E75" s="18"/>
      <c r="F75" s="4"/>
      <c r="G75" s="18"/>
      <c r="H75" s="4"/>
      <c r="I75" s="4"/>
      <c r="J75" s="17"/>
      <c r="K75" s="17"/>
      <c r="L75" s="17"/>
      <c r="M75" s="17"/>
      <c r="N75" s="17"/>
      <c r="O75" s="17"/>
      <c r="P75" s="17"/>
    </row>
    <row r="76" spans="1:16" s="10" customFormat="1" ht="13.5">
      <c r="A76" s="204"/>
      <c r="B76" s="68" t="s">
        <v>489</v>
      </c>
      <c r="C76" s="6"/>
      <c r="D76" s="4"/>
      <c r="E76" s="18"/>
      <c r="F76" s="4"/>
      <c r="G76" s="18"/>
      <c r="H76" s="4"/>
      <c r="I76" s="4"/>
      <c r="J76" s="17"/>
      <c r="K76" s="17"/>
      <c r="L76" s="17"/>
      <c r="M76" s="17"/>
      <c r="N76" s="17"/>
      <c r="O76" s="17"/>
      <c r="P76" s="17"/>
    </row>
    <row r="77" spans="1:16" s="10" customFormat="1" ht="13.5">
      <c r="A77" s="204"/>
      <c r="B77" s="68"/>
      <c r="C77" s="6"/>
      <c r="D77" s="4"/>
      <c r="E77" s="18"/>
      <c r="F77" s="4"/>
      <c r="G77" s="18"/>
      <c r="H77" s="4"/>
      <c r="I77" s="4"/>
      <c r="J77" s="17"/>
      <c r="K77" s="17"/>
      <c r="L77" s="17"/>
      <c r="M77" s="17"/>
      <c r="N77" s="17"/>
      <c r="O77" s="17"/>
      <c r="P77" s="17"/>
    </row>
    <row r="78" spans="1:16" s="10" customFormat="1" ht="13.5">
      <c r="A78" s="204"/>
      <c r="B78" s="68"/>
      <c r="C78" s="6"/>
      <c r="D78" s="4"/>
      <c r="E78" s="18"/>
      <c r="F78" s="4"/>
      <c r="G78" s="18"/>
      <c r="H78" s="4"/>
      <c r="I78" s="4"/>
      <c r="J78" s="17"/>
      <c r="K78" s="17"/>
      <c r="L78" s="17"/>
      <c r="M78" s="17"/>
      <c r="N78" s="17"/>
      <c r="O78" s="17"/>
      <c r="P78" s="17"/>
    </row>
    <row r="79" spans="1:16" s="10" customFormat="1" ht="13.5">
      <c r="A79" s="204"/>
      <c r="B79" s="68"/>
      <c r="C79" s="6"/>
      <c r="D79" s="4"/>
      <c r="E79" s="18"/>
      <c r="F79" s="4"/>
      <c r="G79" s="18"/>
      <c r="H79" s="4"/>
      <c r="I79" s="4"/>
      <c r="J79" s="17"/>
      <c r="K79" s="17"/>
      <c r="L79" s="17"/>
      <c r="M79" s="17"/>
      <c r="N79" s="17"/>
      <c r="O79" s="17"/>
      <c r="P79" s="17"/>
    </row>
    <row r="80" spans="1:16" s="10" customFormat="1" ht="13.5">
      <c r="A80" s="204"/>
      <c r="B80" s="68"/>
      <c r="C80" s="6"/>
      <c r="D80" s="4"/>
      <c r="E80" s="18"/>
      <c r="F80" s="4"/>
      <c r="G80" s="18"/>
      <c r="H80" s="4"/>
      <c r="I80" s="4"/>
      <c r="J80" s="17"/>
      <c r="K80" s="17"/>
      <c r="L80" s="17"/>
      <c r="M80" s="17"/>
      <c r="N80" s="17"/>
      <c r="O80" s="17"/>
      <c r="P80" s="17"/>
    </row>
    <row r="81" spans="1:16" s="10" customFormat="1" ht="13.5">
      <c r="A81" s="204"/>
      <c r="B81" s="68" t="s">
        <v>691</v>
      </c>
      <c r="C81" s="6"/>
      <c r="D81" s="4"/>
      <c r="E81" s="18"/>
      <c r="F81" s="4"/>
      <c r="G81" s="18"/>
      <c r="H81" s="4"/>
      <c r="I81" s="4"/>
      <c r="J81" s="17"/>
      <c r="K81" s="17"/>
      <c r="L81" s="17"/>
      <c r="M81" s="17"/>
      <c r="N81" s="17"/>
      <c r="O81" s="17"/>
      <c r="P81" s="17"/>
    </row>
    <row r="82" spans="3:16" s="10" customFormat="1" ht="13.5">
      <c r="C82" s="6"/>
      <c r="D82" s="4"/>
      <c r="E82" s="18"/>
      <c r="F82" s="4"/>
      <c r="G82" s="18"/>
      <c r="H82" s="4"/>
      <c r="I82" s="4"/>
      <c r="J82" s="17"/>
      <c r="K82" s="17"/>
      <c r="L82" s="17"/>
      <c r="M82" s="17"/>
      <c r="N82" s="17"/>
      <c r="O82" s="17"/>
      <c r="P82" s="17"/>
    </row>
    <row r="83" spans="3:16" s="10" customFormat="1" ht="13.5">
      <c r="C83" s="3"/>
      <c r="D83" s="4"/>
      <c r="E83" s="18"/>
      <c r="F83" s="4"/>
      <c r="G83" s="18"/>
      <c r="H83" s="4"/>
      <c r="I83" s="4"/>
      <c r="J83" s="17"/>
      <c r="K83" s="17"/>
      <c r="L83" s="17"/>
      <c r="M83" s="17"/>
      <c r="N83" s="17"/>
      <c r="O83" s="17"/>
      <c r="P83" s="17"/>
    </row>
  </sheetData>
  <sheetProtection sheet="1"/>
  <mergeCells count="4">
    <mergeCell ref="A11:A16"/>
    <mergeCell ref="A17:A22"/>
    <mergeCell ref="A3:A6"/>
    <mergeCell ref="A23:A26"/>
  </mergeCells>
  <printOptions/>
  <pageMargins left="0.75" right="0.75" top="1" bottom="1" header="0.512" footer="0.512"/>
  <pageSetup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5">
    <tabColor theme="9"/>
  </sheetPr>
  <dimension ref="A1:AO58"/>
  <sheetViews>
    <sheetView zoomScalePageLayoutView="0" workbookViewId="0" topLeftCell="A1">
      <pane xSplit="30" ySplit="3" topLeftCell="AE4" activePane="bottomRight" state="frozen"/>
      <selection pane="topLeft" activeCell="A1" sqref="A1"/>
      <selection pane="topRight" activeCell="E1" sqref="E1"/>
      <selection pane="bottomLeft" activeCell="A3" sqref="A3"/>
      <selection pane="bottomRight" activeCell="AA2" sqref="AA2:AC3"/>
    </sheetView>
  </sheetViews>
  <sheetFormatPr defaultColWidth="9.00390625" defaultRowHeight="13.5"/>
  <cols>
    <col min="1" max="1" width="9.00390625" style="10" hidden="1" customWidth="1"/>
    <col min="2" max="2" width="3.625" style="10" hidden="1" customWidth="1"/>
    <col min="3" max="3" width="7.625" style="10" hidden="1" customWidth="1"/>
    <col min="4" max="4" width="1.37890625" style="10" hidden="1" customWidth="1"/>
    <col min="5" max="5" width="4.125" style="119" hidden="1" customWidth="1"/>
    <col min="6" max="6" width="2.375" style="88" hidden="1" customWidth="1"/>
    <col min="7" max="7" width="5.00390625" style="88" hidden="1" customWidth="1"/>
    <col min="8" max="8" width="8.00390625" style="88" hidden="1" customWidth="1"/>
    <col min="9" max="9" width="5.00390625" style="10" hidden="1" customWidth="1"/>
    <col min="10" max="16" width="3.125" style="10" hidden="1" customWidth="1"/>
    <col min="17" max="17" width="4.00390625" style="10" hidden="1" customWidth="1"/>
    <col min="18" max="18" width="3.125" style="10" hidden="1" customWidth="1"/>
    <col min="19" max="20" width="5.625" style="88" hidden="1" customWidth="1"/>
    <col min="21" max="23" width="6.75390625" style="88" hidden="1" customWidth="1"/>
    <col min="24" max="24" width="2.125" style="88" customWidth="1"/>
    <col min="25" max="25" width="6.25390625" style="10" customWidth="1"/>
    <col min="26" max="26" width="2.875" style="10" customWidth="1"/>
    <col min="27" max="27" width="2.125" style="10" customWidth="1"/>
    <col min="28" max="28" width="3.375" style="10" customWidth="1"/>
    <col min="29" max="29" width="2.875" style="10" customWidth="1"/>
    <col min="30" max="30" width="5.50390625" style="88" customWidth="1"/>
    <col min="31" max="31" width="14.125" style="88" customWidth="1"/>
    <col min="32" max="32" width="22.375" style="10" customWidth="1"/>
    <col min="33" max="33" width="10.25390625" style="16" bestFit="1" customWidth="1"/>
    <col min="34" max="34" width="15.00390625" style="16" customWidth="1"/>
    <col min="35" max="35" width="3.25390625" style="16" customWidth="1"/>
    <col min="36" max="36" width="2.75390625" style="16" bestFit="1" customWidth="1"/>
    <col min="37" max="38" width="4.50390625" style="88" bestFit="1" customWidth="1"/>
    <col min="39" max="39" width="5.375" style="88" customWidth="1"/>
    <col min="40" max="40" width="4.50390625" style="88" bestFit="1" customWidth="1"/>
    <col min="41" max="41" width="22.75390625" style="10" customWidth="1"/>
    <col min="42" max="16384" width="9.00390625" style="10" customWidth="1"/>
  </cols>
  <sheetData>
    <row r="1" spans="3:40" ht="12.75" thickBot="1">
      <c r="C1" s="88"/>
      <c r="D1" s="88"/>
      <c r="E1" s="89"/>
      <c r="H1" s="73"/>
      <c r="I1" s="90"/>
      <c r="J1" s="91"/>
      <c r="K1" s="92" t="str">
        <f>AA2&amp;"　("</f>
        <v>No　(</v>
      </c>
      <c r="L1" s="93">
        <f>VLOOKUP($AA$2,$A$5:$B$14,2,0)</f>
        <v>1</v>
      </c>
      <c r="M1" s="207" t="s">
        <v>856</v>
      </c>
      <c r="N1" s="207"/>
      <c r="O1" s="93">
        <v>1</v>
      </c>
      <c r="P1" s="93" t="s">
        <v>855</v>
      </c>
      <c r="Q1" s="93">
        <f>(MAX($G$4:$G$43)-$G$4+1)*2</f>
        <v>20</v>
      </c>
      <c r="R1" s="207" t="s">
        <v>859</v>
      </c>
      <c r="S1" s="207"/>
      <c r="T1" s="207"/>
      <c r="X1" s="94"/>
      <c r="Y1" s="95" t="s">
        <v>1477</v>
      </c>
      <c r="Z1" s="9"/>
      <c r="AA1" s="219" t="s">
        <v>816</v>
      </c>
      <c r="AB1" s="219"/>
      <c r="AC1" s="219"/>
      <c r="AE1" s="96" t="s">
        <v>2325</v>
      </c>
      <c r="AF1" s="96"/>
      <c r="AG1" s="96"/>
      <c r="AH1" s="96"/>
      <c r="AI1" s="96"/>
      <c r="AJ1" s="96"/>
      <c r="AK1" s="96"/>
      <c r="AL1" s="96"/>
      <c r="AM1" s="96"/>
      <c r="AN1" s="96"/>
    </row>
    <row r="2" spans="1:41" ht="12" customHeight="1" thickBot="1">
      <c r="A2" s="10" t="s">
        <v>1397</v>
      </c>
      <c r="B2" s="97">
        <f>MATCH(MAX('①カード一覧(入力用)'!A:A),'①カード一覧(入力用)'!A:A,0)</f>
        <v>132</v>
      </c>
      <c r="E2" s="206" t="s">
        <v>2065</v>
      </c>
      <c r="F2" s="206"/>
      <c r="G2" s="206"/>
      <c r="H2" s="206"/>
      <c r="I2" s="214" t="s">
        <v>854</v>
      </c>
      <c r="J2" s="214"/>
      <c r="K2" s="214"/>
      <c r="L2" s="214"/>
      <c r="M2" s="214"/>
      <c r="N2" s="214"/>
      <c r="O2" s="214"/>
      <c r="P2" s="214"/>
      <c r="Q2" s="214"/>
      <c r="R2" s="214"/>
      <c r="S2" s="215" t="s">
        <v>2122</v>
      </c>
      <c r="T2" s="217" t="s">
        <v>857</v>
      </c>
      <c r="U2" s="98" t="s">
        <v>862</v>
      </c>
      <c r="V2" s="98" t="s">
        <v>862</v>
      </c>
      <c r="W2" s="98" t="s">
        <v>862</v>
      </c>
      <c r="X2" s="99"/>
      <c r="Y2" s="38">
        <v>123</v>
      </c>
      <c r="Z2" s="121" t="s">
        <v>1361</v>
      </c>
      <c r="AA2" s="208" t="s">
        <v>807</v>
      </c>
      <c r="AB2" s="209"/>
      <c r="AC2" s="210"/>
      <c r="AD2" s="100" t="s">
        <v>858</v>
      </c>
      <c r="AE2" s="101" t="s">
        <v>862</v>
      </c>
      <c r="AF2" s="102" t="s">
        <v>899</v>
      </c>
      <c r="AG2" s="103" t="s">
        <v>900</v>
      </c>
      <c r="AH2" s="103" t="s">
        <v>842</v>
      </c>
      <c r="AI2" s="103" t="s">
        <v>1059</v>
      </c>
      <c r="AJ2" s="103" t="s">
        <v>1060</v>
      </c>
      <c r="AK2" s="103" t="s">
        <v>536</v>
      </c>
      <c r="AL2" s="103" t="s">
        <v>537</v>
      </c>
      <c r="AM2" s="103" t="s">
        <v>538</v>
      </c>
      <c r="AN2" s="103" t="s">
        <v>539</v>
      </c>
      <c r="AO2" s="104" t="s">
        <v>864</v>
      </c>
    </row>
    <row r="3" spans="1:41" ht="15" thickBot="1">
      <c r="A3" s="10" t="s">
        <v>1398</v>
      </c>
      <c r="B3" s="10">
        <f>MAX(E:E)</f>
        <v>20</v>
      </c>
      <c r="E3" s="105"/>
      <c r="F3" s="106"/>
      <c r="G3" s="106" t="s">
        <v>2066</v>
      </c>
      <c r="H3" s="106" t="s">
        <v>2067</v>
      </c>
      <c r="I3" s="20" t="s">
        <v>1954</v>
      </c>
      <c r="J3" s="20" t="s">
        <v>810</v>
      </c>
      <c r="K3" s="20" t="s">
        <v>808</v>
      </c>
      <c r="L3" s="20" t="s">
        <v>1161</v>
      </c>
      <c r="M3" s="20" t="s">
        <v>536</v>
      </c>
      <c r="N3" s="20" t="s">
        <v>537</v>
      </c>
      <c r="O3" s="20" t="s">
        <v>538</v>
      </c>
      <c r="P3" s="20" t="s">
        <v>539</v>
      </c>
      <c r="Q3" s="20" t="s">
        <v>540</v>
      </c>
      <c r="R3" s="107" t="s">
        <v>811</v>
      </c>
      <c r="S3" s="216"/>
      <c r="T3" s="218"/>
      <c r="U3" s="108" t="s">
        <v>477</v>
      </c>
      <c r="V3" s="134" t="s">
        <v>474</v>
      </c>
      <c r="W3" s="134" t="s">
        <v>476</v>
      </c>
      <c r="X3" s="48" t="s">
        <v>1954</v>
      </c>
      <c r="Y3" s="87">
        <f>IF(Y2="","抽出開始No",MIN($H$4:$H$43))</f>
        <v>122</v>
      </c>
      <c r="Z3" s="122"/>
      <c r="AA3" s="211"/>
      <c r="AB3" s="212"/>
      <c r="AC3" s="213"/>
      <c r="AD3" s="95" t="s">
        <v>806</v>
      </c>
      <c r="AE3" s="109" t="s">
        <v>2064</v>
      </c>
      <c r="AF3" s="110"/>
      <c r="AG3" s="111"/>
      <c r="AH3" s="111"/>
      <c r="AI3" s="111"/>
      <c r="AJ3" s="111"/>
      <c r="AK3" s="112"/>
      <c r="AL3" s="112"/>
      <c r="AM3" s="112"/>
      <c r="AN3" s="112"/>
      <c r="AO3" s="113" t="s">
        <v>863</v>
      </c>
    </row>
    <row r="4" spans="1:41" ht="12">
      <c r="A4" s="106" t="s">
        <v>805</v>
      </c>
      <c r="B4" s="106" t="s">
        <v>861</v>
      </c>
      <c r="C4" s="106" t="s">
        <v>817</v>
      </c>
      <c r="E4" s="105">
        <v>1</v>
      </c>
      <c r="F4" s="106">
        <v>1</v>
      </c>
      <c r="G4" s="106">
        <f>Y2</f>
        <v>123</v>
      </c>
      <c r="H4" s="106">
        <f>IF(G4="","",INDEX('①カード一覧(入力用)'!A:A,$G4,1))</f>
        <v>122</v>
      </c>
      <c r="I4" s="114">
        <f>IF(G4="","",VLOOKUP($H4,'①カード一覧(入力用)'!$A:$A,1,0))</f>
        <v>122</v>
      </c>
      <c r="J4" s="106" t="e">
        <f>IF(G4="","",VALUE(VLOOKUP($H4,'①カード一覧(入力用)'!$A:$F,6,0)&amp;VLOOKUP($H4,'①カード一覧(入力用)'!$A:$B,2,0)&amp;VLOOKUP($H4,'①カード一覧(入力用)'!$A:$D,4,0)&amp;VLOOKUP($H4,'①カード一覧(入力用)'!$A:$C,3,0)&amp;VLOOKUP($H4,'①カード一覧(入力用)'!$A:$J,10,0)))</f>
        <v>#N/A</v>
      </c>
      <c r="K4" s="106" t="e">
        <f>IF(G4="","",VALUE(VLOOKUP($H4,'①カード一覧(入力用)'!$A:$E,5,0)&amp;VLOOKUP($H4,'①カード一覧(入力用)'!$A:$D,4,0)&amp;VLOOKUP($H4,'①カード一覧(入力用)'!$A:$C,3,0)&amp;VLOOKUP($H4,'①カード一覧(入力用)'!$A:$J,10,0)))</f>
        <v>#N/A</v>
      </c>
      <c r="L4" s="106" t="e">
        <f>IF(G4="","",VALUE(VLOOKUP($H4,'①カード一覧(入力用)'!$A:$D,4,0)&amp;VLOOKUP($H4,'①カード一覧(入力用)'!$A:$C,3,0)&amp;VLOOKUP($H4,'①カード一覧(入力用)'!$A:$B,2,0)&amp;VLOOKUP($H4,'①カード一覧(入力用)'!$A:$J,10,0)))</f>
        <v>#N/A</v>
      </c>
      <c r="M4" s="106" t="e">
        <f>IF(G4="","",VALUE((1500-VLOOKUP($H4,'①カード一覧(入力用)'!$A:$O,15,0))&amp;VLOOKUP($H4,'①カード一覧(入力用)'!$A:$B,2,0)&amp;VLOOKUP($H4,'①カード一覧(入力用)'!$A:$D,4,0)&amp;VLOOKUP($H4,'①カード一覧(入力用)'!$A:$C,3,0)&amp;VLOOKUP($H4,'①カード一覧(入力用)'!$A:$J,10,0)))</f>
        <v>#N/A</v>
      </c>
      <c r="N4" s="106" t="e">
        <f>IF(G4="","",VALUE((1500-VLOOKUP($H4,'①カード一覧(入力用)'!$A:$P,16,0))&amp;VLOOKUP($H4,'①カード一覧(入力用)'!$A:$B,2,0)&amp;VLOOKUP($H4,'①カード一覧(入力用)'!$A:$D,4,0)&amp;VLOOKUP($H4,'①カード一覧(入力用)'!$A:$C,3,0)&amp;VLOOKUP($H4,'①カード一覧(入力用)'!$A:$J,10,0)))</f>
        <v>#N/A</v>
      </c>
      <c r="O4" s="106" t="e">
        <f>IF(G4="","",VALUE((1500-VLOOKUP($H4,'①カード一覧(入力用)'!$A:$Q,17,0))&amp;VLOOKUP($H4,'①カード一覧(入力用)'!$A:$B,2,0)&amp;VLOOKUP($H4,'①カード一覧(入力用)'!$A:$D,4,0)&amp;VLOOKUP($H4,'①カード一覧(入力用)'!$A:$C,3,0)&amp;VLOOKUP($H4,'①カード一覧(入力用)'!$A:$J,10,0)))</f>
        <v>#N/A</v>
      </c>
      <c r="P4" s="106" t="e">
        <f>IF(G4="","",VALUE((200-VLOOKUP($H4,'①カード一覧(入力用)'!$A:$R,18,0))&amp;VLOOKUP($H4,'①カード一覧(入力用)'!$A:$B,2,0)&amp;VLOOKUP($H4,'①カード一覧(入力用)'!$A:$D,4,0)&amp;VLOOKUP($H4,'①カード一覧(入力用)'!$A:$C,3,0)&amp;VLOOKUP($H4,'①カード一覧(入力用)'!$A:$J,10,0)))</f>
        <v>#N/A</v>
      </c>
      <c r="Q4" s="106" t="e">
        <f>IF(G4="","",VALUE(VLOOKUP($H4,'①カード一覧(入力用)'!$A:$G,7,0)&amp;VLOOKUP($H4,'①カード一覧(入力用)'!$A:$C,3,0)&amp;VLOOKUP($H4,'①カード一覧(入力用)'!$A:$B,2,0)&amp;VLOOKUP($H4,'①カード一覧(入力用)'!$A:$D,4,0)&amp;VLOOKUP($H4,'①カード一覧(入力用)'!$A:$J,10,0)))</f>
        <v>#N/A</v>
      </c>
      <c r="R4" s="106" t="e">
        <f>IF(G4="","",VALUE(VLOOKUP($H4,'①カード一覧(入力用)'!$A:$H,8,0)&amp;VLOOKUP($H4,'①カード一覧(入力用)'!$A:$AR,44,0)&amp;VLOOKUP($H4,'①カード一覧(入力用)'!$A:$B,2,0)&amp;VLOOKUP($H4,'①カード一覧(入力用)'!$A:$D,4,0)&amp;VLOOKUP($H4,'①カード一覧(入力用)'!$A:$J,10,0)))</f>
        <v>#N/A</v>
      </c>
      <c r="S4" s="106">
        <f>IF(G4="","",RANK(INDEX($I$4:$R$43,E4*2-1,$L$1),INDEX($I$4:$R$43,$E$4,$L$1):INDEX($I$4:$R$43,$Q$1,$L$1),1))</f>
        <v>1</v>
      </c>
      <c r="T4" s="106">
        <f>IF(H4="","",VLOOKUP($H4,'①カード一覧(入力用)'!$A:$A,1,0))</f>
        <v>122</v>
      </c>
      <c r="U4" s="106">
        <f>IF($AD4="","",IF($AA$2="タイプ・コスト","『改行』"&amp;VLOOKUP($AD4,'①カード一覧(入力用)'!$I:$AB,5,0)&amp;VLOOKUP($AD4,'①カード一覧(入力用)'!$I:$AB,6,0)&amp;"『改行』",IF($AA$2&lt;&gt;"No","『改行』"&amp;VLOOKUP($AD4,'①カード一覧(入力用)'!$I:$AB,VLOOKUP($AA$2,$A$34:$B$42,2,0),0)&amp;"『改行』","")))</f>
      </c>
      <c r="V4" s="114">
        <f>IF($U4=$U2,"",$U4)</f>
      </c>
      <c r="W4" s="106">
        <f>IF(ISERROR(MATCH(VALUE(MID(V4,5,3)),$A$45:$A$58,0)),"",V4)</f>
      </c>
      <c r="X4" s="48"/>
      <c r="Y4" s="14"/>
      <c r="Z4" s="123"/>
      <c r="AB4" s="19">
        <v>1</v>
      </c>
      <c r="AC4" s="10">
        <v>1</v>
      </c>
      <c r="AD4" s="88">
        <f>IF(H4="","",VLOOKUP(AB4,$S$4:$T$43,2,0))</f>
        <v>122</v>
      </c>
      <c r="AE4" s="106">
        <f>IF(OR($AA$2="HP",$AA$2="攻",$AA$2="防",$AA$2="速"),W4,V4)</f>
      </c>
      <c r="AF4" s="20" t="str">
        <f>IF($AD4="","","|[["&amp;VLOOKUP($AD4,'①カード一覧(入力用)'!$I:$AB,2,0)&amp;"_"&amp;VLOOKUP($AD4,'①カード一覧(入力用)'!$I:$AB,4,0)&amp;"]]|")</f>
        <v>|[[0122_桃華仙ミヤビ]]|</v>
      </c>
      <c r="AG4" s="115" t="str">
        <f>IF($AD4="","",IF($AA$2="レアリティ","","CENTER:"&amp;VLOOKUP($AD4,'①カード一覧(入力用)'!$I:$AB,3,0)&amp;"|"))</f>
        <v>CENTER:CP|</v>
      </c>
      <c r="AH4" s="115" t="str">
        <f>IF($AD4="","",IF($AA$2="勢力・陣形","","CENTER:"&amp;VLOOKUP($AD4,'①カード一覧(入力用)'!$I:$AB,18,0)&amp;"|"))</f>
        <v>CENTER:聖龍|</v>
      </c>
      <c r="AI4" s="115" t="str">
        <f>IF($AD4="","",IF($AA$2="タイプ・コスト","",VLOOKUP($AD4,'①カード一覧(入力用)'!$I:$AB,5,0)&amp;"|"))</f>
        <v>|</v>
      </c>
      <c r="AJ4" s="115" t="str">
        <f>IF($AD4="","",IF($AA$2="タイプ・コスト","","CENTER:"&amp;VLOOKUP($AD4,'①カード一覧(入力用)'!$I:$AB,6,0)&amp;"|"))</f>
        <v>CENTER:|</v>
      </c>
      <c r="AK4" s="116" t="str">
        <f>IF($AD4="","",VLOOKUP($AD4,'①カード一覧(入力用)'!$I:$AB,7,0)&amp;"|")</f>
        <v>|</v>
      </c>
      <c r="AL4" s="116" t="str">
        <f>IF($AD4="","",VLOOKUP($AD4,'①カード一覧(入力用)'!$I:$AB,8,0)&amp;"|")</f>
        <v>|</v>
      </c>
      <c r="AM4" s="116" t="str">
        <f>IF($AD4="","",VLOOKUP($AD4,'①カード一覧(入力用)'!$I:$AB,9,0)&amp;"|")</f>
        <v>|</v>
      </c>
      <c r="AN4" s="116" t="str">
        <f>IF($AD4="","",VLOOKUP($AD4,'①カード一覧(入力用)'!$I:$AB,10,0)&amp;"|")</f>
        <v>|</v>
      </c>
      <c r="AO4" s="117" t="str">
        <f>IF($AD4="","",IF($AA$2="基本技",VLOOKUP($AD4,'①カード一覧(入力用)'!$I:$AB,12,0)&amp;"|",IF($AA$2="必殺技",VLOOKUP($AD4,'①カード一覧(入力用)'!$I:$AB,15,0)&amp;"|",VLOOKUP($AD4,'①カード一覧(入力用)'!$I:$AB,11,0)&amp;"|")))</f>
        <v>正面の敵を攻撃|</v>
      </c>
    </row>
    <row r="5" spans="1:41" ht="12.75" thickBot="1">
      <c r="A5" s="20" t="s">
        <v>807</v>
      </c>
      <c r="B5" s="106">
        <v>1</v>
      </c>
      <c r="C5" s="106" t="s">
        <v>813</v>
      </c>
      <c r="E5" s="105">
        <v>1</v>
      </c>
      <c r="F5" s="106">
        <v>2</v>
      </c>
      <c r="G5" s="106"/>
      <c r="H5" s="106">
        <f>$H4</f>
        <v>122</v>
      </c>
      <c r="I5" s="114">
        <f>IF(G5="","",VLOOKUP($H5,'①カード一覧(入力用)'!$A:$A,1,0))</f>
      </c>
      <c r="J5" s="106">
        <f>IF(G5="","",VALUE(VLOOKUP($H5,'①カード一覧(入力用)'!$A:$F,6,0)&amp;VLOOKUP($H5,'①カード一覧(入力用)'!$A:$B,2,0)&amp;VLOOKUP($H5,'①カード一覧(入力用)'!$A:$D,4,0)&amp;VLOOKUP($H5,'①カード一覧(入力用)'!$A:$C,3,0)&amp;VLOOKUP($H5,'①カード一覧(入力用)'!$A:$J,10,0)))</f>
      </c>
      <c r="K5" s="106">
        <f>IF(G5="","",VALUE(VLOOKUP($H5,'①カード一覧(入力用)'!$A:$E,5,0)&amp;VLOOKUP($H5,'①カード一覧(入力用)'!$A:$D,4,0)&amp;VLOOKUP($H5,'①カード一覧(入力用)'!$A:$C,3,0)&amp;VLOOKUP($H5,'①カード一覧(入力用)'!$A:$J,10,0)))</f>
      </c>
      <c r="L5" s="106">
        <f>IF(G5="","",VALUE(VLOOKUP($H5,'①カード一覧(入力用)'!$A:$D,4,0)&amp;VLOOKUP($H5,'①カード一覧(入力用)'!$A:$C,3,0)&amp;VLOOKUP($H5,'①カード一覧(入力用)'!$A:$B,2,0)&amp;VLOOKUP($H5,'①カード一覧(入力用)'!$A:$J,10,0)))</f>
      </c>
      <c r="M5" s="106">
        <f>IF(G5="","",VALUE((1500-VLOOKUP($H5,'①カード一覧(入力用)'!$A:$O,15,0))&amp;VLOOKUP($H5,'①カード一覧(入力用)'!$A:$B,2,0)&amp;VLOOKUP($H5,'①カード一覧(入力用)'!$A:$D,4,0)&amp;VLOOKUP($H5,'①カード一覧(入力用)'!$A:$C,3,0)&amp;VLOOKUP($H5,'①カード一覧(入力用)'!$A:$J,10,0)))</f>
      </c>
      <c r="N5" s="106">
        <f>IF(G5="","",VALUE((1500-VLOOKUP($H5,'①カード一覧(入力用)'!$A:$P,16,0))&amp;VLOOKUP($H5,'①カード一覧(入力用)'!$A:$B,2,0)&amp;VLOOKUP($H5,'①カード一覧(入力用)'!$A:$D,4,0)&amp;VLOOKUP($H5,'①カード一覧(入力用)'!$A:$C,3,0)&amp;VLOOKUP($H5,'①カード一覧(入力用)'!$A:$J,10,0)))</f>
      </c>
      <c r="O5" s="106">
        <f>IF(G5="","",VALUE((1500-VLOOKUP($H5,'①カード一覧(入力用)'!$A:$Q,17,0))&amp;VLOOKUP($H5,'①カード一覧(入力用)'!$A:$B,2,0)&amp;VLOOKUP($H5,'①カード一覧(入力用)'!$A:$D,4,0)&amp;VLOOKUP($H5,'①カード一覧(入力用)'!$A:$C,3,0)&amp;VLOOKUP($H5,'①カード一覧(入力用)'!$A:$J,10,0)))</f>
      </c>
      <c r="P5" s="106">
        <f>IF(G5="","",VALUE((200-VLOOKUP($H5,'①カード一覧(入力用)'!$A:$R,18,0))&amp;VLOOKUP($H5,'①カード一覧(入力用)'!$A:$B,2,0)&amp;VLOOKUP($H5,'①カード一覧(入力用)'!$A:$D,4,0)&amp;VLOOKUP($H5,'①カード一覧(入力用)'!$A:$C,3,0)&amp;VLOOKUP($H5,'①カード一覧(入力用)'!$A:$J,10,0)))</f>
      </c>
      <c r="Q5" s="106">
        <f>IF(G5="","",VALUE(VLOOKUP($H5,'①カード一覧(入力用)'!$A:$G,7,0)&amp;VLOOKUP($H5,'①カード一覧(入力用)'!$A:$C,3,0)&amp;VLOOKUP($H5,'①カード一覧(入力用)'!$A:$B,2,0)&amp;VLOOKUP($H5,'①カード一覧(入力用)'!$A:$D,4,0)&amp;VLOOKUP($H5,'①カード一覧(入力用)'!$A:$J,10,0)))</f>
      </c>
      <c r="R5" s="106">
        <f>IF(G5="","",VALUE(VLOOKUP($H5,'①カード一覧(入力用)'!$A:$H,8,0)&amp;VLOOKUP($H5,'①カード一覧(入力用)'!$A:$AR,44,0)&amp;VLOOKUP($H5,'①カード一覧(入力用)'!$A:$B,2,0)&amp;VLOOKUP($H5,'①カード一覧(入力用)'!$A:$D,4,0)&amp;VLOOKUP($H5,'①カード一覧(入力用)'!$A:$J,10,0)))</f>
      </c>
      <c r="S5" s="106">
        <f>IF(G5="","",RANK(INDEX($I$4:$R$43,E5*2-1,$L$1),INDEX($I$4:$R$43,$E$4,$L$1):INDEX($I$4:$R$43,$Q$1,$L$1),1))</f>
      </c>
      <c r="T5" s="106">
        <f>IF(H5="","",VLOOKUP($H5,'①カード一覧(入力用)'!$A:$A,1,0))</f>
        <v>122</v>
      </c>
      <c r="U5" s="106"/>
      <c r="V5" s="106"/>
      <c r="W5" s="106"/>
      <c r="X5" s="48"/>
      <c r="Y5" s="95" t="s">
        <v>1478</v>
      </c>
      <c r="Z5" s="123"/>
      <c r="AB5" s="19">
        <v>1</v>
      </c>
      <c r="AC5" s="10">
        <v>2</v>
      </c>
      <c r="AD5" s="88">
        <f>AD4</f>
        <v>122</v>
      </c>
      <c r="AE5" s="106"/>
      <c r="AF5" s="20" t="str">
        <f>IF($AD5="","",IF($AA$2="基本技","","|~|"))</f>
        <v>|~|</v>
      </c>
      <c r="AG5" s="118" t="str">
        <f>IF($AD5="","",IF(OR($AA$2="レアリティ",$AA$2="基本技"),"","~"&amp;"|"))</f>
        <v>~|</v>
      </c>
      <c r="AH5" s="118" t="str">
        <f>IF($AD5="","",IF(OR($AA$2="勢力・陣形",$AA$2="基本技"),"","~"&amp;"|"))</f>
        <v>~|</v>
      </c>
      <c r="AI5" s="118" t="str">
        <f>IF($AD5="","",IF(OR($AA$2="タイプ・コスト",$AA$2="基本技"),"","~"&amp;"|"))</f>
        <v>~|</v>
      </c>
      <c r="AJ5" s="118" t="str">
        <f>IF($AD5="","",IF(OR($AA$2="タイプ・コスト",$AA$2="基本技"),"","~"&amp;"|"))</f>
        <v>~|</v>
      </c>
      <c r="AK5" s="106" t="str">
        <f>IF($AD5="","",IF($AA$2="基本技","","~"&amp;"|"))</f>
        <v>~|</v>
      </c>
      <c r="AL5" s="106" t="str">
        <f>IF($AD5="","",IF($AA$2="基本技","","~"&amp;"|"))</f>
        <v>~|</v>
      </c>
      <c r="AM5" s="106" t="str">
        <f aca="true" t="shared" si="0" ref="AM5:AN19">IF($AD5="","",IF($AA$2="基本技","","~"&amp;"|"))</f>
        <v>~|</v>
      </c>
      <c r="AN5" s="106" t="str">
        <f t="shared" si="0"/>
        <v>~|</v>
      </c>
      <c r="AO5" s="20" t="str">
        <f>IF($AD5="","",IF($AA$2="基本技","",IF($AA$2="必殺技",VLOOKUP($AD5,'①カード一覧(入力用)'!$I:$AB,14,0)&amp;"|",VLOOKUP($AD5,'①カード一覧(入力用)'!$I:$AB,13,0)&amp;"|")))</f>
        <v>瀕死時に直接攻撃に対して反撃|</v>
      </c>
    </row>
    <row r="6" spans="1:41" ht="12" customHeight="1" thickBot="1">
      <c r="A6" s="20" t="s">
        <v>810</v>
      </c>
      <c r="B6" s="106">
        <v>2</v>
      </c>
      <c r="C6" s="106" t="s">
        <v>738</v>
      </c>
      <c r="E6" s="105">
        <v>2</v>
      </c>
      <c r="F6" s="106">
        <v>1</v>
      </c>
      <c r="G6" s="106">
        <f>IF(G4="","",IF(G4+1&gt;$Y$6,"",G4+1))</f>
        <v>124</v>
      </c>
      <c r="H6" s="106">
        <f>IF(G6="","",INDEX('①カード一覧(入力用)'!A:A,$G6,1))</f>
        <v>123</v>
      </c>
      <c r="I6" s="114">
        <f>IF(G6="","",VLOOKUP($H6,'①カード一覧(入力用)'!$A:$A,1,0))</f>
        <v>123</v>
      </c>
      <c r="J6" s="106" t="e">
        <f>IF(G6="","",VALUE(VLOOKUP($H6,'①カード一覧(入力用)'!$A:$F,6,0)&amp;VLOOKUP($H6,'①カード一覧(入力用)'!$A:$B,2,0)&amp;VLOOKUP($H6,'①カード一覧(入力用)'!$A:$D,4,0)&amp;VLOOKUP($H6,'①カード一覧(入力用)'!$A:$C,3,0)&amp;VLOOKUP($H6,'①カード一覧(入力用)'!$A:$J,10,0)))</f>
        <v>#N/A</v>
      </c>
      <c r="K6" s="106" t="e">
        <f>IF(G6="","",VALUE(VLOOKUP($H6,'①カード一覧(入力用)'!$A:$E,5,0)&amp;VLOOKUP($H6,'①カード一覧(入力用)'!$A:$D,4,0)&amp;VLOOKUP($H6,'①カード一覧(入力用)'!$A:$C,3,0)&amp;VLOOKUP($H6,'①カード一覧(入力用)'!$A:$J,10,0)))</f>
        <v>#N/A</v>
      </c>
      <c r="L6" s="106" t="e">
        <f>IF(G6="","",VALUE(VLOOKUP($H6,'①カード一覧(入力用)'!$A:$D,4,0)&amp;VLOOKUP($H6,'①カード一覧(入力用)'!$A:$C,3,0)&amp;VLOOKUP($H6,'①カード一覧(入力用)'!$A:$B,2,0)&amp;VLOOKUP($H6,'①カード一覧(入力用)'!$A:$J,10,0)))</f>
        <v>#N/A</v>
      </c>
      <c r="M6" s="106" t="e">
        <f>IF(G6="","",VALUE((1500-VLOOKUP($H6,'①カード一覧(入力用)'!$A:$O,15,0))&amp;VLOOKUP($H6,'①カード一覧(入力用)'!$A:$B,2,0)&amp;VLOOKUP($H6,'①カード一覧(入力用)'!$A:$D,4,0)&amp;VLOOKUP($H6,'①カード一覧(入力用)'!$A:$C,3,0)&amp;VLOOKUP($H6,'①カード一覧(入力用)'!$A:$J,10,0)))</f>
        <v>#N/A</v>
      </c>
      <c r="N6" s="106" t="e">
        <f>IF(G6="","",VALUE((1500-VLOOKUP($H6,'①カード一覧(入力用)'!$A:$P,16,0))&amp;VLOOKUP($H6,'①カード一覧(入力用)'!$A:$B,2,0)&amp;VLOOKUP($H6,'①カード一覧(入力用)'!$A:$D,4,0)&amp;VLOOKUP($H6,'①カード一覧(入力用)'!$A:$C,3,0)&amp;VLOOKUP($H6,'①カード一覧(入力用)'!$A:$J,10,0)))</f>
        <v>#N/A</v>
      </c>
      <c r="O6" s="106" t="e">
        <f>IF(G6="","",VALUE((1500-VLOOKUP($H6,'①カード一覧(入力用)'!$A:$Q,17,0))&amp;VLOOKUP($H6,'①カード一覧(入力用)'!$A:$B,2,0)&amp;VLOOKUP($H6,'①カード一覧(入力用)'!$A:$D,4,0)&amp;VLOOKUP($H6,'①カード一覧(入力用)'!$A:$C,3,0)&amp;VLOOKUP($H6,'①カード一覧(入力用)'!$A:$J,10,0)))</f>
        <v>#N/A</v>
      </c>
      <c r="P6" s="106" t="e">
        <f>IF(G6="","",VALUE((200-VLOOKUP($H6,'①カード一覧(入力用)'!$A:$R,18,0))&amp;VLOOKUP($H6,'①カード一覧(入力用)'!$A:$B,2,0)&amp;VLOOKUP($H6,'①カード一覧(入力用)'!$A:$D,4,0)&amp;VLOOKUP($H6,'①カード一覧(入力用)'!$A:$C,3,0)&amp;VLOOKUP($H6,'①カード一覧(入力用)'!$A:$J,10,0)))</f>
        <v>#N/A</v>
      </c>
      <c r="Q6" s="106" t="e">
        <f>IF(G6="","",VALUE(VLOOKUP($H6,'①カード一覧(入力用)'!$A:$G,7,0)&amp;VLOOKUP($H6,'①カード一覧(入力用)'!$A:$C,3,0)&amp;VLOOKUP($H6,'①カード一覧(入力用)'!$A:$B,2,0)&amp;VLOOKUP($H6,'①カード一覧(入力用)'!$A:$D,4,0)&amp;VLOOKUP($H6,'①カード一覧(入力用)'!$A:$J,10,0)))</f>
        <v>#N/A</v>
      </c>
      <c r="R6" s="106" t="e">
        <f>IF(G6="","",VALUE(VLOOKUP($H6,'①カード一覧(入力用)'!$A:$H,8,0)&amp;VLOOKUP($H6,'①カード一覧(入力用)'!$A:$AR,44,0)&amp;VLOOKUP($H6,'①カード一覧(入力用)'!$A:$B,2,0)&amp;VLOOKUP($H6,'①カード一覧(入力用)'!$A:$D,4,0)&amp;VLOOKUP($H6,'①カード一覧(入力用)'!$A:$J,10,0)))</f>
        <v>#N/A</v>
      </c>
      <c r="S6" s="106">
        <f>IF(G6="","",RANK(INDEX($I$4:$R$43,E6*2-1,$L$1),INDEX($I$4:$R$43,$E$4,$L$1):INDEX($I$4:$R$43,$Q$1,$L$1),1))</f>
        <v>2</v>
      </c>
      <c r="T6" s="106">
        <f>IF(H6="","",VLOOKUP($H6,'①カード一覧(入力用)'!$A:$A,1,0))</f>
        <v>123</v>
      </c>
      <c r="U6" s="106">
        <f>IF($AD6="","",IF($AA$2="タイプ・コスト","『改行』"&amp;VLOOKUP($AD6,'①カード一覧(入力用)'!$I:$AB,5,0)&amp;VLOOKUP($AD6,'①カード一覧(入力用)'!$I:$AB,6,0)&amp;"『改行』",IF($AA$2&lt;&gt;"No","『改行』"&amp;VLOOKUP($AD6,'①カード一覧(入力用)'!$I:$AB,VLOOKUP($AA$2,$A$34:$B$42,2,0),0)&amp;"『改行』","")))</f>
      </c>
      <c r="V6" s="106">
        <f>IF($U6=$U4,"",$U6)</f>
      </c>
      <c r="W6" s="106">
        <f>IF(ISERROR(MATCH(VALUE(MID(V6,5,3)),$A$45:$A$58,0)),"",V6)</f>
      </c>
      <c r="X6" s="48"/>
      <c r="Y6" s="38">
        <v>132</v>
      </c>
      <c r="Z6" s="123" t="s">
        <v>1361</v>
      </c>
      <c r="AB6" s="19">
        <v>2</v>
      </c>
      <c r="AC6" s="10">
        <v>1</v>
      </c>
      <c r="AD6" s="88">
        <f>IF(H6="","",VLOOKUP(AB6,$S$4:$T$43,2,0))</f>
        <v>123</v>
      </c>
      <c r="AE6" s="106">
        <f>IF(OR($AA$2="HP",$AA$2="攻",$AA$2="防",$AA$2="速"),W6,V6)</f>
      </c>
      <c r="AF6" s="20" t="str">
        <f>IF($AD6="","","|[["&amp;VLOOKUP($AD6,'①カード一覧(入力用)'!$I:$AB,2,0)&amp;"_"&amp;VLOOKUP($AD6,'①カード一覧(入力用)'!$I:$AB,4,0)&amp;"]]|")</f>
        <v>|[[0123_皇帝テラス]]|</v>
      </c>
      <c r="AG6" s="115" t="str">
        <f>IF($AD6="","",IF($AA$2="レアリティ","","CENTER:"&amp;VLOOKUP($AD6,'①カード一覧(入力用)'!$I:$AB,3,0)&amp;"|"))</f>
        <v>CENTER:CP|</v>
      </c>
      <c r="AH6" s="115" t="str">
        <f>IF($AD6="","",IF($AA$2="勢力・陣形","","CENTER:"&amp;VLOOKUP($AD6,'①カード一覧(入力用)'!$I:$AB,18,0)&amp;"|"))</f>
        <v>CENTER:中央都市|</v>
      </c>
      <c r="AI6" s="115" t="str">
        <f>IF($AD6="","",IF($AA$2="タイプ・コスト","",VLOOKUP($AD6,'①カード一覧(入力用)'!$I:$AB,5,0)&amp;"|"))</f>
        <v>|</v>
      </c>
      <c r="AJ6" s="115" t="str">
        <f>IF($AD6="","",IF($AA$2="タイプ・コスト","","CENTER:"&amp;VLOOKUP($AD6,'①カード一覧(入力用)'!$I:$AB,6,0)&amp;"|"))</f>
        <v>CENTER:|</v>
      </c>
      <c r="AK6" s="116" t="str">
        <f>IF($AD6="","",VLOOKUP($AD6,'①カード一覧(入力用)'!$I:$AB,7,0)&amp;"|")</f>
        <v>|</v>
      </c>
      <c r="AL6" s="116" t="str">
        <f>IF($AD6="","",VLOOKUP($AD6,'①カード一覧(入力用)'!$I:$AB,8,0)&amp;"|")</f>
        <v>|</v>
      </c>
      <c r="AM6" s="116" t="str">
        <f>IF($AD6="","",VLOOKUP($AD6,'①カード一覧(入力用)'!$I:$AB,9,0)&amp;"|")</f>
        <v>|</v>
      </c>
      <c r="AN6" s="116" t="str">
        <f>IF($AD6="","",VLOOKUP($AD6,'①カード一覧(入力用)'!$I:$AB,10,0)&amp;"|")</f>
        <v>|</v>
      </c>
      <c r="AO6" s="117" t="str">
        <f>IF($AD6="","",IF($AA$2="基本技",VLOOKUP($AD6,'①カード一覧(入力用)'!$I:$AB,12,0)&amp;"|",IF($AA$2="必殺技",VLOOKUP($AD6,'①カード一覧(入力用)'!$I:$AB,15,0)&amp;"|",VLOOKUP($AD6,'①カード一覧(入力用)'!$I:$AB,11,0)&amp;"|")))</f>
        <v>ランダムに味方の被ダメージをダウン|</v>
      </c>
    </row>
    <row r="7" spans="1:41" ht="12" customHeight="1">
      <c r="A7" s="20" t="s">
        <v>808</v>
      </c>
      <c r="B7" s="106">
        <v>3</v>
      </c>
      <c r="C7" s="106" t="s">
        <v>731</v>
      </c>
      <c r="E7" s="105">
        <v>2</v>
      </c>
      <c r="F7" s="106">
        <v>2</v>
      </c>
      <c r="G7" s="106"/>
      <c r="H7" s="106">
        <f>H6</f>
        <v>123</v>
      </c>
      <c r="I7" s="114">
        <f>IF(G7="","",VLOOKUP($H7,'①カード一覧(入力用)'!$A:$A,1,0))</f>
      </c>
      <c r="J7" s="106">
        <f>IF(G7="","",VALUE(VLOOKUP($H7,'①カード一覧(入力用)'!$A:$F,6,0)&amp;VLOOKUP($H7,'①カード一覧(入力用)'!$A:$B,2,0)&amp;VLOOKUP($H7,'①カード一覧(入力用)'!$A:$D,4,0)&amp;VLOOKUP($H7,'①カード一覧(入力用)'!$A:$C,3,0)&amp;VLOOKUP($H7,'①カード一覧(入力用)'!$A:$J,10,0)))</f>
      </c>
      <c r="K7" s="106">
        <f>IF(G7="","",VALUE(VLOOKUP($H7,'①カード一覧(入力用)'!$A:$E,5,0)&amp;VLOOKUP($H7,'①カード一覧(入力用)'!$A:$D,4,0)&amp;VLOOKUP($H7,'①カード一覧(入力用)'!$A:$C,3,0)&amp;VLOOKUP($H7,'①カード一覧(入力用)'!$A:$J,10,0)))</f>
      </c>
      <c r="L7" s="106">
        <f>IF(G7="","",VALUE(VLOOKUP($H7,'①カード一覧(入力用)'!$A:$D,4,0)&amp;VLOOKUP($H7,'①カード一覧(入力用)'!$A:$C,3,0)&amp;VLOOKUP($H7,'①カード一覧(入力用)'!$A:$B,2,0)&amp;VLOOKUP($H7,'①カード一覧(入力用)'!$A:$J,10,0)))</f>
      </c>
      <c r="M7" s="106">
        <f>IF(G7="","",VALUE((1500-VLOOKUP($H7,'①カード一覧(入力用)'!$A:$O,15,0))&amp;VLOOKUP($H7,'①カード一覧(入力用)'!$A:$B,2,0)&amp;VLOOKUP($H7,'①カード一覧(入力用)'!$A:$D,4,0)&amp;VLOOKUP($H7,'①カード一覧(入力用)'!$A:$C,3,0)&amp;VLOOKUP($H7,'①カード一覧(入力用)'!$A:$J,10,0)))</f>
      </c>
      <c r="N7" s="106">
        <f>IF(G7="","",VALUE((1500-VLOOKUP($H7,'①カード一覧(入力用)'!$A:$P,16,0))&amp;VLOOKUP($H7,'①カード一覧(入力用)'!$A:$B,2,0)&amp;VLOOKUP($H7,'①カード一覧(入力用)'!$A:$D,4,0)&amp;VLOOKUP($H7,'①カード一覧(入力用)'!$A:$C,3,0)&amp;VLOOKUP($H7,'①カード一覧(入力用)'!$A:$J,10,0)))</f>
      </c>
      <c r="O7" s="106">
        <f>IF(G7="","",VALUE((1500-VLOOKUP($H7,'①カード一覧(入力用)'!$A:$Q,17,0))&amp;VLOOKUP($H7,'①カード一覧(入力用)'!$A:$B,2,0)&amp;VLOOKUP($H7,'①カード一覧(入力用)'!$A:$D,4,0)&amp;VLOOKUP($H7,'①カード一覧(入力用)'!$A:$C,3,0)&amp;VLOOKUP($H7,'①カード一覧(入力用)'!$A:$J,10,0)))</f>
      </c>
      <c r="P7" s="106">
        <f>IF(G7="","",VALUE((200-VLOOKUP($H7,'①カード一覧(入力用)'!$A:$R,18,0))&amp;VLOOKUP($H7,'①カード一覧(入力用)'!$A:$B,2,0)&amp;VLOOKUP($H7,'①カード一覧(入力用)'!$A:$D,4,0)&amp;VLOOKUP($H7,'①カード一覧(入力用)'!$A:$C,3,0)&amp;VLOOKUP($H7,'①カード一覧(入力用)'!$A:$J,10,0)))</f>
      </c>
      <c r="Q7" s="106">
        <f>IF(G7="","",VALUE(VLOOKUP($H7,'①カード一覧(入力用)'!$A:$G,7,0)&amp;VLOOKUP($H7,'①カード一覧(入力用)'!$A:$C,3,0)&amp;VLOOKUP($H7,'①カード一覧(入力用)'!$A:$B,2,0)&amp;VLOOKUP($H7,'①カード一覧(入力用)'!$A:$D,4,0)&amp;VLOOKUP($H7,'①カード一覧(入力用)'!$A:$J,10,0)))</f>
      </c>
      <c r="R7" s="106">
        <f>IF(G7="","",VALUE(VLOOKUP($H7,'①カード一覧(入力用)'!$A:$H,8,0)&amp;VLOOKUP($H7,'①カード一覧(入力用)'!$A:$AR,44,0)&amp;VLOOKUP($H7,'①カード一覧(入力用)'!$A:$B,2,0)&amp;VLOOKUP($H7,'①カード一覧(入力用)'!$A:$D,4,0)&amp;VLOOKUP($H7,'①カード一覧(入力用)'!$A:$J,10,0)))</f>
      </c>
      <c r="S7" s="106">
        <f>IF(G7="","",RANK(INDEX($I$4:$R$43,E7*2-1,$L$1),INDEX($I$4:$R$43,$E$4,$L$1):INDEX($I$4:$R$43,$Q$1,$L$1),1))</f>
      </c>
      <c r="T7" s="106">
        <f>IF(H7="","",VLOOKUP($H7,'①カード一覧(入力用)'!$A:$A,1,0))</f>
        <v>123</v>
      </c>
      <c r="U7" s="106"/>
      <c r="V7" s="106"/>
      <c r="W7" s="106"/>
      <c r="X7" s="48" t="s">
        <v>1954</v>
      </c>
      <c r="Y7" s="87">
        <f>IF(Y6="","抽出終了No",MAX($H$4:$H$43))</f>
        <v>131</v>
      </c>
      <c r="Z7" s="9"/>
      <c r="AB7" s="19">
        <v>2</v>
      </c>
      <c r="AC7" s="10">
        <v>2</v>
      </c>
      <c r="AD7" s="88">
        <f>AD6</f>
        <v>123</v>
      </c>
      <c r="AE7" s="106"/>
      <c r="AF7" s="20" t="str">
        <f>IF($AD7="","",IF($AA$2="基本技","","|~|"))</f>
        <v>|~|</v>
      </c>
      <c r="AG7" s="118" t="str">
        <f>IF($AD7="","",IF(OR($AA$2="レアリティ",$AA$2="基本技"),"","~"&amp;"|"))</f>
        <v>~|</v>
      </c>
      <c r="AH7" s="118" t="str">
        <f>IF($AD7="","",IF(OR($AA$2="勢力・陣形",$AA$2="基本技"),"","~"&amp;"|"))</f>
        <v>~|</v>
      </c>
      <c r="AI7" s="118" t="str">
        <f>IF($AD7="","",IF(OR($AA$2="タイプ・コスト",$AA$2="基本技"),"","~"&amp;"|"))</f>
        <v>~|</v>
      </c>
      <c r="AJ7" s="118" t="str">
        <f>IF($AD7="","",IF(OR($AA$2="タイプ・コスト",$AA$2="基本技"),"","~"&amp;"|"))</f>
        <v>~|</v>
      </c>
      <c r="AK7" s="106" t="str">
        <f>IF($AD7="","",IF($AA$2="基本技","","~"&amp;"|"))</f>
        <v>~|</v>
      </c>
      <c r="AL7" s="106" t="str">
        <f>IF($AD7="","",IF($AA$2="基本技","","~"&amp;"|"))</f>
        <v>~|</v>
      </c>
      <c r="AM7" s="106" t="str">
        <f t="shared" si="0"/>
        <v>~|</v>
      </c>
      <c r="AN7" s="106" t="str">
        <f t="shared" si="0"/>
        <v>~|</v>
      </c>
      <c r="AO7" s="20" t="str">
        <f>IF($AD7="","",IF($AA$2="基本技","",IF($AA$2="必殺技",VLOOKUP($AD7,'①カード一覧(入力用)'!$I:$AB,14,0)&amp;"|",VLOOKUP($AD7,'①カード一覧(入力用)'!$I:$AB,13,0)&amp;"|")))</f>
        <v>味方全体の被ダメージをダウン|</v>
      </c>
    </row>
    <row r="8" spans="1:41" ht="12">
      <c r="A8" s="20" t="s">
        <v>1161</v>
      </c>
      <c r="B8" s="106">
        <v>4</v>
      </c>
      <c r="C8" s="106" t="s">
        <v>732</v>
      </c>
      <c r="E8" s="105">
        <v>3</v>
      </c>
      <c r="F8" s="106">
        <v>1</v>
      </c>
      <c r="G8" s="106">
        <f>IF(G6="","",IF(G6+1&gt;$Y$6,"",G6+1))</f>
        <v>125</v>
      </c>
      <c r="H8" s="106">
        <f>IF(G8="","",INDEX('①カード一覧(入力用)'!A:A,$G8,1))</f>
        <v>124</v>
      </c>
      <c r="I8" s="114">
        <f>IF(G8="","",VLOOKUP($H8,'①カード一覧(入力用)'!$A:$A,1,0))</f>
        <v>124</v>
      </c>
      <c r="J8" s="106" t="e">
        <f>IF(G8="","",VALUE(VLOOKUP($H8,'①カード一覧(入力用)'!$A:$F,6,0)&amp;VLOOKUP($H8,'①カード一覧(入力用)'!$A:$B,2,0)&amp;VLOOKUP($H8,'①カード一覧(入力用)'!$A:$D,4,0)&amp;VLOOKUP($H8,'①カード一覧(入力用)'!$A:$C,3,0)&amp;VLOOKUP($H8,'①カード一覧(入力用)'!$A:$J,10,0)))</f>
        <v>#N/A</v>
      </c>
      <c r="K8" s="106" t="e">
        <f>IF(G8="","",VALUE(VLOOKUP($H8,'①カード一覧(入力用)'!$A:$E,5,0)&amp;VLOOKUP($H8,'①カード一覧(入力用)'!$A:$D,4,0)&amp;VLOOKUP($H8,'①カード一覧(入力用)'!$A:$C,3,0)&amp;VLOOKUP($H8,'①カード一覧(入力用)'!$A:$J,10,0)))</f>
        <v>#N/A</v>
      </c>
      <c r="L8" s="106" t="e">
        <f>IF(G8="","",VALUE(VLOOKUP($H8,'①カード一覧(入力用)'!$A:$D,4,0)&amp;VLOOKUP($H8,'①カード一覧(入力用)'!$A:$C,3,0)&amp;VLOOKUP($H8,'①カード一覧(入力用)'!$A:$B,2,0)&amp;VLOOKUP($H8,'①カード一覧(入力用)'!$A:$J,10,0)))</f>
        <v>#N/A</v>
      </c>
      <c r="M8" s="106" t="e">
        <f>IF(G8="","",VALUE((1500-VLOOKUP($H8,'①カード一覧(入力用)'!$A:$O,15,0))&amp;VLOOKUP($H8,'①カード一覧(入力用)'!$A:$B,2,0)&amp;VLOOKUP($H8,'①カード一覧(入力用)'!$A:$D,4,0)&amp;VLOOKUP($H8,'①カード一覧(入力用)'!$A:$C,3,0)&amp;VLOOKUP($H8,'①カード一覧(入力用)'!$A:$J,10,0)))</f>
        <v>#N/A</v>
      </c>
      <c r="N8" s="106" t="e">
        <f>IF(G8="","",VALUE((1500-VLOOKUP($H8,'①カード一覧(入力用)'!$A:$P,16,0))&amp;VLOOKUP($H8,'①カード一覧(入力用)'!$A:$B,2,0)&amp;VLOOKUP($H8,'①カード一覧(入力用)'!$A:$D,4,0)&amp;VLOOKUP($H8,'①カード一覧(入力用)'!$A:$C,3,0)&amp;VLOOKUP($H8,'①カード一覧(入力用)'!$A:$J,10,0)))</f>
        <v>#N/A</v>
      </c>
      <c r="O8" s="106" t="e">
        <f>IF(G8="","",VALUE((1500-VLOOKUP($H8,'①カード一覧(入力用)'!$A:$Q,17,0))&amp;VLOOKUP($H8,'①カード一覧(入力用)'!$A:$B,2,0)&amp;VLOOKUP($H8,'①カード一覧(入力用)'!$A:$D,4,0)&amp;VLOOKUP($H8,'①カード一覧(入力用)'!$A:$C,3,0)&amp;VLOOKUP($H8,'①カード一覧(入力用)'!$A:$J,10,0)))</f>
        <v>#N/A</v>
      </c>
      <c r="P8" s="106" t="e">
        <f>IF(G8="","",VALUE((200-VLOOKUP($H8,'①カード一覧(入力用)'!$A:$R,18,0))&amp;VLOOKUP($H8,'①カード一覧(入力用)'!$A:$B,2,0)&amp;VLOOKUP($H8,'①カード一覧(入力用)'!$A:$D,4,0)&amp;VLOOKUP($H8,'①カード一覧(入力用)'!$A:$C,3,0)&amp;VLOOKUP($H8,'①カード一覧(入力用)'!$A:$J,10,0)))</f>
        <v>#N/A</v>
      </c>
      <c r="Q8" s="106" t="e">
        <f>IF(G8="","",VALUE(VLOOKUP($H8,'①カード一覧(入力用)'!$A:$G,7,0)&amp;VLOOKUP($H8,'①カード一覧(入力用)'!$A:$C,3,0)&amp;VLOOKUP($H8,'①カード一覧(入力用)'!$A:$B,2,0)&amp;VLOOKUP($H8,'①カード一覧(入力用)'!$A:$D,4,0)&amp;VLOOKUP($H8,'①カード一覧(入力用)'!$A:$J,10,0)))</f>
        <v>#N/A</v>
      </c>
      <c r="R8" s="106" t="e">
        <f>IF(G8="","",VALUE(VLOOKUP($H8,'①カード一覧(入力用)'!$A:$H,8,0)&amp;VLOOKUP($H8,'①カード一覧(入力用)'!$A:$AR,44,0)&amp;VLOOKUP($H8,'①カード一覧(入力用)'!$A:$B,2,0)&amp;VLOOKUP($H8,'①カード一覧(入力用)'!$A:$D,4,0)&amp;VLOOKUP($H8,'①カード一覧(入力用)'!$A:$J,10,0)))</f>
        <v>#N/A</v>
      </c>
      <c r="S8" s="106">
        <f>IF(G8="","",RANK(INDEX($I$4:$R$43,E8*2-1,$L$1),INDEX($I$4:$R$43,$E$4,$L$1):INDEX($I$4:$R$43,$Q$1,$L$1),1))</f>
        <v>3</v>
      </c>
      <c r="T8" s="106">
        <f>IF(H8="","",VLOOKUP($H8,'①カード一覧(入力用)'!$A:$A,1,0))</f>
        <v>124</v>
      </c>
      <c r="U8" s="106">
        <f>IF($AD8="","",IF($AA$2="タイプ・コスト","『改行』"&amp;VLOOKUP($AD8,'①カード一覧(入力用)'!$I:$AB,5,0)&amp;VLOOKUP($AD8,'①カード一覧(入力用)'!$I:$AB,6,0)&amp;"『改行』",IF($AA$2&lt;&gt;"No","『改行』"&amp;VLOOKUP($AD8,'①カード一覧(入力用)'!$I:$AB,VLOOKUP($AA$2,$A$34:$B$42,2,0),0)&amp;"『改行』","")))</f>
      </c>
      <c r="V8" s="106">
        <f>IF($U8=$U6,"",$U8)</f>
      </c>
      <c r="W8" s="106">
        <f>IF(ISERROR(MATCH(VALUE(MID(V8,5,3)),$A$45:$A$58,0)),"",V8)</f>
      </c>
      <c r="X8" s="12"/>
      <c r="Y8" s="12"/>
      <c r="Z8" s="9"/>
      <c r="AB8" s="19">
        <v>3</v>
      </c>
      <c r="AC8" s="10">
        <v>1</v>
      </c>
      <c r="AD8" s="88">
        <f>IF(H8="","",VLOOKUP(AB8,$S$4:$T$43,2,0))</f>
        <v>124</v>
      </c>
      <c r="AE8" s="106">
        <f>IF(OR($AA$2="HP",$AA$2="攻",$AA$2="防",$AA$2="速"),W8,V8)</f>
      </c>
      <c r="AF8" s="20" t="str">
        <f>IF($AD8="","","|[["&amp;VLOOKUP($AD8,'①カード一覧(入力用)'!$I:$AB,2,0)&amp;"_"&amp;VLOOKUP($AD8,'①カード一覧(入力用)'!$I:$AB,4,0)&amp;"]]|")</f>
        <v>|[[0124_烈火のカリン]]|</v>
      </c>
      <c r="AG8" s="115" t="str">
        <f>IF($AD8="","",IF($AA$2="レアリティ","","CENTER:"&amp;VLOOKUP($AD8,'①カード一覧(入力用)'!$I:$AB,3,0)&amp;"|"))</f>
        <v>CENTER:CP|</v>
      </c>
      <c r="AH8" s="115" t="str">
        <f>IF($AD8="","",IF($AA$2="勢力・陣形","","CENTER:"&amp;VLOOKUP($AD8,'①カード一覧(入力用)'!$I:$AB,18,0)&amp;"|"))</f>
        <v>CENTER:朱雀|</v>
      </c>
      <c r="AI8" s="115" t="str">
        <f>IF($AD8="","",IF($AA$2="タイプ・コスト","",VLOOKUP($AD8,'①カード一覧(入力用)'!$I:$AB,5,0)&amp;"|"))</f>
        <v>|</v>
      </c>
      <c r="AJ8" s="115" t="str">
        <f>IF($AD8="","",IF($AA$2="タイプ・コスト","","CENTER:"&amp;VLOOKUP($AD8,'①カード一覧(入力用)'!$I:$AB,6,0)&amp;"|"))</f>
        <v>CENTER:|</v>
      </c>
      <c r="AK8" s="116" t="str">
        <f>IF($AD8="","",VLOOKUP($AD8,'①カード一覧(入力用)'!$I:$AB,7,0)&amp;"|")</f>
        <v>|</v>
      </c>
      <c r="AL8" s="116" t="str">
        <f>IF($AD8="","",VLOOKUP($AD8,'①カード一覧(入力用)'!$I:$AB,8,0)&amp;"|")</f>
        <v>|</v>
      </c>
      <c r="AM8" s="116" t="str">
        <f>IF($AD8="","",VLOOKUP($AD8,'①カード一覧(入力用)'!$I:$AB,9,0)&amp;"|")</f>
        <v>|</v>
      </c>
      <c r="AN8" s="116" t="str">
        <f>IF($AD8="","",VLOOKUP($AD8,'①カード一覧(入力用)'!$I:$AB,10,0)&amp;"|")</f>
        <v>|</v>
      </c>
      <c r="AO8" s="117" t="str">
        <f>IF($AD8="","",IF($AA$2="基本技",VLOOKUP($AD8,'①カード一覧(入力用)'!$I:$AB,12,0)&amp;"|",IF($AA$2="必殺技",VLOOKUP($AD8,'①カード一覧(入力用)'!$I:$AB,15,0)&amp;"|",VLOOKUP($AD8,'①カード一覧(入力用)'!$I:$AB,11,0)&amp;"|")))</f>
        <v>正面の敵を攻撃 TYPE:無の相手にクリティカル|</v>
      </c>
    </row>
    <row r="9" spans="1:41" ht="13.5" customHeight="1">
      <c r="A9" s="11" t="s">
        <v>536</v>
      </c>
      <c r="B9" s="7">
        <v>5</v>
      </c>
      <c r="C9" s="7" t="s">
        <v>733</v>
      </c>
      <c r="D9" s="9"/>
      <c r="E9" s="8">
        <v>3</v>
      </c>
      <c r="F9" s="7">
        <v>2</v>
      </c>
      <c r="G9" s="7"/>
      <c r="H9" s="7">
        <f>H8</f>
        <v>124</v>
      </c>
      <c r="I9" s="13">
        <f>IF(G9="","",VLOOKUP($H9,'①カード一覧(入力用)'!$A:$A,1,0))</f>
      </c>
      <c r="J9" s="7">
        <f>IF(G9="","",VALUE(VLOOKUP($H9,'①カード一覧(入力用)'!$A:$F,6,0)&amp;VLOOKUP($H9,'①カード一覧(入力用)'!$A:$B,2,0)&amp;VLOOKUP($H9,'①カード一覧(入力用)'!$A:$D,4,0)&amp;VLOOKUP($H9,'①カード一覧(入力用)'!$A:$C,3,0)&amp;VLOOKUP($H9,'①カード一覧(入力用)'!$A:$J,10,0)))</f>
      </c>
      <c r="K9" s="7">
        <f>IF(G9="","",VALUE(VLOOKUP($H9,'①カード一覧(入力用)'!$A:$E,5,0)&amp;VLOOKUP($H9,'①カード一覧(入力用)'!$A:$D,4,0)&amp;VLOOKUP($H9,'①カード一覧(入力用)'!$A:$C,3,0)&amp;VLOOKUP($H9,'①カード一覧(入力用)'!$A:$J,10,0)))</f>
      </c>
      <c r="L9" s="7">
        <f>IF(G9="","",VALUE(VLOOKUP($H9,'①カード一覧(入力用)'!$A:$D,4,0)&amp;VLOOKUP($H9,'①カード一覧(入力用)'!$A:$C,3,0)&amp;VLOOKUP($H9,'①カード一覧(入力用)'!$A:$B,2,0)&amp;VLOOKUP($H9,'①カード一覧(入力用)'!$A:$J,10,0)))</f>
      </c>
      <c r="M9" s="7">
        <f>IF(G9="","",VALUE((1500-VLOOKUP($H9,'①カード一覧(入力用)'!$A:$O,15,0))&amp;VLOOKUP($H9,'①カード一覧(入力用)'!$A:$B,2,0)&amp;VLOOKUP($H9,'①カード一覧(入力用)'!$A:$D,4,0)&amp;VLOOKUP($H9,'①カード一覧(入力用)'!$A:$C,3,0)&amp;VLOOKUP($H9,'①カード一覧(入力用)'!$A:$J,10,0)))</f>
      </c>
      <c r="N9" s="7">
        <f>IF(G9="","",VALUE((1500-VLOOKUP($H9,'①カード一覧(入力用)'!$A:$P,16,0))&amp;VLOOKUP($H9,'①カード一覧(入力用)'!$A:$B,2,0)&amp;VLOOKUP($H9,'①カード一覧(入力用)'!$A:$D,4,0)&amp;VLOOKUP($H9,'①カード一覧(入力用)'!$A:$C,3,0)&amp;VLOOKUP($H9,'①カード一覧(入力用)'!$A:$J,10,0)))</f>
      </c>
      <c r="O9" s="7">
        <f>IF(G9="","",VALUE((1500-VLOOKUP($H9,'①カード一覧(入力用)'!$A:$Q,17,0))&amp;VLOOKUP($H9,'①カード一覧(入力用)'!$A:$B,2,0)&amp;VLOOKUP($H9,'①カード一覧(入力用)'!$A:$D,4,0)&amp;VLOOKUP($H9,'①カード一覧(入力用)'!$A:$C,3,0)&amp;VLOOKUP($H9,'①カード一覧(入力用)'!$A:$J,10,0)))</f>
      </c>
      <c r="P9" s="7">
        <f>IF(G9="","",VALUE((200-VLOOKUP($H9,'①カード一覧(入力用)'!$A:$R,18,0))&amp;VLOOKUP($H9,'①カード一覧(入力用)'!$A:$B,2,0)&amp;VLOOKUP($H9,'①カード一覧(入力用)'!$A:$D,4,0)&amp;VLOOKUP($H9,'①カード一覧(入力用)'!$A:$C,3,0)&amp;VLOOKUP($H9,'①カード一覧(入力用)'!$A:$J,10,0)))</f>
      </c>
      <c r="Q9" s="7">
        <f>IF(G9="","",VALUE(VLOOKUP($H9,'①カード一覧(入力用)'!$A:$G,7,0)&amp;VLOOKUP($H9,'①カード一覧(入力用)'!$A:$C,3,0)&amp;VLOOKUP($H9,'①カード一覧(入力用)'!$A:$B,2,0)&amp;VLOOKUP($H9,'①カード一覧(入力用)'!$A:$D,4,0)&amp;VLOOKUP($H9,'①カード一覧(入力用)'!$A:$J,10,0)))</f>
      </c>
      <c r="R9" s="106">
        <f>IF(G9="","",VALUE(VLOOKUP($H9,'①カード一覧(入力用)'!$A:$H,8,0)&amp;VLOOKUP($H9,'①カード一覧(入力用)'!$A:$AR,44,0)&amp;VLOOKUP($H9,'①カード一覧(入力用)'!$A:$B,2,0)&amp;VLOOKUP($H9,'①カード一覧(入力用)'!$A:$D,4,0)&amp;VLOOKUP($H9,'①カード一覧(入力用)'!$A:$J,10,0)))</f>
      </c>
      <c r="S9" s="7">
        <f>IF(G9="","",RANK(INDEX($I$4:$R$43,E9*2-1,$L$1),INDEX($I$4:$R$43,$E$4,$L$1):INDEX($I$4:$R$43,$Q$1,$L$1),1))</f>
      </c>
      <c r="T9" s="7">
        <f>IF(H9="","",VLOOKUP($H9,'①カード一覧(入力用)'!$A:$A,1,0))</f>
        <v>124</v>
      </c>
      <c r="U9" s="106"/>
      <c r="V9" s="106"/>
      <c r="W9" s="106"/>
      <c r="X9" s="220"/>
      <c r="Y9" s="220"/>
      <c r="Z9" s="220"/>
      <c r="AB9" s="19">
        <v>3</v>
      </c>
      <c r="AC9" s="10">
        <v>2</v>
      </c>
      <c r="AD9" s="88">
        <f>AD8</f>
        <v>124</v>
      </c>
      <c r="AE9" s="106"/>
      <c r="AF9" s="20" t="str">
        <f>IF($AD9="","",IF($AA$2="基本技","","|~|"))</f>
        <v>|~|</v>
      </c>
      <c r="AG9" s="118" t="str">
        <f>IF($AD9="","",IF(OR($AA$2="レアリティ",$AA$2="基本技"),"","~"&amp;"|"))</f>
        <v>~|</v>
      </c>
      <c r="AH9" s="118" t="str">
        <f>IF($AD9="","",IF(OR($AA$2="勢力・陣形",$AA$2="基本技"),"","~"&amp;"|"))</f>
        <v>~|</v>
      </c>
      <c r="AI9" s="118" t="str">
        <f>IF($AD9="","",IF(OR($AA$2="タイプ・コスト",$AA$2="基本技"),"","~"&amp;"|"))</f>
        <v>~|</v>
      </c>
      <c r="AJ9" s="118" t="str">
        <f>IF($AD9="","",IF(OR($AA$2="タイプ・コスト",$AA$2="基本技"),"","~"&amp;"|"))</f>
        <v>~|</v>
      </c>
      <c r="AK9" s="106" t="str">
        <f>IF($AD9="","",IF($AA$2="基本技","","~"&amp;"|"))</f>
        <v>~|</v>
      </c>
      <c r="AL9" s="106" t="str">
        <f>IF($AD9="","",IF($AA$2="基本技","","~"&amp;"|"))</f>
        <v>~|</v>
      </c>
      <c r="AM9" s="106" t="str">
        <f t="shared" si="0"/>
        <v>~|</v>
      </c>
      <c r="AN9" s="106" t="str">
        <f t="shared" si="0"/>
        <v>~|</v>
      </c>
      <c r="AO9" s="20" t="str">
        <f>IF($AD9="","",IF($AA$2="基本技","",IF($AA$2="必殺技",VLOOKUP($AD9,'①カード一覧(入力用)'!$I:$AB,14,0)&amp;"|",VLOOKUP($AD9,'①カード一覧(入力用)'!$I:$AB,13,0)&amp;"|")))</f>
        <v>正面の敵を攻撃 TYPE:無の相手にクリティカル|</v>
      </c>
    </row>
    <row r="10" spans="1:41" ht="13.5" customHeight="1">
      <c r="A10" s="11" t="s">
        <v>537</v>
      </c>
      <c r="B10" s="7">
        <v>6</v>
      </c>
      <c r="C10" s="7" t="s">
        <v>734</v>
      </c>
      <c r="D10" s="9"/>
      <c r="E10" s="8">
        <v>4</v>
      </c>
      <c r="F10" s="7">
        <v>1</v>
      </c>
      <c r="G10" s="7">
        <f>IF(G8="","",IF(G8+1&gt;$Y$6,"",G8+1))</f>
        <v>126</v>
      </c>
      <c r="H10" s="7">
        <f>IF(G10="","",INDEX('①カード一覧(入力用)'!A:A,$G10,1))</f>
        <v>125</v>
      </c>
      <c r="I10" s="13">
        <f>IF(G10="","",VLOOKUP($H10,'①カード一覧(入力用)'!$A:$A,1,0))</f>
        <v>125</v>
      </c>
      <c r="J10" s="7" t="e">
        <f>IF(G10="","",VALUE(VLOOKUP($H10,'①カード一覧(入力用)'!$A:$F,6,0)&amp;VLOOKUP($H10,'①カード一覧(入力用)'!$A:$B,2,0)&amp;VLOOKUP($H10,'①カード一覧(入力用)'!$A:$D,4,0)&amp;VLOOKUP($H10,'①カード一覧(入力用)'!$A:$C,3,0)&amp;VLOOKUP($H10,'①カード一覧(入力用)'!$A:$J,10,0)))</f>
        <v>#N/A</v>
      </c>
      <c r="K10" s="7" t="e">
        <f>IF(G10="","",VALUE(VLOOKUP($H10,'①カード一覧(入力用)'!$A:$E,5,0)&amp;VLOOKUP($H10,'①カード一覧(入力用)'!$A:$D,4,0)&amp;VLOOKUP($H10,'①カード一覧(入力用)'!$A:$C,3,0)&amp;VLOOKUP($H10,'①カード一覧(入力用)'!$A:$J,10,0)))</f>
        <v>#N/A</v>
      </c>
      <c r="L10" s="7" t="e">
        <f>IF(G10="","",VALUE(VLOOKUP($H10,'①カード一覧(入力用)'!$A:$D,4,0)&amp;VLOOKUP($H10,'①カード一覧(入力用)'!$A:$C,3,0)&amp;VLOOKUP($H10,'①カード一覧(入力用)'!$A:$B,2,0)&amp;VLOOKUP($H10,'①カード一覧(入力用)'!$A:$J,10,0)))</f>
        <v>#N/A</v>
      </c>
      <c r="M10" s="7" t="e">
        <f>IF(G10="","",VALUE((1500-VLOOKUP($H10,'①カード一覧(入力用)'!$A:$O,15,0))&amp;VLOOKUP($H10,'①カード一覧(入力用)'!$A:$B,2,0)&amp;VLOOKUP($H10,'①カード一覧(入力用)'!$A:$D,4,0)&amp;VLOOKUP($H10,'①カード一覧(入力用)'!$A:$C,3,0)&amp;VLOOKUP($H10,'①カード一覧(入力用)'!$A:$J,10,0)))</f>
        <v>#N/A</v>
      </c>
      <c r="N10" s="7" t="e">
        <f>IF(G10="","",VALUE((1500-VLOOKUP($H10,'①カード一覧(入力用)'!$A:$P,16,0))&amp;VLOOKUP($H10,'①カード一覧(入力用)'!$A:$B,2,0)&amp;VLOOKUP($H10,'①カード一覧(入力用)'!$A:$D,4,0)&amp;VLOOKUP($H10,'①カード一覧(入力用)'!$A:$C,3,0)&amp;VLOOKUP($H10,'①カード一覧(入力用)'!$A:$J,10,0)))</f>
        <v>#N/A</v>
      </c>
      <c r="O10" s="7" t="e">
        <f>IF(G10="","",VALUE((1500-VLOOKUP($H10,'①カード一覧(入力用)'!$A:$Q,17,0))&amp;VLOOKUP($H10,'①カード一覧(入力用)'!$A:$B,2,0)&amp;VLOOKUP($H10,'①カード一覧(入力用)'!$A:$D,4,0)&amp;VLOOKUP($H10,'①カード一覧(入力用)'!$A:$C,3,0)&amp;VLOOKUP($H10,'①カード一覧(入力用)'!$A:$J,10,0)))</f>
        <v>#N/A</v>
      </c>
      <c r="P10" s="7" t="e">
        <f>IF(G10="","",VALUE((200-VLOOKUP($H10,'①カード一覧(入力用)'!$A:$R,18,0))&amp;VLOOKUP($H10,'①カード一覧(入力用)'!$A:$B,2,0)&amp;VLOOKUP($H10,'①カード一覧(入力用)'!$A:$D,4,0)&amp;VLOOKUP($H10,'①カード一覧(入力用)'!$A:$C,3,0)&amp;VLOOKUP($H10,'①カード一覧(入力用)'!$A:$J,10,0)))</f>
        <v>#N/A</v>
      </c>
      <c r="Q10" s="7" t="e">
        <f>IF(G10="","",VALUE(VLOOKUP($H10,'①カード一覧(入力用)'!$A:$G,7,0)&amp;VLOOKUP($H10,'①カード一覧(入力用)'!$A:$C,3,0)&amp;VLOOKUP($H10,'①カード一覧(入力用)'!$A:$B,2,0)&amp;VLOOKUP($H10,'①カード一覧(入力用)'!$A:$D,4,0)&amp;VLOOKUP($H10,'①カード一覧(入力用)'!$A:$J,10,0)))</f>
        <v>#N/A</v>
      </c>
      <c r="R10" s="106" t="e">
        <f>IF(G10="","",VALUE(VLOOKUP($H10,'①カード一覧(入力用)'!$A:$H,8,0)&amp;VLOOKUP($H10,'①カード一覧(入力用)'!$A:$AR,44,0)&amp;VLOOKUP($H10,'①カード一覧(入力用)'!$A:$B,2,0)&amp;VLOOKUP($H10,'①カード一覧(入力用)'!$A:$D,4,0)&amp;VLOOKUP($H10,'①カード一覧(入力用)'!$A:$J,10,0)))</f>
        <v>#N/A</v>
      </c>
      <c r="S10" s="7">
        <f>IF(G10="","",RANK(INDEX($I$4:$R$43,E10*2-1,$L$1),INDEX($I$4:$R$43,$E$4,$L$1):INDEX($I$4:$R$43,$Q$1,$L$1),1))</f>
        <v>4</v>
      </c>
      <c r="T10" s="7">
        <f>IF(H10="","",VLOOKUP($H10,'①カード一覧(入力用)'!$A:$A,1,0))</f>
        <v>125</v>
      </c>
      <c r="U10" s="106">
        <f>IF($AD10="","",IF($AA$2="タイプ・コスト","『改行』"&amp;VLOOKUP($AD10,'①カード一覧(入力用)'!$I:$AB,5,0)&amp;VLOOKUP($AD10,'①カード一覧(入力用)'!$I:$AB,6,0)&amp;"『改行』",IF($AA$2&lt;&gt;"No","『改行』"&amp;VLOOKUP($AD10,'①カード一覧(入力用)'!$I:$AB,VLOOKUP($AA$2,$A$34:$B$42,2,0),0)&amp;"『改行』","")))</f>
      </c>
      <c r="V10" s="106">
        <f>IF($U10=$U8,"",$U10)</f>
      </c>
      <c r="W10" s="106">
        <f>IF(ISERROR(MATCH(VALUE(MID(V10,5,3)),$A$45:$A$58,0)),"",V10)</f>
      </c>
      <c r="X10" s="225" t="s">
        <v>2326</v>
      </c>
      <c r="Y10" s="226"/>
      <c r="Z10" s="226"/>
      <c r="AA10" s="226"/>
      <c r="AB10" s="19">
        <v>4</v>
      </c>
      <c r="AC10" s="10">
        <v>1</v>
      </c>
      <c r="AD10" s="88">
        <f>IF(H10="","",VLOOKUP(AB10,$S$4:$T$43,2,0))</f>
        <v>125</v>
      </c>
      <c r="AE10" s="106">
        <f>IF(OR($AA$2="HP",$AA$2="攻",$AA$2="防",$AA$2="速"),W10,V10)</f>
      </c>
      <c r="AF10" s="20" t="str">
        <f>IF($AD10="","","|[["&amp;VLOOKUP($AD10,'①カード一覧(入力用)'!$I:$AB,2,0)&amp;"_"&amp;VLOOKUP($AD10,'①カード一覧(入力用)'!$I:$AB,4,0)&amp;"]]|")</f>
        <v>|[[0125_魔法少女ルルイエ]]|</v>
      </c>
      <c r="AG10" s="115" t="str">
        <f>IF($AD10="","",IF($AA$2="レアリティ","","CENTER:"&amp;VLOOKUP($AD10,'①カード一覧(入力用)'!$I:$AB,3,0)&amp;"|"))</f>
        <v>CENTER:CP|</v>
      </c>
      <c r="AH10" s="115" t="str">
        <f>IF($AD10="","",IF($AA$2="勢力・陣形","","CENTER:"&amp;VLOOKUP($AD10,'①カード一覧(入力用)'!$I:$AB,18,0)&amp;"|"))</f>
        <v>CENTER:麒麟|</v>
      </c>
      <c r="AI10" s="115" t="str">
        <f>IF($AD10="","",IF($AA$2="タイプ・コスト","",VLOOKUP($AD10,'①カード一覧(入力用)'!$I:$AB,5,0)&amp;"|"))</f>
        <v>|</v>
      </c>
      <c r="AJ10" s="115" t="str">
        <f>IF($AD10="","",IF($AA$2="タイプ・コスト","","CENTER:"&amp;VLOOKUP($AD10,'①カード一覧(入力用)'!$I:$AB,6,0)&amp;"|"))</f>
        <v>CENTER:|</v>
      </c>
      <c r="AK10" s="116" t="str">
        <f>IF($AD10="","",VLOOKUP($AD10,'①カード一覧(入力用)'!$I:$AB,7,0)&amp;"|")</f>
        <v>|</v>
      </c>
      <c r="AL10" s="116" t="str">
        <f>IF($AD10="","",VLOOKUP($AD10,'①カード一覧(入力用)'!$I:$AB,8,0)&amp;"|")</f>
        <v>|</v>
      </c>
      <c r="AM10" s="116" t="str">
        <f>IF($AD10="","",VLOOKUP($AD10,'①カード一覧(入力用)'!$I:$AB,9,0)&amp;"|")</f>
        <v>|</v>
      </c>
      <c r="AN10" s="116" t="str">
        <f>IF($AD10="","",VLOOKUP($AD10,'①カード一覧(入力用)'!$I:$AB,10,0)&amp;"|")</f>
        <v>|</v>
      </c>
      <c r="AO10" s="117" t="str">
        <f>IF($AD10="","",IF($AA$2="基本技",VLOOKUP($AD10,'①カード一覧(入力用)'!$I:$AB,12,0)&amp;"|",IF($AA$2="必殺技",VLOOKUP($AD10,'①カード一覧(入力用)'!$I:$AB,15,0)&amp;"|",VLOOKUP($AD10,'①カード一覧(入力用)'!$I:$AB,11,0)&amp;"|")))</f>
        <v>ランダムに味方の被ダメージをダウン|</v>
      </c>
    </row>
    <row r="11" spans="1:41" ht="13.5" customHeight="1">
      <c r="A11" s="11" t="s">
        <v>538</v>
      </c>
      <c r="B11" s="7">
        <v>7</v>
      </c>
      <c r="C11" s="7" t="s">
        <v>735</v>
      </c>
      <c r="D11" s="9"/>
      <c r="E11" s="8">
        <v>4</v>
      </c>
      <c r="F11" s="7">
        <v>2</v>
      </c>
      <c r="G11" s="7"/>
      <c r="H11" s="7">
        <f>H10</f>
        <v>125</v>
      </c>
      <c r="I11" s="13">
        <f>IF(G11="","",VLOOKUP($H11,'①カード一覧(入力用)'!$A:$A,1,0))</f>
      </c>
      <c r="J11" s="7">
        <f>IF(G11="","",VALUE(VLOOKUP($H11,'①カード一覧(入力用)'!$A:$F,6,0)&amp;VLOOKUP($H11,'①カード一覧(入力用)'!$A:$B,2,0)&amp;VLOOKUP($H11,'①カード一覧(入力用)'!$A:$D,4,0)&amp;VLOOKUP($H11,'①カード一覧(入力用)'!$A:$C,3,0)&amp;VLOOKUP($H11,'①カード一覧(入力用)'!$A:$J,10,0)))</f>
      </c>
      <c r="K11" s="7">
        <f>IF(G11="","",VALUE(VLOOKUP($H11,'①カード一覧(入力用)'!$A:$E,5,0)&amp;VLOOKUP($H11,'①カード一覧(入力用)'!$A:$D,4,0)&amp;VLOOKUP($H11,'①カード一覧(入力用)'!$A:$C,3,0)&amp;VLOOKUP($H11,'①カード一覧(入力用)'!$A:$J,10,0)))</f>
      </c>
      <c r="L11" s="7">
        <f>IF(G11="","",VALUE(VLOOKUP($H11,'①カード一覧(入力用)'!$A:$D,4,0)&amp;VLOOKUP($H11,'①カード一覧(入力用)'!$A:$C,3,0)&amp;VLOOKUP($H11,'①カード一覧(入力用)'!$A:$B,2,0)&amp;VLOOKUP($H11,'①カード一覧(入力用)'!$A:$J,10,0)))</f>
      </c>
      <c r="M11" s="7">
        <f>IF(G11="","",VALUE((1500-VLOOKUP($H11,'①カード一覧(入力用)'!$A:$O,15,0))&amp;VLOOKUP($H11,'①カード一覧(入力用)'!$A:$B,2,0)&amp;VLOOKUP($H11,'①カード一覧(入力用)'!$A:$D,4,0)&amp;VLOOKUP($H11,'①カード一覧(入力用)'!$A:$C,3,0)&amp;VLOOKUP($H11,'①カード一覧(入力用)'!$A:$J,10,0)))</f>
      </c>
      <c r="N11" s="7">
        <f>IF(G11="","",VALUE((1500-VLOOKUP($H11,'①カード一覧(入力用)'!$A:$P,16,0))&amp;VLOOKUP($H11,'①カード一覧(入力用)'!$A:$B,2,0)&amp;VLOOKUP($H11,'①カード一覧(入力用)'!$A:$D,4,0)&amp;VLOOKUP($H11,'①カード一覧(入力用)'!$A:$C,3,0)&amp;VLOOKUP($H11,'①カード一覧(入力用)'!$A:$J,10,0)))</f>
      </c>
      <c r="O11" s="7">
        <f>IF(G11="","",VALUE((1500-VLOOKUP($H11,'①カード一覧(入力用)'!$A:$Q,17,0))&amp;VLOOKUP($H11,'①カード一覧(入力用)'!$A:$B,2,0)&amp;VLOOKUP($H11,'①カード一覧(入力用)'!$A:$D,4,0)&amp;VLOOKUP($H11,'①カード一覧(入力用)'!$A:$C,3,0)&amp;VLOOKUP($H11,'①カード一覧(入力用)'!$A:$J,10,0)))</f>
      </c>
      <c r="P11" s="7">
        <f>IF(G11="","",VALUE((200-VLOOKUP($H11,'①カード一覧(入力用)'!$A:$R,18,0))&amp;VLOOKUP($H11,'①カード一覧(入力用)'!$A:$B,2,0)&amp;VLOOKUP($H11,'①カード一覧(入力用)'!$A:$D,4,0)&amp;VLOOKUP($H11,'①カード一覧(入力用)'!$A:$C,3,0)&amp;VLOOKUP($H11,'①カード一覧(入力用)'!$A:$J,10,0)))</f>
      </c>
      <c r="Q11" s="7">
        <f>IF(G11="","",VALUE(VLOOKUP($H11,'①カード一覧(入力用)'!$A:$G,7,0)&amp;VLOOKUP($H11,'①カード一覧(入力用)'!$A:$C,3,0)&amp;VLOOKUP($H11,'①カード一覧(入力用)'!$A:$B,2,0)&amp;VLOOKUP($H11,'①カード一覧(入力用)'!$A:$D,4,0)&amp;VLOOKUP($H11,'①カード一覧(入力用)'!$A:$J,10,0)))</f>
      </c>
      <c r="R11" s="106">
        <f>IF(G11="","",VALUE(VLOOKUP($H11,'①カード一覧(入力用)'!$A:$H,8,0)&amp;VLOOKUP($H11,'①カード一覧(入力用)'!$A:$AR,44,0)&amp;VLOOKUP($H11,'①カード一覧(入力用)'!$A:$B,2,0)&amp;VLOOKUP($H11,'①カード一覧(入力用)'!$A:$D,4,0)&amp;VLOOKUP($H11,'①カード一覧(入力用)'!$A:$J,10,0)))</f>
      </c>
      <c r="S11" s="7">
        <f>IF(G11="","",RANK(INDEX($I$4:$R$43,E11*2-1,$L$1),INDEX($I$4:$R$43,$E$4,$L$1):INDEX($I$4:$R$43,$Q$1,$L$1),1))</f>
      </c>
      <c r="T11" s="7">
        <f>IF(H11="","",VLOOKUP($H11,'①カード一覧(入力用)'!$A:$A,1,0))</f>
        <v>125</v>
      </c>
      <c r="U11" s="106"/>
      <c r="V11" s="106"/>
      <c r="W11" s="106"/>
      <c r="X11" s="225"/>
      <c r="Y11" s="226"/>
      <c r="Z11" s="226"/>
      <c r="AA11" s="226"/>
      <c r="AB11" s="19">
        <v>4</v>
      </c>
      <c r="AC11" s="10">
        <v>2</v>
      </c>
      <c r="AD11" s="88">
        <f>AD10</f>
        <v>125</v>
      </c>
      <c r="AE11" s="106"/>
      <c r="AF11" s="20" t="str">
        <f>IF($AD11="","",IF($AA$2="基本技","","|~|"))</f>
        <v>|~|</v>
      </c>
      <c r="AG11" s="118" t="str">
        <f>IF($AD11="","",IF(OR($AA$2="レアリティ",$AA$2="基本技"),"","~"&amp;"|"))</f>
        <v>~|</v>
      </c>
      <c r="AH11" s="118" t="str">
        <f>IF($AD11="","",IF(OR($AA$2="勢力・陣形",$AA$2="基本技"),"","~"&amp;"|"))</f>
        <v>~|</v>
      </c>
      <c r="AI11" s="118" t="str">
        <f>IF($AD11="","",IF(OR($AA$2="タイプ・コスト",$AA$2="基本技"),"","~"&amp;"|"))</f>
        <v>~|</v>
      </c>
      <c r="AJ11" s="118" t="str">
        <f>IF($AD11="","",IF(OR($AA$2="タイプ・コスト",$AA$2="基本技"),"","~"&amp;"|"))</f>
        <v>~|</v>
      </c>
      <c r="AK11" s="106" t="str">
        <f>IF($AD11="","",IF($AA$2="基本技","","~"&amp;"|"))</f>
        <v>~|</v>
      </c>
      <c r="AL11" s="106" t="str">
        <f>IF($AD11="","",IF($AA$2="基本技","","~"&amp;"|"))</f>
        <v>~|</v>
      </c>
      <c r="AM11" s="106" t="str">
        <f t="shared" si="0"/>
        <v>~|</v>
      </c>
      <c r="AN11" s="106" t="str">
        <f t="shared" si="0"/>
        <v>~|</v>
      </c>
      <c r="AO11" s="20" t="str">
        <f>IF($AD11="","",IF($AA$2="基本技","",IF($AA$2="必殺技",VLOOKUP($AD11,'①カード一覧(入力用)'!$I:$AB,14,0)&amp;"|",VLOOKUP($AD11,'①カード一覧(入力用)'!$I:$AB,13,0)&amp;"|")))</f>
        <v>常時効果:自身の速がアップ さらに状態異常:与ダメージダウンを無効化する|</v>
      </c>
    </row>
    <row r="12" spans="1:41" ht="13.5" customHeight="1">
      <c r="A12" s="11" t="s">
        <v>539</v>
      </c>
      <c r="B12" s="7">
        <v>8</v>
      </c>
      <c r="C12" s="7" t="s">
        <v>736</v>
      </c>
      <c r="D12" s="9"/>
      <c r="E12" s="8">
        <v>5</v>
      </c>
      <c r="F12" s="7">
        <v>1</v>
      </c>
      <c r="G12" s="7">
        <f>IF(G10="","",IF(G10+1&gt;$Y$6,"",G10+1))</f>
        <v>127</v>
      </c>
      <c r="H12" s="7">
        <f>IF(G12="","",INDEX('①カード一覧(入力用)'!A:A,$G12,1))</f>
        <v>126</v>
      </c>
      <c r="I12" s="13">
        <f>IF(G12="","",VLOOKUP($H12,'①カード一覧(入力用)'!$A:$A,1,0))</f>
        <v>126</v>
      </c>
      <c r="J12" s="7" t="e">
        <f>IF(G12="","",VALUE(VLOOKUP($H12,'①カード一覧(入力用)'!$A:$F,6,0)&amp;VLOOKUP($H12,'①カード一覧(入力用)'!$A:$B,2,0)&amp;VLOOKUP($H12,'①カード一覧(入力用)'!$A:$D,4,0)&amp;VLOOKUP($H12,'①カード一覧(入力用)'!$A:$C,3,0)&amp;VLOOKUP($H12,'①カード一覧(入力用)'!$A:$J,10,0)))</f>
        <v>#N/A</v>
      </c>
      <c r="K12" s="7" t="e">
        <f>IF(G12="","",VALUE(VLOOKUP($H12,'①カード一覧(入力用)'!$A:$E,5,0)&amp;VLOOKUP($H12,'①カード一覧(入力用)'!$A:$D,4,0)&amp;VLOOKUP($H12,'①カード一覧(入力用)'!$A:$C,3,0)&amp;VLOOKUP($H12,'①カード一覧(入力用)'!$A:$J,10,0)))</f>
        <v>#N/A</v>
      </c>
      <c r="L12" s="7" t="e">
        <f>IF(G12="","",VALUE(VLOOKUP($H12,'①カード一覧(入力用)'!$A:$D,4,0)&amp;VLOOKUP($H12,'①カード一覧(入力用)'!$A:$C,3,0)&amp;VLOOKUP($H12,'①カード一覧(入力用)'!$A:$B,2,0)&amp;VLOOKUP($H12,'①カード一覧(入力用)'!$A:$J,10,0)))</f>
        <v>#N/A</v>
      </c>
      <c r="M12" s="7" t="e">
        <f>IF(G12="","",VALUE((1500-VLOOKUP($H12,'①カード一覧(入力用)'!$A:$O,15,0))&amp;VLOOKUP($H12,'①カード一覧(入力用)'!$A:$B,2,0)&amp;VLOOKUP($H12,'①カード一覧(入力用)'!$A:$D,4,0)&amp;VLOOKUP($H12,'①カード一覧(入力用)'!$A:$C,3,0)&amp;VLOOKUP($H12,'①カード一覧(入力用)'!$A:$J,10,0)))</f>
        <v>#N/A</v>
      </c>
      <c r="N12" s="7" t="e">
        <f>IF(G12="","",VALUE((1500-VLOOKUP($H12,'①カード一覧(入力用)'!$A:$P,16,0))&amp;VLOOKUP($H12,'①カード一覧(入力用)'!$A:$B,2,0)&amp;VLOOKUP($H12,'①カード一覧(入力用)'!$A:$D,4,0)&amp;VLOOKUP($H12,'①カード一覧(入力用)'!$A:$C,3,0)&amp;VLOOKUP($H12,'①カード一覧(入力用)'!$A:$J,10,0)))</f>
        <v>#N/A</v>
      </c>
      <c r="O12" s="7" t="e">
        <f>IF(G12="","",VALUE((1500-VLOOKUP($H12,'①カード一覧(入力用)'!$A:$Q,17,0))&amp;VLOOKUP($H12,'①カード一覧(入力用)'!$A:$B,2,0)&amp;VLOOKUP($H12,'①カード一覧(入力用)'!$A:$D,4,0)&amp;VLOOKUP($H12,'①カード一覧(入力用)'!$A:$C,3,0)&amp;VLOOKUP($H12,'①カード一覧(入力用)'!$A:$J,10,0)))</f>
        <v>#N/A</v>
      </c>
      <c r="P12" s="7" t="e">
        <f>IF(G12="","",VALUE((200-VLOOKUP($H12,'①カード一覧(入力用)'!$A:$R,18,0))&amp;VLOOKUP($H12,'①カード一覧(入力用)'!$A:$B,2,0)&amp;VLOOKUP($H12,'①カード一覧(入力用)'!$A:$D,4,0)&amp;VLOOKUP($H12,'①カード一覧(入力用)'!$A:$C,3,0)&amp;VLOOKUP($H12,'①カード一覧(入力用)'!$A:$J,10,0)))</f>
        <v>#N/A</v>
      </c>
      <c r="Q12" s="7" t="e">
        <f>IF(G12="","",VALUE(VLOOKUP($H12,'①カード一覧(入力用)'!$A:$G,7,0)&amp;VLOOKUP($H12,'①カード一覧(入力用)'!$A:$C,3,0)&amp;VLOOKUP($H12,'①カード一覧(入力用)'!$A:$B,2,0)&amp;VLOOKUP($H12,'①カード一覧(入力用)'!$A:$D,4,0)&amp;VLOOKUP($H12,'①カード一覧(入力用)'!$A:$J,10,0)))</f>
        <v>#N/A</v>
      </c>
      <c r="R12" s="106" t="e">
        <f>IF(G12="","",VALUE(VLOOKUP($H12,'①カード一覧(入力用)'!$A:$H,8,0)&amp;VLOOKUP($H12,'①カード一覧(入力用)'!$A:$AR,44,0)&amp;VLOOKUP($H12,'①カード一覧(入力用)'!$A:$B,2,0)&amp;VLOOKUP($H12,'①カード一覧(入力用)'!$A:$D,4,0)&amp;VLOOKUP($H12,'①カード一覧(入力用)'!$A:$J,10,0)))</f>
        <v>#N/A</v>
      </c>
      <c r="S12" s="7">
        <f>IF(G12="","",RANK(INDEX($I$4:$R$43,E12*2-1,$L$1),INDEX($I$4:$R$43,$E$4,$L$1):INDEX($I$4:$R$43,$Q$1,$L$1),1))</f>
        <v>5</v>
      </c>
      <c r="T12" s="7">
        <f>IF(H12="","",VLOOKUP($H12,'①カード一覧(入力用)'!$A:$A,1,0))</f>
        <v>126</v>
      </c>
      <c r="U12" s="106">
        <f>IF($AD12="","",IF($AA$2="タイプ・コスト","『改行』"&amp;VLOOKUP($AD12,'①カード一覧(入力用)'!$I:$AB,5,0)&amp;VLOOKUP($AD12,'①カード一覧(入力用)'!$I:$AB,6,0)&amp;"『改行』",IF($AA$2&lt;&gt;"No","『改行』"&amp;VLOOKUP($AD12,'①カード一覧(入力用)'!$I:$AB,VLOOKUP($AA$2,$A$34:$B$42,2,0),0)&amp;"『改行』","")))</f>
      </c>
      <c r="V12" s="106">
        <f>IF($U12=$U10,"",$U12)</f>
      </c>
      <c r="W12" s="106">
        <f>IF(ISERROR(MATCH(VALUE(MID(V12,5,3)),$A$45:$A$58,0)),"",V12)</f>
      </c>
      <c r="X12" s="225"/>
      <c r="Y12" s="226"/>
      <c r="Z12" s="226"/>
      <c r="AA12" s="226"/>
      <c r="AB12" s="19">
        <v>5</v>
      </c>
      <c r="AC12" s="10">
        <v>1</v>
      </c>
      <c r="AD12" s="88">
        <f>IF(H12="","",VLOOKUP(AB12,$S$4:$T$43,2,0))</f>
        <v>126</v>
      </c>
      <c r="AE12" s="106">
        <f>IF(OR($AA$2="HP",$AA$2="攻",$AA$2="防",$AA$2="速"),W12,V12)</f>
      </c>
      <c r="AF12" s="20" t="str">
        <f>IF($AD12="","","|[["&amp;VLOOKUP($AD12,'①カード一覧(入力用)'!$I:$AB,2,0)&amp;"_"&amp;VLOOKUP($AD12,'①カード一覧(入力用)'!$I:$AB,4,0)&amp;"]]|")</f>
        <v>|[[0126_銀麗騎士デヒテラ]]|</v>
      </c>
      <c r="AG12" s="115" t="str">
        <f>IF($AD12="","",IF($AA$2="レアリティ","","CENTER:"&amp;VLOOKUP($AD12,'①カード一覧(入力用)'!$I:$AB,3,0)&amp;"|"))</f>
        <v>CENTER:CP|</v>
      </c>
      <c r="AH12" s="115" t="str">
        <f>IF($AD12="","",IF($AA$2="勢力・陣形","","CENTER:"&amp;VLOOKUP($AD12,'①カード一覧(入力用)'!$I:$AB,18,0)&amp;"|"))</f>
        <v>CENTER:麒麟|</v>
      </c>
      <c r="AI12" s="115" t="str">
        <f>IF($AD12="","",IF($AA$2="タイプ・コスト","",VLOOKUP($AD12,'①カード一覧(入力用)'!$I:$AB,5,0)&amp;"|"))</f>
        <v>|</v>
      </c>
      <c r="AJ12" s="115" t="str">
        <f>IF($AD12="","",IF($AA$2="タイプ・コスト","","CENTER:"&amp;VLOOKUP($AD12,'①カード一覧(入力用)'!$I:$AB,6,0)&amp;"|"))</f>
        <v>CENTER:|</v>
      </c>
      <c r="AK12" s="116" t="str">
        <f>IF($AD12="","",VLOOKUP($AD12,'①カード一覧(入力用)'!$I:$AB,7,0)&amp;"|")</f>
        <v>|</v>
      </c>
      <c r="AL12" s="116" t="str">
        <f>IF($AD12="","",VLOOKUP($AD12,'①カード一覧(入力用)'!$I:$AB,8,0)&amp;"|")</f>
        <v>|</v>
      </c>
      <c r="AM12" s="116" t="str">
        <f>IF($AD12="","",VLOOKUP($AD12,'①カード一覧(入力用)'!$I:$AB,9,0)&amp;"|")</f>
        <v>|</v>
      </c>
      <c r="AN12" s="116" t="str">
        <f>IF($AD12="","",VLOOKUP($AD12,'①カード一覧(入力用)'!$I:$AB,10,0)&amp;"|")</f>
        <v>|</v>
      </c>
      <c r="AO12" s="117" t="str">
        <f>IF($AD12="","",IF($AA$2="基本技",VLOOKUP($AD12,'①カード一覧(入力用)'!$I:$AB,12,0)&amp;"|",IF($AA$2="必殺技",VLOOKUP($AD12,'①カード一覧(入力用)'!$I:$AB,15,0)&amp;"|",VLOOKUP($AD12,'①カード一覧(入力用)'!$I:$AB,11,0)&amp;"|")))</f>
        <v>正面の敵を攻撃|</v>
      </c>
    </row>
    <row r="13" spans="1:41" ht="12">
      <c r="A13" s="11" t="s">
        <v>540</v>
      </c>
      <c r="B13" s="7">
        <v>9</v>
      </c>
      <c r="C13" s="7" t="s">
        <v>737</v>
      </c>
      <c r="D13" s="9"/>
      <c r="E13" s="8">
        <v>5</v>
      </c>
      <c r="F13" s="7">
        <v>2</v>
      </c>
      <c r="G13" s="7"/>
      <c r="H13" s="7">
        <f>H12</f>
        <v>126</v>
      </c>
      <c r="I13" s="13">
        <f>IF(G13="","",VLOOKUP($H13,'①カード一覧(入力用)'!$A:$A,1,0))</f>
      </c>
      <c r="J13" s="7">
        <f>IF(G13="","",VALUE(VLOOKUP($H13,'①カード一覧(入力用)'!$A:$F,6,0)&amp;VLOOKUP($H13,'①カード一覧(入力用)'!$A:$B,2,0)&amp;VLOOKUP($H13,'①カード一覧(入力用)'!$A:$D,4,0)&amp;VLOOKUP($H13,'①カード一覧(入力用)'!$A:$C,3,0)&amp;VLOOKUP($H13,'①カード一覧(入力用)'!$A:$J,10,0)))</f>
      </c>
      <c r="K13" s="7">
        <f>IF(G13="","",VALUE(VLOOKUP($H13,'①カード一覧(入力用)'!$A:$E,5,0)&amp;VLOOKUP($H13,'①カード一覧(入力用)'!$A:$D,4,0)&amp;VLOOKUP($H13,'①カード一覧(入力用)'!$A:$C,3,0)&amp;VLOOKUP($H13,'①カード一覧(入力用)'!$A:$J,10,0)))</f>
      </c>
      <c r="L13" s="7">
        <f>IF(G13="","",VALUE(VLOOKUP($H13,'①カード一覧(入力用)'!$A:$D,4,0)&amp;VLOOKUP($H13,'①カード一覧(入力用)'!$A:$C,3,0)&amp;VLOOKUP($H13,'①カード一覧(入力用)'!$A:$B,2,0)&amp;VLOOKUP($H13,'①カード一覧(入力用)'!$A:$J,10,0)))</f>
      </c>
      <c r="M13" s="7">
        <f>IF(G13="","",VALUE((1500-VLOOKUP($H13,'①カード一覧(入力用)'!$A:$O,15,0))&amp;VLOOKUP($H13,'①カード一覧(入力用)'!$A:$B,2,0)&amp;VLOOKUP($H13,'①カード一覧(入力用)'!$A:$D,4,0)&amp;VLOOKUP($H13,'①カード一覧(入力用)'!$A:$C,3,0)&amp;VLOOKUP($H13,'①カード一覧(入力用)'!$A:$J,10,0)))</f>
      </c>
      <c r="N13" s="7">
        <f>IF(G13="","",VALUE((1500-VLOOKUP($H13,'①カード一覧(入力用)'!$A:$P,16,0))&amp;VLOOKUP($H13,'①カード一覧(入力用)'!$A:$B,2,0)&amp;VLOOKUP($H13,'①カード一覧(入力用)'!$A:$D,4,0)&amp;VLOOKUP($H13,'①カード一覧(入力用)'!$A:$C,3,0)&amp;VLOOKUP($H13,'①カード一覧(入力用)'!$A:$J,10,0)))</f>
      </c>
      <c r="O13" s="7">
        <f>IF(G13="","",VALUE((1500-VLOOKUP($H13,'①カード一覧(入力用)'!$A:$Q,17,0))&amp;VLOOKUP($H13,'①カード一覧(入力用)'!$A:$B,2,0)&amp;VLOOKUP($H13,'①カード一覧(入力用)'!$A:$D,4,0)&amp;VLOOKUP($H13,'①カード一覧(入力用)'!$A:$C,3,0)&amp;VLOOKUP($H13,'①カード一覧(入力用)'!$A:$J,10,0)))</f>
      </c>
      <c r="P13" s="7">
        <f>IF(G13="","",VALUE((200-VLOOKUP($H13,'①カード一覧(入力用)'!$A:$R,18,0))&amp;VLOOKUP($H13,'①カード一覧(入力用)'!$A:$B,2,0)&amp;VLOOKUP($H13,'①カード一覧(入力用)'!$A:$D,4,0)&amp;VLOOKUP($H13,'①カード一覧(入力用)'!$A:$C,3,0)&amp;VLOOKUP($H13,'①カード一覧(入力用)'!$A:$J,10,0)))</f>
      </c>
      <c r="Q13" s="7">
        <f>IF(G13="","",VALUE(VLOOKUP($H13,'①カード一覧(入力用)'!$A:$G,7,0)&amp;VLOOKUP($H13,'①カード一覧(入力用)'!$A:$C,3,0)&amp;VLOOKUP($H13,'①カード一覧(入力用)'!$A:$B,2,0)&amp;VLOOKUP($H13,'①カード一覧(入力用)'!$A:$D,4,0)&amp;VLOOKUP($H13,'①カード一覧(入力用)'!$A:$J,10,0)))</f>
      </c>
      <c r="R13" s="106">
        <f>IF(G13="","",VALUE(VLOOKUP($H13,'①カード一覧(入力用)'!$A:$H,8,0)&amp;VLOOKUP($H13,'①カード一覧(入力用)'!$A:$AR,44,0)&amp;VLOOKUP($H13,'①カード一覧(入力用)'!$A:$B,2,0)&amp;VLOOKUP($H13,'①カード一覧(入力用)'!$A:$D,4,0)&amp;VLOOKUP($H13,'①カード一覧(入力用)'!$A:$J,10,0)))</f>
      </c>
      <c r="S13" s="7">
        <f>IF(G13="","",RANK(INDEX($I$4:$R$43,E13*2-1,$L$1),INDEX($I$4:$R$43,$E$4,$L$1):INDEX($I$4:$R$43,$Q$1,$L$1),1))</f>
      </c>
      <c r="T13" s="7">
        <f>IF(H13="","",VLOOKUP($H13,'①カード一覧(入力用)'!$A:$A,1,0))</f>
        <v>126</v>
      </c>
      <c r="U13" s="106"/>
      <c r="V13" s="106"/>
      <c r="W13" s="106"/>
      <c r="X13" s="225"/>
      <c r="Y13" s="226"/>
      <c r="Z13" s="226"/>
      <c r="AA13" s="226"/>
      <c r="AB13" s="19">
        <v>5</v>
      </c>
      <c r="AC13" s="10">
        <v>2</v>
      </c>
      <c r="AD13" s="88">
        <f>AD12</f>
        <v>126</v>
      </c>
      <c r="AE13" s="106"/>
      <c r="AF13" s="20" t="str">
        <f>IF($AD13="","",IF($AA$2="基本技","","|~|"))</f>
        <v>|~|</v>
      </c>
      <c r="AG13" s="118" t="str">
        <f>IF($AD13="","",IF(OR($AA$2="レアリティ",$AA$2="基本技"),"","~"&amp;"|"))</f>
        <v>~|</v>
      </c>
      <c r="AH13" s="118" t="str">
        <f>IF($AD13="","",IF(OR($AA$2="勢力・陣形",$AA$2="基本技"),"","~"&amp;"|"))</f>
        <v>~|</v>
      </c>
      <c r="AI13" s="118" t="str">
        <f>IF($AD13="","",IF(OR($AA$2="タイプ・コスト",$AA$2="基本技"),"","~"&amp;"|"))</f>
        <v>~|</v>
      </c>
      <c r="AJ13" s="118" t="str">
        <f>IF($AD13="","",IF(OR($AA$2="タイプ・コスト",$AA$2="基本技"),"","~"&amp;"|"))</f>
        <v>~|</v>
      </c>
      <c r="AK13" s="106" t="str">
        <f>IF($AD13="","",IF($AA$2="基本技","","~"&amp;"|"))</f>
        <v>~|</v>
      </c>
      <c r="AL13" s="106" t="str">
        <f>IF($AD13="","",IF($AA$2="基本技","","~"&amp;"|"))</f>
        <v>~|</v>
      </c>
      <c r="AM13" s="106" t="str">
        <f t="shared" si="0"/>
        <v>~|</v>
      </c>
      <c r="AN13" s="106" t="str">
        <f t="shared" si="0"/>
        <v>~|</v>
      </c>
      <c r="AO13" s="20" t="str">
        <f>IF($AD13="","",IF($AA$2="基本技","",IF($AA$2="必殺技",VLOOKUP($AD13,'①カード一覧(入力用)'!$I:$AB,14,0)&amp;"|",VLOOKUP($AD13,'①カード一覧(入力用)'!$I:$AB,13,0)&amp;"|")))</f>
        <v>味方全体の行動を早める|</v>
      </c>
    </row>
    <row r="14" spans="1:41" ht="13.5" customHeight="1">
      <c r="A14" s="11" t="s">
        <v>811</v>
      </c>
      <c r="B14" s="7">
        <v>10</v>
      </c>
      <c r="C14" s="7" t="s">
        <v>948</v>
      </c>
      <c r="D14" s="9"/>
      <c r="E14" s="8">
        <v>6</v>
      </c>
      <c r="F14" s="7">
        <v>1</v>
      </c>
      <c r="G14" s="7">
        <f>IF(G12="","",IF(G12+1&gt;$Y$6,"",G12+1))</f>
        <v>128</v>
      </c>
      <c r="H14" s="7">
        <f>IF(G14="","",INDEX('①カード一覧(入力用)'!A:A,$G14,1))</f>
        <v>127</v>
      </c>
      <c r="I14" s="13">
        <f>IF(G14="","",VLOOKUP($H14,'①カード一覧(入力用)'!$A:$A,1,0))</f>
        <v>127</v>
      </c>
      <c r="J14" s="7" t="e">
        <f>IF(G14="","",VALUE(VLOOKUP($H14,'①カード一覧(入力用)'!$A:$F,6,0)&amp;VLOOKUP($H14,'①カード一覧(入力用)'!$A:$B,2,0)&amp;VLOOKUP($H14,'①カード一覧(入力用)'!$A:$D,4,0)&amp;VLOOKUP($H14,'①カード一覧(入力用)'!$A:$C,3,0)&amp;VLOOKUP($H14,'①カード一覧(入力用)'!$A:$J,10,0)))</f>
        <v>#N/A</v>
      </c>
      <c r="K14" s="7" t="e">
        <f>IF(G14="","",VALUE(VLOOKUP($H14,'①カード一覧(入力用)'!$A:$E,5,0)&amp;VLOOKUP($H14,'①カード一覧(入力用)'!$A:$D,4,0)&amp;VLOOKUP($H14,'①カード一覧(入力用)'!$A:$C,3,0)&amp;VLOOKUP($H14,'①カード一覧(入力用)'!$A:$J,10,0)))</f>
        <v>#N/A</v>
      </c>
      <c r="L14" s="7" t="e">
        <f>IF(G14="","",VALUE(VLOOKUP($H14,'①カード一覧(入力用)'!$A:$D,4,0)&amp;VLOOKUP($H14,'①カード一覧(入力用)'!$A:$C,3,0)&amp;VLOOKUP($H14,'①カード一覧(入力用)'!$A:$B,2,0)&amp;VLOOKUP($H14,'①カード一覧(入力用)'!$A:$J,10,0)))</f>
        <v>#N/A</v>
      </c>
      <c r="M14" s="7" t="e">
        <f>IF(G14="","",VALUE((1500-VLOOKUP($H14,'①カード一覧(入力用)'!$A:$O,15,0))&amp;VLOOKUP($H14,'①カード一覧(入力用)'!$A:$B,2,0)&amp;VLOOKUP($H14,'①カード一覧(入力用)'!$A:$D,4,0)&amp;VLOOKUP($H14,'①カード一覧(入力用)'!$A:$C,3,0)&amp;VLOOKUP($H14,'①カード一覧(入力用)'!$A:$J,10,0)))</f>
        <v>#N/A</v>
      </c>
      <c r="N14" s="7" t="e">
        <f>IF(G14="","",VALUE((1500-VLOOKUP($H14,'①カード一覧(入力用)'!$A:$P,16,0))&amp;VLOOKUP($H14,'①カード一覧(入力用)'!$A:$B,2,0)&amp;VLOOKUP($H14,'①カード一覧(入力用)'!$A:$D,4,0)&amp;VLOOKUP($H14,'①カード一覧(入力用)'!$A:$C,3,0)&amp;VLOOKUP($H14,'①カード一覧(入力用)'!$A:$J,10,0)))</f>
        <v>#N/A</v>
      </c>
      <c r="O14" s="7" t="e">
        <f>IF(G14="","",VALUE((1500-VLOOKUP($H14,'①カード一覧(入力用)'!$A:$Q,17,0))&amp;VLOOKUP($H14,'①カード一覧(入力用)'!$A:$B,2,0)&amp;VLOOKUP($H14,'①カード一覧(入力用)'!$A:$D,4,0)&amp;VLOOKUP($H14,'①カード一覧(入力用)'!$A:$C,3,0)&amp;VLOOKUP($H14,'①カード一覧(入力用)'!$A:$J,10,0)))</f>
        <v>#N/A</v>
      </c>
      <c r="P14" s="7" t="e">
        <f>IF(G14="","",VALUE((200-VLOOKUP($H14,'①カード一覧(入力用)'!$A:$R,18,0))&amp;VLOOKUP($H14,'①カード一覧(入力用)'!$A:$B,2,0)&amp;VLOOKUP($H14,'①カード一覧(入力用)'!$A:$D,4,0)&amp;VLOOKUP($H14,'①カード一覧(入力用)'!$A:$C,3,0)&amp;VLOOKUP($H14,'①カード一覧(入力用)'!$A:$J,10,0)))</f>
        <v>#N/A</v>
      </c>
      <c r="Q14" s="7" t="e">
        <f>IF(G14="","",VALUE(VLOOKUP($H14,'①カード一覧(入力用)'!$A:$G,7,0)&amp;VLOOKUP($H14,'①カード一覧(入力用)'!$A:$C,3,0)&amp;VLOOKUP($H14,'①カード一覧(入力用)'!$A:$B,2,0)&amp;VLOOKUP($H14,'①カード一覧(入力用)'!$A:$D,4,0)&amp;VLOOKUP($H14,'①カード一覧(入力用)'!$A:$J,10,0)))</f>
        <v>#N/A</v>
      </c>
      <c r="R14" s="106" t="e">
        <f>IF(G14="","",VALUE(VLOOKUP($H14,'①カード一覧(入力用)'!$A:$H,8,0)&amp;VLOOKUP($H14,'①カード一覧(入力用)'!$A:$AR,44,0)&amp;VLOOKUP($H14,'①カード一覧(入力用)'!$A:$B,2,0)&amp;VLOOKUP($H14,'①カード一覧(入力用)'!$A:$D,4,0)&amp;VLOOKUP($H14,'①カード一覧(入力用)'!$A:$J,10,0)))</f>
        <v>#N/A</v>
      </c>
      <c r="S14" s="7">
        <f>IF(G14="","",RANK(INDEX($I$4:$R$43,E14*2-1,$L$1),INDEX($I$4:$R$43,$E$4,$L$1):INDEX($I$4:$R$43,$Q$1,$L$1),1))</f>
        <v>6</v>
      </c>
      <c r="T14" s="7">
        <f>IF(H14="","",VLOOKUP($H14,'①カード一覧(入力用)'!$A:$A,1,0))</f>
        <v>127</v>
      </c>
      <c r="U14" s="106">
        <f>IF($AD14="","",IF($AA$2="タイプ・コスト","『改行』"&amp;VLOOKUP($AD14,'①カード一覧(入力用)'!$I:$AB,5,0)&amp;VLOOKUP($AD14,'①カード一覧(入力用)'!$I:$AB,6,0)&amp;"『改行』",IF($AA$2&lt;&gt;"No","『改行』"&amp;VLOOKUP($AD14,'①カード一覧(入力用)'!$I:$AB,VLOOKUP($AA$2,$A$34:$B$42,2,0),0)&amp;"『改行』","")))</f>
      </c>
      <c r="V14" s="106">
        <f>IF($U14=$U12,"",$U14)</f>
      </c>
      <c r="W14" s="106">
        <f>IF(ISERROR(MATCH(VALUE(MID(V14,5,3)),$A$45:$A$58,0)),"",V14)</f>
      </c>
      <c r="X14" s="225"/>
      <c r="Y14" s="226"/>
      <c r="Z14" s="226"/>
      <c r="AA14" s="226"/>
      <c r="AB14" s="19">
        <v>6</v>
      </c>
      <c r="AC14" s="10">
        <v>1</v>
      </c>
      <c r="AD14" s="88">
        <f>IF(H14="","",VLOOKUP(AB14,$S$4:$T$43,2,0))</f>
        <v>127</v>
      </c>
      <c r="AE14" s="106">
        <f>IF(OR($AA$2="HP",$AA$2="攻",$AA$2="防",$AA$2="速"),W14,V14)</f>
      </c>
      <c r="AF14" s="20" t="str">
        <f>IF($AD14="","","|[["&amp;VLOOKUP($AD14,'①カード一覧(入力用)'!$I:$AB,2,0)&amp;"_"&amp;VLOOKUP($AD14,'①カード一覧(入力用)'!$I:$AB,4,0)&amp;"]]|")</f>
        <v>|[[0127_光翼炎舞フェネキア]]|</v>
      </c>
      <c r="AG14" s="115" t="str">
        <f>IF($AD14="","",IF($AA$2="レアリティ","","CENTER:"&amp;VLOOKUP($AD14,'①カード一覧(入力用)'!$I:$AB,3,0)&amp;"|"))</f>
        <v>CENTER:CP|</v>
      </c>
      <c r="AH14" s="115" t="str">
        <f>IF($AD14="","",IF($AA$2="勢力・陣形","","CENTER:"&amp;VLOOKUP($AD14,'①カード一覧(入力用)'!$I:$AB,18,0)&amp;"|"))</f>
        <v>CENTER:魔族「グリード」|</v>
      </c>
      <c r="AI14" s="115" t="str">
        <f>IF($AD14="","",IF($AA$2="タイプ・コスト","",VLOOKUP($AD14,'①カード一覧(入力用)'!$I:$AB,5,0)&amp;"|"))</f>
        <v>|</v>
      </c>
      <c r="AJ14" s="115" t="str">
        <f>IF($AD14="","",IF($AA$2="タイプ・コスト","","CENTER:"&amp;VLOOKUP($AD14,'①カード一覧(入力用)'!$I:$AB,6,0)&amp;"|"))</f>
        <v>CENTER:|</v>
      </c>
      <c r="AK14" s="116" t="str">
        <f>IF($AD14="","",VLOOKUP($AD14,'①カード一覧(入力用)'!$I:$AB,7,0)&amp;"|")</f>
        <v>|</v>
      </c>
      <c r="AL14" s="116" t="str">
        <f>IF($AD14="","",VLOOKUP($AD14,'①カード一覧(入力用)'!$I:$AB,8,0)&amp;"|")</f>
        <v>|</v>
      </c>
      <c r="AM14" s="116" t="str">
        <f>IF($AD14="","",VLOOKUP($AD14,'①カード一覧(入力用)'!$I:$AB,9,0)&amp;"|")</f>
        <v>|</v>
      </c>
      <c r="AN14" s="116" t="str">
        <f>IF($AD14="","",VLOOKUP($AD14,'①カード一覧(入力用)'!$I:$AB,10,0)&amp;"|")</f>
        <v>|</v>
      </c>
      <c r="AO14" s="117" t="str">
        <f>IF($AD14="","",IF($AA$2="基本技",VLOOKUP($AD14,'①カード一覧(入力用)'!$I:$AB,12,0)&amp;"|",IF($AA$2="必殺技",VLOOKUP($AD14,'①カード一覧(入力用)'!$I:$AB,15,0)&amp;"|",VLOOKUP($AD14,'①カード一覧(入力用)'!$I:$AB,11,0)&amp;"|")))</f>
        <v>正面の敵を攻撃|</v>
      </c>
    </row>
    <row r="15" spans="1:41" ht="13.5" customHeight="1">
      <c r="A15" s="9" t="s">
        <v>824</v>
      </c>
      <c r="B15" s="9"/>
      <c r="C15" s="9"/>
      <c r="D15" s="9"/>
      <c r="E15" s="8">
        <v>6</v>
      </c>
      <c r="F15" s="7">
        <v>2</v>
      </c>
      <c r="G15" s="7"/>
      <c r="H15" s="7">
        <f>H14</f>
        <v>127</v>
      </c>
      <c r="I15" s="13">
        <f>IF(G15="","",VLOOKUP($H15,'①カード一覧(入力用)'!$A:$A,1,0))</f>
      </c>
      <c r="J15" s="7">
        <f>IF(G15="","",VALUE(VLOOKUP($H15,'①カード一覧(入力用)'!$A:$F,6,0)&amp;VLOOKUP($H15,'①カード一覧(入力用)'!$A:$B,2,0)&amp;VLOOKUP($H15,'①カード一覧(入力用)'!$A:$D,4,0)&amp;VLOOKUP($H15,'①カード一覧(入力用)'!$A:$C,3,0)&amp;VLOOKUP($H15,'①カード一覧(入力用)'!$A:$J,10,0)))</f>
      </c>
      <c r="K15" s="7">
        <f>IF(G15="","",VALUE(VLOOKUP($H15,'①カード一覧(入力用)'!$A:$E,5,0)&amp;VLOOKUP($H15,'①カード一覧(入力用)'!$A:$D,4,0)&amp;VLOOKUP($H15,'①カード一覧(入力用)'!$A:$C,3,0)&amp;VLOOKUP($H15,'①カード一覧(入力用)'!$A:$J,10,0)))</f>
      </c>
      <c r="L15" s="7">
        <f>IF(G15="","",VALUE(VLOOKUP($H15,'①カード一覧(入力用)'!$A:$D,4,0)&amp;VLOOKUP($H15,'①カード一覧(入力用)'!$A:$C,3,0)&amp;VLOOKUP($H15,'①カード一覧(入力用)'!$A:$B,2,0)&amp;VLOOKUP($H15,'①カード一覧(入力用)'!$A:$J,10,0)))</f>
      </c>
      <c r="M15" s="7">
        <f>IF(G15="","",VALUE((1500-VLOOKUP($H15,'①カード一覧(入力用)'!$A:$O,15,0))&amp;VLOOKUP($H15,'①カード一覧(入力用)'!$A:$B,2,0)&amp;VLOOKUP($H15,'①カード一覧(入力用)'!$A:$D,4,0)&amp;VLOOKUP($H15,'①カード一覧(入力用)'!$A:$C,3,0)&amp;VLOOKUP($H15,'①カード一覧(入力用)'!$A:$J,10,0)))</f>
      </c>
      <c r="N15" s="7">
        <f>IF(G15="","",VALUE((1500-VLOOKUP($H15,'①カード一覧(入力用)'!$A:$P,16,0))&amp;VLOOKUP($H15,'①カード一覧(入力用)'!$A:$B,2,0)&amp;VLOOKUP($H15,'①カード一覧(入力用)'!$A:$D,4,0)&amp;VLOOKUP($H15,'①カード一覧(入力用)'!$A:$C,3,0)&amp;VLOOKUP($H15,'①カード一覧(入力用)'!$A:$J,10,0)))</f>
      </c>
      <c r="O15" s="7">
        <f>IF(G15="","",VALUE((1500-VLOOKUP($H15,'①カード一覧(入力用)'!$A:$Q,17,0))&amp;VLOOKUP($H15,'①カード一覧(入力用)'!$A:$B,2,0)&amp;VLOOKUP($H15,'①カード一覧(入力用)'!$A:$D,4,0)&amp;VLOOKUP($H15,'①カード一覧(入力用)'!$A:$C,3,0)&amp;VLOOKUP($H15,'①カード一覧(入力用)'!$A:$J,10,0)))</f>
      </c>
      <c r="P15" s="7">
        <f>IF(G15="","",VALUE((200-VLOOKUP($H15,'①カード一覧(入力用)'!$A:$R,18,0))&amp;VLOOKUP($H15,'①カード一覧(入力用)'!$A:$B,2,0)&amp;VLOOKUP($H15,'①カード一覧(入力用)'!$A:$D,4,0)&amp;VLOOKUP($H15,'①カード一覧(入力用)'!$A:$C,3,0)&amp;VLOOKUP($H15,'①カード一覧(入力用)'!$A:$J,10,0)))</f>
      </c>
      <c r="Q15" s="7">
        <f>IF(G15="","",VALUE(VLOOKUP($H15,'①カード一覧(入力用)'!$A:$G,7,0)&amp;VLOOKUP($H15,'①カード一覧(入力用)'!$A:$C,3,0)&amp;VLOOKUP($H15,'①カード一覧(入力用)'!$A:$B,2,0)&amp;VLOOKUP($H15,'①カード一覧(入力用)'!$A:$D,4,0)&amp;VLOOKUP($H15,'①カード一覧(入力用)'!$A:$J,10,0)))</f>
      </c>
      <c r="R15" s="106">
        <f>IF(G15="","",VALUE(VLOOKUP($H15,'①カード一覧(入力用)'!$A:$H,8,0)&amp;VLOOKUP($H15,'①カード一覧(入力用)'!$A:$AR,44,0)&amp;VLOOKUP($H15,'①カード一覧(入力用)'!$A:$B,2,0)&amp;VLOOKUP($H15,'①カード一覧(入力用)'!$A:$D,4,0)&amp;VLOOKUP($H15,'①カード一覧(入力用)'!$A:$J,10,0)))</f>
      </c>
      <c r="S15" s="7">
        <f>IF(G15="","",RANK(INDEX($I$4:$R$43,E15*2-1,$L$1),INDEX($I$4:$R$43,$E$4,$L$1):INDEX($I$4:$R$43,$Q$1,$L$1),1))</f>
      </c>
      <c r="T15" s="7">
        <f>IF(H15="","",VLOOKUP($H15,'①カード一覧(入力用)'!$A:$A,1,0))</f>
        <v>127</v>
      </c>
      <c r="U15" s="106"/>
      <c r="V15" s="106"/>
      <c r="W15" s="106"/>
      <c r="X15" s="225"/>
      <c r="Y15" s="226"/>
      <c r="Z15" s="226"/>
      <c r="AA15" s="226"/>
      <c r="AB15" s="19">
        <v>6</v>
      </c>
      <c r="AC15" s="10">
        <v>2</v>
      </c>
      <c r="AD15" s="88">
        <f>AD14</f>
        <v>127</v>
      </c>
      <c r="AE15" s="106"/>
      <c r="AF15" s="20" t="str">
        <f>IF($AD15="","",IF($AA$2="基本技","","|~|"))</f>
        <v>|~|</v>
      </c>
      <c r="AG15" s="118" t="str">
        <f>IF($AD15="","",IF(OR($AA$2="レアリティ",$AA$2="基本技"),"","~"&amp;"|"))</f>
        <v>~|</v>
      </c>
      <c r="AH15" s="118" t="str">
        <f>IF($AD15="","",IF(OR($AA$2="勢力・陣形",$AA$2="基本技"),"","~"&amp;"|"))</f>
        <v>~|</v>
      </c>
      <c r="AI15" s="118" t="str">
        <f>IF($AD15="","",IF(OR($AA$2="タイプ・コスト",$AA$2="基本技"),"","~"&amp;"|"))</f>
        <v>~|</v>
      </c>
      <c r="AJ15" s="118" t="str">
        <f>IF($AD15="","",IF(OR($AA$2="タイプ・コスト",$AA$2="基本技"),"","~"&amp;"|"))</f>
        <v>~|</v>
      </c>
      <c r="AK15" s="106" t="str">
        <f>IF($AD15="","",IF($AA$2="基本技","","~"&amp;"|"))</f>
        <v>~|</v>
      </c>
      <c r="AL15" s="106" t="str">
        <f>IF($AD15="","",IF($AA$2="基本技","","~"&amp;"|"))</f>
        <v>~|</v>
      </c>
      <c r="AM15" s="106" t="str">
        <f t="shared" si="0"/>
        <v>~|</v>
      </c>
      <c r="AN15" s="106" t="str">
        <f t="shared" si="0"/>
        <v>~|</v>
      </c>
      <c r="AO15" s="20" t="str">
        <f>IF($AD15="","",IF($AA$2="基本技","",IF($AA$2="必殺技",VLOOKUP($AD15,'①カード一覧(入力用)'!$I:$AB,14,0)&amp;"|",VLOOKUP($AD15,'①カード一覧(入力用)'!$I:$AB,13,0)&amp;"|")))</f>
        <v>味方全体を回復|</v>
      </c>
    </row>
    <row r="16" spans="1:41" ht="13.5" customHeight="1">
      <c r="A16" s="9" t="s">
        <v>860</v>
      </c>
      <c r="B16" s="9"/>
      <c r="C16" s="9"/>
      <c r="D16" s="9"/>
      <c r="E16" s="8">
        <v>7</v>
      </c>
      <c r="F16" s="7">
        <v>1</v>
      </c>
      <c r="G16" s="7">
        <f>IF(G14="","",IF(G14+1&gt;$Y$6,"",G14+1))</f>
        <v>129</v>
      </c>
      <c r="H16" s="7">
        <f>IF(G16="","",INDEX('①カード一覧(入力用)'!A:A,$G16,1))</f>
        <v>128</v>
      </c>
      <c r="I16" s="13">
        <f>IF(G16="","",VLOOKUP($H16,'①カード一覧(入力用)'!$A:$A,1,0))</f>
        <v>128</v>
      </c>
      <c r="J16" s="7" t="e">
        <f>IF(G16="","",VALUE(VLOOKUP($H16,'①カード一覧(入力用)'!$A:$F,6,0)&amp;VLOOKUP($H16,'①カード一覧(入力用)'!$A:$B,2,0)&amp;VLOOKUP($H16,'①カード一覧(入力用)'!$A:$D,4,0)&amp;VLOOKUP($H16,'①カード一覧(入力用)'!$A:$C,3,0)&amp;VLOOKUP($H16,'①カード一覧(入力用)'!$A:$J,10,0)))</f>
        <v>#N/A</v>
      </c>
      <c r="K16" s="7" t="e">
        <f>IF(G16="","",VALUE(VLOOKUP($H16,'①カード一覧(入力用)'!$A:$E,5,0)&amp;VLOOKUP($H16,'①カード一覧(入力用)'!$A:$D,4,0)&amp;VLOOKUP($H16,'①カード一覧(入力用)'!$A:$C,3,0)&amp;VLOOKUP($H16,'①カード一覧(入力用)'!$A:$J,10,0)))</f>
        <v>#N/A</v>
      </c>
      <c r="L16" s="7" t="e">
        <f>IF(G16="","",VALUE(VLOOKUP($H16,'①カード一覧(入力用)'!$A:$D,4,0)&amp;VLOOKUP($H16,'①カード一覧(入力用)'!$A:$C,3,0)&amp;VLOOKUP($H16,'①カード一覧(入力用)'!$A:$B,2,0)&amp;VLOOKUP($H16,'①カード一覧(入力用)'!$A:$J,10,0)))</f>
        <v>#N/A</v>
      </c>
      <c r="M16" s="7" t="e">
        <f>IF(G16="","",VALUE((1500-VLOOKUP($H16,'①カード一覧(入力用)'!$A:$O,15,0))&amp;VLOOKUP($H16,'①カード一覧(入力用)'!$A:$B,2,0)&amp;VLOOKUP($H16,'①カード一覧(入力用)'!$A:$D,4,0)&amp;VLOOKUP($H16,'①カード一覧(入力用)'!$A:$C,3,0)&amp;VLOOKUP($H16,'①カード一覧(入力用)'!$A:$J,10,0)))</f>
        <v>#N/A</v>
      </c>
      <c r="N16" s="7" t="e">
        <f>IF(G16="","",VALUE((1500-VLOOKUP($H16,'①カード一覧(入力用)'!$A:$P,16,0))&amp;VLOOKUP($H16,'①カード一覧(入力用)'!$A:$B,2,0)&amp;VLOOKUP($H16,'①カード一覧(入力用)'!$A:$D,4,0)&amp;VLOOKUP($H16,'①カード一覧(入力用)'!$A:$C,3,0)&amp;VLOOKUP($H16,'①カード一覧(入力用)'!$A:$J,10,0)))</f>
        <v>#N/A</v>
      </c>
      <c r="O16" s="7" t="e">
        <f>IF(G16="","",VALUE((1500-VLOOKUP($H16,'①カード一覧(入力用)'!$A:$Q,17,0))&amp;VLOOKUP($H16,'①カード一覧(入力用)'!$A:$B,2,0)&amp;VLOOKUP($H16,'①カード一覧(入力用)'!$A:$D,4,0)&amp;VLOOKUP($H16,'①カード一覧(入力用)'!$A:$C,3,0)&amp;VLOOKUP($H16,'①カード一覧(入力用)'!$A:$J,10,0)))</f>
        <v>#N/A</v>
      </c>
      <c r="P16" s="7" t="e">
        <f>IF(G16="","",VALUE((200-VLOOKUP($H16,'①カード一覧(入力用)'!$A:$R,18,0))&amp;VLOOKUP($H16,'①カード一覧(入力用)'!$A:$B,2,0)&amp;VLOOKUP($H16,'①カード一覧(入力用)'!$A:$D,4,0)&amp;VLOOKUP($H16,'①カード一覧(入力用)'!$A:$C,3,0)&amp;VLOOKUP($H16,'①カード一覧(入力用)'!$A:$J,10,0)))</f>
        <v>#N/A</v>
      </c>
      <c r="Q16" s="7" t="e">
        <f>IF(G16="","",VALUE(VLOOKUP($H16,'①カード一覧(入力用)'!$A:$G,7,0)&amp;VLOOKUP($H16,'①カード一覧(入力用)'!$A:$C,3,0)&amp;VLOOKUP($H16,'①カード一覧(入力用)'!$A:$B,2,0)&amp;VLOOKUP($H16,'①カード一覧(入力用)'!$A:$D,4,0)&amp;VLOOKUP($H16,'①カード一覧(入力用)'!$A:$J,10,0)))</f>
        <v>#N/A</v>
      </c>
      <c r="R16" s="106" t="e">
        <f>IF(G16="","",VALUE(VLOOKUP($H16,'①カード一覧(入力用)'!$A:$H,8,0)&amp;VLOOKUP($H16,'①カード一覧(入力用)'!$A:$AR,44,0)&amp;VLOOKUP($H16,'①カード一覧(入力用)'!$A:$B,2,0)&amp;VLOOKUP($H16,'①カード一覧(入力用)'!$A:$D,4,0)&amp;VLOOKUP($H16,'①カード一覧(入力用)'!$A:$J,10,0)))</f>
        <v>#N/A</v>
      </c>
      <c r="S16" s="7">
        <f>IF(G16="","",RANK(INDEX($I$4:$R$43,E16*2-1,$L$1),INDEX($I$4:$R$43,$E$4,$L$1):INDEX($I$4:$R$43,$Q$1,$L$1),1))</f>
        <v>7</v>
      </c>
      <c r="T16" s="7">
        <f>IF(H16="","",VLOOKUP($H16,'①カード一覧(入力用)'!$A:$A,1,0))</f>
        <v>128</v>
      </c>
      <c r="U16" s="106">
        <f>IF($AD16="","",IF($AA$2="タイプ・コスト","『改行』"&amp;VLOOKUP($AD16,'①カード一覧(入力用)'!$I:$AB,5,0)&amp;VLOOKUP($AD16,'①カード一覧(入力用)'!$I:$AB,6,0)&amp;"『改行』",IF($AA$2&lt;&gt;"No","『改行』"&amp;VLOOKUP($AD16,'①カード一覧(入力用)'!$I:$AB,VLOOKUP($AA$2,$A$34:$B$42,2,0),0)&amp;"『改行』","")))</f>
      </c>
      <c r="V16" s="106">
        <f>IF($U16=$U14,"",$U16)</f>
      </c>
      <c r="W16" s="106">
        <f>IF(ISERROR(MATCH(VALUE(MID(V16,5,3)),$A$45:$A$58,0)),"",V16)</f>
      </c>
      <c r="X16" s="225"/>
      <c r="Y16" s="226"/>
      <c r="Z16" s="226"/>
      <c r="AA16" s="226"/>
      <c r="AB16" s="19">
        <v>7</v>
      </c>
      <c r="AC16" s="10">
        <v>1</v>
      </c>
      <c r="AD16" s="88">
        <f>IF(H16="","",VLOOKUP(AB16,$S$4:$T$43,2,0))</f>
        <v>128</v>
      </c>
      <c r="AE16" s="106">
        <f>IF(OR($AA$2="HP",$AA$2="攻",$AA$2="防",$AA$2="速"),W16,V16)</f>
      </c>
      <c r="AF16" s="20" t="str">
        <f>IF($AD16="","","|[["&amp;VLOOKUP($AD16,'①カード一覧(入力用)'!$I:$AB,2,0)&amp;"_"&amp;VLOOKUP($AD16,'①カード一覧(入力用)'!$I:$AB,4,0)&amp;"]]|")</f>
        <v>|[[0128_アルフィーネ]]|</v>
      </c>
      <c r="AG16" s="115" t="str">
        <f>IF($AD16="","",IF($AA$2="レアリティ","","CENTER:"&amp;VLOOKUP($AD16,'①カード一覧(入力用)'!$I:$AB,3,0)&amp;"|"))</f>
        <v>CENTER:PR|</v>
      </c>
      <c r="AH16" s="115" t="str">
        <f>IF($AD16="","",IF($AA$2="勢力・陣形","","CENTER:"&amp;VLOOKUP($AD16,'①カード一覧(入力用)'!$I:$AB,18,0)&amp;"|"))</f>
        <v>CENTER:魔界|</v>
      </c>
      <c r="AI16" s="115" t="str">
        <f>IF($AD16="","",IF($AA$2="タイプ・コスト","",VLOOKUP($AD16,'①カード一覧(入力用)'!$I:$AB,5,0)&amp;"|"))</f>
        <v>|</v>
      </c>
      <c r="AJ16" s="115" t="str">
        <f>IF($AD16="","",IF($AA$2="タイプ・コスト","","CENTER:"&amp;VLOOKUP($AD16,'①カード一覧(入力用)'!$I:$AB,6,0)&amp;"|"))</f>
        <v>CENTER:|</v>
      </c>
      <c r="AK16" s="116" t="str">
        <f>IF($AD16="","",VLOOKUP($AD16,'①カード一覧(入力用)'!$I:$AB,7,0)&amp;"|")</f>
        <v>|</v>
      </c>
      <c r="AL16" s="116" t="str">
        <f>IF($AD16="","",VLOOKUP($AD16,'①カード一覧(入力用)'!$I:$AB,8,0)&amp;"|")</f>
        <v>|</v>
      </c>
      <c r="AM16" s="116" t="str">
        <f>IF($AD16="","",VLOOKUP($AD16,'①カード一覧(入力用)'!$I:$AB,9,0)&amp;"|")</f>
        <v>|</v>
      </c>
      <c r="AN16" s="116" t="str">
        <f>IF($AD16="","",VLOOKUP($AD16,'①カード一覧(入力用)'!$I:$AB,10,0)&amp;"|")</f>
        <v>|</v>
      </c>
      <c r="AO16" s="117" t="str">
        <f>IF($AD16="","",IF($AA$2="基本技",VLOOKUP($AD16,'①カード一覧(入力用)'!$I:$AB,12,0)&amp;"|",IF($AA$2="必殺技",VLOOKUP($AD16,'①カード一覧(入力用)'!$I:$AB,15,0)&amp;"|",VLOOKUP($AD16,'①カード一覧(入力用)'!$I:$AB,11,0)&amp;"|")))</f>
        <v>ランダムに味方の与ダメージをアップ|</v>
      </c>
    </row>
    <row r="17" spans="1:41" ht="12">
      <c r="A17" s="11" t="s">
        <v>818</v>
      </c>
      <c r="B17" s="7" t="s">
        <v>2123</v>
      </c>
      <c r="C17" s="7" t="s">
        <v>853</v>
      </c>
      <c r="D17" s="120"/>
      <c r="E17" s="8">
        <v>7</v>
      </c>
      <c r="F17" s="7">
        <v>2</v>
      </c>
      <c r="G17" s="7"/>
      <c r="H17" s="7">
        <f>H16</f>
        <v>128</v>
      </c>
      <c r="I17" s="13">
        <f>IF(G17="","",VLOOKUP($H17,'①カード一覧(入力用)'!$A:$A,1,0))</f>
      </c>
      <c r="J17" s="7">
        <f>IF(G17="","",VALUE(VLOOKUP($H17,'①カード一覧(入力用)'!$A:$F,6,0)&amp;VLOOKUP($H17,'①カード一覧(入力用)'!$A:$B,2,0)&amp;VLOOKUP($H17,'①カード一覧(入力用)'!$A:$D,4,0)&amp;VLOOKUP($H17,'①カード一覧(入力用)'!$A:$C,3,0)&amp;VLOOKUP($H17,'①カード一覧(入力用)'!$A:$J,10,0)))</f>
      </c>
      <c r="K17" s="7">
        <f>IF(G17="","",VALUE(VLOOKUP($H17,'①カード一覧(入力用)'!$A:$E,5,0)&amp;VLOOKUP($H17,'①カード一覧(入力用)'!$A:$D,4,0)&amp;VLOOKUP($H17,'①カード一覧(入力用)'!$A:$C,3,0)&amp;VLOOKUP($H17,'①カード一覧(入力用)'!$A:$J,10,0)))</f>
      </c>
      <c r="L17" s="7">
        <f>IF(G17="","",VALUE(VLOOKUP($H17,'①カード一覧(入力用)'!$A:$D,4,0)&amp;VLOOKUP($H17,'①カード一覧(入力用)'!$A:$C,3,0)&amp;VLOOKUP($H17,'①カード一覧(入力用)'!$A:$B,2,0)&amp;VLOOKUP($H17,'①カード一覧(入力用)'!$A:$J,10,0)))</f>
      </c>
      <c r="M17" s="7">
        <f>IF(G17="","",VALUE((1500-VLOOKUP($H17,'①カード一覧(入力用)'!$A:$O,15,0))&amp;VLOOKUP($H17,'①カード一覧(入力用)'!$A:$B,2,0)&amp;VLOOKUP($H17,'①カード一覧(入力用)'!$A:$D,4,0)&amp;VLOOKUP($H17,'①カード一覧(入力用)'!$A:$C,3,0)&amp;VLOOKUP($H17,'①カード一覧(入力用)'!$A:$J,10,0)))</f>
      </c>
      <c r="N17" s="7">
        <f>IF(G17="","",VALUE((1500-VLOOKUP($H17,'①カード一覧(入力用)'!$A:$P,16,0))&amp;VLOOKUP($H17,'①カード一覧(入力用)'!$A:$B,2,0)&amp;VLOOKUP($H17,'①カード一覧(入力用)'!$A:$D,4,0)&amp;VLOOKUP($H17,'①カード一覧(入力用)'!$A:$C,3,0)&amp;VLOOKUP($H17,'①カード一覧(入力用)'!$A:$J,10,0)))</f>
      </c>
      <c r="O17" s="7">
        <f>IF(G17="","",VALUE((1500-VLOOKUP($H17,'①カード一覧(入力用)'!$A:$Q,17,0))&amp;VLOOKUP($H17,'①カード一覧(入力用)'!$A:$B,2,0)&amp;VLOOKUP($H17,'①カード一覧(入力用)'!$A:$D,4,0)&amp;VLOOKUP($H17,'①カード一覧(入力用)'!$A:$C,3,0)&amp;VLOOKUP($H17,'①カード一覧(入力用)'!$A:$J,10,0)))</f>
      </c>
      <c r="P17" s="7">
        <f>IF(G17="","",VALUE((200-VLOOKUP($H17,'①カード一覧(入力用)'!$A:$R,18,0))&amp;VLOOKUP($H17,'①カード一覧(入力用)'!$A:$B,2,0)&amp;VLOOKUP($H17,'①カード一覧(入力用)'!$A:$D,4,0)&amp;VLOOKUP($H17,'①カード一覧(入力用)'!$A:$C,3,0)&amp;VLOOKUP($H17,'①カード一覧(入力用)'!$A:$J,10,0)))</f>
      </c>
      <c r="Q17" s="7">
        <f>IF(G17="","",VALUE(VLOOKUP($H17,'①カード一覧(入力用)'!$A:$G,7,0)&amp;VLOOKUP($H17,'①カード一覧(入力用)'!$A:$C,3,0)&amp;VLOOKUP($H17,'①カード一覧(入力用)'!$A:$B,2,0)&amp;VLOOKUP($H17,'①カード一覧(入力用)'!$A:$D,4,0)&amp;VLOOKUP($H17,'①カード一覧(入力用)'!$A:$J,10,0)))</f>
      </c>
      <c r="R17" s="106">
        <f>IF(G17="","",VALUE(VLOOKUP($H17,'①カード一覧(入力用)'!$A:$H,8,0)&amp;VLOOKUP($H17,'①カード一覧(入力用)'!$A:$AR,44,0)&amp;VLOOKUP($H17,'①カード一覧(入力用)'!$A:$B,2,0)&amp;VLOOKUP($H17,'①カード一覧(入力用)'!$A:$D,4,0)&amp;VLOOKUP($H17,'①カード一覧(入力用)'!$A:$J,10,0)))</f>
      </c>
      <c r="S17" s="7">
        <f>IF(G17="","",RANK(INDEX($I$4:$R$43,E17*2-1,$L$1),INDEX($I$4:$R$43,$E$4,$L$1):INDEX($I$4:$R$43,$Q$1,$L$1),1))</f>
      </c>
      <c r="T17" s="7">
        <f>IF(H17="","",VLOOKUP($H17,'①カード一覧(入力用)'!$A:$A,1,0))</f>
        <v>128</v>
      </c>
      <c r="U17" s="106"/>
      <c r="V17" s="106"/>
      <c r="W17" s="106"/>
      <c r="X17" s="225"/>
      <c r="Y17" s="226"/>
      <c r="Z17" s="226"/>
      <c r="AA17" s="226"/>
      <c r="AB17" s="19">
        <v>7</v>
      </c>
      <c r="AC17" s="10">
        <v>2</v>
      </c>
      <c r="AD17" s="88">
        <f>AD16</f>
        <v>128</v>
      </c>
      <c r="AE17" s="106"/>
      <c r="AF17" s="20" t="str">
        <f>IF($AD17="","",IF($AA$2="基本技","","|~|"))</f>
        <v>|~|</v>
      </c>
      <c r="AG17" s="118" t="str">
        <f>IF($AD17="","",IF(OR($AA$2="レアリティ",$AA$2="基本技"),"","~"&amp;"|"))</f>
        <v>~|</v>
      </c>
      <c r="AH17" s="118" t="str">
        <f>IF($AD17="","",IF(OR($AA$2="勢力・陣形",$AA$2="基本技"),"","~"&amp;"|"))</f>
        <v>~|</v>
      </c>
      <c r="AI17" s="118" t="str">
        <f>IF($AD17="","",IF(OR($AA$2="タイプ・コスト",$AA$2="基本技"),"","~"&amp;"|"))</f>
        <v>~|</v>
      </c>
      <c r="AJ17" s="118" t="str">
        <f>IF($AD17="","",IF(OR($AA$2="タイプ・コスト",$AA$2="基本技"),"","~"&amp;"|"))</f>
        <v>~|</v>
      </c>
      <c r="AK17" s="106" t="str">
        <f>IF($AD17="","",IF($AA$2="基本技","","~"&amp;"|"))</f>
        <v>~|</v>
      </c>
      <c r="AL17" s="106" t="str">
        <f>IF($AD17="","",IF($AA$2="基本技","","~"&amp;"|"))</f>
        <v>~|</v>
      </c>
      <c r="AM17" s="106" t="str">
        <f t="shared" si="0"/>
        <v>~|</v>
      </c>
      <c r="AN17" s="106" t="str">
        <f t="shared" si="0"/>
        <v>~|</v>
      </c>
      <c r="AO17" s="20" t="str">
        <f>IF($AD17="","",IF($AA$2="基本技","",IF($AA$2="必殺技",VLOOKUP($AD17,'①カード一覧(入力用)'!$I:$AB,14,0)&amp;"|",VLOOKUP($AD17,'①カード一覧(入力用)'!$I:$AB,13,0)&amp;"|")))</f>
        <v>味方全体の与ダメージをアップ|</v>
      </c>
    </row>
    <row r="18" spans="1:41" ht="12">
      <c r="A18" s="11" t="s">
        <v>807</v>
      </c>
      <c r="B18" s="7" t="s">
        <v>812</v>
      </c>
      <c r="C18" s="7">
        <v>1</v>
      </c>
      <c r="D18" s="14"/>
      <c r="E18" s="8">
        <v>8</v>
      </c>
      <c r="F18" s="7">
        <v>1</v>
      </c>
      <c r="G18" s="7">
        <f>IF(G16="","",IF(G16+1&gt;$Y$6,"",G16+1))</f>
        <v>130</v>
      </c>
      <c r="H18" s="7">
        <f>IF(G18="","",INDEX('①カード一覧(入力用)'!A:A,$G18,1))</f>
        <v>129</v>
      </c>
      <c r="I18" s="13">
        <f>IF(G18="","",VLOOKUP($H18,'①カード一覧(入力用)'!$A:$A,1,0))</f>
        <v>129</v>
      </c>
      <c r="J18" s="7" t="e">
        <f>IF(G18="","",VALUE(VLOOKUP($H18,'①カード一覧(入力用)'!$A:$F,6,0)&amp;VLOOKUP($H18,'①カード一覧(入力用)'!$A:$B,2,0)&amp;VLOOKUP($H18,'①カード一覧(入力用)'!$A:$D,4,0)&amp;VLOOKUP($H18,'①カード一覧(入力用)'!$A:$C,3,0)&amp;VLOOKUP($H18,'①カード一覧(入力用)'!$A:$J,10,0)))</f>
        <v>#N/A</v>
      </c>
      <c r="K18" s="7" t="e">
        <f>IF(G18="","",VALUE(VLOOKUP($H18,'①カード一覧(入力用)'!$A:$E,5,0)&amp;VLOOKUP($H18,'①カード一覧(入力用)'!$A:$D,4,0)&amp;VLOOKUP($H18,'①カード一覧(入力用)'!$A:$C,3,0)&amp;VLOOKUP($H18,'①カード一覧(入力用)'!$A:$J,10,0)))</f>
        <v>#N/A</v>
      </c>
      <c r="L18" s="7" t="e">
        <f>IF(G18="","",VALUE(VLOOKUP($H18,'①カード一覧(入力用)'!$A:$D,4,0)&amp;VLOOKUP($H18,'①カード一覧(入力用)'!$A:$C,3,0)&amp;VLOOKUP($H18,'①カード一覧(入力用)'!$A:$B,2,0)&amp;VLOOKUP($H18,'①カード一覧(入力用)'!$A:$J,10,0)))</f>
        <v>#N/A</v>
      </c>
      <c r="M18" s="7" t="e">
        <f>IF(G18="","",VALUE((1500-VLOOKUP($H18,'①カード一覧(入力用)'!$A:$O,15,0))&amp;VLOOKUP($H18,'①カード一覧(入力用)'!$A:$B,2,0)&amp;VLOOKUP($H18,'①カード一覧(入力用)'!$A:$D,4,0)&amp;VLOOKUP($H18,'①カード一覧(入力用)'!$A:$C,3,0)&amp;VLOOKUP($H18,'①カード一覧(入力用)'!$A:$J,10,0)))</f>
        <v>#N/A</v>
      </c>
      <c r="N18" s="7" t="e">
        <f>IF(G18="","",VALUE((1500-VLOOKUP($H18,'①カード一覧(入力用)'!$A:$P,16,0))&amp;VLOOKUP($H18,'①カード一覧(入力用)'!$A:$B,2,0)&amp;VLOOKUP($H18,'①カード一覧(入力用)'!$A:$D,4,0)&amp;VLOOKUP($H18,'①カード一覧(入力用)'!$A:$C,3,0)&amp;VLOOKUP($H18,'①カード一覧(入力用)'!$A:$J,10,0)))</f>
        <v>#N/A</v>
      </c>
      <c r="O18" s="7" t="e">
        <f>IF(G18="","",VALUE((1500-VLOOKUP($H18,'①カード一覧(入力用)'!$A:$Q,17,0))&amp;VLOOKUP($H18,'①カード一覧(入力用)'!$A:$B,2,0)&amp;VLOOKUP($H18,'①カード一覧(入力用)'!$A:$D,4,0)&amp;VLOOKUP($H18,'①カード一覧(入力用)'!$A:$C,3,0)&amp;VLOOKUP($H18,'①カード一覧(入力用)'!$A:$J,10,0)))</f>
        <v>#N/A</v>
      </c>
      <c r="P18" s="7" t="e">
        <f>IF(G18="","",VALUE((200-VLOOKUP($H18,'①カード一覧(入力用)'!$A:$R,18,0))&amp;VLOOKUP($H18,'①カード一覧(入力用)'!$A:$B,2,0)&amp;VLOOKUP($H18,'①カード一覧(入力用)'!$A:$D,4,0)&amp;VLOOKUP($H18,'①カード一覧(入力用)'!$A:$C,3,0)&amp;VLOOKUP($H18,'①カード一覧(入力用)'!$A:$J,10,0)))</f>
        <v>#N/A</v>
      </c>
      <c r="Q18" s="7" t="e">
        <f>IF(G18="","",VALUE(VLOOKUP($H18,'①カード一覧(入力用)'!$A:$G,7,0)&amp;VLOOKUP($H18,'①カード一覧(入力用)'!$A:$C,3,0)&amp;VLOOKUP($H18,'①カード一覧(入力用)'!$A:$B,2,0)&amp;VLOOKUP($H18,'①カード一覧(入力用)'!$A:$D,4,0)&amp;VLOOKUP($H18,'①カード一覧(入力用)'!$A:$J,10,0)))</f>
        <v>#N/A</v>
      </c>
      <c r="R18" s="106" t="e">
        <f>IF(G18="","",VALUE(VLOOKUP($H18,'①カード一覧(入力用)'!$A:$H,8,0)&amp;VLOOKUP($H18,'①カード一覧(入力用)'!$A:$AR,44,0)&amp;VLOOKUP($H18,'①カード一覧(入力用)'!$A:$B,2,0)&amp;VLOOKUP($H18,'①カード一覧(入力用)'!$A:$D,4,0)&amp;VLOOKUP($H18,'①カード一覧(入力用)'!$A:$J,10,0)))</f>
        <v>#N/A</v>
      </c>
      <c r="S18" s="7">
        <f>IF(G18="","",RANK(INDEX($I$4:$R$43,E18*2-1,$L$1),INDEX($I$4:$R$43,$E$4,$L$1):INDEX($I$4:$R$43,$Q$1,$L$1),1))</f>
        <v>8</v>
      </c>
      <c r="T18" s="7">
        <f>IF(H18="","",VLOOKUP($H18,'①カード一覧(入力用)'!$A:$A,1,0))</f>
        <v>129</v>
      </c>
      <c r="U18" s="106">
        <f>IF($AD18="","",IF($AA$2="タイプ・コスト","『改行』"&amp;VLOOKUP($AD18,'①カード一覧(入力用)'!$I:$AB,5,0)&amp;VLOOKUP($AD18,'①カード一覧(入力用)'!$I:$AB,6,0)&amp;"『改行』",IF($AA$2&lt;&gt;"No","『改行』"&amp;VLOOKUP($AD18,'①カード一覧(入力用)'!$I:$AB,VLOOKUP($AA$2,$A$34:$B$42,2,0),0)&amp;"『改行』","")))</f>
      </c>
      <c r="V18" s="106">
        <f>IF($U18=$U16,"",$U18)</f>
      </c>
      <c r="W18" s="106">
        <f>IF(ISERROR(MATCH(VALUE(MID(V18,5,3)),$A$45:$A$58,0)),"",V18)</f>
      </c>
      <c r="X18" s="225"/>
      <c r="Y18" s="226"/>
      <c r="Z18" s="226"/>
      <c r="AA18" s="226"/>
      <c r="AB18" s="19">
        <v>8</v>
      </c>
      <c r="AC18" s="10">
        <v>1</v>
      </c>
      <c r="AD18" s="88">
        <f>IF(H18="","",VLOOKUP(AB18,$S$4:$T$43,2,0))</f>
        <v>129</v>
      </c>
      <c r="AE18" s="106">
        <f>IF(OR($AA$2="HP",$AA$2="攻",$AA$2="防",$AA$2="速"),W18,V18)</f>
      </c>
      <c r="AF18" s="20" t="str">
        <f>IF($AD18="","","|[["&amp;VLOOKUP($AD18,'①カード一覧(入力用)'!$I:$AB,2,0)&amp;"_"&amp;VLOOKUP($AD18,'①カード一覧(入力用)'!$I:$AB,4,0)&amp;"]]|")</f>
        <v>|[[0129_白面金剛九尾イヅナ]]|</v>
      </c>
      <c r="AG18" s="115" t="str">
        <f>IF($AD18="","",IF($AA$2="レアリティ","","CENTER:"&amp;VLOOKUP($AD18,'①カード一覧(入力用)'!$I:$AB,3,0)&amp;"|"))</f>
        <v>CENTER:PR|</v>
      </c>
      <c r="AH18" s="115" t="str">
        <f>IF($AD18="","",IF($AA$2="勢力・陣形","","CENTER:"&amp;VLOOKUP($AD18,'①カード一覧(入力用)'!$I:$AB,18,0)&amp;"|"))</f>
        <v>CENTER:白面九尾|</v>
      </c>
      <c r="AI18" s="115" t="str">
        <f>IF($AD18="","",IF($AA$2="タイプ・コスト","",VLOOKUP($AD18,'①カード一覧(入力用)'!$I:$AB,5,0)&amp;"|"))</f>
        <v>|</v>
      </c>
      <c r="AJ18" s="115" t="str">
        <f>IF($AD18="","",IF($AA$2="タイプ・コスト","","CENTER:"&amp;VLOOKUP($AD18,'①カード一覧(入力用)'!$I:$AB,6,0)&amp;"|"))</f>
        <v>CENTER:|</v>
      </c>
      <c r="AK18" s="116" t="str">
        <f>IF($AD18="","",VLOOKUP($AD18,'①カード一覧(入力用)'!$I:$AB,7,0)&amp;"|")</f>
        <v>|</v>
      </c>
      <c r="AL18" s="116" t="str">
        <f>IF($AD18="","",VLOOKUP($AD18,'①カード一覧(入力用)'!$I:$AB,8,0)&amp;"|")</f>
        <v>|</v>
      </c>
      <c r="AM18" s="116" t="str">
        <f>IF($AD18="","",VLOOKUP($AD18,'①カード一覧(入力用)'!$I:$AB,9,0)&amp;"|")</f>
        <v>|</v>
      </c>
      <c r="AN18" s="116" t="str">
        <f>IF($AD18="","",VLOOKUP($AD18,'①カード一覧(入力用)'!$I:$AB,10,0)&amp;"|")</f>
        <v>|</v>
      </c>
      <c r="AO18" s="117" t="str">
        <f>IF($AD18="","",IF($AA$2="基本技",VLOOKUP($AD18,'①カード一覧(入力用)'!$I:$AB,12,0)&amp;"|",IF($AA$2="必殺技",VLOOKUP($AD18,'①カード一覧(入力用)'!$I:$AB,15,0)&amp;"|",VLOOKUP($AD18,'①カード一覧(入力用)'!$I:$AB,11,0)&amp;"|")))</f>
        <v>正面の敵を攻撃|</v>
      </c>
    </row>
    <row r="19" spans="1:41" ht="12">
      <c r="A19" s="20" t="s">
        <v>809</v>
      </c>
      <c r="B19" s="106" t="s">
        <v>825</v>
      </c>
      <c r="C19" s="106">
        <v>2</v>
      </c>
      <c r="D19" s="15"/>
      <c r="E19" s="105">
        <v>8</v>
      </c>
      <c r="F19" s="106">
        <v>2</v>
      </c>
      <c r="G19" s="106"/>
      <c r="H19" s="106">
        <f>H18</f>
        <v>129</v>
      </c>
      <c r="I19" s="114">
        <f>IF(G19="","",VLOOKUP($H19,'①カード一覧(入力用)'!$A:$A,1,0))</f>
      </c>
      <c r="J19" s="106">
        <f>IF(G19="","",VALUE(VLOOKUP($H19,'①カード一覧(入力用)'!$A:$F,6,0)&amp;VLOOKUP($H19,'①カード一覧(入力用)'!$A:$B,2,0)&amp;VLOOKUP($H19,'①カード一覧(入力用)'!$A:$D,4,0)&amp;VLOOKUP($H19,'①カード一覧(入力用)'!$A:$C,3,0)&amp;VLOOKUP($H19,'①カード一覧(入力用)'!$A:$J,10,0)))</f>
      </c>
      <c r="K19" s="106">
        <f>IF(G19="","",VALUE(VLOOKUP($H19,'①カード一覧(入力用)'!$A:$E,5,0)&amp;VLOOKUP($H19,'①カード一覧(入力用)'!$A:$D,4,0)&amp;VLOOKUP($H19,'①カード一覧(入力用)'!$A:$C,3,0)&amp;VLOOKUP($H19,'①カード一覧(入力用)'!$A:$J,10,0)))</f>
      </c>
      <c r="L19" s="106">
        <f>IF(G19="","",VALUE(VLOOKUP($H19,'①カード一覧(入力用)'!$A:$D,4,0)&amp;VLOOKUP($H19,'①カード一覧(入力用)'!$A:$C,3,0)&amp;VLOOKUP($H19,'①カード一覧(入力用)'!$A:$B,2,0)&amp;VLOOKUP($H19,'①カード一覧(入力用)'!$A:$J,10,0)))</f>
      </c>
      <c r="M19" s="106">
        <f>IF(G19="","",VALUE((1500-VLOOKUP($H19,'①カード一覧(入力用)'!$A:$O,15,0))&amp;VLOOKUP($H19,'①カード一覧(入力用)'!$A:$B,2,0)&amp;VLOOKUP($H19,'①カード一覧(入力用)'!$A:$D,4,0)&amp;VLOOKUP($H19,'①カード一覧(入力用)'!$A:$C,3,0)&amp;VLOOKUP($H19,'①カード一覧(入力用)'!$A:$J,10,0)))</f>
      </c>
      <c r="N19" s="106">
        <f>IF(G19="","",VALUE((1500-VLOOKUP($H19,'①カード一覧(入力用)'!$A:$P,16,0))&amp;VLOOKUP($H19,'①カード一覧(入力用)'!$A:$B,2,0)&amp;VLOOKUP($H19,'①カード一覧(入力用)'!$A:$D,4,0)&amp;VLOOKUP($H19,'①カード一覧(入力用)'!$A:$C,3,0)&amp;VLOOKUP($H19,'①カード一覧(入力用)'!$A:$J,10,0)))</f>
      </c>
      <c r="O19" s="106">
        <f>IF(G19="","",VALUE((1500-VLOOKUP($H19,'①カード一覧(入力用)'!$A:$Q,17,0))&amp;VLOOKUP($H19,'①カード一覧(入力用)'!$A:$B,2,0)&amp;VLOOKUP($H19,'①カード一覧(入力用)'!$A:$D,4,0)&amp;VLOOKUP($H19,'①カード一覧(入力用)'!$A:$C,3,0)&amp;VLOOKUP($H19,'①カード一覧(入力用)'!$A:$J,10,0)))</f>
      </c>
      <c r="P19" s="106">
        <f>IF(G19="","",VALUE((200-VLOOKUP($H19,'①カード一覧(入力用)'!$A:$R,18,0))&amp;VLOOKUP($H19,'①カード一覧(入力用)'!$A:$B,2,0)&amp;VLOOKUP($H19,'①カード一覧(入力用)'!$A:$D,4,0)&amp;VLOOKUP($H19,'①カード一覧(入力用)'!$A:$C,3,0)&amp;VLOOKUP($H19,'①カード一覧(入力用)'!$A:$J,10,0)))</f>
      </c>
      <c r="Q19" s="106">
        <f>IF(G19="","",VALUE(VLOOKUP($H19,'①カード一覧(入力用)'!$A:$G,7,0)&amp;VLOOKUP($H19,'①カード一覧(入力用)'!$A:$C,3,0)&amp;VLOOKUP($H19,'①カード一覧(入力用)'!$A:$B,2,0)&amp;VLOOKUP($H19,'①カード一覧(入力用)'!$A:$D,4,0)&amp;VLOOKUP($H19,'①カード一覧(入力用)'!$A:$J,10,0)))</f>
      </c>
      <c r="R19" s="106">
        <f>IF(G19="","",VALUE(VLOOKUP($H19,'①カード一覧(入力用)'!$A:$H,8,0)&amp;VLOOKUP($H19,'①カード一覧(入力用)'!$A:$AR,44,0)&amp;VLOOKUP($H19,'①カード一覧(入力用)'!$A:$B,2,0)&amp;VLOOKUP($H19,'①カード一覧(入力用)'!$A:$D,4,0)&amp;VLOOKUP($H19,'①カード一覧(入力用)'!$A:$J,10,0)))</f>
      </c>
      <c r="S19" s="106">
        <f>IF(G19="","",RANK(INDEX($I$4:$R$43,E19*2-1,$L$1),INDEX($I$4:$R$43,$E$4,$L$1):INDEX($I$4:$R$43,$Q$1,$L$1),1))</f>
      </c>
      <c r="T19" s="106">
        <f>IF(H19="","",VLOOKUP($H19,'①カード一覧(入力用)'!$A:$A,1,0))</f>
        <v>129</v>
      </c>
      <c r="U19" s="106"/>
      <c r="V19" s="106"/>
      <c r="W19" s="106"/>
      <c r="X19" s="225"/>
      <c r="Y19" s="226"/>
      <c r="Z19" s="226"/>
      <c r="AA19" s="226"/>
      <c r="AB19" s="19">
        <v>8</v>
      </c>
      <c r="AC19" s="10">
        <v>2</v>
      </c>
      <c r="AD19" s="88">
        <f>AD18</f>
        <v>129</v>
      </c>
      <c r="AE19" s="106"/>
      <c r="AF19" s="20" t="str">
        <f>IF($AD19="","",IF($AA$2="基本技","","|~|"))</f>
        <v>|~|</v>
      </c>
      <c r="AG19" s="118" t="str">
        <f>IF($AD19="","",IF(OR($AA$2="レアリティ",$AA$2="基本技"),"","~"&amp;"|"))</f>
        <v>~|</v>
      </c>
      <c r="AH19" s="118" t="str">
        <f>IF($AD19="","",IF(OR($AA$2="勢力・陣形",$AA$2="基本技"),"","~"&amp;"|"))</f>
        <v>~|</v>
      </c>
      <c r="AI19" s="118" t="str">
        <f>IF($AD19="","",IF(OR($AA$2="タイプ・コスト",$AA$2="基本技"),"","~"&amp;"|"))</f>
        <v>~|</v>
      </c>
      <c r="AJ19" s="118" t="str">
        <f>IF($AD19="","",IF(OR($AA$2="タイプ・コスト",$AA$2="基本技"),"","~"&amp;"|"))</f>
        <v>~|</v>
      </c>
      <c r="AK19" s="106" t="str">
        <f>IF($AD19="","",IF($AA$2="基本技","","~"&amp;"|"))</f>
        <v>~|</v>
      </c>
      <c r="AL19" s="106" t="str">
        <f>IF($AD19="","",IF($AA$2="基本技","","~"&amp;"|"))</f>
        <v>~|</v>
      </c>
      <c r="AM19" s="106" t="str">
        <f t="shared" si="0"/>
        <v>~|</v>
      </c>
      <c r="AN19" s="106" t="str">
        <f t="shared" si="0"/>
        <v>~|</v>
      </c>
      <c r="AO19" s="20" t="str">
        <f>IF($AD19="","",IF($AA$2="基本技","",IF($AA$2="必殺技",VLOOKUP($AD19,'①カード一覧(入力用)'!$I:$AB,14,0)&amp;"|",VLOOKUP($AD19,'①カード一覧(入力用)'!$I:$AB,13,0)&amp;"|")))</f>
        <v>正面の敵を攻撃 さらに行動不能にする|</v>
      </c>
    </row>
    <row r="20" spans="1:41" ht="12">
      <c r="A20" s="20" t="s">
        <v>826</v>
      </c>
      <c r="B20" s="106" t="s">
        <v>1060</v>
      </c>
      <c r="C20" s="106">
        <v>3</v>
      </c>
      <c r="D20" s="15"/>
      <c r="E20" s="105">
        <v>9</v>
      </c>
      <c r="F20" s="106">
        <v>1</v>
      </c>
      <c r="G20" s="106">
        <f>IF(G18="","",IF(G18+1&gt;$Y$6,"",G18+1))</f>
        <v>131</v>
      </c>
      <c r="H20" s="106">
        <f>IF(G20="","",INDEX('①カード一覧(入力用)'!A:A,$G20,1))</f>
        <v>130</v>
      </c>
      <c r="I20" s="114">
        <f>IF(G20="","",VLOOKUP($H20,'①カード一覧(入力用)'!$A:$A,1,0))</f>
        <v>130</v>
      </c>
      <c r="J20" s="106" t="e">
        <f>IF(G20="","",VALUE(VLOOKUP($H20,'①カード一覧(入力用)'!$A:$F,6,0)&amp;VLOOKUP($H20,'①カード一覧(入力用)'!$A:$B,2,0)&amp;VLOOKUP($H20,'①カード一覧(入力用)'!$A:$D,4,0)&amp;VLOOKUP($H20,'①カード一覧(入力用)'!$A:$C,3,0)&amp;VLOOKUP($H20,'①カード一覧(入力用)'!$A:$J,10,0)))</f>
        <v>#N/A</v>
      </c>
      <c r="K20" s="106" t="e">
        <f>IF(G20="","",VALUE(VLOOKUP($H20,'①カード一覧(入力用)'!$A:$E,5,0)&amp;VLOOKUP($H20,'①カード一覧(入力用)'!$A:$D,4,0)&amp;VLOOKUP($H20,'①カード一覧(入力用)'!$A:$C,3,0)&amp;VLOOKUP($H20,'①カード一覧(入力用)'!$A:$J,10,0)))</f>
        <v>#N/A</v>
      </c>
      <c r="L20" s="106" t="e">
        <f>IF(G20="","",VALUE(VLOOKUP($H20,'①カード一覧(入力用)'!$A:$D,4,0)&amp;VLOOKUP($H20,'①カード一覧(入力用)'!$A:$C,3,0)&amp;VLOOKUP($H20,'①カード一覧(入力用)'!$A:$B,2,0)&amp;VLOOKUP($H20,'①カード一覧(入力用)'!$A:$J,10,0)))</f>
        <v>#N/A</v>
      </c>
      <c r="M20" s="106" t="e">
        <f>IF(G20="","",VALUE((1500-VLOOKUP($H20,'①カード一覧(入力用)'!$A:$O,15,0))&amp;VLOOKUP($H20,'①カード一覧(入力用)'!$A:$B,2,0)&amp;VLOOKUP($H20,'①カード一覧(入力用)'!$A:$D,4,0)&amp;VLOOKUP($H20,'①カード一覧(入力用)'!$A:$C,3,0)&amp;VLOOKUP($H20,'①カード一覧(入力用)'!$A:$J,10,0)))</f>
        <v>#N/A</v>
      </c>
      <c r="N20" s="106" t="e">
        <f>IF(G20="","",VALUE((1500-VLOOKUP($H20,'①カード一覧(入力用)'!$A:$P,16,0))&amp;VLOOKUP($H20,'①カード一覧(入力用)'!$A:$B,2,0)&amp;VLOOKUP($H20,'①カード一覧(入力用)'!$A:$D,4,0)&amp;VLOOKUP($H20,'①カード一覧(入力用)'!$A:$C,3,0)&amp;VLOOKUP($H20,'①カード一覧(入力用)'!$A:$J,10,0)))</f>
        <v>#N/A</v>
      </c>
      <c r="O20" s="106" t="e">
        <f>IF(G20="","",VALUE((1500-VLOOKUP($H20,'①カード一覧(入力用)'!$A:$Q,17,0))&amp;VLOOKUP($H20,'①カード一覧(入力用)'!$A:$B,2,0)&amp;VLOOKUP($H20,'①カード一覧(入力用)'!$A:$D,4,0)&amp;VLOOKUP($H20,'①カード一覧(入力用)'!$A:$C,3,0)&amp;VLOOKUP($H20,'①カード一覧(入力用)'!$A:$J,10,0)))</f>
        <v>#N/A</v>
      </c>
      <c r="P20" s="106" t="e">
        <f>IF(G20="","",VALUE((200-VLOOKUP($H20,'①カード一覧(入力用)'!$A:$R,18,0))&amp;VLOOKUP($H20,'①カード一覧(入力用)'!$A:$B,2,0)&amp;VLOOKUP($H20,'①カード一覧(入力用)'!$A:$D,4,0)&amp;VLOOKUP($H20,'①カード一覧(入力用)'!$A:$C,3,0)&amp;VLOOKUP($H20,'①カード一覧(入力用)'!$A:$J,10,0)))</f>
        <v>#N/A</v>
      </c>
      <c r="Q20" s="106" t="e">
        <f>IF(G20="","",VALUE(VLOOKUP($H20,'①カード一覧(入力用)'!$A:$G,7,0)&amp;VLOOKUP($H20,'①カード一覧(入力用)'!$A:$C,3,0)&amp;VLOOKUP($H20,'①カード一覧(入力用)'!$A:$B,2,0)&amp;VLOOKUP($H20,'①カード一覧(入力用)'!$A:$D,4,0)&amp;VLOOKUP($H20,'①カード一覧(入力用)'!$A:$J,10,0)))</f>
        <v>#N/A</v>
      </c>
      <c r="R20" s="106" t="e">
        <f>IF(G20="","",VALUE(VLOOKUP($H20,'①カード一覧(入力用)'!$A:$H,8,0)&amp;VLOOKUP($H20,'①カード一覧(入力用)'!$A:$AR,44,0)&amp;VLOOKUP($H20,'①カード一覧(入力用)'!$A:$B,2,0)&amp;VLOOKUP($H20,'①カード一覧(入力用)'!$A:$D,4,0)&amp;VLOOKUP($H20,'①カード一覧(入力用)'!$A:$J,10,0)))</f>
        <v>#N/A</v>
      </c>
      <c r="S20" s="106">
        <f>IF(G20="","",RANK(INDEX($I$4:$R$43,E20*2-1,$L$1),INDEX($I$4:$R$43,$E$4,$L$1):INDEX($I$4:$R$43,$Q$1,$L$1),1))</f>
        <v>9</v>
      </c>
      <c r="T20" s="106">
        <f>IF(H20="","",VLOOKUP($H20,'①カード一覧(入力用)'!$A:$A,1,0))</f>
        <v>130</v>
      </c>
      <c r="U20" s="106">
        <f>IF($AD20="","",IF($AA$2="タイプ・コスト","『改行』"&amp;VLOOKUP($AD20,'①カード一覧(入力用)'!$I:$AB,5,0)&amp;VLOOKUP($AD20,'①カード一覧(入力用)'!$I:$AB,6,0)&amp;"『改行』",IF($AA$2&lt;&gt;"No","『改行』"&amp;VLOOKUP($AD20,'①カード一覧(入力用)'!$I:$AB,VLOOKUP($AA$2,$A$34:$B$42,2,0),0)&amp;"『改行』","")))</f>
      </c>
      <c r="V20" s="106">
        <f>IF($U20=$U18,"",$U20)</f>
      </c>
      <c r="W20" s="106">
        <f>IF(ISERROR(MATCH(VALUE(MID(V20,5,3)),$A$45:$A$58,0)),"",V20)</f>
      </c>
      <c r="X20" s="225"/>
      <c r="Y20" s="226"/>
      <c r="Z20" s="226"/>
      <c r="AA20" s="226"/>
      <c r="AB20" s="19">
        <v>9</v>
      </c>
      <c r="AC20" s="10">
        <v>1</v>
      </c>
      <c r="AD20" s="88">
        <f>IF(H20="","",VLOOKUP(AB20,$S$4:$T$43,2,0))</f>
        <v>130</v>
      </c>
      <c r="AE20" s="106">
        <f>IF(OR($AA$2="HP",$AA$2="攻",$AA$2="防",$AA$2="速"),W20,V20)</f>
      </c>
      <c r="AF20" s="20" t="str">
        <f>IF($AD20="","","|[["&amp;VLOOKUP($AD20,'①カード一覧(入力用)'!$I:$AB,2,0)&amp;"_"&amp;VLOOKUP($AD20,'①カード一覧(入力用)'!$I:$AB,4,0)&amp;"]]|")</f>
        <v>|[[0130_閃影瞬神ムジナ]]|</v>
      </c>
      <c r="AG20" s="115" t="str">
        <f>IF($AD20="","",IF($AA$2="レアリティ","","CENTER:"&amp;VLOOKUP($AD20,'①カード一覧(入力用)'!$I:$AB,3,0)&amp;"|"))</f>
        <v>CENTER:PR|</v>
      </c>
      <c r="AH20" s="115" t="str">
        <f>IF($AD20="","",IF($AA$2="勢力・陣形","","CENTER:"&amp;VLOOKUP($AD20,'①カード一覧(入力用)'!$I:$AB,18,0)&amp;"|"))</f>
        <v>CENTER:隠神刑部|</v>
      </c>
      <c r="AI20" s="115" t="str">
        <f>IF($AD20="","",IF($AA$2="タイプ・コスト","",VLOOKUP($AD20,'①カード一覧(入力用)'!$I:$AB,5,0)&amp;"|"))</f>
        <v>|</v>
      </c>
      <c r="AJ20" s="115" t="str">
        <f>IF($AD20="","",IF($AA$2="タイプ・コスト","","CENTER:"&amp;VLOOKUP($AD20,'①カード一覧(入力用)'!$I:$AB,6,0)&amp;"|"))</f>
        <v>CENTER:|</v>
      </c>
      <c r="AK20" s="116" t="str">
        <f>IF($AD20="","",VLOOKUP($AD20,'①カード一覧(入力用)'!$I:$AB,7,0)&amp;"|")</f>
        <v>|</v>
      </c>
      <c r="AL20" s="116" t="str">
        <f>IF($AD20="","",VLOOKUP($AD20,'①カード一覧(入力用)'!$I:$AB,8,0)&amp;"|")</f>
        <v>|</v>
      </c>
      <c r="AM20" s="116" t="str">
        <f>IF($AD20="","",VLOOKUP($AD20,'①カード一覧(入力用)'!$I:$AB,9,0)&amp;"|")</f>
        <v>|</v>
      </c>
      <c r="AN20" s="116" t="str">
        <f>IF($AD20="","",VLOOKUP($AD20,'①カード一覧(入力用)'!$I:$AB,10,0)&amp;"|")</f>
        <v>|</v>
      </c>
      <c r="AO20" s="117" t="str">
        <f>IF($AD20="","",IF($AA$2="基本技",VLOOKUP($AD20,'①カード一覧(入力用)'!$I:$AB,12,0)&amp;"|",IF($AA$2="必殺技",VLOOKUP($AD20,'①カード一覧(入力用)'!$I:$AB,15,0)&amp;"|",VLOOKUP($AD20,'①カード一覧(入力用)'!$I:$AB,11,0)&amp;"|")))</f>
        <v>ランダムに敵を攻撃|</v>
      </c>
    </row>
    <row r="21" spans="1:41" ht="12">
      <c r="A21" s="20" t="s">
        <v>620</v>
      </c>
      <c r="B21" s="106" t="s">
        <v>819</v>
      </c>
      <c r="C21" s="106">
        <v>4</v>
      </c>
      <c r="D21" s="15"/>
      <c r="E21" s="105">
        <v>9</v>
      </c>
      <c r="F21" s="106">
        <v>2</v>
      </c>
      <c r="G21" s="106"/>
      <c r="H21" s="106">
        <f>H20</f>
        <v>130</v>
      </c>
      <c r="I21" s="114">
        <f>IF(G21="","",VLOOKUP($H21,'①カード一覧(入力用)'!$A:$A,1,0))</f>
      </c>
      <c r="J21" s="106">
        <f>IF(G21="","",VALUE(VLOOKUP($H21,'①カード一覧(入力用)'!$A:$F,6,0)&amp;VLOOKUP($H21,'①カード一覧(入力用)'!$A:$B,2,0)&amp;VLOOKUP($H21,'①カード一覧(入力用)'!$A:$D,4,0)&amp;VLOOKUP($H21,'①カード一覧(入力用)'!$A:$C,3,0)&amp;VLOOKUP($H21,'①カード一覧(入力用)'!$A:$J,10,0)))</f>
      </c>
      <c r="K21" s="106">
        <f>IF(G21="","",VALUE(VLOOKUP($H21,'①カード一覧(入力用)'!$A:$E,5,0)&amp;VLOOKUP($H21,'①カード一覧(入力用)'!$A:$D,4,0)&amp;VLOOKUP($H21,'①カード一覧(入力用)'!$A:$C,3,0)&amp;VLOOKUP($H21,'①カード一覧(入力用)'!$A:$J,10,0)))</f>
      </c>
      <c r="L21" s="106">
        <f>IF(G21="","",VALUE(VLOOKUP($H21,'①カード一覧(入力用)'!$A:$D,4,0)&amp;VLOOKUP($H21,'①カード一覧(入力用)'!$A:$C,3,0)&amp;VLOOKUP($H21,'①カード一覧(入力用)'!$A:$B,2,0)&amp;VLOOKUP($H21,'①カード一覧(入力用)'!$A:$J,10,0)))</f>
      </c>
      <c r="M21" s="106">
        <f>IF(G21="","",VALUE((1500-VLOOKUP($H21,'①カード一覧(入力用)'!$A:$O,15,0))&amp;VLOOKUP($H21,'①カード一覧(入力用)'!$A:$B,2,0)&amp;VLOOKUP($H21,'①カード一覧(入力用)'!$A:$D,4,0)&amp;VLOOKUP($H21,'①カード一覧(入力用)'!$A:$C,3,0)&amp;VLOOKUP($H21,'①カード一覧(入力用)'!$A:$J,10,0)))</f>
      </c>
      <c r="N21" s="106">
        <f>IF(G21="","",VALUE((1500-VLOOKUP($H21,'①カード一覧(入力用)'!$A:$P,16,0))&amp;VLOOKUP($H21,'①カード一覧(入力用)'!$A:$B,2,0)&amp;VLOOKUP($H21,'①カード一覧(入力用)'!$A:$D,4,0)&amp;VLOOKUP($H21,'①カード一覧(入力用)'!$A:$C,3,0)&amp;VLOOKUP($H21,'①カード一覧(入力用)'!$A:$J,10,0)))</f>
      </c>
      <c r="O21" s="106">
        <f>IF(G21="","",VALUE((1500-VLOOKUP($H21,'①カード一覧(入力用)'!$A:$Q,17,0))&amp;VLOOKUP($H21,'①カード一覧(入力用)'!$A:$B,2,0)&amp;VLOOKUP($H21,'①カード一覧(入力用)'!$A:$D,4,0)&amp;VLOOKUP($H21,'①カード一覧(入力用)'!$A:$C,3,0)&amp;VLOOKUP($H21,'①カード一覧(入力用)'!$A:$J,10,0)))</f>
      </c>
      <c r="P21" s="106">
        <f>IF(G21="","",VALUE((200-VLOOKUP($H21,'①カード一覧(入力用)'!$A:$R,18,0))&amp;VLOOKUP($H21,'①カード一覧(入力用)'!$A:$B,2,0)&amp;VLOOKUP($H21,'①カード一覧(入力用)'!$A:$D,4,0)&amp;VLOOKUP($H21,'①カード一覧(入力用)'!$A:$C,3,0)&amp;VLOOKUP($H21,'①カード一覧(入力用)'!$A:$J,10,0)))</f>
      </c>
      <c r="Q21" s="106">
        <f>IF(G21="","",VALUE(VLOOKUP($H21,'①カード一覧(入力用)'!$A:$G,7,0)&amp;VLOOKUP($H21,'①カード一覧(入力用)'!$A:$C,3,0)&amp;VLOOKUP($H21,'①カード一覧(入力用)'!$A:$B,2,0)&amp;VLOOKUP($H21,'①カード一覧(入力用)'!$A:$D,4,0)&amp;VLOOKUP($H21,'①カード一覧(入力用)'!$A:$J,10,0)))</f>
      </c>
      <c r="R21" s="106">
        <f>IF(G21="","",VALUE(VLOOKUP($H21,'①カード一覧(入力用)'!$A:$H,8,0)&amp;VLOOKUP($H21,'①カード一覧(入力用)'!$A:$AR,44,0)&amp;VLOOKUP($H21,'①カード一覧(入力用)'!$A:$B,2,0)&amp;VLOOKUP($H21,'①カード一覧(入力用)'!$A:$D,4,0)&amp;VLOOKUP($H21,'①カード一覧(入力用)'!$A:$J,10,0)))</f>
      </c>
      <c r="S21" s="106">
        <f>IF(G21="","",RANK(INDEX($I$4:$R$43,E21*2-1,$L$1),INDEX($I$4:$R$43,$E$4,$L$1):INDEX($I$4:$R$43,$Q$1,$L$1),1))</f>
      </c>
      <c r="T21" s="106">
        <f>IF(H21="","",VLOOKUP($H21,'①カード一覧(入力用)'!$A:$A,1,0))</f>
        <v>130</v>
      </c>
      <c r="U21" s="106"/>
      <c r="V21" s="106"/>
      <c r="W21" s="106"/>
      <c r="X21" s="225"/>
      <c r="Y21" s="226"/>
      <c r="Z21" s="226"/>
      <c r="AA21" s="226"/>
      <c r="AB21" s="19">
        <v>9</v>
      </c>
      <c r="AC21" s="10">
        <v>2</v>
      </c>
      <c r="AD21" s="88">
        <f>AD20</f>
        <v>130</v>
      </c>
      <c r="AE21" s="106"/>
      <c r="AF21" s="20" t="str">
        <f>IF($AD21="","",IF($AA$2="基本技","","|~|"))</f>
        <v>|~|</v>
      </c>
      <c r="AG21" s="118" t="str">
        <f>IF($AD21="","",IF(OR($AA$2="レアリティ",$AA$2="基本技"),"","~"&amp;"|"))</f>
        <v>~|</v>
      </c>
      <c r="AH21" s="118" t="str">
        <f>IF($AD21="","",IF(OR($AA$2="勢力・陣形",$AA$2="基本技"),"","~"&amp;"|"))</f>
        <v>~|</v>
      </c>
      <c r="AI21" s="118" t="str">
        <f>IF($AD21="","",IF(OR($AA$2="タイプ・コスト",$AA$2="基本技"),"","~"&amp;"|"))</f>
        <v>~|</v>
      </c>
      <c r="AJ21" s="118" t="str">
        <f>IF($AD21="","",IF(OR($AA$2="タイプ・コスト",$AA$2="基本技"),"","~"&amp;"|"))</f>
        <v>~|</v>
      </c>
      <c r="AK21" s="106" t="str">
        <f>IF($AD21="","",IF($AA$2="基本技","","~"&amp;"|"))</f>
        <v>~|</v>
      </c>
      <c r="AL21" s="106" t="str">
        <f>IF($AD21="","",IF($AA$2="基本技","","~"&amp;"|"))</f>
        <v>~|</v>
      </c>
      <c r="AM21" s="106" t="str">
        <f>IF($AD21="","",IF($AA$2="基本技","","~"&amp;"|"))</f>
        <v>~|</v>
      </c>
      <c r="AN21" s="106" t="str">
        <f>IF($AD21="","",IF($AA$2="基本技","","~"&amp;"|"))</f>
        <v>~|</v>
      </c>
      <c r="AO21" s="20" t="str">
        <f>IF($AD21="","",IF($AA$2="基本技","",IF($AA$2="必殺技",VLOOKUP($AD21,'①カード一覧(入力用)'!$I:$AB,14,0)&amp;"|",VLOOKUP($AD21,'①カード一覧(入力用)'!$I:$AB,13,0)&amp;"|")))</f>
        <v>ランダムに敵を連続攻撃|</v>
      </c>
    </row>
    <row r="22" spans="1:41" ht="12">
      <c r="A22" s="20" t="s">
        <v>621</v>
      </c>
      <c r="B22" s="106" t="s">
        <v>815</v>
      </c>
      <c r="C22" s="106">
        <v>5</v>
      </c>
      <c r="D22" s="15"/>
      <c r="E22" s="105">
        <v>10</v>
      </c>
      <c r="F22" s="106">
        <v>1</v>
      </c>
      <c r="G22" s="106">
        <f>IF(G20="","",IF(G20+1&gt;$Y$6,"",G20+1))</f>
        <v>132</v>
      </c>
      <c r="H22" s="106">
        <f>IF(G22="","",INDEX('①カード一覧(入力用)'!A:A,$G22,1))</f>
        <v>131</v>
      </c>
      <c r="I22" s="114">
        <f>IF(G22="","",VLOOKUP($H22,'①カード一覧(入力用)'!$A:$A,1,0))</f>
        <v>131</v>
      </c>
      <c r="J22" s="106" t="e">
        <f>IF(G22="","",VALUE(VLOOKUP($H22,'①カード一覧(入力用)'!$A:$F,6,0)&amp;VLOOKUP($H22,'①カード一覧(入力用)'!$A:$B,2,0)&amp;VLOOKUP($H22,'①カード一覧(入力用)'!$A:$D,4,0)&amp;VLOOKUP($H22,'①カード一覧(入力用)'!$A:$C,3,0)&amp;VLOOKUP($H22,'①カード一覧(入力用)'!$A:$J,10,0)))</f>
        <v>#N/A</v>
      </c>
      <c r="K22" s="106" t="e">
        <f>IF(G22="","",VALUE(VLOOKUP($H22,'①カード一覧(入力用)'!$A:$E,5,0)&amp;VLOOKUP($H22,'①カード一覧(入力用)'!$A:$D,4,0)&amp;VLOOKUP($H22,'①カード一覧(入力用)'!$A:$C,3,0)&amp;VLOOKUP($H22,'①カード一覧(入力用)'!$A:$J,10,0)))</f>
        <v>#N/A</v>
      </c>
      <c r="L22" s="106" t="e">
        <f>IF(G22="","",VALUE(VLOOKUP($H22,'①カード一覧(入力用)'!$A:$D,4,0)&amp;VLOOKUP($H22,'①カード一覧(入力用)'!$A:$C,3,0)&amp;VLOOKUP($H22,'①カード一覧(入力用)'!$A:$B,2,0)&amp;VLOOKUP($H22,'①カード一覧(入力用)'!$A:$J,10,0)))</f>
        <v>#N/A</v>
      </c>
      <c r="M22" s="106" t="e">
        <f>IF(G22="","",VALUE((1500-VLOOKUP($H22,'①カード一覧(入力用)'!$A:$O,15,0))&amp;VLOOKUP($H22,'①カード一覧(入力用)'!$A:$B,2,0)&amp;VLOOKUP($H22,'①カード一覧(入力用)'!$A:$D,4,0)&amp;VLOOKUP($H22,'①カード一覧(入力用)'!$A:$C,3,0)&amp;VLOOKUP($H22,'①カード一覧(入力用)'!$A:$J,10,0)))</f>
        <v>#N/A</v>
      </c>
      <c r="N22" s="106" t="e">
        <f>IF(G22="","",VALUE((1500-VLOOKUP($H22,'①カード一覧(入力用)'!$A:$P,16,0))&amp;VLOOKUP($H22,'①カード一覧(入力用)'!$A:$B,2,0)&amp;VLOOKUP($H22,'①カード一覧(入力用)'!$A:$D,4,0)&amp;VLOOKUP($H22,'①カード一覧(入力用)'!$A:$C,3,0)&amp;VLOOKUP($H22,'①カード一覧(入力用)'!$A:$J,10,0)))</f>
        <v>#N/A</v>
      </c>
      <c r="O22" s="106" t="e">
        <f>IF(G22="","",VALUE((1500-VLOOKUP($H22,'①カード一覧(入力用)'!$A:$Q,17,0))&amp;VLOOKUP($H22,'①カード一覧(入力用)'!$A:$B,2,0)&amp;VLOOKUP($H22,'①カード一覧(入力用)'!$A:$D,4,0)&amp;VLOOKUP($H22,'①カード一覧(入力用)'!$A:$C,3,0)&amp;VLOOKUP($H22,'①カード一覧(入力用)'!$A:$J,10,0)))</f>
        <v>#N/A</v>
      </c>
      <c r="P22" s="106" t="e">
        <f>IF(G22="","",VALUE((200-VLOOKUP($H22,'①カード一覧(入力用)'!$A:$R,18,0))&amp;VLOOKUP($H22,'①カード一覧(入力用)'!$A:$B,2,0)&amp;VLOOKUP($H22,'①カード一覧(入力用)'!$A:$D,4,0)&amp;VLOOKUP($H22,'①カード一覧(入力用)'!$A:$C,3,0)&amp;VLOOKUP($H22,'①カード一覧(入力用)'!$A:$J,10,0)))</f>
        <v>#N/A</v>
      </c>
      <c r="Q22" s="106" t="e">
        <f>IF(G22="","",VALUE(VLOOKUP($H22,'①カード一覧(入力用)'!$A:$G,7,0)&amp;VLOOKUP($H22,'①カード一覧(入力用)'!$A:$C,3,0)&amp;VLOOKUP($H22,'①カード一覧(入力用)'!$A:$B,2,0)&amp;VLOOKUP($H22,'①カード一覧(入力用)'!$A:$D,4,0)&amp;VLOOKUP($H22,'①カード一覧(入力用)'!$A:$J,10,0)))</f>
        <v>#N/A</v>
      </c>
      <c r="R22" s="106" t="e">
        <f>IF(G22="","",VALUE(VLOOKUP($H22,'①カード一覧(入力用)'!$A:$H,8,0)&amp;VLOOKUP($H22,'①カード一覧(入力用)'!$A:$AR,44,0)&amp;VLOOKUP($H22,'①カード一覧(入力用)'!$A:$B,2,0)&amp;VLOOKUP($H22,'①カード一覧(入力用)'!$A:$D,4,0)&amp;VLOOKUP($H22,'①カード一覧(入力用)'!$A:$J,10,0)))</f>
        <v>#N/A</v>
      </c>
      <c r="S22" s="106">
        <f>IF(G22="","",RANK(INDEX($I$4:$R$43,E22*2-1,$L$1),INDEX($I$4:$R$43,$E$4,$L$1):INDEX($I$4:$R$43,$Q$1,$L$1),1))</f>
        <v>10</v>
      </c>
      <c r="T22" s="106">
        <f>IF(H22="","",VLOOKUP($H22,'①カード一覧(入力用)'!$A:$A,1,0))</f>
        <v>131</v>
      </c>
      <c r="U22" s="106">
        <f>IF($AD22="","",IF($AA$2="タイプ・コスト","『改行』"&amp;VLOOKUP($AD22,'①カード一覧(入力用)'!$I:$AB,5,0)&amp;VLOOKUP($AD22,'①カード一覧(入力用)'!$I:$AB,6,0)&amp;"『改行』",IF($AA$2&lt;&gt;"No","『改行』"&amp;VLOOKUP($AD22,'①カード一覧(入力用)'!$I:$AB,VLOOKUP($AA$2,$A$34:$B$42,2,0),0)&amp;"『改行』","")))</f>
      </c>
      <c r="V22" s="106">
        <f>IF($U22=$U20,"",$U22)</f>
      </c>
      <c r="W22" s="106">
        <f>IF(ISERROR(MATCH(VALUE(MID(V22,5,3)),$A$45:$A$58,0)),"",V22)</f>
      </c>
      <c r="X22" s="225"/>
      <c r="Y22" s="226"/>
      <c r="Z22" s="226"/>
      <c r="AA22" s="226"/>
      <c r="AB22" s="19">
        <v>10</v>
      </c>
      <c r="AC22" s="10">
        <v>1</v>
      </c>
      <c r="AD22" s="88">
        <f>IF(H22="","",VLOOKUP(AB22,$S$4:$T$43,2,0))</f>
        <v>131</v>
      </c>
      <c r="AE22" s="106">
        <f>IF(OR($AA$2="HP",$AA$2="攻",$AA$2="防",$AA$2="速"),W22,V22)</f>
      </c>
      <c r="AF22" s="20" t="str">
        <f>IF($AD22="","","|[["&amp;VLOOKUP($AD22,'①カード一覧(入力用)'!$I:$AB,2,0)&amp;"_"&amp;VLOOKUP($AD22,'①カード一覧(入力用)'!$I:$AB,4,0)&amp;"]]|")</f>
        <v>|[[0131_綺羅星天アルカナ]]|</v>
      </c>
      <c r="AG22" s="115" t="str">
        <f>IF($AD22="","",IF($AA$2="レアリティ","","CENTER:"&amp;VLOOKUP($AD22,'①カード一覧(入力用)'!$I:$AB,3,0)&amp;"|"))</f>
        <v>CENTER:PR|</v>
      </c>
      <c r="AH22" s="115" t="str">
        <f>IF($AD22="","",IF($AA$2="勢力・陣形","","CENTER:"&amp;VLOOKUP($AD22,'①カード一覧(入力用)'!$I:$AB,18,0)&amp;"|"))</f>
        <v>CENTER:魔族「ヴァイス」|</v>
      </c>
      <c r="AI22" s="115" t="str">
        <f>IF($AD22="","",IF($AA$2="タイプ・コスト","",VLOOKUP($AD22,'①カード一覧(入力用)'!$I:$AB,5,0)&amp;"|"))</f>
        <v>|</v>
      </c>
      <c r="AJ22" s="115" t="str">
        <f>IF($AD22="","",IF($AA$2="タイプ・コスト","","CENTER:"&amp;VLOOKUP($AD22,'①カード一覧(入力用)'!$I:$AB,6,0)&amp;"|"))</f>
        <v>CENTER:|</v>
      </c>
      <c r="AK22" s="116" t="str">
        <f>IF($AD22="","",VLOOKUP($AD22,'①カード一覧(入力用)'!$I:$AB,7,0)&amp;"|")</f>
        <v>|</v>
      </c>
      <c r="AL22" s="116" t="str">
        <f>IF($AD22="","",VLOOKUP($AD22,'①カード一覧(入力用)'!$I:$AB,8,0)&amp;"|")</f>
        <v>|</v>
      </c>
      <c r="AM22" s="116" t="str">
        <f>IF($AD22="","",VLOOKUP($AD22,'①カード一覧(入力用)'!$I:$AB,9,0)&amp;"|")</f>
        <v>|</v>
      </c>
      <c r="AN22" s="116" t="str">
        <f>IF($AD22="","",VLOOKUP($AD22,'①カード一覧(入力用)'!$I:$AB,10,0)&amp;"|")</f>
        <v>|</v>
      </c>
      <c r="AO22" s="117" t="str">
        <f>IF($AD22="","",IF($AA$2="基本技",VLOOKUP($AD22,'①カード一覧(入力用)'!$I:$AB,12,0)&amp;"|",IF($AA$2="必殺技",VLOOKUP($AD22,'①カード一覧(入力用)'!$I:$AB,15,0)&amp;"|",VLOOKUP($AD22,'①カード一覧(入力用)'!$I:$AB,11,0)&amp;"|")))</f>
        <v>正面の敵に連続攻撃|</v>
      </c>
    </row>
    <row r="23" spans="1:41" ht="12">
      <c r="A23" s="20" t="s">
        <v>810</v>
      </c>
      <c r="B23" s="106" t="s">
        <v>814</v>
      </c>
      <c r="C23" s="106">
        <v>6</v>
      </c>
      <c r="D23" s="15"/>
      <c r="E23" s="105">
        <v>10</v>
      </c>
      <c r="F23" s="106">
        <v>2</v>
      </c>
      <c r="G23" s="106"/>
      <c r="H23" s="106">
        <f>$H22</f>
        <v>131</v>
      </c>
      <c r="I23" s="114">
        <f>IF(G23="","",VLOOKUP($H23,'①カード一覧(入力用)'!$A:$A,1,0))</f>
      </c>
      <c r="J23" s="106">
        <f>IF(G23="","",VALUE(VLOOKUP($H23,'①カード一覧(入力用)'!$A:$F,6,0)&amp;VLOOKUP($H23,'①カード一覧(入力用)'!$A:$B,2,0)&amp;VLOOKUP($H23,'①カード一覧(入力用)'!$A:$D,4,0)&amp;VLOOKUP($H23,'①カード一覧(入力用)'!$A:$C,3,0)&amp;VLOOKUP($H23,'①カード一覧(入力用)'!$A:$J,10,0)))</f>
      </c>
      <c r="K23" s="106">
        <f>IF(G23="","",VALUE(VLOOKUP($H23,'①カード一覧(入力用)'!$A:$E,5,0)&amp;VLOOKUP($H23,'①カード一覧(入力用)'!$A:$D,4,0)&amp;VLOOKUP($H23,'①カード一覧(入力用)'!$A:$C,3,0)&amp;VLOOKUP($H23,'①カード一覧(入力用)'!$A:$J,10,0)))</f>
      </c>
      <c r="L23" s="106">
        <f>IF(G23="","",VALUE(VLOOKUP($H23,'①カード一覧(入力用)'!$A:$D,4,0)&amp;VLOOKUP($H23,'①カード一覧(入力用)'!$A:$C,3,0)&amp;VLOOKUP($H23,'①カード一覧(入力用)'!$A:$B,2,0)&amp;VLOOKUP($H23,'①カード一覧(入力用)'!$A:$J,10,0)))</f>
      </c>
      <c r="M23" s="106">
        <f>IF(G23="","",VALUE((1500-VLOOKUP($H23,'①カード一覧(入力用)'!$A:$O,15,0))&amp;VLOOKUP($H23,'①カード一覧(入力用)'!$A:$B,2,0)&amp;VLOOKUP($H23,'①カード一覧(入力用)'!$A:$D,4,0)&amp;VLOOKUP($H23,'①カード一覧(入力用)'!$A:$C,3,0)&amp;VLOOKUP($H23,'①カード一覧(入力用)'!$A:$J,10,0)))</f>
      </c>
      <c r="N23" s="106">
        <f>IF(G23="","",VALUE((1500-VLOOKUP($H23,'①カード一覧(入力用)'!$A:$P,16,0))&amp;VLOOKUP($H23,'①カード一覧(入力用)'!$A:$B,2,0)&amp;VLOOKUP($H23,'①カード一覧(入力用)'!$A:$D,4,0)&amp;VLOOKUP($H23,'①カード一覧(入力用)'!$A:$C,3,0)&amp;VLOOKUP($H23,'①カード一覧(入力用)'!$A:$J,10,0)))</f>
      </c>
      <c r="O23" s="106">
        <f>IF(G23="","",VALUE((1500-VLOOKUP($H23,'①カード一覧(入力用)'!$A:$Q,17,0))&amp;VLOOKUP($H23,'①カード一覧(入力用)'!$A:$B,2,0)&amp;VLOOKUP($H23,'①カード一覧(入力用)'!$A:$D,4,0)&amp;VLOOKUP($H23,'①カード一覧(入力用)'!$A:$C,3,0)&amp;VLOOKUP($H23,'①カード一覧(入力用)'!$A:$J,10,0)))</f>
      </c>
      <c r="P23" s="106">
        <f>IF(G23="","",VALUE((200-VLOOKUP($H23,'①カード一覧(入力用)'!$A:$R,18,0))&amp;VLOOKUP($H23,'①カード一覧(入力用)'!$A:$B,2,0)&amp;VLOOKUP($H23,'①カード一覧(入力用)'!$A:$D,4,0)&amp;VLOOKUP($H23,'①カード一覧(入力用)'!$A:$C,3,0)&amp;VLOOKUP($H23,'①カード一覧(入力用)'!$A:$J,10,0)))</f>
      </c>
      <c r="Q23" s="106">
        <f>IF(G23="","",VALUE(VLOOKUP($H23,'①カード一覧(入力用)'!$A:$G,7,0)&amp;VLOOKUP($H23,'①カード一覧(入力用)'!$A:$C,3,0)&amp;VLOOKUP($H23,'①カード一覧(入力用)'!$A:$B,2,0)&amp;VLOOKUP($H23,'①カード一覧(入力用)'!$A:$D,4,0)&amp;VLOOKUP($H23,'①カード一覧(入力用)'!$A:$J,10,0)))</f>
      </c>
      <c r="R23" s="106">
        <f>IF(G23="","",VALUE(VLOOKUP($H23,'①カード一覧(入力用)'!$A:$H,8,0)&amp;VLOOKUP($H23,'①カード一覧(入力用)'!$A:$AR,44,0)&amp;VLOOKUP($H23,'①カード一覧(入力用)'!$A:$B,2,0)&amp;VLOOKUP($H23,'①カード一覧(入力用)'!$A:$D,4,0)&amp;VLOOKUP($H23,'①カード一覧(入力用)'!$A:$J,10,0)))</f>
      </c>
      <c r="S23" s="106">
        <f>IF(G23="","",RANK(INDEX($I$4:$R$43,E23*2-1,$L$1),INDEX($I$4:$R$43,$E$4,$L$1):INDEX($I$4:$R$43,$Q$1,$L$1),1))</f>
      </c>
      <c r="T23" s="106">
        <f>IF(H23="","",VLOOKUP($H23,'①カード一覧(入力用)'!$A:$A,1,0))</f>
        <v>131</v>
      </c>
      <c r="U23" s="106"/>
      <c r="V23" s="106"/>
      <c r="W23" s="106"/>
      <c r="X23" s="225"/>
      <c r="Y23" s="226"/>
      <c r="Z23" s="226"/>
      <c r="AA23" s="226"/>
      <c r="AB23" s="19">
        <v>10</v>
      </c>
      <c r="AC23" s="10">
        <v>2</v>
      </c>
      <c r="AD23" s="88">
        <f>AD22</f>
        <v>131</v>
      </c>
      <c r="AE23" s="106"/>
      <c r="AF23" s="20" t="str">
        <f>IF($AD23="","",IF($AA$2="基本技","","|~|"))</f>
        <v>|~|</v>
      </c>
      <c r="AG23" s="118" t="str">
        <f>IF($AD23="","",IF(OR($AA$2="レアリティ",$AA$2="基本技"),"","~"&amp;"|"))</f>
        <v>~|</v>
      </c>
      <c r="AH23" s="118" t="str">
        <f>IF($AD23="","",IF(OR($AA$2="勢力・陣形",$AA$2="基本技"),"","~"&amp;"|"))</f>
        <v>~|</v>
      </c>
      <c r="AI23" s="118" t="str">
        <f>IF($AD23="","",IF(OR($AA$2="タイプ・コスト",$AA$2="基本技"),"","~"&amp;"|"))</f>
        <v>~|</v>
      </c>
      <c r="AJ23" s="118" t="str">
        <f>IF($AD23="","",IF(OR($AA$2="タイプ・コスト",$AA$2="基本技"),"","~"&amp;"|"))</f>
        <v>~|</v>
      </c>
      <c r="AK23" s="106" t="str">
        <f>IF($AD23="","",IF($AA$2="基本技","","~"&amp;"|"))</f>
        <v>~|</v>
      </c>
      <c r="AL23" s="106" t="str">
        <f>IF($AD23="","",IF($AA$2="基本技","","~"&amp;"|"))</f>
        <v>~|</v>
      </c>
      <c r="AM23" s="106" t="str">
        <f>IF($AD23="","",IF($AA$2="基本技","","~"&amp;"|"))</f>
        <v>~|</v>
      </c>
      <c r="AN23" s="106" t="str">
        <f>IF($AD23="","",IF($AA$2="基本技","","~"&amp;"|"))</f>
        <v>~|</v>
      </c>
      <c r="AO23" s="20" t="str">
        <f>IF($AD23="","",IF($AA$2="基本技","",IF($AA$2="必殺技",VLOOKUP($AD23,'①カード一覧(入力用)'!$I:$AB,14,0)&amp;"|",VLOOKUP($AD23,'①カード一覧(入力用)'!$I:$AB,13,0)&amp;"|")))</f>
        <v>正面の敵に連続攻撃 ガード不能|</v>
      </c>
    </row>
    <row r="24" spans="1:41" ht="12">
      <c r="A24" s="20" t="s">
        <v>540</v>
      </c>
      <c r="B24" s="106" t="s">
        <v>823</v>
      </c>
      <c r="C24" s="106">
        <v>7</v>
      </c>
      <c r="D24" s="15"/>
      <c r="E24" s="105">
        <v>11</v>
      </c>
      <c r="F24" s="106">
        <v>1</v>
      </c>
      <c r="G24" s="106">
        <f>IF(G22="","",IF(G22+1&gt;$Y$6,"",G22+1))</f>
      </c>
      <c r="H24" s="106">
        <f>IF(G24="","",INDEX('①カード一覧(入力用)'!A:A,$G24,1))</f>
      </c>
      <c r="I24" s="114">
        <f>IF(G24="","",VLOOKUP($H24,'①カード一覧(入力用)'!$A:$A,1,0))</f>
      </c>
      <c r="J24" s="106">
        <f>IF(G24="","",VALUE(VLOOKUP($H24,'①カード一覧(入力用)'!$A:$F,6,0)&amp;VLOOKUP($H24,'①カード一覧(入力用)'!$A:$B,2,0)&amp;VLOOKUP($H24,'①カード一覧(入力用)'!$A:$D,4,0)&amp;VLOOKUP($H24,'①カード一覧(入力用)'!$A:$C,3,0)&amp;VLOOKUP($H24,'①カード一覧(入力用)'!$A:$J,10,0)))</f>
      </c>
      <c r="K24" s="106">
        <f>IF(G24="","",VALUE(VLOOKUP($H24,'①カード一覧(入力用)'!$A:$E,5,0)&amp;VLOOKUP($H24,'①カード一覧(入力用)'!$A:$D,4,0)&amp;VLOOKUP($H24,'①カード一覧(入力用)'!$A:$C,3,0)&amp;VLOOKUP($H24,'①カード一覧(入力用)'!$A:$J,10,0)))</f>
      </c>
      <c r="L24" s="106">
        <f>IF(G24="","",VALUE(VLOOKUP($H24,'①カード一覧(入力用)'!$A:$D,4,0)&amp;VLOOKUP($H24,'①カード一覧(入力用)'!$A:$C,3,0)&amp;VLOOKUP($H24,'①カード一覧(入力用)'!$A:$B,2,0)&amp;VLOOKUP($H24,'①カード一覧(入力用)'!$A:$J,10,0)))</f>
      </c>
      <c r="M24" s="106">
        <f>IF(G24="","",VALUE((1500-VLOOKUP($H24,'①カード一覧(入力用)'!$A:$O,15,0))&amp;VLOOKUP($H24,'①カード一覧(入力用)'!$A:$B,2,0)&amp;VLOOKUP($H24,'①カード一覧(入力用)'!$A:$D,4,0)&amp;VLOOKUP($H24,'①カード一覧(入力用)'!$A:$C,3,0)&amp;VLOOKUP($H24,'①カード一覧(入力用)'!$A:$J,10,0)))</f>
      </c>
      <c r="N24" s="106">
        <f>IF(G24="","",VALUE((1500-VLOOKUP($H24,'①カード一覧(入力用)'!$A:$P,16,0))&amp;VLOOKUP($H24,'①カード一覧(入力用)'!$A:$B,2,0)&amp;VLOOKUP($H24,'①カード一覧(入力用)'!$A:$D,4,0)&amp;VLOOKUP($H24,'①カード一覧(入力用)'!$A:$C,3,0)&amp;VLOOKUP($H24,'①カード一覧(入力用)'!$A:$J,10,0)))</f>
      </c>
      <c r="O24" s="106">
        <f>IF(G24="","",VALUE((1500-VLOOKUP($H24,'①カード一覧(入力用)'!$A:$Q,17,0))&amp;VLOOKUP($H24,'①カード一覧(入力用)'!$A:$B,2,0)&amp;VLOOKUP($H24,'①カード一覧(入力用)'!$A:$D,4,0)&amp;VLOOKUP($H24,'①カード一覧(入力用)'!$A:$C,3,0)&amp;VLOOKUP($H24,'①カード一覧(入力用)'!$A:$J,10,0)))</f>
      </c>
      <c r="P24" s="106">
        <f>IF(G24="","",VALUE((200-VLOOKUP($H24,'①カード一覧(入力用)'!$A:$R,18,0))&amp;VLOOKUP($H24,'①カード一覧(入力用)'!$A:$B,2,0)&amp;VLOOKUP($H24,'①カード一覧(入力用)'!$A:$D,4,0)&amp;VLOOKUP($H24,'①カード一覧(入力用)'!$A:$C,3,0)&amp;VLOOKUP($H24,'①カード一覧(入力用)'!$A:$J,10,0)))</f>
      </c>
      <c r="Q24" s="106">
        <f>IF(G24="","",VALUE(VLOOKUP($H24,'①カード一覧(入力用)'!$A:$G,7,0)&amp;VLOOKUP($H24,'①カード一覧(入力用)'!$A:$C,3,0)&amp;VLOOKUP($H24,'①カード一覧(入力用)'!$A:$B,2,0)&amp;VLOOKUP($H24,'①カード一覧(入力用)'!$A:$D,4,0)&amp;VLOOKUP($H24,'①カード一覧(入力用)'!$A:$J,10,0)))</f>
      </c>
      <c r="R24" s="106">
        <f>IF(G24="","",VALUE(VLOOKUP($H24,'①カード一覧(入力用)'!$A:$H,8,0)&amp;VLOOKUP($H24,'①カード一覧(入力用)'!$A:$AR,44,0)&amp;VLOOKUP($H24,'①カード一覧(入力用)'!$A:$B,2,0)&amp;VLOOKUP($H24,'①カード一覧(入力用)'!$A:$D,4,0)&amp;VLOOKUP($H24,'①カード一覧(入力用)'!$A:$J,10,0)))</f>
      </c>
      <c r="S24" s="106">
        <f>IF(G24="","",RANK(INDEX($I$4:$R$43,E24*2-1,$L$1),INDEX($I$4:$R$43,$E$4,$L$1):INDEX($I$4:$R$43,$Q$1,$L$1),1))</f>
      </c>
      <c r="T24" s="106">
        <f>IF(H24="","",VLOOKUP($H24,'①カード一覧(入力用)'!$A:$A,1,0))</f>
      </c>
      <c r="U24" s="106">
        <f>IF($AD24="","",IF($AA$2="タイプ・コスト","『改行』"&amp;VLOOKUP($AD24,'①カード一覧(入力用)'!$I:$AB,5,0)&amp;VLOOKUP($AD24,'①カード一覧(入力用)'!$I:$AB,6,0)&amp;"『改行』",IF($AA$2&lt;&gt;"No","『改行』"&amp;VLOOKUP($AD24,'①カード一覧(入力用)'!$I:$AB,VLOOKUP($AA$2,$A$34:$B$42,2,0),0)&amp;"『改行』","")))</f>
      </c>
      <c r="V24" s="106">
        <f>IF($U24=$U22,"",$U24)</f>
      </c>
      <c r="W24" s="106">
        <f>IF(ISERROR(MATCH(VALUE(MID(V24,5,3)),$A$45:$A$58,0)),"",V24)</f>
      </c>
      <c r="X24" s="225"/>
      <c r="Y24" s="226"/>
      <c r="Z24" s="226"/>
      <c r="AA24" s="226"/>
      <c r="AB24" s="19">
        <v>11</v>
      </c>
      <c r="AC24" s="10">
        <v>1</v>
      </c>
      <c r="AD24" s="88">
        <f>IF(H24="","",VLOOKUP(AB24,$S$4:$T$43,2,0))</f>
      </c>
      <c r="AE24" s="106">
        <f>IF(OR($AA$2="HP",$AA$2="攻",$AA$2="防",$AA$2="速"),W24,V24)</f>
      </c>
      <c r="AF24" s="20">
        <f>IF($AD24="","","|[["&amp;VLOOKUP($AD24,'①カード一覧(入力用)'!$I:$AB,2,0)&amp;"_"&amp;VLOOKUP($AD24,'①カード一覧(入力用)'!$I:$AB,4,0)&amp;"]]|")</f>
      </c>
      <c r="AG24" s="115">
        <f>IF($AD24="","",IF($AA$2="レアリティ","","CENTER:"&amp;VLOOKUP($AD24,'①カード一覧(入力用)'!$I:$AB,3,0)&amp;"|"))</f>
      </c>
      <c r="AH24" s="115">
        <f>IF($AD24="","",IF($AA$2="勢力・陣形","","CENTER:"&amp;VLOOKUP($AD24,'①カード一覧(入力用)'!$I:$AB,18,0)&amp;"|"))</f>
      </c>
      <c r="AI24" s="115">
        <f>IF($AD24="","",IF($AA$2="タイプ・コスト","",VLOOKUP($AD24,'①カード一覧(入力用)'!$I:$AB,5,0)&amp;"|"))</f>
      </c>
      <c r="AJ24" s="115">
        <f>IF($AD24="","",IF($AA$2="タイプ・コスト","","CENTER:"&amp;VLOOKUP($AD24,'①カード一覧(入力用)'!$I:$AB,6,0)&amp;"|"))</f>
      </c>
      <c r="AK24" s="116">
        <f>IF($AD24="","",VLOOKUP($AD24,'①カード一覧(入力用)'!$I:$AB,7,0)&amp;"|")</f>
      </c>
      <c r="AL24" s="116">
        <f>IF($AD24="","",VLOOKUP($AD24,'①カード一覧(入力用)'!$I:$AB,8,0)&amp;"|")</f>
      </c>
      <c r="AM24" s="116">
        <f>IF($AD24="","",VLOOKUP($AD24,'①カード一覧(入力用)'!$I:$AB,9,0)&amp;"|")</f>
      </c>
      <c r="AN24" s="116">
        <f>IF($AD24="","",VLOOKUP($AD24,'①カード一覧(入力用)'!$I:$AB,10,0)&amp;"|")</f>
      </c>
      <c r="AO24" s="117">
        <f>IF($AD24="","",IF($AA$2="基本技",VLOOKUP($AD24,'①カード一覧(入力用)'!$I:$AB,12,0)&amp;"|",IF($AA$2="必殺技",VLOOKUP($AD24,'①カード一覧(入力用)'!$I:$AB,15,0)&amp;"|",VLOOKUP($AD24,'①カード一覧(入力用)'!$I:$AB,11,0)&amp;"|")))</f>
      </c>
    </row>
    <row r="25" spans="1:41" ht="12">
      <c r="A25" s="20" t="s">
        <v>811</v>
      </c>
      <c r="B25" s="106" t="s">
        <v>545</v>
      </c>
      <c r="C25" s="106">
        <v>8</v>
      </c>
      <c r="D25" s="15"/>
      <c r="E25" s="105">
        <v>11</v>
      </c>
      <c r="F25" s="106">
        <v>2</v>
      </c>
      <c r="G25" s="106"/>
      <c r="H25" s="106">
        <f>$H24</f>
      </c>
      <c r="I25" s="114">
        <f>IF(G25="","",VLOOKUP($H25,'①カード一覧(入力用)'!$A:$A,1,0))</f>
      </c>
      <c r="J25" s="106">
        <f>IF(G25="","",VALUE(VLOOKUP($H25,'①カード一覧(入力用)'!$A:$F,6,0)&amp;VLOOKUP($H25,'①カード一覧(入力用)'!$A:$B,2,0)&amp;VLOOKUP($H25,'①カード一覧(入力用)'!$A:$D,4,0)&amp;VLOOKUP($H25,'①カード一覧(入力用)'!$A:$C,3,0)&amp;VLOOKUP($H25,'①カード一覧(入力用)'!$A:$J,10,0)))</f>
      </c>
      <c r="K25" s="106">
        <f>IF(G25="","",VALUE(VLOOKUP($H25,'①カード一覧(入力用)'!$A:$E,5,0)&amp;VLOOKUP($H25,'①カード一覧(入力用)'!$A:$D,4,0)&amp;VLOOKUP($H25,'①カード一覧(入力用)'!$A:$C,3,0)&amp;VLOOKUP($H25,'①カード一覧(入力用)'!$A:$J,10,0)))</f>
      </c>
      <c r="L25" s="106">
        <f>IF(G25="","",VALUE(VLOOKUP($H25,'①カード一覧(入力用)'!$A:$D,4,0)&amp;VLOOKUP($H25,'①カード一覧(入力用)'!$A:$C,3,0)&amp;VLOOKUP($H25,'①カード一覧(入力用)'!$A:$B,2,0)&amp;VLOOKUP($H25,'①カード一覧(入力用)'!$A:$J,10,0)))</f>
      </c>
      <c r="M25" s="106">
        <f>IF(G25="","",VALUE((1500-VLOOKUP($H25,'①カード一覧(入力用)'!$A:$O,15,0))&amp;VLOOKUP($H25,'①カード一覧(入力用)'!$A:$B,2,0)&amp;VLOOKUP($H25,'①カード一覧(入力用)'!$A:$D,4,0)&amp;VLOOKUP($H25,'①カード一覧(入力用)'!$A:$C,3,0)&amp;VLOOKUP($H25,'①カード一覧(入力用)'!$A:$J,10,0)))</f>
      </c>
      <c r="N25" s="106">
        <f>IF(G25="","",VALUE((1500-VLOOKUP($H25,'①カード一覧(入力用)'!$A:$P,16,0))&amp;VLOOKUP($H25,'①カード一覧(入力用)'!$A:$B,2,0)&amp;VLOOKUP($H25,'①カード一覧(入力用)'!$A:$D,4,0)&amp;VLOOKUP($H25,'①カード一覧(入力用)'!$A:$C,3,0)&amp;VLOOKUP($H25,'①カード一覧(入力用)'!$A:$J,10,0)))</f>
      </c>
      <c r="O25" s="106">
        <f>IF(G25="","",VALUE((1500-VLOOKUP($H25,'①カード一覧(入力用)'!$A:$Q,17,0))&amp;VLOOKUP($H25,'①カード一覧(入力用)'!$A:$B,2,0)&amp;VLOOKUP($H25,'①カード一覧(入力用)'!$A:$D,4,0)&amp;VLOOKUP($H25,'①カード一覧(入力用)'!$A:$C,3,0)&amp;VLOOKUP($H25,'①カード一覧(入力用)'!$A:$J,10,0)))</f>
      </c>
      <c r="P25" s="106">
        <f>IF(G25="","",VALUE((200-VLOOKUP($H25,'①カード一覧(入力用)'!$A:$R,18,0))&amp;VLOOKUP($H25,'①カード一覧(入力用)'!$A:$B,2,0)&amp;VLOOKUP($H25,'①カード一覧(入力用)'!$A:$D,4,0)&amp;VLOOKUP($H25,'①カード一覧(入力用)'!$A:$C,3,0)&amp;VLOOKUP($H25,'①カード一覧(入力用)'!$A:$J,10,0)))</f>
      </c>
      <c r="Q25" s="106">
        <f>IF(G25="","",VALUE(VLOOKUP($H25,'①カード一覧(入力用)'!$A:$G,7,0)&amp;VLOOKUP($H25,'①カード一覧(入力用)'!$A:$C,3,0)&amp;VLOOKUP($H25,'①カード一覧(入力用)'!$A:$B,2,0)&amp;VLOOKUP($H25,'①カード一覧(入力用)'!$A:$D,4,0)&amp;VLOOKUP($H25,'①カード一覧(入力用)'!$A:$J,10,0)))</f>
      </c>
      <c r="R25" s="106">
        <f>IF(G25="","",VALUE(VLOOKUP($H25,'①カード一覧(入力用)'!$A:$H,8,0)&amp;VLOOKUP($H25,'①カード一覧(入力用)'!$A:$AR,44,0)&amp;VLOOKUP($H25,'①カード一覧(入力用)'!$A:$B,2,0)&amp;VLOOKUP($H25,'①カード一覧(入力用)'!$A:$D,4,0)&amp;VLOOKUP($H25,'①カード一覧(入力用)'!$A:$J,10,0)))</f>
      </c>
      <c r="S25" s="106">
        <f>IF(G25="","",RANK(INDEX($I$4:$R$43,E25*2-1,$L$1),INDEX($I$4:$R$43,$E$4,$L$1):INDEX($I$4:$R$43,$Q$1,$L$1),1))</f>
      </c>
      <c r="T25" s="106">
        <f>IF(H25="","",VLOOKUP($H25,'①カード一覧(入力用)'!$A:$A,1,0))</f>
      </c>
      <c r="U25" s="106"/>
      <c r="V25" s="106"/>
      <c r="W25" s="106"/>
      <c r="AB25" s="19">
        <v>11</v>
      </c>
      <c r="AC25" s="10">
        <v>2</v>
      </c>
      <c r="AD25" s="88">
        <f>AD24</f>
      </c>
      <c r="AE25" s="106"/>
      <c r="AF25" s="20">
        <f>IF($AD25="","",IF($AA$2="基本技","","|~|"))</f>
      </c>
      <c r="AG25" s="118">
        <f>IF($AD25="","",IF(OR($AA$2="レアリティ",$AA$2="基本技"),"","~"&amp;"|"))</f>
      </c>
      <c r="AH25" s="118">
        <f>IF($AD25="","",IF(OR($AA$2="勢力・陣形",$AA$2="基本技"),"","~"&amp;"|"))</f>
      </c>
      <c r="AI25" s="118">
        <f>IF($AD25="","",IF(OR($AA$2="タイプ・コスト",$AA$2="基本技"),"","~"&amp;"|"))</f>
      </c>
      <c r="AJ25" s="118">
        <f>IF($AD25="","",IF(OR($AA$2="タイプ・コスト",$AA$2="基本技"),"","~"&amp;"|"))</f>
      </c>
      <c r="AK25" s="106">
        <f>IF($AD25="","",IF($AA$2="基本技","","~"&amp;"|"))</f>
      </c>
      <c r="AL25" s="106">
        <f>IF($AD25="","",IF($AA$2="基本技","","~"&amp;"|"))</f>
      </c>
      <c r="AM25" s="106">
        <f>IF($AD25="","",IF($AA$2="基本技","","~"&amp;"|"))</f>
      </c>
      <c r="AN25" s="106">
        <f>IF($AD25="","",IF($AA$2="基本技","","~"&amp;"|"))</f>
      </c>
      <c r="AO25" s="20">
        <f>IF($AD25="","",IF($AA$2="基本技","",IF($AA$2="必殺技",VLOOKUP($AD25,'①カード一覧(入力用)'!$I:$AB,14,0)&amp;"|",VLOOKUP($AD25,'①カード一覧(入力用)'!$I:$AB,13,0)&amp;"|")))</f>
      </c>
    </row>
    <row r="26" spans="1:41" ht="12">
      <c r="A26" s="20" t="s">
        <v>852</v>
      </c>
      <c r="B26" s="106" t="s">
        <v>851</v>
      </c>
      <c r="C26" s="106">
        <v>10</v>
      </c>
      <c r="D26" s="15"/>
      <c r="E26" s="105">
        <v>12</v>
      </c>
      <c r="F26" s="106">
        <v>1</v>
      </c>
      <c r="G26" s="106">
        <f>IF(G24="","",IF(G24+1&gt;$Y$6,"",G24+1))</f>
      </c>
      <c r="H26" s="106">
        <f>IF(G26="","",INDEX('①カード一覧(入力用)'!A:A,$G26,1))</f>
      </c>
      <c r="I26" s="114">
        <f>IF(G26="","",VLOOKUP($H26,'①カード一覧(入力用)'!$A:$A,1,0))</f>
      </c>
      <c r="J26" s="106">
        <f>IF(G26="","",VALUE(VLOOKUP($H26,'①カード一覧(入力用)'!$A:$F,6,0)&amp;VLOOKUP($H26,'①カード一覧(入力用)'!$A:$B,2,0)&amp;VLOOKUP($H26,'①カード一覧(入力用)'!$A:$D,4,0)&amp;VLOOKUP($H26,'①カード一覧(入力用)'!$A:$C,3,0)&amp;VLOOKUP($H26,'①カード一覧(入力用)'!$A:$J,10,0)))</f>
      </c>
      <c r="K26" s="106">
        <f>IF(G26="","",VALUE(VLOOKUP($H26,'①カード一覧(入力用)'!$A:$E,5,0)&amp;VLOOKUP($H26,'①カード一覧(入力用)'!$A:$D,4,0)&amp;VLOOKUP($H26,'①カード一覧(入力用)'!$A:$C,3,0)&amp;VLOOKUP($H26,'①カード一覧(入力用)'!$A:$J,10,0)))</f>
      </c>
      <c r="L26" s="106">
        <f>IF(G26="","",VALUE(VLOOKUP($H26,'①カード一覧(入力用)'!$A:$D,4,0)&amp;VLOOKUP($H26,'①カード一覧(入力用)'!$A:$C,3,0)&amp;VLOOKUP($H26,'①カード一覧(入力用)'!$A:$B,2,0)&amp;VLOOKUP($H26,'①カード一覧(入力用)'!$A:$J,10,0)))</f>
      </c>
      <c r="M26" s="106">
        <f>IF(G26="","",VALUE((1500-VLOOKUP($H26,'①カード一覧(入力用)'!$A:$O,15,0))&amp;VLOOKUP($H26,'①カード一覧(入力用)'!$A:$B,2,0)&amp;VLOOKUP($H26,'①カード一覧(入力用)'!$A:$D,4,0)&amp;VLOOKUP($H26,'①カード一覧(入力用)'!$A:$C,3,0)&amp;VLOOKUP($H26,'①カード一覧(入力用)'!$A:$J,10,0)))</f>
      </c>
      <c r="N26" s="106">
        <f>IF(G26="","",VALUE((1500-VLOOKUP($H26,'①カード一覧(入力用)'!$A:$P,16,0))&amp;VLOOKUP($H26,'①カード一覧(入力用)'!$A:$B,2,0)&amp;VLOOKUP($H26,'①カード一覧(入力用)'!$A:$D,4,0)&amp;VLOOKUP($H26,'①カード一覧(入力用)'!$A:$C,3,0)&amp;VLOOKUP($H26,'①カード一覧(入力用)'!$A:$J,10,0)))</f>
      </c>
      <c r="O26" s="106">
        <f>IF(G26="","",VALUE((1500-VLOOKUP($H26,'①カード一覧(入力用)'!$A:$Q,17,0))&amp;VLOOKUP($H26,'①カード一覧(入力用)'!$A:$B,2,0)&amp;VLOOKUP($H26,'①カード一覧(入力用)'!$A:$D,4,0)&amp;VLOOKUP($H26,'①カード一覧(入力用)'!$A:$C,3,0)&amp;VLOOKUP($H26,'①カード一覧(入力用)'!$A:$J,10,0)))</f>
      </c>
      <c r="P26" s="106">
        <f>IF(G26="","",VALUE((200-VLOOKUP($H26,'①カード一覧(入力用)'!$A:$R,18,0))&amp;VLOOKUP($H26,'①カード一覧(入力用)'!$A:$B,2,0)&amp;VLOOKUP($H26,'①カード一覧(入力用)'!$A:$D,4,0)&amp;VLOOKUP($H26,'①カード一覧(入力用)'!$A:$C,3,0)&amp;VLOOKUP($H26,'①カード一覧(入力用)'!$A:$J,10,0)))</f>
      </c>
      <c r="Q26" s="106">
        <f>IF(G26="","",VALUE(VLOOKUP($H26,'①カード一覧(入力用)'!$A:$G,7,0)&amp;VLOOKUP($H26,'①カード一覧(入力用)'!$A:$C,3,0)&amp;VLOOKUP($H26,'①カード一覧(入力用)'!$A:$B,2,0)&amp;VLOOKUP($H26,'①カード一覧(入力用)'!$A:$D,4,0)&amp;VLOOKUP($H26,'①カード一覧(入力用)'!$A:$J,10,0)))</f>
      </c>
      <c r="R26" s="106">
        <f>IF(G26="","",VALUE(VLOOKUP($H26,'①カード一覧(入力用)'!$A:$H,8,0)&amp;VLOOKUP($H26,'①カード一覧(入力用)'!$A:$AR,44,0)&amp;VLOOKUP($H26,'①カード一覧(入力用)'!$A:$B,2,0)&amp;VLOOKUP($H26,'①カード一覧(入力用)'!$A:$D,4,0)&amp;VLOOKUP($H26,'①カード一覧(入力用)'!$A:$J,10,0)))</f>
      </c>
      <c r="S26" s="106">
        <f>IF(G26="","",RANK(INDEX($I$4:$R$43,E26*2-1,$L$1),INDEX($I$4:$R$43,$E$4,$L$1):INDEX($I$4:$R$43,$Q$1,$L$1),1))</f>
      </c>
      <c r="T26" s="106">
        <f>IF(H26="","",VLOOKUP($H26,'①カード一覧(入力用)'!$A:$A,1,0))</f>
      </c>
      <c r="U26" s="106">
        <f>IF($AD26="","",IF($AA$2="タイプ・コスト","『改行』"&amp;VLOOKUP($AD26,'①カード一覧(入力用)'!$I:$AB,5,0)&amp;VLOOKUP($AD26,'①カード一覧(入力用)'!$I:$AB,6,0)&amp;"『改行』",IF($AA$2&lt;&gt;"No","『改行』"&amp;VLOOKUP($AD26,'①カード一覧(入力用)'!$I:$AB,VLOOKUP($AA$2,$A$34:$B$42,2,0),0)&amp;"『改行』","")))</f>
      </c>
      <c r="V26" s="106">
        <f>IF($U26=$U24,"",$U26)</f>
      </c>
      <c r="W26" s="106">
        <f>IF(ISERROR(MATCH(VALUE(MID(V26,5,3)),$A$45:$A$58,0)),"",V26)</f>
      </c>
      <c r="AB26" s="19">
        <v>12</v>
      </c>
      <c r="AC26" s="10">
        <v>1</v>
      </c>
      <c r="AD26" s="88">
        <f>IF(H26="","",VLOOKUP(AB26,$S$4:$T$43,2,0))</f>
      </c>
      <c r="AE26" s="106">
        <f>IF(OR($AA$2="HP",$AA$2="攻",$AA$2="防",$AA$2="速"),W26,V26)</f>
      </c>
      <c r="AF26" s="20">
        <f>IF($AD26="","","|[["&amp;VLOOKUP($AD26,'①カード一覧(入力用)'!$I:$AB,2,0)&amp;"_"&amp;VLOOKUP($AD26,'①カード一覧(入力用)'!$I:$AB,4,0)&amp;"]]|")</f>
      </c>
      <c r="AG26" s="115">
        <f>IF($AD26="","",IF($AA$2="レアリティ","","CENTER:"&amp;VLOOKUP($AD26,'①カード一覧(入力用)'!$I:$AB,3,0)&amp;"|"))</f>
      </c>
      <c r="AH26" s="115">
        <f>IF($AD26="","",IF($AA$2="勢力・陣形","","CENTER:"&amp;VLOOKUP($AD26,'①カード一覧(入力用)'!$I:$AB,18,0)&amp;"|"))</f>
      </c>
      <c r="AI26" s="115">
        <f>IF($AD26="","",IF($AA$2="タイプ・コスト","",VLOOKUP($AD26,'①カード一覧(入力用)'!$I:$AB,5,0)&amp;"|"))</f>
      </c>
      <c r="AJ26" s="115">
        <f>IF($AD26="","",IF($AA$2="タイプ・コスト","","CENTER:"&amp;VLOOKUP($AD26,'①カード一覧(入力用)'!$I:$AB,6,0)&amp;"|"))</f>
      </c>
      <c r="AK26" s="116">
        <f>IF($AD26="","",VLOOKUP($AD26,'①カード一覧(入力用)'!$I:$AB,7,0)&amp;"|")</f>
      </c>
      <c r="AL26" s="116">
        <f>IF($AD26="","",VLOOKUP($AD26,'①カード一覧(入力用)'!$I:$AB,8,0)&amp;"|")</f>
      </c>
      <c r="AM26" s="116">
        <f>IF($AD26="","",VLOOKUP($AD26,'①カード一覧(入力用)'!$I:$AB,9,0)&amp;"|")</f>
      </c>
      <c r="AN26" s="116">
        <f>IF($AD26="","",VLOOKUP($AD26,'①カード一覧(入力用)'!$I:$AB,10,0)&amp;"|")</f>
      </c>
      <c r="AO26" s="117">
        <f>IF($AD26="","",IF($AA$2="基本技",VLOOKUP($AD26,'①カード一覧(入力用)'!$I:$AB,12,0)&amp;"|",IF($AA$2="必殺技",VLOOKUP($AD26,'①カード一覧(入力用)'!$I:$AB,15,0)&amp;"|",VLOOKUP($AD26,'①カード一覧(入力用)'!$I:$AB,11,0)&amp;"|")))</f>
      </c>
    </row>
    <row r="27" spans="1:41" ht="12">
      <c r="A27" s="20" t="s">
        <v>536</v>
      </c>
      <c r="B27" s="106" t="s">
        <v>820</v>
      </c>
      <c r="C27" s="106">
        <v>15</v>
      </c>
      <c r="D27" s="15"/>
      <c r="E27" s="105">
        <v>12</v>
      </c>
      <c r="F27" s="106">
        <v>2</v>
      </c>
      <c r="G27" s="106"/>
      <c r="H27" s="106">
        <f>$H26</f>
      </c>
      <c r="I27" s="114">
        <f>IF(G27="","",VLOOKUP($H27,'①カード一覧(入力用)'!$A:$A,1,0))</f>
      </c>
      <c r="J27" s="106">
        <f>IF(G27="","",VALUE(VLOOKUP($H27,'①カード一覧(入力用)'!$A:$F,6,0)&amp;VLOOKUP($H27,'①カード一覧(入力用)'!$A:$B,2,0)&amp;VLOOKUP($H27,'①カード一覧(入力用)'!$A:$D,4,0)&amp;VLOOKUP($H27,'①カード一覧(入力用)'!$A:$C,3,0)&amp;VLOOKUP($H27,'①カード一覧(入力用)'!$A:$J,10,0)))</f>
      </c>
      <c r="K27" s="106">
        <f>IF(G27="","",VALUE(VLOOKUP($H27,'①カード一覧(入力用)'!$A:$E,5,0)&amp;VLOOKUP($H27,'①カード一覧(入力用)'!$A:$D,4,0)&amp;VLOOKUP($H27,'①カード一覧(入力用)'!$A:$C,3,0)&amp;VLOOKUP($H27,'①カード一覧(入力用)'!$A:$J,10,0)))</f>
      </c>
      <c r="L27" s="106">
        <f>IF(G27="","",VALUE(VLOOKUP($H27,'①カード一覧(入力用)'!$A:$D,4,0)&amp;VLOOKUP($H27,'①カード一覧(入力用)'!$A:$C,3,0)&amp;VLOOKUP($H27,'①カード一覧(入力用)'!$A:$B,2,0)&amp;VLOOKUP($H27,'①カード一覧(入力用)'!$A:$J,10,0)))</f>
      </c>
      <c r="M27" s="106">
        <f>IF(G27="","",VALUE((1500-VLOOKUP($H27,'①カード一覧(入力用)'!$A:$O,15,0))&amp;VLOOKUP($H27,'①カード一覧(入力用)'!$A:$B,2,0)&amp;VLOOKUP($H27,'①カード一覧(入力用)'!$A:$D,4,0)&amp;VLOOKUP($H27,'①カード一覧(入力用)'!$A:$C,3,0)&amp;VLOOKUP($H27,'①カード一覧(入力用)'!$A:$J,10,0)))</f>
      </c>
      <c r="N27" s="106">
        <f>IF(G27="","",VALUE((1500-VLOOKUP($H27,'①カード一覧(入力用)'!$A:$P,16,0))&amp;VLOOKUP($H27,'①カード一覧(入力用)'!$A:$B,2,0)&amp;VLOOKUP($H27,'①カード一覧(入力用)'!$A:$D,4,0)&amp;VLOOKUP($H27,'①カード一覧(入力用)'!$A:$C,3,0)&amp;VLOOKUP($H27,'①カード一覧(入力用)'!$A:$J,10,0)))</f>
      </c>
      <c r="O27" s="106">
        <f>IF(G27="","",VALUE((1500-VLOOKUP($H27,'①カード一覧(入力用)'!$A:$Q,17,0))&amp;VLOOKUP($H27,'①カード一覧(入力用)'!$A:$B,2,0)&amp;VLOOKUP($H27,'①カード一覧(入力用)'!$A:$D,4,0)&amp;VLOOKUP($H27,'①カード一覧(入力用)'!$A:$C,3,0)&amp;VLOOKUP($H27,'①カード一覧(入力用)'!$A:$J,10,0)))</f>
      </c>
      <c r="P27" s="106">
        <f>IF(G27="","",VALUE((200-VLOOKUP($H27,'①カード一覧(入力用)'!$A:$R,18,0))&amp;VLOOKUP($H27,'①カード一覧(入力用)'!$A:$B,2,0)&amp;VLOOKUP($H27,'①カード一覧(入力用)'!$A:$D,4,0)&amp;VLOOKUP($H27,'①カード一覧(入力用)'!$A:$C,3,0)&amp;VLOOKUP($H27,'①カード一覧(入力用)'!$A:$J,10,0)))</f>
      </c>
      <c r="Q27" s="106">
        <f>IF(G27="","",VALUE(VLOOKUP($H27,'①カード一覧(入力用)'!$A:$G,7,0)&amp;VLOOKUP($H27,'①カード一覧(入力用)'!$A:$C,3,0)&amp;VLOOKUP($H27,'①カード一覧(入力用)'!$A:$B,2,0)&amp;VLOOKUP($H27,'①カード一覧(入力用)'!$A:$D,4,0)&amp;VLOOKUP($H27,'①カード一覧(入力用)'!$A:$J,10,0)))</f>
      </c>
      <c r="R27" s="106">
        <f>IF(G27="","",VALUE(VLOOKUP($H27,'①カード一覧(入力用)'!$A:$H,8,0)&amp;VLOOKUP($H27,'①カード一覧(入力用)'!$A:$AR,44,0)&amp;VLOOKUP($H27,'①カード一覧(入力用)'!$A:$B,2,0)&amp;VLOOKUP($H27,'①カード一覧(入力用)'!$A:$D,4,0)&amp;VLOOKUP($H27,'①カード一覧(入力用)'!$A:$J,10,0)))</f>
      </c>
      <c r="S27" s="106">
        <f>IF(G27="","",RANK(INDEX($I$4:$R$43,E27*2-1,$L$1),INDEX($I$4:$R$43,$E$4,$L$1):INDEX($I$4:$R$43,$Q$1,$L$1),1))</f>
      </c>
      <c r="T27" s="106">
        <f>IF(H27="","",VLOOKUP($H27,'①カード一覧(入力用)'!$A:$A,1,0))</f>
      </c>
      <c r="U27" s="106"/>
      <c r="V27" s="106"/>
      <c r="W27" s="106"/>
      <c r="AB27" s="19">
        <v>12</v>
      </c>
      <c r="AC27" s="10">
        <v>2</v>
      </c>
      <c r="AD27" s="88">
        <f>AD26</f>
      </c>
      <c r="AE27" s="106"/>
      <c r="AF27" s="20">
        <f>IF($AD27="","",IF($AA$2="基本技","","|~|"))</f>
      </c>
      <c r="AG27" s="118">
        <f>IF($AD27="","",IF(OR($AA$2="レアリティ",$AA$2="基本技"),"","~"&amp;"|"))</f>
      </c>
      <c r="AH27" s="118">
        <f>IF($AD27="","",IF(OR($AA$2="勢力・陣形",$AA$2="基本技"),"","~"&amp;"|"))</f>
      </c>
      <c r="AI27" s="118">
        <f>IF($AD27="","",IF(OR($AA$2="タイプ・コスト",$AA$2="基本技"),"","~"&amp;"|"))</f>
      </c>
      <c r="AJ27" s="118">
        <f>IF($AD27="","",IF(OR($AA$2="タイプ・コスト",$AA$2="基本技"),"","~"&amp;"|"))</f>
      </c>
      <c r="AK27" s="106">
        <f>IF($AD27="","",IF($AA$2="基本技","","~"&amp;"|"))</f>
      </c>
      <c r="AL27" s="106">
        <f>IF($AD27="","",IF($AA$2="基本技","","~"&amp;"|"))</f>
      </c>
      <c r="AM27" s="106">
        <f>IF($AD27="","",IF($AA$2="基本技","","~"&amp;"|"))</f>
      </c>
      <c r="AN27" s="106">
        <f>IF($AD27="","",IF($AA$2="基本技","","~"&amp;"|"))</f>
      </c>
      <c r="AO27" s="20">
        <f>IF($AD27="","",IF($AA$2="基本技","",IF($AA$2="必殺技",VLOOKUP($AD27,'①カード一覧(入力用)'!$I:$AB,14,0)&amp;"|",VLOOKUP($AD27,'①カード一覧(入力用)'!$I:$AB,13,0)&amp;"|")))</f>
      </c>
    </row>
    <row r="28" spans="1:41" ht="12">
      <c r="A28" s="20" t="s">
        <v>537</v>
      </c>
      <c r="B28" s="106" t="s">
        <v>821</v>
      </c>
      <c r="C28" s="106">
        <v>16</v>
      </c>
      <c r="D28" s="15"/>
      <c r="E28" s="105">
        <v>13</v>
      </c>
      <c r="F28" s="106">
        <v>1</v>
      </c>
      <c r="G28" s="106">
        <f>IF(G26="","",IF(G26+1&gt;$Y$6,"",G26+1))</f>
      </c>
      <c r="H28" s="106">
        <f>IF(G28="","",INDEX('①カード一覧(入力用)'!A:A,$G28,1))</f>
      </c>
      <c r="I28" s="114">
        <f>IF(G28="","",VLOOKUP($H28,'①カード一覧(入力用)'!$A:$A,1,0))</f>
      </c>
      <c r="J28" s="106">
        <f>IF(G28="","",VALUE(VLOOKUP($H28,'①カード一覧(入力用)'!$A:$F,6,0)&amp;VLOOKUP($H28,'①カード一覧(入力用)'!$A:$B,2,0)&amp;VLOOKUP($H28,'①カード一覧(入力用)'!$A:$D,4,0)&amp;VLOOKUP($H28,'①カード一覧(入力用)'!$A:$C,3,0)&amp;VLOOKUP($H28,'①カード一覧(入力用)'!$A:$J,10,0)))</f>
      </c>
      <c r="K28" s="106">
        <f>IF(G28="","",VALUE(VLOOKUP($H28,'①カード一覧(入力用)'!$A:$E,5,0)&amp;VLOOKUP($H28,'①カード一覧(入力用)'!$A:$D,4,0)&amp;VLOOKUP($H28,'①カード一覧(入力用)'!$A:$C,3,0)&amp;VLOOKUP($H28,'①カード一覧(入力用)'!$A:$J,10,0)))</f>
      </c>
      <c r="L28" s="106">
        <f>IF(G28="","",VALUE(VLOOKUP($H28,'①カード一覧(入力用)'!$A:$D,4,0)&amp;VLOOKUP($H28,'①カード一覧(入力用)'!$A:$C,3,0)&amp;VLOOKUP($H28,'①カード一覧(入力用)'!$A:$B,2,0)&amp;VLOOKUP($H28,'①カード一覧(入力用)'!$A:$J,10,0)))</f>
      </c>
      <c r="M28" s="106">
        <f>IF(G28="","",VALUE((1500-VLOOKUP($H28,'①カード一覧(入力用)'!$A:$O,15,0))&amp;VLOOKUP($H28,'①カード一覧(入力用)'!$A:$B,2,0)&amp;VLOOKUP($H28,'①カード一覧(入力用)'!$A:$D,4,0)&amp;VLOOKUP($H28,'①カード一覧(入力用)'!$A:$C,3,0)&amp;VLOOKUP($H28,'①カード一覧(入力用)'!$A:$J,10,0)))</f>
      </c>
      <c r="N28" s="106">
        <f>IF(G28="","",VALUE((1500-VLOOKUP($H28,'①カード一覧(入力用)'!$A:$P,16,0))&amp;VLOOKUP($H28,'①カード一覧(入力用)'!$A:$B,2,0)&amp;VLOOKUP($H28,'①カード一覧(入力用)'!$A:$D,4,0)&amp;VLOOKUP($H28,'①カード一覧(入力用)'!$A:$C,3,0)&amp;VLOOKUP($H28,'①カード一覧(入力用)'!$A:$J,10,0)))</f>
      </c>
      <c r="O28" s="106">
        <f>IF(G28="","",VALUE((1500-VLOOKUP($H28,'①カード一覧(入力用)'!$A:$Q,17,0))&amp;VLOOKUP($H28,'①カード一覧(入力用)'!$A:$B,2,0)&amp;VLOOKUP($H28,'①カード一覧(入力用)'!$A:$D,4,0)&amp;VLOOKUP($H28,'①カード一覧(入力用)'!$A:$C,3,0)&amp;VLOOKUP($H28,'①カード一覧(入力用)'!$A:$J,10,0)))</f>
      </c>
      <c r="P28" s="106">
        <f>IF(G28="","",VALUE((200-VLOOKUP($H28,'①カード一覧(入力用)'!$A:$R,18,0))&amp;VLOOKUP($H28,'①カード一覧(入力用)'!$A:$B,2,0)&amp;VLOOKUP($H28,'①カード一覧(入力用)'!$A:$D,4,0)&amp;VLOOKUP($H28,'①カード一覧(入力用)'!$A:$C,3,0)&amp;VLOOKUP($H28,'①カード一覧(入力用)'!$A:$J,10,0)))</f>
      </c>
      <c r="Q28" s="106">
        <f>IF(G28="","",VALUE(VLOOKUP($H28,'①カード一覧(入力用)'!$A:$G,7,0)&amp;VLOOKUP($H28,'①カード一覧(入力用)'!$A:$C,3,0)&amp;VLOOKUP($H28,'①カード一覧(入力用)'!$A:$B,2,0)&amp;VLOOKUP($H28,'①カード一覧(入力用)'!$A:$D,4,0)&amp;VLOOKUP($H28,'①カード一覧(入力用)'!$A:$J,10,0)))</f>
      </c>
      <c r="R28" s="106">
        <f>IF(G28="","",VALUE(VLOOKUP($H28,'①カード一覧(入力用)'!$A:$H,8,0)&amp;VLOOKUP($H28,'①カード一覧(入力用)'!$A:$AR,44,0)&amp;VLOOKUP($H28,'①カード一覧(入力用)'!$A:$B,2,0)&amp;VLOOKUP($H28,'①カード一覧(入力用)'!$A:$D,4,0)&amp;VLOOKUP($H28,'①カード一覧(入力用)'!$A:$J,10,0)))</f>
      </c>
      <c r="S28" s="106">
        <f>IF(G28="","",RANK(INDEX($I$4:$R$43,E28*2-1,$L$1),INDEX($I$4:$R$43,$E$4,$L$1):INDEX($I$4:$R$43,$Q$1,$L$1),1))</f>
      </c>
      <c r="T28" s="106">
        <f>IF(H28="","",VLOOKUP($H28,'①カード一覧(入力用)'!$A:$A,1,0))</f>
      </c>
      <c r="U28" s="106">
        <f>IF($AD28="","",IF($AA$2="タイプ・コスト","『改行』"&amp;VLOOKUP($AD28,'①カード一覧(入力用)'!$I:$AB,5,0)&amp;VLOOKUP($AD28,'①カード一覧(入力用)'!$I:$AB,6,0)&amp;"『改行』",IF($AA$2&lt;&gt;"No","『改行』"&amp;VLOOKUP($AD28,'①カード一覧(入力用)'!$I:$AB,VLOOKUP($AA$2,$A$34:$B$42,2,0),0)&amp;"『改行』","")))</f>
      </c>
      <c r="V28" s="106">
        <f>IF($U28=$U26,"",$U28)</f>
      </c>
      <c r="W28" s="106">
        <f>IF(ISERROR(MATCH(VALUE(MID(V28,5,3)),$A$45:$A$58,0)),"",V28)</f>
      </c>
      <c r="AB28" s="19">
        <v>13</v>
      </c>
      <c r="AC28" s="10">
        <v>1</v>
      </c>
      <c r="AD28" s="88">
        <f>IF(H28="","",VLOOKUP(AB28,$S$4:$T$43,2,0))</f>
      </c>
      <c r="AE28" s="106">
        <f>IF(OR($AA$2="HP",$AA$2="攻",$AA$2="防",$AA$2="速"),W28,V28)</f>
      </c>
      <c r="AF28" s="20">
        <f>IF($AD28="","","|[["&amp;VLOOKUP($AD28,'①カード一覧(入力用)'!$I:$AB,2,0)&amp;"_"&amp;VLOOKUP($AD28,'①カード一覧(入力用)'!$I:$AB,4,0)&amp;"]]|")</f>
      </c>
      <c r="AG28" s="115">
        <f>IF($AD28="","",IF($AA$2="レアリティ","","CENTER:"&amp;VLOOKUP($AD28,'①カード一覧(入力用)'!$I:$AB,3,0)&amp;"|"))</f>
      </c>
      <c r="AH28" s="115">
        <f>IF($AD28="","",IF($AA$2="勢力・陣形","","CENTER:"&amp;VLOOKUP($AD28,'①カード一覧(入力用)'!$I:$AB,18,0)&amp;"|"))</f>
      </c>
      <c r="AI28" s="115">
        <f>IF($AD28="","",IF($AA$2="タイプ・コスト","",VLOOKUP($AD28,'①カード一覧(入力用)'!$I:$AB,5,0)&amp;"|"))</f>
      </c>
      <c r="AJ28" s="115">
        <f>IF($AD28="","",IF($AA$2="タイプ・コスト","","CENTER:"&amp;VLOOKUP($AD28,'①カード一覧(入力用)'!$I:$AB,6,0)&amp;"|"))</f>
      </c>
      <c r="AK28" s="116">
        <f>IF($AD28="","",VLOOKUP($AD28,'①カード一覧(入力用)'!$I:$AB,7,0)&amp;"|")</f>
      </c>
      <c r="AL28" s="116">
        <f>IF($AD28="","",VLOOKUP($AD28,'①カード一覧(入力用)'!$I:$AB,8,0)&amp;"|")</f>
      </c>
      <c r="AM28" s="116">
        <f>IF($AD28="","",VLOOKUP($AD28,'①カード一覧(入力用)'!$I:$AB,9,0)&amp;"|")</f>
      </c>
      <c r="AN28" s="116">
        <f>IF($AD28="","",VLOOKUP($AD28,'①カード一覧(入力用)'!$I:$AB,10,0)&amp;"|")</f>
      </c>
      <c r="AO28" s="117">
        <f>IF($AD28="","",IF($AA$2="基本技",VLOOKUP($AD28,'①カード一覧(入力用)'!$I:$AB,12,0)&amp;"|",IF($AA$2="必殺技",VLOOKUP($AD28,'①カード一覧(入力用)'!$I:$AB,15,0)&amp;"|",VLOOKUP($AD28,'①カード一覧(入力用)'!$I:$AB,11,0)&amp;"|")))</f>
      </c>
    </row>
    <row r="29" spans="1:41" ht="12">
      <c r="A29" s="20" t="s">
        <v>538</v>
      </c>
      <c r="B29" s="106" t="s">
        <v>822</v>
      </c>
      <c r="C29" s="106">
        <v>17</v>
      </c>
      <c r="D29" s="15"/>
      <c r="E29" s="105">
        <v>13</v>
      </c>
      <c r="F29" s="106">
        <v>2</v>
      </c>
      <c r="G29" s="106"/>
      <c r="H29" s="106">
        <f>$H28</f>
      </c>
      <c r="I29" s="114">
        <f>IF(G29="","",VLOOKUP($H29,'①カード一覧(入力用)'!$A:$A,1,0))</f>
      </c>
      <c r="J29" s="106">
        <f>IF(G29="","",VALUE(VLOOKUP($H29,'①カード一覧(入力用)'!$A:$F,6,0)&amp;VLOOKUP($H29,'①カード一覧(入力用)'!$A:$B,2,0)&amp;VLOOKUP($H29,'①カード一覧(入力用)'!$A:$D,4,0)&amp;VLOOKUP($H29,'①カード一覧(入力用)'!$A:$C,3,0)&amp;VLOOKUP($H29,'①カード一覧(入力用)'!$A:$J,10,0)))</f>
      </c>
      <c r="K29" s="106">
        <f>IF(G29="","",VALUE(VLOOKUP($H29,'①カード一覧(入力用)'!$A:$E,5,0)&amp;VLOOKUP($H29,'①カード一覧(入力用)'!$A:$D,4,0)&amp;VLOOKUP($H29,'①カード一覧(入力用)'!$A:$C,3,0)&amp;VLOOKUP($H29,'①カード一覧(入力用)'!$A:$J,10,0)))</f>
      </c>
      <c r="L29" s="106">
        <f>IF(G29="","",VALUE(VLOOKUP($H29,'①カード一覧(入力用)'!$A:$D,4,0)&amp;VLOOKUP($H29,'①カード一覧(入力用)'!$A:$C,3,0)&amp;VLOOKUP($H29,'①カード一覧(入力用)'!$A:$B,2,0)&amp;VLOOKUP($H29,'①カード一覧(入力用)'!$A:$J,10,0)))</f>
      </c>
      <c r="M29" s="106">
        <f>IF(G29="","",VALUE((1500-VLOOKUP($H29,'①カード一覧(入力用)'!$A:$O,15,0))&amp;VLOOKUP($H29,'①カード一覧(入力用)'!$A:$B,2,0)&amp;VLOOKUP($H29,'①カード一覧(入力用)'!$A:$D,4,0)&amp;VLOOKUP($H29,'①カード一覧(入力用)'!$A:$C,3,0)&amp;VLOOKUP($H29,'①カード一覧(入力用)'!$A:$J,10,0)))</f>
      </c>
      <c r="N29" s="106">
        <f>IF(G29="","",VALUE((1500-VLOOKUP($H29,'①カード一覧(入力用)'!$A:$P,16,0))&amp;VLOOKUP($H29,'①カード一覧(入力用)'!$A:$B,2,0)&amp;VLOOKUP($H29,'①カード一覧(入力用)'!$A:$D,4,0)&amp;VLOOKUP($H29,'①カード一覧(入力用)'!$A:$C,3,0)&amp;VLOOKUP($H29,'①カード一覧(入力用)'!$A:$J,10,0)))</f>
      </c>
      <c r="O29" s="106">
        <f>IF(G29="","",VALUE((1500-VLOOKUP($H29,'①カード一覧(入力用)'!$A:$Q,17,0))&amp;VLOOKUP($H29,'①カード一覧(入力用)'!$A:$B,2,0)&amp;VLOOKUP($H29,'①カード一覧(入力用)'!$A:$D,4,0)&amp;VLOOKUP($H29,'①カード一覧(入力用)'!$A:$C,3,0)&amp;VLOOKUP($H29,'①カード一覧(入力用)'!$A:$J,10,0)))</f>
      </c>
      <c r="P29" s="106">
        <f>IF(G29="","",VALUE((200-VLOOKUP($H29,'①カード一覧(入力用)'!$A:$R,18,0))&amp;VLOOKUP($H29,'①カード一覧(入力用)'!$A:$B,2,0)&amp;VLOOKUP($H29,'①カード一覧(入力用)'!$A:$D,4,0)&amp;VLOOKUP($H29,'①カード一覧(入力用)'!$A:$C,3,0)&amp;VLOOKUP($H29,'①カード一覧(入力用)'!$A:$J,10,0)))</f>
      </c>
      <c r="Q29" s="106">
        <f>IF(G29="","",VALUE(VLOOKUP($H29,'①カード一覧(入力用)'!$A:$G,7,0)&amp;VLOOKUP($H29,'①カード一覧(入力用)'!$A:$C,3,0)&amp;VLOOKUP($H29,'①カード一覧(入力用)'!$A:$B,2,0)&amp;VLOOKUP($H29,'①カード一覧(入力用)'!$A:$D,4,0)&amp;VLOOKUP($H29,'①カード一覧(入力用)'!$A:$J,10,0)))</f>
      </c>
      <c r="R29" s="106">
        <f>IF(G29="","",VALUE(VLOOKUP($H29,'①カード一覧(入力用)'!$A:$H,8,0)&amp;VLOOKUP($H29,'①カード一覧(入力用)'!$A:$AR,44,0)&amp;VLOOKUP($H29,'①カード一覧(入力用)'!$A:$B,2,0)&amp;VLOOKUP($H29,'①カード一覧(入力用)'!$A:$D,4,0)&amp;VLOOKUP($H29,'①カード一覧(入力用)'!$A:$J,10,0)))</f>
      </c>
      <c r="S29" s="106">
        <f>IF(G29="","",RANK(INDEX($I$4:$R$43,E29*2-1,$L$1),INDEX($I$4:$R$43,$E$4,$L$1):INDEX($I$4:$R$43,$Q$1,$L$1),1))</f>
      </c>
      <c r="T29" s="106">
        <f>IF(H29="","",VLOOKUP($H29,'①カード一覧(入力用)'!$A:$A,1,0))</f>
      </c>
      <c r="U29" s="106"/>
      <c r="V29" s="106"/>
      <c r="W29" s="106"/>
      <c r="AB29" s="19">
        <v>13</v>
      </c>
      <c r="AC29" s="10">
        <v>2</v>
      </c>
      <c r="AD29" s="88">
        <f>AD28</f>
      </c>
      <c r="AE29" s="106"/>
      <c r="AF29" s="20">
        <f>IF($AD29="","",IF($AA$2="基本技","","|~|"))</f>
      </c>
      <c r="AG29" s="118">
        <f>IF($AD29="","",IF(OR($AA$2="レアリティ",$AA$2="基本技"),"","~"&amp;"|"))</f>
      </c>
      <c r="AH29" s="118">
        <f>IF($AD29="","",IF(OR($AA$2="勢力・陣形",$AA$2="基本技"),"","~"&amp;"|"))</f>
      </c>
      <c r="AI29" s="118">
        <f>IF($AD29="","",IF(OR($AA$2="タイプ・コスト",$AA$2="基本技"),"","~"&amp;"|"))</f>
      </c>
      <c r="AJ29" s="118">
        <f>IF($AD29="","",IF(OR($AA$2="タイプ・コスト",$AA$2="基本技"),"","~"&amp;"|"))</f>
      </c>
      <c r="AK29" s="106">
        <f>IF($AD29="","",IF($AA$2="基本技","","~"&amp;"|"))</f>
      </c>
      <c r="AL29" s="106">
        <f>IF($AD29="","",IF($AA$2="基本技","","~"&amp;"|"))</f>
      </c>
      <c r="AM29" s="106">
        <f>IF($AD29="","",IF($AA$2="基本技","","~"&amp;"|"))</f>
      </c>
      <c r="AN29" s="106">
        <f>IF($AD29="","",IF($AA$2="基本技","","~"&amp;"|"))</f>
      </c>
      <c r="AO29" s="20">
        <f>IF($AD29="","",IF($AA$2="基本技","",IF($AA$2="必殺技",VLOOKUP($AD29,'①カード一覧(入力用)'!$I:$AB,14,0)&amp;"|",VLOOKUP($AD29,'①カード一覧(入力用)'!$I:$AB,13,0)&amp;"|")))</f>
      </c>
    </row>
    <row r="30" spans="1:41" ht="12">
      <c r="A30" s="20" t="s">
        <v>539</v>
      </c>
      <c r="B30" s="106" t="s">
        <v>1058</v>
      </c>
      <c r="C30" s="106">
        <v>18</v>
      </c>
      <c r="E30" s="105">
        <v>14</v>
      </c>
      <c r="F30" s="106">
        <v>1</v>
      </c>
      <c r="G30" s="106">
        <f>IF(G28="","",IF(G28+1&gt;$Y$6,"",G28+1))</f>
      </c>
      <c r="H30" s="106">
        <f>IF(G30="","",INDEX('①カード一覧(入力用)'!A:A,$G30,1))</f>
      </c>
      <c r="I30" s="114">
        <f>IF(G30="","",VLOOKUP($H30,'①カード一覧(入力用)'!$A:$A,1,0))</f>
      </c>
      <c r="J30" s="106">
        <f>IF(G30="","",VALUE(VLOOKUP($H30,'①カード一覧(入力用)'!$A:$F,6,0)&amp;VLOOKUP($H30,'①カード一覧(入力用)'!$A:$B,2,0)&amp;VLOOKUP($H30,'①カード一覧(入力用)'!$A:$D,4,0)&amp;VLOOKUP($H30,'①カード一覧(入力用)'!$A:$C,3,0)&amp;VLOOKUP($H30,'①カード一覧(入力用)'!$A:$J,10,0)))</f>
      </c>
      <c r="K30" s="106">
        <f>IF(G30="","",VALUE(VLOOKUP($H30,'①カード一覧(入力用)'!$A:$E,5,0)&amp;VLOOKUP($H30,'①カード一覧(入力用)'!$A:$D,4,0)&amp;VLOOKUP($H30,'①カード一覧(入力用)'!$A:$C,3,0)&amp;VLOOKUP($H30,'①カード一覧(入力用)'!$A:$J,10,0)))</f>
      </c>
      <c r="L30" s="106">
        <f>IF(G30="","",VALUE(VLOOKUP($H30,'①カード一覧(入力用)'!$A:$D,4,0)&amp;VLOOKUP($H30,'①カード一覧(入力用)'!$A:$C,3,0)&amp;VLOOKUP($H30,'①カード一覧(入力用)'!$A:$B,2,0)&amp;VLOOKUP($H30,'①カード一覧(入力用)'!$A:$J,10,0)))</f>
      </c>
      <c r="M30" s="106">
        <f>IF(G30="","",VALUE((1500-VLOOKUP($H30,'①カード一覧(入力用)'!$A:$O,15,0))&amp;VLOOKUP($H30,'①カード一覧(入力用)'!$A:$B,2,0)&amp;VLOOKUP($H30,'①カード一覧(入力用)'!$A:$D,4,0)&amp;VLOOKUP($H30,'①カード一覧(入力用)'!$A:$C,3,0)&amp;VLOOKUP($H30,'①カード一覧(入力用)'!$A:$J,10,0)))</f>
      </c>
      <c r="N30" s="106">
        <f>IF(G30="","",VALUE((1500-VLOOKUP($H30,'①カード一覧(入力用)'!$A:$P,16,0))&amp;VLOOKUP($H30,'①カード一覧(入力用)'!$A:$B,2,0)&amp;VLOOKUP($H30,'①カード一覧(入力用)'!$A:$D,4,0)&amp;VLOOKUP($H30,'①カード一覧(入力用)'!$A:$C,3,0)&amp;VLOOKUP($H30,'①カード一覧(入力用)'!$A:$J,10,0)))</f>
      </c>
      <c r="O30" s="106">
        <f>IF(G30="","",VALUE((1500-VLOOKUP($H30,'①カード一覧(入力用)'!$A:$Q,17,0))&amp;VLOOKUP($H30,'①カード一覧(入力用)'!$A:$B,2,0)&amp;VLOOKUP($H30,'①カード一覧(入力用)'!$A:$D,4,0)&amp;VLOOKUP($H30,'①カード一覧(入力用)'!$A:$C,3,0)&amp;VLOOKUP($H30,'①カード一覧(入力用)'!$A:$J,10,0)))</f>
      </c>
      <c r="P30" s="106">
        <f>IF(G30="","",VALUE((200-VLOOKUP($H30,'①カード一覧(入力用)'!$A:$R,18,0))&amp;VLOOKUP($H30,'①カード一覧(入力用)'!$A:$B,2,0)&amp;VLOOKUP($H30,'①カード一覧(入力用)'!$A:$D,4,0)&amp;VLOOKUP($H30,'①カード一覧(入力用)'!$A:$C,3,0)&amp;VLOOKUP($H30,'①カード一覧(入力用)'!$A:$J,10,0)))</f>
      </c>
      <c r="Q30" s="106">
        <f>IF(G30="","",VALUE(VLOOKUP($H30,'①カード一覧(入力用)'!$A:$G,7,0)&amp;VLOOKUP($H30,'①カード一覧(入力用)'!$A:$C,3,0)&amp;VLOOKUP($H30,'①カード一覧(入力用)'!$A:$B,2,0)&amp;VLOOKUP($H30,'①カード一覧(入力用)'!$A:$D,4,0)&amp;VLOOKUP($H30,'①カード一覧(入力用)'!$A:$J,10,0)))</f>
      </c>
      <c r="R30" s="106">
        <f>IF(G30="","",VALUE(VLOOKUP($H30,'①カード一覧(入力用)'!$A:$H,8,0)&amp;VLOOKUP($H30,'①カード一覧(入力用)'!$A:$AR,44,0)&amp;VLOOKUP($H30,'①カード一覧(入力用)'!$A:$B,2,0)&amp;VLOOKUP($H30,'①カード一覧(入力用)'!$A:$D,4,0)&amp;VLOOKUP($H30,'①カード一覧(入力用)'!$A:$J,10,0)))</f>
      </c>
      <c r="S30" s="106">
        <f>IF(G30="","",RANK(INDEX($I$4:$R$43,E30*2-1,$L$1),INDEX($I$4:$R$43,$E$4,$L$1):INDEX($I$4:$R$43,$Q$1,$L$1),1))</f>
      </c>
      <c r="T30" s="106">
        <f>IF(H30="","",VLOOKUP($H30,'①カード一覧(入力用)'!$A:$A,1,0))</f>
      </c>
      <c r="U30" s="106">
        <f>IF($AD30="","",IF($AA$2="タイプ・コスト","『改行』"&amp;VLOOKUP($AD30,'①カード一覧(入力用)'!$I:$AB,5,0)&amp;VLOOKUP($AD30,'①カード一覧(入力用)'!$I:$AB,6,0)&amp;"『改行』",IF($AA$2&lt;&gt;"No","『改行』"&amp;VLOOKUP($AD30,'①カード一覧(入力用)'!$I:$AB,VLOOKUP($AA$2,$A$34:$B$42,2,0),0)&amp;"『改行』","")))</f>
      </c>
      <c r="V30" s="106">
        <f>IF($U30=$U28,"",$U30)</f>
      </c>
      <c r="W30" s="106">
        <f>IF(ISERROR(MATCH(VALUE(MID(V30,5,3)),$A$45:$A$58,0)),"",V30)</f>
      </c>
      <c r="AB30" s="19">
        <v>14</v>
      </c>
      <c r="AC30" s="10">
        <v>1</v>
      </c>
      <c r="AD30" s="88">
        <f>IF(H30="","",VLOOKUP(AB30,$S$4:$T$43,2,0))</f>
      </c>
      <c r="AE30" s="106">
        <f>IF(OR($AA$2="HP",$AA$2="攻",$AA$2="防",$AA$2="速"),W30,V30)</f>
      </c>
      <c r="AF30" s="20">
        <f>IF($AD30="","","|[["&amp;VLOOKUP($AD30,'①カード一覧(入力用)'!$I:$AB,2,0)&amp;"_"&amp;VLOOKUP($AD30,'①カード一覧(入力用)'!$I:$AB,4,0)&amp;"]]|")</f>
      </c>
      <c r="AG30" s="115">
        <f>IF($AD30="","",IF($AA$2="レアリティ","","CENTER:"&amp;VLOOKUP($AD30,'①カード一覧(入力用)'!$I:$AB,3,0)&amp;"|"))</f>
      </c>
      <c r="AH30" s="115">
        <f>IF($AD30="","",IF($AA$2="勢力・陣形","","CENTER:"&amp;VLOOKUP($AD30,'①カード一覧(入力用)'!$I:$AB,18,0)&amp;"|"))</f>
      </c>
      <c r="AI30" s="115">
        <f>IF($AD30="","",IF($AA$2="タイプ・コスト","",VLOOKUP($AD30,'①カード一覧(入力用)'!$I:$AB,5,0)&amp;"|"))</f>
      </c>
      <c r="AJ30" s="115">
        <f>IF($AD30="","",IF($AA$2="タイプ・コスト","","CENTER:"&amp;VLOOKUP($AD30,'①カード一覧(入力用)'!$I:$AB,6,0)&amp;"|"))</f>
      </c>
      <c r="AK30" s="116">
        <f>IF($AD30="","",VLOOKUP($AD30,'①カード一覧(入力用)'!$I:$AB,7,0)&amp;"|")</f>
      </c>
      <c r="AL30" s="116">
        <f>IF($AD30="","",VLOOKUP($AD30,'①カード一覧(入力用)'!$I:$AB,8,0)&amp;"|")</f>
      </c>
      <c r="AM30" s="116">
        <f>IF($AD30="","",VLOOKUP($AD30,'①カード一覧(入力用)'!$I:$AB,9,0)&amp;"|")</f>
      </c>
      <c r="AN30" s="116">
        <f>IF($AD30="","",VLOOKUP($AD30,'①カード一覧(入力用)'!$I:$AB,10,0)&amp;"|")</f>
      </c>
      <c r="AO30" s="117">
        <f>IF($AD30="","",IF($AA$2="基本技",VLOOKUP($AD30,'①カード一覧(入力用)'!$I:$AB,12,0)&amp;"|",IF($AA$2="必殺技",VLOOKUP($AD30,'①カード一覧(入力用)'!$I:$AB,15,0)&amp;"|",VLOOKUP($AD30,'①カード一覧(入力用)'!$I:$AB,11,0)&amp;"|")))</f>
      </c>
    </row>
    <row r="31" spans="1:41" ht="12">
      <c r="A31" s="20" t="s">
        <v>468</v>
      </c>
      <c r="B31" s="106" t="s">
        <v>469</v>
      </c>
      <c r="C31" s="106">
        <v>44</v>
      </c>
      <c r="E31" s="105">
        <v>14</v>
      </c>
      <c r="F31" s="106">
        <v>2</v>
      </c>
      <c r="G31" s="106"/>
      <c r="H31" s="106">
        <f>$H30</f>
      </c>
      <c r="I31" s="114">
        <f>IF(G31="","",VLOOKUP($H31,'①カード一覧(入力用)'!$A:$A,1,0))</f>
      </c>
      <c r="J31" s="106">
        <f>IF(G31="","",VALUE(VLOOKUP($H31,'①カード一覧(入力用)'!$A:$F,6,0)&amp;VLOOKUP($H31,'①カード一覧(入力用)'!$A:$B,2,0)&amp;VLOOKUP($H31,'①カード一覧(入力用)'!$A:$D,4,0)&amp;VLOOKUP($H31,'①カード一覧(入力用)'!$A:$C,3,0)&amp;VLOOKUP($H31,'①カード一覧(入力用)'!$A:$J,10,0)))</f>
      </c>
      <c r="K31" s="106">
        <f>IF(G31="","",VALUE(VLOOKUP($H31,'①カード一覧(入力用)'!$A:$E,5,0)&amp;VLOOKUP($H31,'①カード一覧(入力用)'!$A:$D,4,0)&amp;VLOOKUP($H31,'①カード一覧(入力用)'!$A:$C,3,0)&amp;VLOOKUP($H31,'①カード一覧(入力用)'!$A:$J,10,0)))</f>
      </c>
      <c r="L31" s="106">
        <f>IF(G31="","",VALUE(VLOOKUP($H31,'①カード一覧(入力用)'!$A:$D,4,0)&amp;VLOOKUP($H31,'①カード一覧(入力用)'!$A:$C,3,0)&amp;VLOOKUP($H31,'①カード一覧(入力用)'!$A:$B,2,0)&amp;VLOOKUP($H31,'①カード一覧(入力用)'!$A:$J,10,0)))</f>
      </c>
      <c r="M31" s="106">
        <f>IF(G31="","",VALUE((1500-VLOOKUP($H31,'①カード一覧(入力用)'!$A:$O,15,0))&amp;VLOOKUP($H31,'①カード一覧(入力用)'!$A:$B,2,0)&amp;VLOOKUP($H31,'①カード一覧(入力用)'!$A:$D,4,0)&amp;VLOOKUP($H31,'①カード一覧(入力用)'!$A:$C,3,0)&amp;VLOOKUP($H31,'①カード一覧(入力用)'!$A:$J,10,0)))</f>
      </c>
      <c r="N31" s="106">
        <f>IF(G31="","",VALUE((1500-VLOOKUP($H31,'①カード一覧(入力用)'!$A:$P,16,0))&amp;VLOOKUP($H31,'①カード一覧(入力用)'!$A:$B,2,0)&amp;VLOOKUP($H31,'①カード一覧(入力用)'!$A:$D,4,0)&amp;VLOOKUP($H31,'①カード一覧(入力用)'!$A:$C,3,0)&amp;VLOOKUP($H31,'①カード一覧(入力用)'!$A:$J,10,0)))</f>
      </c>
      <c r="O31" s="106">
        <f>IF(G31="","",VALUE((1500-VLOOKUP($H31,'①カード一覧(入力用)'!$A:$Q,17,0))&amp;VLOOKUP($H31,'①カード一覧(入力用)'!$A:$B,2,0)&amp;VLOOKUP($H31,'①カード一覧(入力用)'!$A:$D,4,0)&amp;VLOOKUP($H31,'①カード一覧(入力用)'!$A:$C,3,0)&amp;VLOOKUP($H31,'①カード一覧(入力用)'!$A:$J,10,0)))</f>
      </c>
      <c r="P31" s="106">
        <f>IF(G31="","",VALUE((200-VLOOKUP($H31,'①カード一覧(入力用)'!$A:$R,18,0))&amp;VLOOKUP($H31,'①カード一覧(入力用)'!$A:$B,2,0)&amp;VLOOKUP($H31,'①カード一覧(入力用)'!$A:$D,4,0)&amp;VLOOKUP($H31,'①カード一覧(入力用)'!$A:$C,3,0)&amp;VLOOKUP($H31,'①カード一覧(入力用)'!$A:$J,10,0)))</f>
      </c>
      <c r="Q31" s="106">
        <f>IF(G31="","",VALUE(VLOOKUP($H31,'①カード一覧(入力用)'!$A:$G,7,0)&amp;VLOOKUP($H31,'①カード一覧(入力用)'!$A:$C,3,0)&amp;VLOOKUP($H31,'①カード一覧(入力用)'!$A:$B,2,0)&amp;VLOOKUP($H31,'①カード一覧(入力用)'!$A:$D,4,0)&amp;VLOOKUP($H31,'①カード一覧(入力用)'!$A:$J,10,0)))</f>
      </c>
      <c r="R31" s="106">
        <f>IF(G31="","",VALUE(VLOOKUP($H31,'①カード一覧(入力用)'!$A:$H,8,0)&amp;VLOOKUP($H31,'①カード一覧(入力用)'!$A:$AR,44,0)&amp;VLOOKUP($H31,'①カード一覧(入力用)'!$A:$B,2,0)&amp;VLOOKUP($H31,'①カード一覧(入力用)'!$A:$D,4,0)&amp;VLOOKUP($H31,'①カード一覧(入力用)'!$A:$J,10,0)))</f>
      </c>
      <c r="S31" s="106">
        <f>IF(G31="","",RANK(INDEX($I$4:$R$43,E31*2-1,$L$1),INDEX($I$4:$R$43,$E$4,$L$1):INDEX($I$4:$R$43,$Q$1,$L$1),1))</f>
      </c>
      <c r="T31" s="106">
        <f>IF(H31="","",VLOOKUP($H31,'①カード一覧(入力用)'!$A:$A,1,0))</f>
      </c>
      <c r="U31" s="106"/>
      <c r="V31" s="106"/>
      <c r="W31" s="106"/>
      <c r="AB31" s="19">
        <v>14</v>
      </c>
      <c r="AC31" s="10">
        <v>2</v>
      </c>
      <c r="AD31" s="88">
        <f>AD30</f>
      </c>
      <c r="AE31" s="106"/>
      <c r="AF31" s="20">
        <f>IF($AD31="","",IF($AA$2="基本技","","|~|"))</f>
      </c>
      <c r="AG31" s="118">
        <f>IF($AD31="","",IF(OR($AA$2="レアリティ",$AA$2="基本技"),"","~"&amp;"|"))</f>
      </c>
      <c r="AH31" s="118">
        <f>IF($AD31="","",IF(OR($AA$2="勢力・陣形",$AA$2="基本技"),"","~"&amp;"|"))</f>
      </c>
      <c r="AI31" s="118">
        <f>IF($AD31="","",IF(OR($AA$2="タイプ・コスト",$AA$2="基本技"),"","~"&amp;"|"))</f>
      </c>
      <c r="AJ31" s="118">
        <f>IF($AD31="","",IF(OR($AA$2="タイプ・コスト",$AA$2="基本技"),"","~"&amp;"|"))</f>
      </c>
      <c r="AK31" s="106">
        <f>IF($AD31="","",IF($AA$2="基本技","","~"&amp;"|"))</f>
      </c>
      <c r="AL31" s="106">
        <f>IF($AD31="","",IF($AA$2="基本技","","~"&amp;"|"))</f>
      </c>
      <c r="AM31" s="106">
        <f>IF($AD31="","",IF($AA$2="基本技","","~"&amp;"|"))</f>
      </c>
      <c r="AN31" s="106">
        <f>IF($AD31="","",IF($AA$2="基本技","","~"&amp;"|"))</f>
      </c>
      <c r="AO31" s="20">
        <f>IF($AD31="","",IF($AA$2="基本技","",IF($AA$2="必殺技",VLOOKUP($AD31,'①カード一覧(入力用)'!$I:$AB,14,0)&amp;"|",VLOOKUP($AD31,'①カード一覧(入力用)'!$I:$AB,13,0)&amp;"|")))</f>
      </c>
    </row>
    <row r="32" spans="3:41" ht="12">
      <c r="C32" s="88"/>
      <c r="E32" s="105">
        <v>15</v>
      </c>
      <c r="F32" s="106">
        <v>1</v>
      </c>
      <c r="G32" s="106">
        <f>IF(G30="","",IF(G30+1&gt;$Y$6,"",G30+1))</f>
      </c>
      <c r="H32" s="106">
        <f>IF(G32="","",INDEX('①カード一覧(入力用)'!A:A,$G32,1))</f>
      </c>
      <c r="I32" s="114">
        <f>IF(G32="","",VLOOKUP($H32,'①カード一覧(入力用)'!$A:$A,1,0))</f>
      </c>
      <c r="J32" s="106">
        <f>IF(G32="","",VALUE(VLOOKUP($H32,'①カード一覧(入力用)'!$A:$F,6,0)&amp;VLOOKUP($H32,'①カード一覧(入力用)'!$A:$B,2,0)&amp;VLOOKUP($H32,'①カード一覧(入力用)'!$A:$D,4,0)&amp;VLOOKUP($H32,'①カード一覧(入力用)'!$A:$C,3,0)&amp;VLOOKUP($H32,'①カード一覧(入力用)'!$A:$J,10,0)))</f>
      </c>
      <c r="K32" s="106">
        <f>IF(G32="","",VALUE(VLOOKUP($H32,'①カード一覧(入力用)'!$A:$E,5,0)&amp;VLOOKUP($H32,'①カード一覧(入力用)'!$A:$D,4,0)&amp;VLOOKUP($H32,'①カード一覧(入力用)'!$A:$C,3,0)&amp;VLOOKUP($H32,'①カード一覧(入力用)'!$A:$J,10,0)))</f>
      </c>
      <c r="L32" s="106">
        <f>IF(G32="","",VALUE(VLOOKUP($H32,'①カード一覧(入力用)'!$A:$D,4,0)&amp;VLOOKUP($H32,'①カード一覧(入力用)'!$A:$C,3,0)&amp;VLOOKUP($H32,'①カード一覧(入力用)'!$A:$B,2,0)&amp;VLOOKUP($H32,'①カード一覧(入力用)'!$A:$J,10,0)))</f>
      </c>
      <c r="M32" s="106">
        <f>IF(G32="","",VALUE((1500-VLOOKUP($H32,'①カード一覧(入力用)'!$A:$O,15,0))&amp;VLOOKUP($H32,'①カード一覧(入力用)'!$A:$B,2,0)&amp;VLOOKUP($H32,'①カード一覧(入力用)'!$A:$D,4,0)&amp;VLOOKUP($H32,'①カード一覧(入力用)'!$A:$C,3,0)&amp;VLOOKUP($H32,'①カード一覧(入力用)'!$A:$J,10,0)))</f>
      </c>
      <c r="N32" s="106">
        <f>IF(G32="","",VALUE((1500-VLOOKUP($H32,'①カード一覧(入力用)'!$A:$P,16,0))&amp;VLOOKUP($H32,'①カード一覧(入力用)'!$A:$B,2,0)&amp;VLOOKUP($H32,'①カード一覧(入力用)'!$A:$D,4,0)&amp;VLOOKUP($H32,'①カード一覧(入力用)'!$A:$C,3,0)&amp;VLOOKUP($H32,'①カード一覧(入力用)'!$A:$J,10,0)))</f>
      </c>
      <c r="O32" s="106">
        <f>IF(G32="","",VALUE((1500-VLOOKUP($H32,'①カード一覧(入力用)'!$A:$Q,17,0))&amp;VLOOKUP($H32,'①カード一覧(入力用)'!$A:$B,2,0)&amp;VLOOKUP($H32,'①カード一覧(入力用)'!$A:$D,4,0)&amp;VLOOKUP($H32,'①カード一覧(入力用)'!$A:$C,3,0)&amp;VLOOKUP($H32,'①カード一覧(入力用)'!$A:$J,10,0)))</f>
      </c>
      <c r="P32" s="106">
        <f>IF(G32="","",VALUE((200-VLOOKUP($H32,'①カード一覧(入力用)'!$A:$R,18,0))&amp;VLOOKUP($H32,'①カード一覧(入力用)'!$A:$B,2,0)&amp;VLOOKUP($H32,'①カード一覧(入力用)'!$A:$D,4,0)&amp;VLOOKUP($H32,'①カード一覧(入力用)'!$A:$C,3,0)&amp;VLOOKUP($H32,'①カード一覧(入力用)'!$A:$J,10,0)))</f>
      </c>
      <c r="Q32" s="106">
        <f>IF(G32="","",VALUE(VLOOKUP($H32,'①カード一覧(入力用)'!$A:$G,7,0)&amp;VLOOKUP($H32,'①カード一覧(入力用)'!$A:$C,3,0)&amp;VLOOKUP($H32,'①カード一覧(入力用)'!$A:$B,2,0)&amp;VLOOKUP($H32,'①カード一覧(入力用)'!$A:$D,4,0)&amp;VLOOKUP($H32,'①カード一覧(入力用)'!$A:$J,10,0)))</f>
      </c>
      <c r="R32" s="106">
        <f>IF(G32="","",VALUE(VLOOKUP($H32,'①カード一覧(入力用)'!$A:$H,8,0)&amp;VLOOKUP($H32,'①カード一覧(入力用)'!$A:$AR,44,0)&amp;VLOOKUP($H32,'①カード一覧(入力用)'!$A:$B,2,0)&amp;VLOOKUP($H32,'①カード一覧(入力用)'!$A:$D,4,0)&amp;VLOOKUP($H32,'①カード一覧(入力用)'!$A:$J,10,0)))</f>
      </c>
      <c r="S32" s="106">
        <f>IF(G32="","",RANK(INDEX($I$4:$R$43,E32*2-1,$L$1),INDEX($I$4:$R$43,$E$4,$L$1):INDEX($I$4:$R$43,$Q$1,$L$1),1))</f>
      </c>
      <c r="T32" s="106">
        <f>IF(H32="","",VLOOKUP($H32,'①カード一覧(入力用)'!$A:$A,1,0))</f>
      </c>
      <c r="U32" s="106">
        <f>IF($AD32="","",IF($AA$2="タイプ・コスト","『改行』"&amp;VLOOKUP($AD32,'①カード一覧(入力用)'!$I:$AB,5,0)&amp;VLOOKUP($AD32,'①カード一覧(入力用)'!$I:$AB,6,0)&amp;"『改行』",IF($AA$2&lt;&gt;"No","『改行』"&amp;VLOOKUP($AD32,'①カード一覧(入力用)'!$I:$AB,VLOOKUP($AA$2,$A$34:$B$42,2,0),0)&amp;"『改行』","")))</f>
      </c>
      <c r="V32" s="106">
        <f>IF($U32=$U30,"",$U32)</f>
      </c>
      <c r="W32" s="106">
        <f>IF(ISERROR(MATCH(VALUE(MID(V32,5,3)),$A$45:$A$58,0)),"",V32)</f>
      </c>
      <c r="AB32" s="19">
        <v>15</v>
      </c>
      <c r="AC32" s="10">
        <v>1</v>
      </c>
      <c r="AD32" s="88">
        <f>IF(H32="","",VLOOKUP(AB32,$S$4:$T$43,2,0))</f>
      </c>
      <c r="AE32" s="106">
        <f>IF(OR($AA$2="HP",$AA$2="攻",$AA$2="防",$AA$2="速"),W32,V32)</f>
      </c>
      <c r="AF32" s="20">
        <f>IF($AD32="","","|[["&amp;VLOOKUP($AD32,'①カード一覧(入力用)'!$I:$AB,2,0)&amp;"_"&amp;VLOOKUP($AD32,'①カード一覧(入力用)'!$I:$AB,4,0)&amp;"]]|")</f>
      </c>
      <c r="AG32" s="115">
        <f>IF($AD32="","",IF($AA$2="レアリティ","","CENTER:"&amp;VLOOKUP($AD32,'①カード一覧(入力用)'!$I:$AB,3,0)&amp;"|"))</f>
      </c>
      <c r="AH32" s="115">
        <f>IF($AD32="","",IF($AA$2="勢力・陣形","","CENTER:"&amp;VLOOKUP($AD32,'①カード一覧(入力用)'!$I:$AB,18,0)&amp;"|"))</f>
      </c>
      <c r="AI32" s="115">
        <f>IF($AD32="","",IF($AA$2="タイプ・コスト","",VLOOKUP($AD32,'①カード一覧(入力用)'!$I:$AB,5,0)&amp;"|"))</f>
      </c>
      <c r="AJ32" s="115">
        <f>IF($AD32="","",IF($AA$2="タイプ・コスト","","CENTER:"&amp;VLOOKUP($AD32,'①カード一覧(入力用)'!$I:$AB,6,0)&amp;"|"))</f>
      </c>
      <c r="AK32" s="116">
        <f>IF($AD32="","",VLOOKUP($AD32,'①カード一覧(入力用)'!$I:$AB,7,0)&amp;"|")</f>
      </c>
      <c r="AL32" s="116">
        <f>IF($AD32="","",VLOOKUP($AD32,'①カード一覧(入力用)'!$I:$AB,8,0)&amp;"|")</f>
      </c>
      <c r="AM32" s="116">
        <f>IF($AD32="","",VLOOKUP($AD32,'①カード一覧(入力用)'!$I:$AB,9,0)&amp;"|")</f>
      </c>
      <c r="AN32" s="116">
        <f>IF($AD32="","",VLOOKUP($AD32,'①カード一覧(入力用)'!$I:$AB,10,0)&amp;"|")</f>
      </c>
      <c r="AO32" s="117">
        <f>IF($AD32="","",IF($AA$2="基本技",VLOOKUP($AD32,'①カード一覧(入力用)'!$I:$AB,12,0)&amp;"|",IF($AA$2="必殺技",VLOOKUP($AD32,'①カード一覧(入力用)'!$I:$AB,15,0)&amp;"|",VLOOKUP($AD32,'①カード一覧(入力用)'!$I:$AB,11,0)&amp;"|")))</f>
      </c>
    </row>
    <row r="33" spans="1:41" ht="12">
      <c r="A33" s="20" t="s">
        <v>475</v>
      </c>
      <c r="B33" s="20" t="s">
        <v>799</v>
      </c>
      <c r="E33" s="105">
        <v>15</v>
      </c>
      <c r="F33" s="106">
        <v>2</v>
      </c>
      <c r="G33" s="106"/>
      <c r="H33" s="106">
        <f>$H32</f>
      </c>
      <c r="I33" s="114">
        <f>IF(G33="","",VLOOKUP($H33,'①カード一覧(入力用)'!$A:$A,1,0))</f>
      </c>
      <c r="J33" s="106">
        <f>IF(G33="","",VALUE(VLOOKUP($H33,'①カード一覧(入力用)'!$A:$F,6,0)&amp;VLOOKUP($H33,'①カード一覧(入力用)'!$A:$B,2,0)&amp;VLOOKUP($H33,'①カード一覧(入力用)'!$A:$D,4,0)&amp;VLOOKUP($H33,'①カード一覧(入力用)'!$A:$C,3,0)&amp;VLOOKUP($H33,'①カード一覧(入力用)'!$A:$J,10,0)))</f>
      </c>
      <c r="K33" s="106">
        <f>IF(G33="","",VALUE(VLOOKUP($H33,'①カード一覧(入力用)'!$A:$E,5,0)&amp;VLOOKUP($H33,'①カード一覧(入力用)'!$A:$D,4,0)&amp;VLOOKUP($H33,'①カード一覧(入力用)'!$A:$C,3,0)&amp;VLOOKUP($H33,'①カード一覧(入力用)'!$A:$J,10,0)))</f>
      </c>
      <c r="L33" s="106">
        <f>IF(G33="","",VALUE(VLOOKUP($H33,'①カード一覧(入力用)'!$A:$D,4,0)&amp;VLOOKUP($H33,'①カード一覧(入力用)'!$A:$C,3,0)&amp;VLOOKUP($H33,'①カード一覧(入力用)'!$A:$B,2,0)&amp;VLOOKUP($H33,'①カード一覧(入力用)'!$A:$J,10,0)))</f>
      </c>
      <c r="M33" s="106">
        <f>IF(G33="","",VALUE((1500-VLOOKUP($H33,'①カード一覧(入力用)'!$A:$O,15,0))&amp;VLOOKUP($H33,'①カード一覧(入力用)'!$A:$B,2,0)&amp;VLOOKUP($H33,'①カード一覧(入力用)'!$A:$D,4,0)&amp;VLOOKUP($H33,'①カード一覧(入力用)'!$A:$C,3,0)&amp;VLOOKUP($H33,'①カード一覧(入力用)'!$A:$J,10,0)))</f>
      </c>
      <c r="N33" s="106">
        <f>IF(G33="","",VALUE((1500-VLOOKUP($H33,'①カード一覧(入力用)'!$A:$P,16,0))&amp;VLOOKUP($H33,'①カード一覧(入力用)'!$A:$B,2,0)&amp;VLOOKUP($H33,'①カード一覧(入力用)'!$A:$D,4,0)&amp;VLOOKUP($H33,'①カード一覧(入力用)'!$A:$C,3,0)&amp;VLOOKUP($H33,'①カード一覧(入力用)'!$A:$J,10,0)))</f>
      </c>
      <c r="O33" s="106">
        <f>IF(G33="","",VALUE((1500-VLOOKUP($H33,'①カード一覧(入力用)'!$A:$Q,17,0))&amp;VLOOKUP($H33,'①カード一覧(入力用)'!$A:$B,2,0)&amp;VLOOKUP($H33,'①カード一覧(入力用)'!$A:$D,4,0)&amp;VLOOKUP($H33,'①カード一覧(入力用)'!$A:$C,3,0)&amp;VLOOKUP($H33,'①カード一覧(入力用)'!$A:$J,10,0)))</f>
      </c>
      <c r="P33" s="106">
        <f>IF(G33="","",VALUE((200-VLOOKUP($H33,'①カード一覧(入力用)'!$A:$R,18,0))&amp;VLOOKUP($H33,'①カード一覧(入力用)'!$A:$B,2,0)&amp;VLOOKUP($H33,'①カード一覧(入力用)'!$A:$D,4,0)&amp;VLOOKUP($H33,'①カード一覧(入力用)'!$A:$C,3,0)&amp;VLOOKUP($H33,'①カード一覧(入力用)'!$A:$J,10,0)))</f>
      </c>
      <c r="Q33" s="106">
        <f>IF(G33="","",VALUE(VLOOKUP($H33,'①カード一覧(入力用)'!$A:$G,7,0)&amp;VLOOKUP($H33,'①カード一覧(入力用)'!$A:$C,3,0)&amp;VLOOKUP($H33,'①カード一覧(入力用)'!$A:$B,2,0)&amp;VLOOKUP($H33,'①カード一覧(入力用)'!$A:$D,4,0)&amp;VLOOKUP($H33,'①カード一覧(入力用)'!$A:$J,10,0)))</f>
      </c>
      <c r="R33" s="106">
        <f>IF(G33="","",VALUE(VLOOKUP($H33,'①カード一覧(入力用)'!$A:$H,8,0)&amp;VLOOKUP($H33,'①カード一覧(入力用)'!$A:$AR,44,0)&amp;VLOOKUP($H33,'①カード一覧(入力用)'!$A:$B,2,0)&amp;VLOOKUP($H33,'①カード一覧(入力用)'!$A:$D,4,0)&amp;VLOOKUP($H33,'①カード一覧(入力用)'!$A:$J,10,0)))</f>
      </c>
      <c r="S33" s="106">
        <f>IF(G33="","",RANK(INDEX($I$4:$R$43,E33*2-1,$L$1),INDEX($I$4:$R$43,$E$4,$L$1):INDEX($I$4:$R$43,$Q$1,$L$1),1))</f>
      </c>
      <c r="T33" s="106">
        <f>IF(H33="","",VLOOKUP($H33,'①カード一覧(入力用)'!$A:$A,1,0))</f>
      </c>
      <c r="U33" s="106"/>
      <c r="V33" s="106"/>
      <c r="W33" s="106"/>
      <c r="AB33" s="19">
        <v>15</v>
      </c>
      <c r="AC33" s="10">
        <v>2</v>
      </c>
      <c r="AD33" s="88">
        <f>AD32</f>
      </c>
      <c r="AE33" s="106"/>
      <c r="AF33" s="20">
        <f>IF($AD33="","",IF($AA$2="基本技","","|~|"))</f>
      </c>
      <c r="AG33" s="118">
        <f>IF($AD33="","",IF(OR($AA$2="レアリティ",$AA$2="基本技"),"","~"&amp;"|"))</f>
      </c>
      <c r="AH33" s="118">
        <f>IF($AD33="","",IF(OR($AA$2="勢力・陣形",$AA$2="基本技"),"","~"&amp;"|"))</f>
      </c>
      <c r="AI33" s="118">
        <f>IF($AD33="","",IF(OR($AA$2="タイプ・コスト",$AA$2="基本技"),"","~"&amp;"|"))</f>
      </c>
      <c r="AJ33" s="118">
        <f>IF($AD33="","",IF(OR($AA$2="タイプ・コスト",$AA$2="基本技"),"","~"&amp;"|"))</f>
      </c>
      <c r="AK33" s="106">
        <f>IF($AD33="","",IF($AA$2="基本技","","~"&amp;"|"))</f>
      </c>
      <c r="AL33" s="106">
        <f>IF($AD33="","",IF($AA$2="基本技","","~"&amp;"|"))</f>
      </c>
      <c r="AM33" s="106">
        <f>IF($AD33="","",IF($AA$2="基本技","","~"&amp;"|"))</f>
      </c>
      <c r="AN33" s="106">
        <f>IF($AD33="","",IF($AA$2="基本技","","~"&amp;"|"))</f>
      </c>
      <c r="AO33" s="20">
        <f>IF($AD33="","",IF($AA$2="基本技","",IF($AA$2="必殺技",VLOOKUP($AD33,'①カード一覧(入力用)'!$I:$AB,14,0)&amp;"|",VLOOKUP($AD33,'①カード一覧(入力用)'!$I:$AB,13,0)&amp;"|")))</f>
      </c>
    </row>
    <row r="34" spans="1:41" ht="12">
      <c r="A34" s="20" t="s">
        <v>1161</v>
      </c>
      <c r="B34" s="20"/>
      <c r="E34" s="105">
        <v>16</v>
      </c>
      <c r="F34" s="106">
        <v>1</v>
      </c>
      <c r="G34" s="106">
        <f>IF(G32="","",IF(G32+1&gt;$Y$6,"",G32+1))</f>
      </c>
      <c r="H34" s="106">
        <f>IF(G34="","",INDEX('①カード一覧(入力用)'!A:A,$G34,1))</f>
      </c>
      <c r="I34" s="114">
        <f>IF(G34="","",VLOOKUP($H34,'①カード一覧(入力用)'!$A:$A,1,0))</f>
      </c>
      <c r="J34" s="106">
        <f>IF(G34="","",VALUE(VLOOKUP($H34,'①カード一覧(入力用)'!$A:$F,6,0)&amp;VLOOKUP($H34,'①カード一覧(入力用)'!$A:$B,2,0)&amp;VLOOKUP($H34,'①カード一覧(入力用)'!$A:$D,4,0)&amp;VLOOKUP($H34,'①カード一覧(入力用)'!$A:$C,3,0)&amp;VLOOKUP($H34,'①カード一覧(入力用)'!$A:$J,10,0)))</f>
      </c>
      <c r="K34" s="106">
        <f>IF(G34="","",VALUE(VLOOKUP($H34,'①カード一覧(入力用)'!$A:$E,5,0)&amp;VLOOKUP($H34,'①カード一覧(入力用)'!$A:$D,4,0)&amp;VLOOKUP($H34,'①カード一覧(入力用)'!$A:$C,3,0)&amp;VLOOKUP($H34,'①カード一覧(入力用)'!$A:$J,10,0)))</f>
      </c>
      <c r="L34" s="106">
        <f>IF(G34="","",VALUE(VLOOKUP($H34,'①カード一覧(入力用)'!$A:$D,4,0)&amp;VLOOKUP($H34,'①カード一覧(入力用)'!$A:$C,3,0)&amp;VLOOKUP($H34,'①カード一覧(入力用)'!$A:$B,2,0)&amp;VLOOKUP($H34,'①カード一覧(入力用)'!$A:$J,10,0)))</f>
      </c>
      <c r="M34" s="106">
        <f>IF(G34="","",VALUE((1500-VLOOKUP($H34,'①カード一覧(入力用)'!$A:$O,15,0))&amp;VLOOKUP($H34,'①カード一覧(入力用)'!$A:$B,2,0)&amp;VLOOKUP($H34,'①カード一覧(入力用)'!$A:$D,4,0)&amp;VLOOKUP($H34,'①カード一覧(入力用)'!$A:$C,3,0)&amp;VLOOKUP($H34,'①カード一覧(入力用)'!$A:$J,10,0)))</f>
      </c>
      <c r="N34" s="106">
        <f>IF(G34="","",VALUE((1500-VLOOKUP($H34,'①カード一覧(入力用)'!$A:$P,16,0))&amp;VLOOKUP($H34,'①カード一覧(入力用)'!$A:$B,2,0)&amp;VLOOKUP($H34,'①カード一覧(入力用)'!$A:$D,4,0)&amp;VLOOKUP($H34,'①カード一覧(入力用)'!$A:$C,3,0)&amp;VLOOKUP($H34,'①カード一覧(入力用)'!$A:$J,10,0)))</f>
      </c>
      <c r="O34" s="106">
        <f>IF(G34="","",VALUE((1500-VLOOKUP($H34,'①カード一覧(入力用)'!$A:$Q,17,0))&amp;VLOOKUP($H34,'①カード一覧(入力用)'!$A:$B,2,0)&amp;VLOOKUP($H34,'①カード一覧(入力用)'!$A:$D,4,0)&amp;VLOOKUP($H34,'①カード一覧(入力用)'!$A:$C,3,0)&amp;VLOOKUP($H34,'①カード一覧(入力用)'!$A:$J,10,0)))</f>
      </c>
      <c r="P34" s="106">
        <f>IF(G34="","",VALUE((200-VLOOKUP($H34,'①カード一覧(入力用)'!$A:$R,18,0))&amp;VLOOKUP($H34,'①カード一覧(入力用)'!$A:$B,2,0)&amp;VLOOKUP($H34,'①カード一覧(入力用)'!$A:$D,4,0)&amp;VLOOKUP($H34,'①カード一覧(入力用)'!$A:$C,3,0)&amp;VLOOKUP($H34,'①カード一覧(入力用)'!$A:$J,10,0)))</f>
      </c>
      <c r="Q34" s="106">
        <f>IF(G34="","",VALUE(VLOOKUP($H34,'①カード一覧(入力用)'!$A:$G,7,0)&amp;VLOOKUP($H34,'①カード一覧(入力用)'!$A:$C,3,0)&amp;VLOOKUP($H34,'①カード一覧(入力用)'!$A:$B,2,0)&amp;VLOOKUP($H34,'①カード一覧(入力用)'!$A:$D,4,0)&amp;VLOOKUP($H34,'①カード一覧(入力用)'!$A:$J,10,0)))</f>
      </c>
      <c r="R34" s="106">
        <f>IF(G34="","",VALUE(VLOOKUP($H34,'①カード一覧(入力用)'!$A:$H,8,0)&amp;VLOOKUP($H34,'①カード一覧(入力用)'!$A:$AR,44,0)&amp;VLOOKUP($H34,'①カード一覧(入力用)'!$A:$B,2,0)&amp;VLOOKUP($H34,'①カード一覧(入力用)'!$A:$D,4,0)&amp;VLOOKUP($H34,'①カード一覧(入力用)'!$A:$J,10,0)))</f>
      </c>
      <c r="S34" s="106">
        <f>IF(G34="","",RANK(INDEX($I$4:$R$43,E34*2-1,$L$1),INDEX($I$4:$R$43,$E$4,$L$1):INDEX($I$4:$R$43,$Q$1,$L$1),1))</f>
      </c>
      <c r="T34" s="106">
        <f>IF(H34="","",VLOOKUP($H34,'①カード一覧(入力用)'!$A:$A,1,0))</f>
      </c>
      <c r="U34" s="106">
        <f>IF($AD34="","",IF($AA$2="タイプ・コスト","『改行』"&amp;VLOOKUP($AD34,'①カード一覧(入力用)'!$I:$AB,5,0)&amp;VLOOKUP($AD34,'①カード一覧(入力用)'!$I:$AB,6,0)&amp;"『改行』",IF($AA$2&lt;&gt;"No","『改行』"&amp;VLOOKUP($AD34,'①カード一覧(入力用)'!$I:$AB,VLOOKUP($AA$2,$A$34:$B$42,2,0),0)&amp;"『改行』","")))</f>
      </c>
      <c r="V34" s="106">
        <f>IF($U34=$U32,"",$U34)</f>
      </c>
      <c r="W34" s="106">
        <f>IF(ISERROR(MATCH(VALUE(MID(V34,5,3)),$A$45:$A$58,0)),"",V34)</f>
      </c>
      <c r="AB34" s="19">
        <v>16</v>
      </c>
      <c r="AC34" s="10">
        <v>1</v>
      </c>
      <c r="AD34" s="88">
        <f>IF(H34="","",VLOOKUP(AB34,$S$4:$T$43,2,0))</f>
      </c>
      <c r="AE34" s="106">
        <f>IF(OR($AA$2="HP",$AA$2="攻",$AA$2="防",$AA$2="速"),W34,V34)</f>
      </c>
      <c r="AF34" s="20">
        <f>IF($AD34="","","|[["&amp;VLOOKUP($AD34,'①カード一覧(入力用)'!$I:$AB,2,0)&amp;"_"&amp;VLOOKUP($AD34,'①カード一覧(入力用)'!$I:$AB,4,0)&amp;"]]|")</f>
      </c>
      <c r="AG34" s="115">
        <f>IF($AD34="","",IF($AA$2="レアリティ","","CENTER:"&amp;VLOOKUP($AD34,'①カード一覧(入力用)'!$I:$AB,3,0)&amp;"|"))</f>
      </c>
      <c r="AH34" s="115">
        <f>IF($AD34="","",IF($AA$2="勢力・陣形","","CENTER:"&amp;VLOOKUP($AD34,'①カード一覧(入力用)'!$I:$AB,18,0)&amp;"|"))</f>
      </c>
      <c r="AI34" s="115">
        <f>IF($AD34="","",IF($AA$2="タイプ・コスト","",VLOOKUP($AD34,'①カード一覧(入力用)'!$I:$AB,5,0)&amp;"|"))</f>
      </c>
      <c r="AJ34" s="115">
        <f>IF($AD34="","",IF($AA$2="タイプ・コスト","","CENTER:"&amp;VLOOKUP($AD34,'①カード一覧(入力用)'!$I:$AB,6,0)&amp;"|"))</f>
      </c>
      <c r="AK34" s="116">
        <f>IF($AD34="","",VLOOKUP($AD34,'①カード一覧(入力用)'!$I:$AB,7,0)&amp;"|")</f>
      </c>
      <c r="AL34" s="116">
        <f>IF($AD34="","",VLOOKUP($AD34,'①カード一覧(入力用)'!$I:$AB,8,0)&amp;"|")</f>
      </c>
      <c r="AM34" s="116">
        <f>IF($AD34="","",VLOOKUP($AD34,'①カード一覧(入力用)'!$I:$AB,9,0)&amp;"|")</f>
      </c>
      <c r="AN34" s="116">
        <f>IF($AD34="","",VLOOKUP($AD34,'①カード一覧(入力用)'!$I:$AB,10,0)&amp;"|")</f>
      </c>
      <c r="AO34" s="117">
        <f>IF($AD34="","",IF($AA$2="基本技",VLOOKUP($AD34,'①カード一覧(入力用)'!$I:$AB,12,0)&amp;"|",IF($AA$2="必殺技",VLOOKUP($AD34,'①カード一覧(入力用)'!$I:$AB,15,0)&amp;"|",VLOOKUP($AD34,'①カード一覧(入力用)'!$I:$AB,11,0)&amp;"|")))</f>
      </c>
    </row>
    <row r="35" spans="1:41" ht="12">
      <c r="A35" s="20" t="s">
        <v>171</v>
      </c>
      <c r="B35" s="20">
        <v>3</v>
      </c>
      <c r="E35" s="105">
        <v>16</v>
      </c>
      <c r="F35" s="106">
        <v>2</v>
      </c>
      <c r="G35" s="106"/>
      <c r="H35" s="106">
        <f>$H34</f>
      </c>
      <c r="I35" s="114">
        <f>IF(G35="","",VLOOKUP($H35,'①カード一覧(入力用)'!$A:$A,1,0))</f>
      </c>
      <c r="J35" s="106">
        <f>IF(G35="","",VALUE(VLOOKUP($H35,'①カード一覧(入力用)'!$A:$F,6,0)&amp;VLOOKUP($H35,'①カード一覧(入力用)'!$A:$B,2,0)&amp;VLOOKUP($H35,'①カード一覧(入力用)'!$A:$D,4,0)&amp;VLOOKUP($H35,'①カード一覧(入力用)'!$A:$C,3,0)&amp;VLOOKUP($H35,'①カード一覧(入力用)'!$A:$J,10,0)))</f>
      </c>
      <c r="K35" s="106">
        <f>IF(G35="","",VALUE(VLOOKUP($H35,'①カード一覧(入力用)'!$A:$E,5,0)&amp;VLOOKUP($H35,'①カード一覧(入力用)'!$A:$D,4,0)&amp;VLOOKUP($H35,'①カード一覧(入力用)'!$A:$C,3,0)&amp;VLOOKUP($H35,'①カード一覧(入力用)'!$A:$J,10,0)))</f>
      </c>
      <c r="L35" s="106">
        <f>IF(G35="","",VALUE(VLOOKUP($H35,'①カード一覧(入力用)'!$A:$D,4,0)&amp;VLOOKUP($H35,'①カード一覧(入力用)'!$A:$C,3,0)&amp;VLOOKUP($H35,'①カード一覧(入力用)'!$A:$B,2,0)&amp;VLOOKUP($H35,'①カード一覧(入力用)'!$A:$J,10,0)))</f>
      </c>
      <c r="M35" s="106">
        <f>IF(G35="","",VALUE((1500-VLOOKUP($H35,'①カード一覧(入力用)'!$A:$O,15,0))&amp;VLOOKUP($H35,'①カード一覧(入力用)'!$A:$B,2,0)&amp;VLOOKUP($H35,'①カード一覧(入力用)'!$A:$D,4,0)&amp;VLOOKUP($H35,'①カード一覧(入力用)'!$A:$C,3,0)&amp;VLOOKUP($H35,'①カード一覧(入力用)'!$A:$J,10,0)))</f>
      </c>
      <c r="N35" s="106">
        <f>IF(G35="","",VALUE((1500-VLOOKUP($H35,'①カード一覧(入力用)'!$A:$P,16,0))&amp;VLOOKUP($H35,'①カード一覧(入力用)'!$A:$B,2,0)&amp;VLOOKUP($H35,'①カード一覧(入力用)'!$A:$D,4,0)&amp;VLOOKUP($H35,'①カード一覧(入力用)'!$A:$C,3,0)&amp;VLOOKUP($H35,'①カード一覧(入力用)'!$A:$J,10,0)))</f>
      </c>
      <c r="O35" s="106">
        <f>IF(G35="","",VALUE((1500-VLOOKUP($H35,'①カード一覧(入力用)'!$A:$Q,17,0))&amp;VLOOKUP($H35,'①カード一覧(入力用)'!$A:$B,2,0)&amp;VLOOKUP($H35,'①カード一覧(入力用)'!$A:$D,4,0)&amp;VLOOKUP($H35,'①カード一覧(入力用)'!$A:$C,3,0)&amp;VLOOKUP($H35,'①カード一覧(入力用)'!$A:$J,10,0)))</f>
      </c>
      <c r="P35" s="106">
        <f>IF(G35="","",VALUE((200-VLOOKUP($H35,'①カード一覧(入力用)'!$A:$R,18,0))&amp;VLOOKUP($H35,'①カード一覧(入力用)'!$A:$B,2,0)&amp;VLOOKUP($H35,'①カード一覧(入力用)'!$A:$D,4,0)&amp;VLOOKUP($H35,'①カード一覧(入力用)'!$A:$C,3,0)&amp;VLOOKUP($H35,'①カード一覧(入力用)'!$A:$J,10,0)))</f>
      </c>
      <c r="Q35" s="106">
        <f>IF(G35="","",VALUE(VLOOKUP($H35,'①カード一覧(入力用)'!$A:$G,7,0)&amp;VLOOKUP($H35,'①カード一覧(入力用)'!$A:$C,3,0)&amp;VLOOKUP($H35,'①カード一覧(入力用)'!$A:$B,2,0)&amp;VLOOKUP($H35,'①カード一覧(入力用)'!$A:$D,4,0)&amp;VLOOKUP($H35,'①カード一覧(入力用)'!$A:$J,10,0)))</f>
      </c>
      <c r="R35" s="106">
        <f>IF(G35="","",VALUE(VLOOKUP($H35,'①カード一覧(入力用)'!$A:$H,8,0)&amp;VLOOKUP($H35,'①カード一覧(入力用)'!$A:$AR,44,0)&amp;VLOOKUP($H35,'①カード一覧(入力用)'!$A:$B,2,0)&amp;VLOOKUP($H35,'①カード一覧(入力用)'!$A:$D,4,0)&amp;VLOOKUP($H35,'①カード一覧(入力用)'!$A:$J,10,0)))</f>
      </c>
      <c r="S35" s="106">
        <f>IF(G35="","",RANK(INDEX($I$4:$R$43,E35*2-1,$L$1),INDEX($I$4:$R$43,$E$4,$L$1):INDEX($I$4:$R$43,$Q$1,$L$1),1))</f>
      </c>
      <c r="T35" s="106">
        <f>IF(H35="","",VLOOKUP($H35,'①カード一覧(入力用)'!$A:$A,1,0))</f>
      </c>
      <c r="U35" s="106"/>
      <c r="V35" s="106"/>
      <c r="W35" s="106"/>
      <c r="AB35" s="19">
        <v>16</v>
      </c>
      <c r="AC35" s="10">
        <v>2</v>
      </c>
      <c r="AD35" s="88">
        <f>AD34</f>
      </c>
      <c r="AE35" s="106"/>
      <c r="AF35" s="20">
        <f>IF($AD35="","",IF($AA$2="基本技","","|~|"))</f>
      </c>
      <c r="AG35" s="118">
        <f>IF($AD35="","",IF(OR($AA$2="レアリティ",$AA$2="基本技"),"","~"&amp;"|"))</f>
      </c>
      <c r="AH35" s="118">
        <f>IF($AD35="","",IF(OR($AA$2="勢力・陣形",$AA$2="基本技"),"","~"&amp;"|"))</f>
      </c>
      <c r="AI35" s="118">
        <f>IF($AD35="","",IF(OR($AA$2="タイプ・コスト",$AA$2="基本技"),"","~"&amp;"|"))</f>
      </c>
      <c r="AJ35" s="118">
        <f>IF($AD35="","",IF(OR($AA$2="タイプ・コスト",$AA$2="基本技"),"","~"&amp;"|"))</f>
      </c>
      <c r="AK35" s="106">
        <f>IF($AD35="","",IF($AA$2="基本技","","~"&amp;"|"))</f>
      </c>
      <c r="AL35" s="106">
        <f>IF($AD35="","",IF($AA$2="基本技","","~"&amp;"|"))</f>
      </c>
      <c r="AM35" s="106">
        <f>IF($AD35="","",IF($AA$2="基本技","","~"&amp;"|"))</f>
      </c>
      <c r="AN35" s="106">
        <f>IF($AD35="","",IF($AA$2="基本技","","~"&amp;"|"))</f>
      </c>
      <c r="AO35" s="20">
        <f>IF($AD35="","",IF($AA$2="基本技","",IF($AA$2="必殺技",VLOOKUP($AD35,'①カード一覧(入力用)'!$I:$AB,14,0)&amp;"|",VLOOKUP($AD35,'①カード一覧(入力用)'!$I:$AB,13,0)&amp;"|")))</f>
      </c>
    </row>
    <row r="36" spans="1:41" ht="12">
      <c r="A36" s="20" t="s">
        <v>911</v>
      </c>
      <c r="B36" s="20">
        <v>19</v>
      </c>
      <c r="E36" s="105">
        <v>17</v>
      </c>
      <c r="F36" s="106">
        <v>1</v>
      </c>
      <c r="G36" s="106">
        <f>IF(G34="","",IF(G34+1&gt;$Y$6,"",G34+1))</f>
      </c>
      <c r="H36" s="106">
        <f>IF(G36="","",INDEX('①カード一覧(入力用)'!A:A,$G36,1))</f>
      </c>
      <c r="I36" s="114">
        <f>IF(G36="","",VLOOKUP($H36,'①カード一覧(入力用)'!$A:$A,1,0))</f>
      </c>
      <c r="J36" s="106">
        <f>IF(G36="","",VALUE(VLOOKUP($H36,'①カード一覧(入力用)'!$A:$F,6,0)&amp;VLOOKUP($H36,'①カード一覧(入力用)'!$A:$B,2,0)&amp;VLOOKUP($H36,'①カード一覧(入力用)'!$A:$D,4,0)&amp;VLOOKUP($H36,'①カード一覧(入力用)'!$A:$C,3,0)&amp;VLOOKUP($H36,'①カード一覧(入力用)'!$A:$J,10,0)))</f>
      </c>
      <c r="K36" s="106">
        <f>IF(G36="","",VALUE(VLOOKUP($H36,'①カード一覧(入力用)'!$A:$E,5,0)&amp;VLOOKUP($H36,'①カード一覧(入力用)'!$A:$D,4,0)&amp;VLOOKUP($H36,'①カード一覧(入力用)'!$A:$C,3,0)&amp;VLOOKUP($H36,'①カード一覧(入力用)'!$A:$J,10,0)))</f>
      </c>
      <c r="L36" s="106">
        <f>IF(G36="","",VALUE(VLOOKUP($H36,'①カード一覧(入力用)'!$A:$D,4,0)&amp;VLOOKUP($H36,'①カード一覧(入力用)'!$A:$C,3,0)&amp;VLOOKUP($H36,'①カード一覧(入力用)'!$A:$B,2,0)&amp;VLOOKUP($H36,'①カード一覧(入力用)'!$A:$J,10,0)))</f>
      </c>
      <c r="M36" s="106">
        <f>IF(G36="","",VALUE((1500-VLOOKUP($H36,'①カード一覧(入力用)'!$A:$O,15,0))&amp;VLOOKUP($H36,'①カード一覧(入力用)'!$A:$B,2,0)&amp;VLOOKUP($H36,'①カード一覧(入力用)'!$A:$D,4,0)&amp;VLOOKUP($H36,'①カード一覧(入力用)'!$A:$C,3,0)&amp;VLOOKUP($H36,'①カード一覧(入力用)'!$A:$J,10,0)))</f>
      </c>
      <c r="N36" s="106">
        <f>IF(G36="","",VALUE((1500-VLOOKUP($H36,'①カード一覧(入力用)'!$A:$P,16,0))&amp;VLOOKUP($H36,'①カード一覧(入力用)'!$A:$B,2,0)&amp;VLOOKUP($H36,'①カード一覧(入力用)'!$A:$D,4,0)&amp;VLOOKUP($H36,'①カード一覧(入力用)'!$A:$C,3,0)&amp;VLOOKUP($H36,'①カード一覧(入力用)'!$A:$J,10,0)))</f>
      </c>
      <c r="O36" s="106">
        <f>IF(G36="","",VALUE((1500-VLOOKUP($H36,'①カード一覧(入力用)'!$A:$Q,17,0))&amp;VLOOKUP($H36,'①カード一覧(入力用)'!$A:$B,2,0)&amp;VLOOKUP($H36,'①カード一覧(入力用)'!$A:$D,4,0)&amp;VLOOKUP($H36,'①カード一覧(入力用)'!$A:$C,3,0)&amp;VLOOKUP($H36,'①カード一覧(入力用)'!$A:$J,10,0)))</f>
      </c>
      <c r="P36" s="106">
        <f>IF(G36="","",VALUE((200-VLOOKUP($H36,'①カード一覧(入力用)'!$A:$R,18,0))&amp;VLOOKUP($H36,'①カード一覧(入力用)'!$A:$B,2,0)&amp;VLOOKUP($H36,'①カード一覧(入力用)'!$A:$D,4,0)&amp;VLOOKUP($H36,'①カード一覧(入力用)'!$A:$C,3,0)&amp;VLOOKUP($H36,'①カード一覧(入力用)'!$A:$J,10,0)))</f>
      </c>
      <c r="Q36" s="106">
        <f>IF(G36="","",VALUE(VLOOKUP($H36,'①カード一覧(入力用)'!$A:$G,7,0)&amp;VLOOKUP($H36,'①カード一覧(入力用)'!$A:$C,3,0)&amp;VLOOKUP($H36,'①カード一覧(入力用)'!$A:$B,2,0)&amp;VLOOKUP($H36,'①カード一覧(入力用)'!$A:$D,4,0)&amp;VLOOKUP($H36,'①カード一覧(入力用)'!$A:$J,10,0)))</f>
      </c>
      <c r="R36" s="106">
        <f>IF(G36="","",VALUE(VLOOKUP($H36,'①カード一覧(入力用)'!$A:$H,8,0)&amp;VLOOKUP($H36,'①カード一覧(入力用)'!$A:$AR,44,0)&amp;VLOOKUP($H36,'①カード一覧(入力用)'!$A:$B,2,0)&amp;VLOOKUP($H36,'①カード一覧(入力用)'!$A:$D,4,0)&amp;VLOOKUP($H36,'①カード一覧(入力用)'!$A:$J,10,0)))</f>
      </c>
      <c r="S36" s="106">
        <f>IF(G36="","",RANK(INDEX($I$4:$R$43,E36*2-1,$L$1),INDEX($I$4:$R$43,$E$4,$L$1):INDEX($I$4:$R$43,$Q$1,$L$1),1))</f>
      </c>
      <c r="T36" s="106">
        <f>IF(H36="","",VLOOKUP($H36,'①カード一覧(入力用)'!$A:$A,1,0))</f>
      </c>
      <c r="U36" s="106">
        <f>IF($AD36="","",IF($AA$2="タイプ・コスト","『改行』"&amp;VLOOKUP($AD36,'①カード一覧(入力用)'!$I:$AB,5,0)&amp;VLOOKUP($AD36,'①カード一覧(入力用)'!$I:$AB,6,0)&amp;"『改行』",IF($AA$2&lt;&gt;"No","『改行』"&amp;VLOOKUP($AD36,'①カード一覧(入力用)'!$I:$AB,VLOOKUP($AA$2,$A$34:$B$42,2,0),0)&amp;"『改行』","")))</f>
      </c>
      <c r="V36" s="106">
        <f>IF($U36=$U34,"",$U36)</f>
      </c>
      <c r="W36" s="106">
        <f>IF(ISERROR(MATCH(VALUE(MID(V36,5,3)),$A$45:$A$58,0)),"",V36)</f>
      </c>
      <c r="AB36" s="19">
        <v>17</v>
      </c>
      <c r="AC36" s="10">
        <v>1</v>
      </c>
      <c r="AD36" s="88">
        <f>IF(H36="","",VLOOKUP(AB36,$S$4:$T$43,2,0))</f>
      </c>
      <c r="AE36" s="106">
        <f>IF(OR($AA$2="HP",$AA$2="攻",$AA$2="防",$AA$2="速"),W36,V36)</f>
      </c>
      <c r="AF36" s="20">
        <f>IF($AD36="","","|[["&amp;VLOOKUP($AD36,'①カード一覧(入力用)'!$I:$AB,2,0)&amp;"_"&amp;VLOOKUP($AD36,'①カード一覧(入力用)'!$I:$AB,4,0)&amp;"]]|")</f>
      </c>
      <c r="AG36" s="115">
        <f>IF($AD36="","",IF($AA$2="レアリティ","","CENTER:"&amp;VLOOKUP($AD36,'①カード一覧(入力用)'!$I:$AB,3,0)&amp;"|"))</f>
      </c>
      <c r="AH36" s="115">
        <f>IF($AD36="","",IF($AA$2="勢力・陣形","","CENTER:"&amp;VLOOKUP($AD36,'①カード一覧(入力用)'!$I:$AB,18,0)&amp;"|"))</f>
      </c>
      <c r="AI36" s="115">
        <f>IF($AD36="","",IF($AA$2="タイプ・コスト","",VLOOKUP($AD36,'①カード一覧(入力用)'!$I:$AB,5,0)&amp;"|"))</f>
      </c>
      <c r="AJ36" s="115">
        <f>IF($AD36="","",IF($AA$2="タイプ・コスト","","CENTER:"&amp;VLOOKUP($AD36,'①カード一覧(入力用)'!$I:$AB,6,0)&amp;"|"))</f>
      </c>
      <c r="AK36" s="116">
        <f>IF($AD36="","",VLOOKUP($AD36,'①カード一覧(入力用)'!$I:$AB,7,0)&amp;"|")</f>
      </c>
      <c r="AL36" s="116">
        <f>IF($AD36="","",VLOOKUP($AD36,'①カード一覧(入力用)'!$I:$AB,8,0)&amp;"|")</f>
      </c>
      <c r="AM36" s="116">
        <f>IF($AD36="","",VLOOKUP($AD36,'①カード一覧(入力用)'!$I:$AB,9,0)&amp;"|")</f>
      </c>
      <c r="AN36" s="116">
        <f>IF($AD36="","",VLOOKUP($AD36,'①カード一覧(入力用)'!$I:$AB,10,0)&amp;"|")</f>
      </c>
      <c r="AO36" s="117">
        <f>IF($AD36="","",IF($AA$2="基本技",VLOOKUP($AD36,'①カード一覧(入力用)'!$I:$AB,12,0)&amp;"|",IF($AA$2="必殺技",VLOOKUP($AD36,'①カード一覧(入力用)'!$I:$AB,15,0)&amp;"|",VLOOKUP($AD36,'①カード一覧(入力用)'!$I:$AB,11,0)&amp;"|")))</f>
      </c>
    </row>
    <row r="37" spans="1:41" ht="12">
      <c r="A37" s="20" t="s">
        <v>470</v>
      </c>
      <c r="B37" s="20">
        <v>7</v>
      </c>
      <c r="E37" s="105">
        <v>17</v>
      </c>
      <c r="F37" s="106">
        <v>2</v>
      </c>
      <c r="G37" s="106"/>
      <c r="H37" s="106">
        <f>$H36</f>
      </c>
      <c r="I37" s="114">
        <f>IF(G37="","",VLOOKUP($H37,'①カード一覧(入力用)'!$A:$A,1,0))</f>
      </c>
      <c r="J37" s="106">
        <f>IF(G37="","",VALUE(VLOOKUP($H37,'①カード一覧(入力用)'!$A:$F,6,0)&amp;VLOOKUP($H37,'①カード一覧(入力用)'!$A:$B,2,0)&amp;VLOOKUP($H37,'①カード一覧(入力用)'!$A:$D,4,0)&amp;VLOOKUP($H37,'①カード一覧(入力用)'!$A:$C,3,0)&amp;VLOOKUP($H37,'①カード一覧(入力用)'!$A:$J,10,0)))</f>
      </c>
      <c r="K37" s="106">
        <f>IF(G37="","",VALUE(VLOOKUP($H37,'①カード一覧(入力用)'!$A:$E,5,0)&amp;VLOOKUP($H37,'①カード一覧(入力用)'!$A:$D,4,0)&amp;VLOOKUP($H37,'①カード一覧(入力用)'!$A:$C,3,0)&amp;VLOOKUP($H37,'①カード一覧(入力用)'!$A:$J,10,0)))</f>
      </c>
      <c r="L37" s="106">
        <f>IF(G37="","",VALUE(VLOOKUP($H37,'①カード一覧(入力用)'!$A:$D,4,0)&amp;VLOOKUP($H37,'①カード一覧(入力用)'!$A:$C,3,0)&amp;VLOOKUP($H37,'①カード一覧(入力用)'!$A:$B,2,0)&amp;VLOOKUP($H37,'①カード一覧(入力用)'!$A:$J,10,0)))</f>
      </c>
      <c r="M37" s="106">
        <f>IF(G37="","",VALUE((1500-VLOOKUP($H37,'①カード一覧(入力用)'!$A:$O,15,0))&amp;VLOOKUP($H37,'①カード一覧(入力用)'!$A:$B,2,0)&amp;VLOOKUP($H37,'①カード一覧(入力用)'!$A:$D,4,0)&amp;VLOOKUP($H37,'①カード一覧(入力用)'!$A:$C,3,0)&amp;VLOOKUP($H37,'①カード一覧(入力用)'!$A:$J,10,0)))</f>
      </c>
      <c r="N37" s="106">
        <f>IF(G37="","",VALUE((1500-VLOOKUP($H37,'①カード一覧(入力用)'!$A:$P,16,0))&amp;VLOOKUP($H37,'①カード一覧(入力用)'!$A:$B,2,0)&amp;VLOOKUP($H37,'①カード一覧(入力用)'!$A:$D,4,0)&amp;VLOOKUP($H37,'①カード一覧(入力用)'!$A:$C,3,0)&amp;VLOOKUP($H37,'①カード一覧(入力用)'!$A:$J,10,0)))</f>
      </c>
      <c r="O37" s="106">
        <f>IF(G37="","",VALUE((1500-VLOOKUP($H37,'①カード一覧(入力用)'!$A:$Q,17,0))&amp;VLOOKUP($H37,'①カード一覧(入力用)'!$A:$B,2,0)&amp;VLOOKUP($H37,'①カード一覧(入力用)'!$A:$D,4,0)&amp;VLOOKUP($H37,'①カード一覧(入力用)'!$A:$C,3,0)&amp;VLOOKUP($H37,'①カード一覧(入力用)'!$A:$J,10,0)))</f>
      </c>
      <c r="P37" s="106">
        <f>IF(G37="","",VALUE((200-VLOOKUP($H37,'①カード一覧(入力用)'!$A:$R,18,0))&amp;VLOOKUP($H37,'①カード一覧(入力用)'!$A:$B,2,0)&amp;VLOOKUP($H37,'①カード一覧(入力用)'!$A:$D,4,0)&amp;VLOOKUP($H37,'①カード一覧(入力用)'!$A:$C,3,0)&amp;VLOOKUP($H37,'①カード一覧(入力用)'!$A:$J,10,0)))</f>
      </c>
      <c r="Q37" s="106">
        <f>IF(G37="","",VALUE(VLOOKUP($H37,'①カード一覧(入力用)'!$A:$G,7,0)&amp;VLOOKUP($H37,'①カード一覧(入力用)'!$A:$C,3,0)&amp;VLOOKUP($H37,'①カード一覧(入力用)'!$A:$B,2,0)&amp;VLOOKUP($H37,'①カード一覧(入力用)'!$A:$D,4,0)&amp;VLOOKUP($H37,'①カード一覧(入力用)'!$A:$J,10,0)))</f>
      </c>
      <c r="R37" s="106">
        <f>IF(G37="","",VALUE(VLOOKUP($H37,'①カード一覧(入力用)'!$A:$H,8,0)&amp;VLOOKUP($H37,'①カード一覧(入力用)'!$A:$AR,44,0)&amp;VLOOKUP($H37,'①カード一覧(入力用)'!$A:$B,2,0)&amp;VLOOKUP($H37,'①カード一覧(入力用)'!$A:$D,4,0)&amp;VLOOKUP($H37,'①カード一覧(入力用)'!$A:$J,10,0)))</f>
      </c>
      <c r="S37" s="106">
        <f>IF(G37="","",RANK(INDEX($I$4:$R$43,E37*2-1,$L$1),INDEX($I$4:$R$43,$E$4,$L$1):INDEX($I$4:$R$43,$Q$1,$L$1),1))</f>
      </c>
      <c r="T37" s="106">
        <f>IF(H37="","",VLOOKUP($H37,'①カード一覧(入力用)'!$A:$A,1,0))</f>
      </c>
      <c r="U37" s="106"/>
      <c r="V37" s="106"/>
      <c r="W37" s="106"/>
      <c r="AB37" s="19">
        <v>17</v>
      </c>
      <c r="AC37" s="10">
        <v>2</v>
      </c>
      <c r="AD37" s="88">
        <f>AD36</f>
      </c>
      <c r="AE37" s="106"/>
      <c r="AF37" s="20">
        <f>IF($AD37="","",IF($AA$2="基本技","","|~|"))</f>
      </c>
      <c r="AG37" s="118">
        <f>IF($AD37="","",IF(OR($AA$2="レアリティ",$AA$2="基本技"),"","~"&amp;"|"))</f>
      </c>
      <c r="AH37" s="118">
        <f>IF($AD37="","",IF(OR($AA$2="勢力・陣形",$AA$2="基本技"),"","~"&amp;"|"))</f>
      </c>
      <c r="AI37" s="118">
        <f>IF($AD37="","",IF(OR($AA$2="タイプ・コスト",$AA$2="基本技"),"","~"&amp;"|"))</f>
      </c>
      <c r="AJ37" s="118">
        <f>IF($AD37="","",IF(OR($AA$2="タイプ・コスト",$AA$2="基本技"),"","~"&amp;"|"))</f>
      </c>
      <c r="AK37" s="106">
        <f>IF($AD37="","",IF($AA$2="基本技","","~"&amp;"|"))</f>
      </c>
      <c r="AL37" s="106">
        <f>IF($AD37="","",IF($AA$2="基本技","","~"&amp;"|"))</f>
      </c>
      <c r="AM37" s="106">
        <f>IF($AD37="","",IF($AA$2="基本技","","~"&amp;"|"))</f>
      </c>
      <c r="AN37" s="106">
        <f>IF($AD37="","",IF($AA$2="基本技","","~"&amp;"|"))</f>
      </c>
      <c r="AO37" s="20">
        <f>IF($AD37="","",IF($AA$2="基本技","",IF($AA$2="必殺技",VLOOKUP($AD37,'①カード一覧(入力用)'!$I:$AB,14,0)&amp;"|",VLOOKUP($AD37,'①カード一覧(入力用)'!$I:$AB,13,0)&amp;"|")))</f>
      </c>
    </row>
    <row r="38" spans="1:41" ht="12">
      <c r="A38" s="20" t="s">
        <v>471</v>
      </c>
      <c r="B38" s="20">
        <v>8</v>
      </c>
      <c r="E38" s="105">
        <v>18</v>
      </c>
      <c r="F38" s="106">
        <v>1</v>
      </c>
      <c r="G38" s="106">
        <f>IF(G36="","",IF(G36+1&gt;$Y$6,"",G36+1))</f>
      </c>
      <c r="H38" s="106">
        <f>IF(G38="","",INDEX('①カード一覧(入力用)'!A:A,$G38,1))</f>
      </c>
      <c r="I38" s="114">
        <f>IF(G38="","",VLOOKUP($H38,'①カード一覧(入力用)'!$A:$A,1,0))</f>
      </c>
      <c r="J38" s="106">
        <f>IF(G38="","",VALUE(VLOOKUP($H38,'①カード一覧(入力用)'!$A:$F,6,0)&amp;VLOOKUP($H38,'①カード一覧(入力用)'!$A:$B,2,0)&amp;VLOOKUP($H38,'①カード一覧(入力用)'!$A:$D,4,0)&amp;VLOOKUP($H38,'①カード一覧(入力用)'!$A:$C,3,0)&amp;VLOOKUP($H38,'①カード一覧(入力用)'!$A:$J,10,0)))</f>
      </c>
      <c r="K38" s="106">
        <f>IF(G38="","",VALUE(VLOOKUP($H38,'①カード一覧(入力用)'!$A:$E,5,0)&amp;VLOOKUP($H38,'①カード一覧(入力用)'!$A:$D,4,0)&amp;VLOOKUP($H38,'①カード一覧(入力用)'!$A:$C,3,0)&amp;VLOOKUP($H38,'①カード一覧(入力用)'!$A:$J,10,0)))</f>
      </c>
      <c r="L38" s="106">
        <f>IF(G38="","",VALUE(VLOOKUP($H38,'①カード一覧(入力用)'!$A:$D,4,0)&amp;VLOOKUP($H38,'①カード一覧(入力用)'!$A:$C,3,0)&amp;VLOOKUP($H38,'①カード一覧(入力用)'!$A:$B,2,0)&amp;VLOOKUP($H38,'①カード一覧(入力用)'!$A:$J,10,0)))</f>
      </c>
      <c r="M38" s="106">
        <f>IF(G38="","",VALUE((1500-VLOOKUP($H38,'①カード一覧(入力用)'!$A:$O,15,0))&amp;VLOOKUP($H38,'①カード一覧(入力用)'!$A:$B,2,0)&amp;VLOOKUP($H38,'①カード一覧(入力用)'!$A:$D,4,0)&amp;VLOOKUP($H38,'①カード一覧(入力用)'!$A:$C,3,0)&amp;VLOOKUP($H38,'①カード一覧(入力用)'!$A:$J,10,0)))</f>
      </c>
      <c r="N38" s="106">
        <f>IF(G38="","",VALUE((1500-VLOOKUP($H38,'①カード一覧(入力用)'!$A:$P,16,0))&amp;VLOOKUP($H38,'①カード一覧(入力用)'!$A:$B,2,0)&amp;VLOOKUP($H38,'①カード一覧(入力用)'!$A:$D,4,0)&amp;VLOOKUP($H38,'①カード一覧(入力用)'!$A:$C,3,0)&amp;VLOOKUP($H38,'①カード一覧(入力用)'!$A:$J,10,0)))</f>
      </c>
      <c r="O38" s="106">
        <f>IF(G38="","",VALUE((1500-VLOOKUP($H38,'①カード一覧(入力用)'!$A:$Q,17,0))&amp;VLOOKUP($H38,'①カード一覧(入力用)'!$A:$B,2,0)&amp;VLOOKUP($H38,'①カード一覧(入力用)'!$A:$D,4,0)&amp;VLOOKUP($H38,'①カード一覧(入力用)'!$A:$C,3,0)&amp;VLOOKUP($H38,'①カード一覧(入力用)'!$A:$J,10,0)))</f>
      </c>
      <c r="P38" s="106">
        <f>IF(G38="","",VALUE((200-VLOOKUP($H38,'①カード一覧(入力用)'!$A:$R,18,0))&amp;VLOOKUP($H38,'①カード一覧(入力用)'!$A:$B,2,0)&amp;VLOOKUP($H38,'①カード一覧(入力用)'!$A:$D,4,0)&amp;VLOOKUP($H38,'①カード一覧(入力用)'!$A:$C,3,0)&amp;VLOOKUP($H38,'①カード一覧(入力用)'!$A:$J,10,0)))</f>
      </c>
      <c r="Q38" s="106">
        <f>IF(G38="","",VALUE(VLOOKUP($H38,'①カード一覧(入力用)'!$A:$G,7,0)&amp;VLOOKUP($H38,'①カード一覧(入力用)'!$A:$C,3,0)&amp;VLOOKUP($H38,'①カード一覧(入力用)'!$A:$B,2,0)&amp;VLOOKUP($H38,'①カード一覧(入力用)'!$A:$D,4,0)&amp;VLOOKUP($H38,'①カード一覧(入力用)'!$A:$J,10,0)))</f>
      </c>
      <c r="R38" s="106">
        <f>IF(G38="","",VALUE(VLOOKUP($H38,'①カード一覧(入力用)'!$A:$H,8,0)&amp;VLOOKUP($H38,'①カード一覧(入力用)'!$A:$AR,44,0)&amp;VLOOKUP($H38,'①カード一覧(入力用)'!$A:$B,2,0)&amp;VLOOKUP($H38,'①カード一覧(入力用)'!$A:$D,4,0)&amp;VLOOKUP($H38,'①カード一覧(入力用)'!$A:$J,10,0)))</f>
      </c>
      <c r="S38" s="106">
        <f>IF(G38="","",RANK(INDEX($I$4:$R$43,E38*2-1,$L$1),INDEX($I$4:$R$43,$E$4,$L$1):INDEX($I$4:$R$43,$Q$1,$L$1),1))</f>
      </c>
      <c r="T38" s="106">
        <f>IF(H38="","",VLOOKUP($H38,'①カード一覧(入力用)'!$A:$A,1,0))</f>
      </c>
      <c r="U38" s="106">
        <f>IF($AD38="","",IF($AA$2="タイプ・コスト","『改行』"&amp;VLOOKUP($AD38,'①カード一覧(入力用)'!$I:$AB,5,0)&amp;VLOOKUP($AD38,'①カード一覧(入力用)'!$I:$AB,6,0)&amp;"『改行』",IF($AA$2&lt;&gt;"No","『改行』"&amp;VLOOKUP($AD38,'①カード一覧(入力用)'!$I:$AB,VLOOKUP($AA$2,$A$34:$B$42,2,0),0)&amp;"『改行』","")))</f>
      </c>
      <c r="V38" s="106">
        <f>IF($U38=$U36,"",$U38)</f>
      </c>
      <c r="W38" s="106">
        <f>IF(ISERROR(MATCH(VALUE(MID(V38,5,3)),$A$45:$A$58,0)),"",V38)</f>
      </c>
      <c r="AB38" s="19">
        <v>18</v>
      </c>
      <c r="AC38" s="10">
        <v>1</v>
      </c>
      <c r="AD38" s="88">
        <f>IF(H38="","",VLOOKUP(AB38,$S$4:$T$43,2,0))</f>
      </c>
      <c r="AE38" s="106">
        <f>IF(OR($AA$2="HP",$AA$2="攻",$AA$2="防",$AA$2="速"),W38,V38)</f>
      </c>
      <c r="AF38" s="20">
        <f>IF($AD38="","","|[["&amp;VLOOKUP($AD38,'①カード一覧(入力用)'!$I:$AB,2,0)&amp;"_"&amp;VLOOKUP($AD38,'①カード一覧(入力用)'!$I:$AB,4,0)&amp;"]]|")</f>
      </c>
      <c r="AG38" s="115">
        <f>IF($AD38="","",IF($AA$2="レアリティ","","CENTER:"&amp;VLOOKUP($AD38,'①カード一覧(入力用)'!$I:$AB,3,0)&amp;"|"))</f>
      </c>
      <c r="AH38" s="115">
        <f>IF($AD38="","",IF($AA$2="勢力・陣形","","CENTER:"&amp;VLOOKUP($AD38,'①カード一覧(入力用)'!$I:$AB,18,0)&amp;"|"))</f>
      </c>
      <c r="AI38" s="115">
        <f>IF($AD38="","",IF($AA$2="タイプ・コスト","",VLOOKUP($AD38,'①カード一覧(入力用)'!$I:$AB,5,0)&amp;"|"))</f>
      </c>
      <c r="AJ38" s="115">
        <f>IF($AD38="","",IF($AA$2="タイプ・コスト","","CENTER:"&amp;VLOOKUP($AD38,'①カード一覧(入力用)'!$I:$AB,6,0)&amp;"|"))</f>
      </c>
      <c r="AK38" s="116">
        <f>IF($AD38="","",VLOOKUP($AD38,'①カード一覧(入力用)'!$I:$AB,7,0)&amp;"|")</f>
      </c>
      <c r="AL38" s="116">
        <f>IF($AD38="","",VLOOKUP($AD38,'①カード一覧(入力用)'!$I:$AB,8,0)&amp;"|")</f>
      </c>
      <c r="AM38" s="116">
        <f>IF($AD38="","",VLOOKUP($AD38,'①カード一覧(入力用)'!$I:$AB,9,0)&amp;"|")</f>
      </c>
      <c r="AN38" s="116">
        <f>IF($AD38="","",VLOOKUP($AD38,'①カード一覧(入力用)'!$I:$AB,10,0)&amp;"|")</f>
      </c>
      <c r="AO38" s="117">
        <f>IF($AD38="","",IF($AA$2="基本技",VLOOKUP($AD38,'①カード一覧(入力用)'!$I:$AB,12,0)&amp;"|",IF($AA$2="必殺技",VLOOKUP($AD38,'①カード一覧(入力用)'!$I:$AB,15,0)&amp;"|",VLOOKUP($AD38,'①カード一覧(入力用)'!$I:$AB,11,0)&amp;"|")))</f>
      </c>
    </row>
    <row r="39" spans="1:41" ht="12">
      <c r="A39" s="20" t="s">
        <v>472</v>
      </c>
      <c r="B39" s="20">
        <v>9</v>
      </c>
      <c r="E39" s="105">
        <v>18</v>
      </c>
      <c r="F39" s="106">
        <v>2</v>
      </c>
      <c r="G39" s="106"/>
      <c r="H39" s="106">
        <f>$H38</f>
      </c>
      <c r="I39" s="114">
        <f>IF(G39="","",VLOOKUP($H39,'①カード一覧(入力用)'!$A:$A,1,0))</f>
      </c>
      <c r="J39" s="106">
        <f>IF(G39="","",VALUE(VLOOKUP($H39,'①カード一覧(入力用)'!$A:$F,6,0)&amp;VLOOKUP($H39,'①カード一覧(入力用)'!$A:$B,2,0)&amp;VLOOKUP($H39,'①カード一覧(入力用)'!$A:$D,4,0)&amp;VLOOKUP($H39,'①カード一覧(入力用)'!$A:$C,3,0)&amp;VLOOKUP($H39,'①カード一覧(入力用)'!$A:$J,10,0)))</f>
      </c>
      <c r="K39" s="106">
        <f>IF(G39="","",VALUE(VLOOKUP($H39,'①カード一覧(入力用)'!$A:$E,5,0)&amp;VLOOKUP($H39,'①カード一覧(入力用)'!$A:$D,4,0)&amp;VLOOKUP($H39,'①カード一覧(入力用)'!$A:$C,3,0)&amp;VLOOKUP($H39,'①カード一覧(入力用)'!$A:$J,10,0)))</f>
      </c>
      <c r="L39" s="106">
        <f>IF(G39="","",VALUE(VLOOKUP($H39,'①カード一覧(入力用)'!$A:$D,4,0)&amp;VLOOKUP($H39,'①カード一覧(入力用)'!$A:$C,3,0)&amp;VLOOKUP($H39,'①カード一覧(入力用)'!$A:$B,2,0)&amp;VLOOKUP($H39,'①カード一覧(入力用)'!$A:$J,10,0)))</f>
      </c>
      <c r="M39" s="106">
        <f>IF(G39="","",VALUE((1500-VLOOKUP($H39,'①カード一覧(入力用)'!$A:$O,15,0))&amp;VLOOKUP($H39,'①カード一覧(入力用)'!$A:$B,2,0)&amp;VLOOKUP($H39,'①カード一覧(入力用)'!$A:$D,4,0)&amp;VLOOKUP($H39,'①カード一覧(入力用)'!$A:$C,3,0)&amp;VLOOKUP($H39,'①カード一覧(入力用)'!$A:$J,10,0)))</f>
      </c>
      <c r="N39" s="106">
        <f>IF(G39="","",VALUE((1500-VLOOKUP($H39,'①カード一覧(入力用)'!$A:$P,16,0))&amp;VLOOKUP($H39,'①カード一覧(入力用)'!$A:$B,2,0)&amp;VLOOKUP($H39,'①カード一覧(入力用)'!$A:$D,4,0)&amp;VLOOKUP($H39,'①カード一覧(入力用)'!$A:$C,3,0)&amp;VLOOKUP($H39,'①カード一覧(入力用)'!$A:$J,10,0)))</f>
      </c>
      <c r="O39" s="106">
        <f>IF(G39="","",VALUE((1500-VLOOKUP($H39,'①カード一覧(入力用)'!$A:$Q,17,0))&amp;VLOOKUP($H39,'①カード一覧(入力用)'!$A:$B,2,0)&amp;VLOOKUP($H39,'①カード一覧(入力用)'!$A:$D,4,0)&amp;VLOOKUP($H39,'①カード一覧(入力用)'!$A:$C,3,0)&amp;VLOOKUP($H39,'①カード一覧(入力用)'!$A:$J,10,0)))</f>
      </c>
      <c r="P39" s="106">
        <f>IF(G39="","",VALUE((200-VLOOKUP($H39,'①カード一覧(入力用)'!$A:$R,18,0))&amp;VLOOKUP($H39,'①カード一覧(入力用)'!$A:$B,2,0)&amp;VLOOKUP($H39,'①カード一覧(入力用)'!$A:$D,4,0)&amp;VLOOKUP($H39,'①カード一覧(入力用)'!$A:$C,3,0)&amp;VLOOKUP($H39,'①カード一覧(入力用)'!$A:$J,10,0)))</f>
      </c>
      <c r="Q39" s="106">
        <f>IF(G39="","",VALUE(VLOOKUP($H39,'①カード一覧(入力用)'!$A:$G,7,0)&amp;VLOOKUP($H39,'①カード一覧(入力用)'!$A:$C,3,0)&amp;VLOOKUP($H39,'①カード一覧(入力用)'!$A:$B,2,0)&amp;VLOOKUP($H39,'①カード一覧(入力用)'!$A:$D,4,0)&amp;VLOOKUP($H39,'①カード一覧(入力用)'!$A:$J,10,0)))</f>
      </c>
      <c r="R39" s="106">
        <f>IF(G39="","",VALUE(VLOOKUP($H39,'①カード一覧(入力用)'!$A:$H,8,0)&amp;VLOOKUP($H39,'①カード一覧(入力用)'!$A:$AR,44,0)&amp;VLOOKUP($H39,'①カード一覧(入力用)'!$A:$B,2,0)&amp;VLOOKUP($H39,'①カード一覧(入力用)'!$A:$D,4,0)&amp;VLOOKUP($H39,'①カード一覧(入力用)'!$A:$J,10,0)))</f>
      </c>
      <c r="S39" s="106">
        <f>IF(G39="","",RANK(INDEX($I$4:$R$43,E39*2-1,$L$1),INDEX($I$4:$R$43,$E$4,$L$1):INDEX($I$4:$R$43,$Q$1,$L$1),1))</f>
      </c>
      <c r="T39" s="106">
        <f>IF(H39="","",VLOOKUP($H39,'①カード一覧(入力用)'!$A:$A,1,0))</f>
      </c>
      <c r="U39" s="106"/>
      <c r="V39" s="106"/>
      <c r="W39" s="106"/>
      <c r="AB39" s="19">
        <v>18</v>
      </c>
      <c r="AC39" s="10">
        <v>2</v>
      </c>
      <c r="AD39" s="88">
        <f>AD38</f>
      </c>
      <c r="AE39" s="106"/>
      <c r="AF39" s="20">
        <f>IF($AD39="","",IF($AA$2="基本技","","|~|"))</f>
      </c>
      <c r="AG39" s="118">
        <f>IF($AD39="","",IF(OR($AA$2="レアリティ",$AA$2="基本技"),"","~"&amp;"|"))</f>
      </c>
      <c r="AH39" s="118">
        <f>IF($AD39="","",IF(OR($AA$2="勢力・陣形",$AA$2="基本技"),"","~"&amp;"|"))</f>
      </c>
      <c r="AI39" s="118">
        <f>IF($AD39="","",IF(OR($AA$2="タイプ・コスト",$AA$2="基本技"),"","~"&amp;"|"))</f>
      </c>
      <c r="AJ39" s="118">
        <f>IF($AD39="","",IF(OR($AA$2="タイプ・コスト",$AA$2="基本技"),"","~"&amp;"|"))</f>
      </c>
      <c r="AK39" s="106">
        <f>IF($AD39="","",IF($AA$2="基本技","","~"&amp;"|"))</f>
      </c>
      <c r="AL39" s="106">
        <f>IF($AD39="","",IF($AA$2="基本技","","~"&amp;"|"))</f>
      </c>
      <c r="AM39" s="106">
        <f>IF($AD39="","",IF($AA$2="基本技","","~"&amp;"|"))</f>
      </c>
      <c r="AN39" s="106">
        <f>IF($AD39="","",IF($AA$2="基本技","","~"&amp;"|"))</f>
      </c>
      <c r="AO39" s="20">
        <f>IF($AD39="","",IF($AA$2="基本技","",IF($AA$2="必殺技",VLOOKUP($AD39,'①カード一覧(入力用)'!$I:$AB,14,0)&amp;"|",VLOOKUP($AD39,'①カード一覧(入力用)'!$I:$AB,13,0)&amp;"|")))</f>
      </c>
    </row>
    <row r="40" spans="1:41" ht="12">
      <c r="A40" s="20" t="s">
        <v>473</v>
      </c>
      <c r="B40" s="20">
        <v>10</v>
      </c>
      <c r="E40" s="105">
        <v>19</v>
      </c>
      <c r="F40" s="106">
        <v>1</v>
      </c>
      <c r="G40" s="106">
        <f>IF(G38="","",IF(G38+1&gt;$Y$6,"",G38+1))</f>
      </c>
      <c r="H40" s="106">
        <f>IF(G40="","",INDEX('①カード一覧(入力用)'!A:A,$G40,1))</f>
      </c>
      <c r="I40" s="114">
        <f>IF(G40="","",VLOOKUP($H40,'①カード一覧(入力用)'!$A:$A,1,0))</f>
      </c>
      <c r="J40" s="106">
        <f>IF(G40="","",VALUE(VLOOKUP($H40,'①カード一覧(入力用)'!$A:$F,6,0)&amp;VLOOKUP($H40,'①カード一覧(入力用)'!$A:$B,2,0)&amp;VLOOKUP($H40,'①カード一覧(入力用)'!$A:$D,4,0)&amp;VLOOKUP($H40,'①カード一覧(入力用)'!$A:$C,3,0)&amp;VLOOKUP($H40,'①カード一覧(入力用)'!$A:$J,10,0)))</f>
      </c>
      <c r="K40" s="106">
        <f>IF(G40="","",VALUE(VLOOKUP($H40,'①カード一覧(入力用)'!$A:$E,5,0)&amp;VLOOKUP($H40,'①カード一覧(入力用)'!$A:$D,4,0)&amp;VLOOKUP($H40,'①カード一覧(入力用)'!$A:$C,3,0)&amp;VLOOKUP($H40,'①カード一覧(入力用)'!$A:$J,10,0)))</f>
      </c>
      <c r="L40" s="106">
        <f>IF(G40="","",VALUE(VLOOKUP($H40,'①カード一覧(入力用)'!$A:$D,4,0)&amp;VLOOKUP($H40,'①カード一覧(入力用)'!$A:$C,3,0)&amp;VLOOKUP($H40,'①カード一覧(入力用)'!$A:$B,2,0)&amp;VLOOKUP($H40,'①カード一覧(入力用)'!$A:$J,10,0)))</f>
      </c>
      <c r="M40" s="106">
        <f>IF(G40="","",VALUE((1500-VLOOKUP($H40,'①カード一覧(入力用)'!$A:$O,15,0))&amp;VLOOKUP($H40,'①カード一覧(入力用)'!$A:$B,2,0)&amp;VLOOKUP($H40,'①カード一覧(入力用)'!$A:$D,4,0)&amp;VLOOKUP($H40,'①カード一覧(入力用)'!$A:$C,3,0)&amp;VLOOKUP($H40,'①カード一覧(入力用)'!$A:$J,10,0)))</f>
      </c>
      <c r="N40" s="106">
        <f>IF(G40="","",VALUE((1500-VLOOKUP($H40,'①カード一覧(入力用)'!$A:$P,16,0))&amp;VLOOKUP($H40,'①カード一覧(入力用)'!$A:$B,2,0)&amp;VLOOKUP($H40,'①カード一覧(入力用)'!$A:$D,4,0)&amp;VLOOKUP($H40,'①カード一覧(入力用)'!$A:$C,3,0)&amp;VLOOKUP($H40,'①カード一覧(入力用)'!$A:$J,10,0)))</f>
      </c>
      <c r="O40" s="106">
        <f>IF(G40="","",VALUE((1500-VLOOKUP($H40,'①カード一覧(入力用)'!$A:$Q,17,0))&amp;VLOOKUP($H40,'①カード一覧(入力用)'!$A:$B,2,0)&amp;VLOOKUP($H40,'①カード一覧(入力用)'!$A:$D,4,0)&amp;VLOOKUP($H40,'①カード一覧(入力用)'!$A:$C,3,0)&amp;VLOOKUP($H40,'①カード一覧(入力用)'!$A:$J,10,0)))</f>
      </c>
      <c r="P40" s="106">
        <f>IF(G40="","",VALUE((200-VLOOKUP($H40,'①カード一覧(入力用)'!$A:$R,18,0))&amp;VLOOKUP($H40,'①カード一覧(入力用)'!$A:$B,2,0)&amp;VLOOKUP($H40,'①カード一覧(入力用)'!$A:$D,4,0)&amp;VLOOKUP($H40,'①カード一覧(入力用)'!$A:$C,3,0)&amp;VLOOKUP($H40,'①カード一覧(入力用)'!$A:$J,10,0)))</f>
      </c>
      <c r="Q40" s="106">
        <f>IF(G40="","",VALUE(VLOOKUP($H40,'①カード一覧(入力用)'!$A:$G,7,0)&amp;VLOOKUP($H40,'①カード一覧(入力用)'!$A:$C,3,0)&amp;VLOOKUP($H40,'①カード一覧(入力用)'!$A:$B,2,0)&amp;VLOOKUP($H40,'①カード一覧(入力用)'!$A:$D,4,0)&amp;VLOOKUP($H40,'①カード一覧(入力用)'!$A:$J,10,0)))</f>
      </c>
      <c r="R40" s="106">
        <f>IF(G40="","",VALUE(VLOOKUP($H40,'①カード一覧(入力用)'!$A:$H,8,0)&amp;VLOOKUP($H40,'①カード一覧(入力用)'!$A:$AR,44,0)&amp;VLOOKUP($H40,'①カード一覧(入力用)'!$A:$B,2,0)&amp;VLOOKUP($H40,'①カード一覧(入力用)'!$A:$D,4,0)&amp;VLOOKUP($H40,'①カード一覧(入力用)'!$A:$J,10,0)))</f>
      </c>
      <c r="S40" s="106">
        <f>IF(G40="","",RANK(INDEX($I$4:$R$43,E40*2-1,$L$1),INDEX($I$4:$R$43,$E$4,$L$1):INDEX($I$4:$R$43,$Q$1,$L$1),1))</f>
      </c>
      <c r="T40" s="106">
        <f>IF(H40="","",VLOOKUP($H40,'①カード一覧(入力用)'!$A:$A,1,0))</f>
      </c>
      <c r="U40" s="106">
        <f>IF($AD40="","",IF($AA$2="タイプ・コスト","『改行』"&amp;VLOOKUP($AD40,'①カード一覧(入力用)'!$I:$AB,5,0)&amp;VLOOKUP($AD40,'①カード一覧(入力用)'!$I:$AB,6,0)&amp;"『改行』",IF($AA$2&lt;&gt;"No","『改行』"&amp;VLOOKUP($AD40,'①カード一覧(入力用)'!$I:$AB,VLOOKUP($AA$2,$A$34:$B$42,2,0),0)&amp;"『改行』","")))</f>
      </c>
      <c r="V40" s="106">
        <f>IF($U40=$U38,"",$U40)</f>
      </c>
      <c r="W40" s="106">
        <f>IF(ISERROR(MATCH(VALUE(MID(V40,5,3)),$A$45:$A$58,0)),"",V40)</f>
      </c>
      <c r="AB40" s="19">
        <v>19</v>
      </c>
      <c r="AC40" s="10">
        <v>1</v>
      </c>
      <c r="AD40" s="88">
        <f>IF(H40="","",VLOOKUP(AB40,$S$4:$T$43,2,0))</f>
      </c>
      <c r="AE40" s="106">
        <f>IF(OR($AA$2="HP",$AA$2="攻",$AA$2="防",$AA$2="速"),W40,V40)</f>
      </c>
      <c r="AF40" s="20">
        <f>IF($AD40="","","|[["&amp;VLOOKUP($AD40,'①カード一覧(入力用)'!$I:$AB,2,0)&amp;"_"&amp;VLOOKUP($AD40,'①カード一覧(入力用)'!$I:$AB,4,0)&amp;"]]|")</f>
      </c>
      <c r="AG40" s="115">
        <f>IF($AD40="","",IF($AA$2="レアリティ","","CENTER:"&amp;VLOOKUP($AD40,'①カード一覧(入力用)'!$I:$AB,3,0)&amp;"|"))</f>
      </c>
      <c r="AH40" s="115">
        <f>IF($AD40="","",IF($AA$2="勢力・陣形","","CENTER:"&amp;VLOOKUP($AD40,'①カード一覧(入力用)'!$I:$AB,18,0)&amp;"|"))</f>
      </c>
      <c r="AI40" s="115">
        <f>IF($AD40="","",IF($AA$2="タイプ・コスト","",VLOOKUP($AD40,'①カード一覧(入力用)'!$I:$AB,5,0)&amp;"|"))</f>
      </c>
      <c r="AJ40" s="115">
        <f>IF($AD40="","",IF($AA$2="タイプ・コスト","","CENTER:"&amp;VLOOKUP($AD40,'①カード一覧(入力用)'!$I:$AB,6,0)&amp;"|"))</f>
      </c>
      <c r="AK40" s="116">
        <f>IF($AD40="","",VLOOKUP($AD40,'①カード一覧(入力用)'!$I:$AB,7,0)&amp;"|")</f>
      </c>
      <c r="AL40" s="116">
        <f>IF($AD40="","",VLOOKUP($AD40,'①カード一覧(入力用)'!$I:$AB,8,0)&amp;"|")</f>
      </c>
      <c r="AM40" s="116">
        <f>IF($AD40="","",VLOOKUP($AD40,'①カード一覧(入力用)'!$I:$AB,9,0)&amp;"|")</f>
      </c>
      <c r="AN40" s="116">
        <f>IF($AD40="","",VLOOKUP($AD40,'①カード一覧(入力用)'!$I:$AB,10,0)&amp;"|")</f>
      </c>
      <c r="AO40" s="117">
        <f>IF($AD40="","",IF($AA$2="基本技",VLOOKUP($AD40,'①カード一覧(入力用)'!$I:$AB,12,0)&amp;"|",IF($AA$2="必殺技",VLOOKUP($AD40,'①カード一覧(入力用)'!$I:$AB,15,0)&amp;"|",VLOOKUP($AD40,'①カード一覧(入力用)'!$I:$AB,11,0)&amp;"|")))</f>
      </c>
    </row>
    <row r="41" spans="1:41" ht="12">
      <c r="A41" s="20" t="s">
        <v>869</v>
      </c>
      <c r="B41" s="20">
        <v>11</v>
      </c>
      <c r="E41" s="105">
        <v>19</v>
      </c>
      <c r="F41" s="106">
        <v>2</v>
      </c>
      <c r="G41" s="106"/>
      <c r="H41" s="106">
        <f>$H40</f>
      </c>
      <c r="I41" s="114">
        <f>IF(G41="","",VLOOKUP($H41,'①カード一覧(入力用)'!$A:$A,1,0))</f>
      </c>
      <c r="J41" s="106">
        <f>IF(G41="","",VALUE(VLOOKUP($H41,'①カード一覧(入力用)'!$A:$F,6,0)&amp;VLOOKUP($H41,'①カード一覧(入力用)'!$A:$B,2,0)&amp;VLOOKUP($H41,'①カード一覧(入力用)'!$A:$D,4,0)&amp;VLOOKUP($H41,'①カード一覧(入力用)'!$A:$C,3,0)&amp;VLOOKUP($H41,'①カード一覧(入力用)'!$A:$J,10,0)))</f>
      </c>
      <c r="K41" s="106">
        <f>IF(G41="","",VALUE(VLOOKUP($H41,'①カード一覧(入力用)'!$A:$E,5,0)&amp;VLOOKUP($H41,'①カード一覧(入力用)'!$A:$D,4,0)&amp;VLOOKUP($H41,'①カード一覧(入力用)'!$A:$C,3,0)&amp;VLOOKUP($H41,'①カード一覧(入力用)'!$A:$J,10,0)))</f>
      </c>
      <c r="L41" s="106">
        <f>IF(G41="","",VALUE(VLOOKUP($H41,'①カード一覧(入力用)'!$A:$D,4,0)&amp;VLOOKUP($H41,'①カード一覧(入力用)'!$A:$C,3,0)&amp;VLOOKUP($H41,'①カード一覧(入力用)'!$A:$B,2,0)&amp;VLOOKUP($H41,'①カード一覧(入力用)'!$A:$J,10,0)))</f>
      </c>
      <c r="M41" s="106">
        <f>IF(G41="","",VALUE((1500-VLOOKUP($H41,'①カード一覧(入力用)'!$A:$O,15,0))&amp;VLOOKUP($H41,'①カード一覧(入力用)'!$A:$B,2,0)&amp;VLOOKUP($H41,'①カード一覧(入力用)'!$A:$D,4,0)&amp;VLOOKUP($H41,'①カード一覧(入力用)'!$A:$C,3,0)&amp;VLOOKUP($H41,'①カード一覧(入力用)'!$A:$J,10,0)))</f>
      </c>
      <c r="N41" s="106">
        <f>IF(G41="","",VALUE((1500-VLOOKUP($H41,'①カード一覧(入力用)'!$A:$P,16,0))&amp;VLOOKUP($H41,'①カード一覧(入力用)'!$A:$B,2,0)&amp;VLOOKUP($H41,'①カード一覧(入力用)'!$A:$D,4,0)&amp;VLOOKUP($H41,'①カード一覧(入力用)'!$A:$C,3,0)&amp;VLOOKUP($H41,'①カード一覧(入力用)'!$A:$J,10,0)))</f>
      </c>
      <c r="O41" s="106">
        <f>IF(G41="","",VALUE((1500-VLOOKUP($H41,'①カード一覧(入力用)'!$A:$Q,17,0))&amp;VLOOKUP($H41,'①カード一覧(入力用)'!$A:$B,2,0)&amp;VLOOKUP($H41,'①カード一覧(入力用)'!$A:$D,4,0)&amp;VLOOKUP($H41,'①カード一覧(入力用)'!$A:$C,3,0)&amp;VLOOKUP($H41,'①カード一覧(入力用)'!$A:$J,10,0)))</f>
      </c>
      <c r="P41" s="106">
        <f>IF(G41="","",VALUE((200-VLOOKUP($H41,'①カード一覧(入力用)'!$A:$R,18,0))&amp;VLOOKUP($H41,'①カード一覧(入力用)'!$A:$B,2,0)&amp;VLOOKUP($H41,'①カード一覧(入力用)'!$A:$D,4,0)&amp;VLOOKUP($H41,'①カード一覧(入力用)'!$A:$C,3,0)&amp;VLOOKUP($H41,'①カード一覧(入力用)'!$A:$J,10,0)))</f>
      </c>
      <c r="Q41" s="106">
        <f>IF(G41="","",VALUE(VLOOKUP($H41,'①カード一覧(入力用)'!$A:$G,7,0)&amp;VLOOKUP($H41,'①カード一覧(入力用)'!$A:$C,3,0)&amp;VLOOKUP($H41,'①カード一覧(入力用)'!$A:$B,2,0)&amp;VLOOKUP($H41,'①カード一覧(入力用)'!$A:$D,4,0)&amp;VLOOKUP($H41,'①カード一覧(入力用)'!$A:$J,10,0)))</f>
      </c>
      <c r="R41" s="106">
        <f>IF(G41="","",VALUE(VLOOKUP($H41,'①カード一覧(入力用)'!$A:$H,8,0)&amp;VLOOKUP($H41,'①カード一覧(入力用)'!$A:$AR,44,0)&amp;VLOOKUP($H41,'①カード一覧(入力用)'!$A:$B,2,0)&amp;VLOOKUP($H41,'①カード一覧(入力用)'!$A:$D,4,0)&amp;VLOOKUP($H41,'①カード一覧(入力用)'!$A:$J,10,0)))</f>
      </c>
      <c r="S41" s="106">
        <f>IF(G41="","",RANK(INDEX($I$4:$R$43,E41*2-1,$L$1),INDEX($I$4:$R$43,$E$4,$L$1):INDEX($I$4:$R$43,$Q$1,$L$1),1))</f>
      </c>
      <c r="T41" s="106">
        <f>IF(H41="","",VLOOKUP($H41,'①カード一覧(入力用)'!$A:$A,1,0))</f>
      </c>
      <c r="U41" s="106"/>
      <c r="V41" s="106"/>
      <c r="W41" s="106"/>
      <c r="AB41" s="19">
        <v>19</v>
      </c>
      <c r="AC41" s="10">
        <v>2</v>
      </c>
      <c r="AD41" s="88">
        <f>AD40</f>
      </c>
      <c r="AE41" s="106"/>
      <c r="AF41" s="20">
        <f>IF($AD41="","",IF($AA$2="基本技","","|~|"))</f>
      </c>
      <c r="AG41" s="118">
        <f>IF($AD41="","",IF(OR($AA$2="レアリティ",$AA$2="基本技"),"","~"&amp;"|"))</f>
      </c>
      <c r="AH41" s="118">
        <f>IF($AD41="","",IF(OR($AA$2="勢力・陣形",$AA$2="基本技"),"","~"&amp;"|"))</f>
      </c>
      <c r="AI41" s="118">
        <f>IF($AD41="","",IF(OR($AA$2="タイプ・コスト",$AA$2="基本技"),"","~"&amp;"|"))</f>
      </c>
      <c r="AJ41" s="118">
        <f>IF($AD41="","",IF(OR($AA$2="タイプ・コスト",$AA$2="基本技"),"","~"&amp;"|"))</f>
      </c>
      <c r="AK41" s="106">
        <f>IF($AD41="","",IF($AA$2="基本技","","~"&amp;"|"))</f>
      </c>
      <c r="AL41" s="106">
        <f>IF($AD41="","",IF($AA$2="基本技","","~"&amp;"|"))</f>
      </c>
      <c r="AM41" s="106">
        <f>IF($AD41="","",IF($AA$2="基本技","","~"&amp;"|"))</f>
      </c>
      <c r="AN41" s="106">
        <f>IF($AD41="","",IF($AA$2="基本技","","~"&amp;"|"))</f>
      </c>
      <c r="AO41" s="20">
        <f>IF($AD41="","",IF($AA$2="基本技","",IF($AA$2="必殺技",VLOOKUP($AD41,'①カード一覧(入力用)'!$I:$AB,14,0)&amp;"|",VLOOKUP($AD41,'①カード一覧(入力用)'!$I:$AB,13,0)&amp;"|")))</f>
      </c>
    </row>
    <row r="42" spans="1:41" ht="12">
      <c r="A42" s="20" t="s">
        <v>1261</v>
      </c>
      <c r="B42" s="20">
        <v>13</v>
      </c>
      <c r="E42" s="105">
        <v>20</v>
      </c>
      <c r="F42" s="106">
        <v>1</v>
      </c>
      <c r="G42" s="106">
        <f>IF(G40="","",IF(G40+1&gt;$Y$6,"",G40+1))</f>
      </c>
      <c r="H42" s="106">
        <f>IF(G42="","",INDEX('①カード一覧(入力用)'!A:A,$G42,1))</f>
      </c>
      <c r="I42" s="114">
        <f>IF(G42="","",VLOOKUP($H42,'①カード一覧(入力用)'!$A:$A,1,0))</f>
      </c>
      <c r="J42" s="106">
        <f>IF(G42="","",VALUE(VLOOKUP($H42,'①カード一覧(入力用)'!$A:$F,6,0)&amp;VLOOKUP($H42,'①カード一覧(入力用)'!$A:$B,2,0)&amp;VLOOKUP($H42,'①カード一覧(入力用)'!$A:$D,4,0)&amp;VLOOKUP($H42,'①カード一覧(入力用)'!$A:$C,3,0)&amp;VLOOKUP($H42,'①カード一覧(入力用)'!$A:$J,10,0)))</f>
      </c>
      <c r="K42" s="106">
        <f>IF(G42="","",VALUE(VLOOKUP($H42,'①カード一覧(入力用)'!$A:$E,5,0)&amp;VLOOKUP($H42,'①カード一覧(入力用)'!$A:$D,4,0)&amp;VLOOKUP($H42,'①カード一覧(入力用)'!$A:$C,3,0)&amp;VLOOKUP($H42,'①カード一覧(入力用)'!$A:$J,10,0)))</f>
      </c>
      <c r="L42" s="106">
        <f>IF(G42="","",VALUE(VLOOKUP($H42,'①カード一覧(入力用)'!$A:$D,4,0)&amp;VLOOKUP($H42,'①カード一覧(入力用)'!$A:$C,3,0)&amp;VLOOKUP($H42,'①カード一覧(入力用)'!$A:$B,2,0)&amp;VLOOKUP($H42,'①カード一覧(入力用)'!$A:$J,10,0)))</f>
      </c>
      <c r="M42" s="106">
        <f>IF(G42="","",VALUE((1500-VLOOKUP($H42,'①カード一覧(入力用)'!$A:$O,15,0))&amp;VLOOKUP($H42,'①カード一覧(入力用)'!$A:$B,2,0)&amp;VLOOKUP($H42,'①カード一覧(入力用)'!$A:$D,4,0)&amp;VLOOKUP($H42,'①カード一覧(入力用)'!$A:$C,3,0)&amp;VLOOKUP($H42,'①カード一覧(入力用)'!$A:$J,10,0)))</f>
      </c>
      <c r="N42" s="106">
        <f>IF(G42="","",VALUE((1500-VLOOKUP($H42,'①カード一覧(入力用)'!$A:$P,16,0))&amp;VLOOKUP($H42,'①カード一覧(入力用)'!$A:$B,2,0)&amp;VLOOKUP($H42,'①カード一覧(入力用)'!$A:$D,4,0)&amp;VLOOKUP($H42,'①カード一覧(入力用)'!$A:$C,3,0)&amp;VLOOKUP($H42,'①カード一覧(入力用)'!$A:$J,10,0)))</f>
      </c>
      <c r="O42" s="106">
        <f>IF(G42="","",VALUE((1500-VLOOKUP($H42,'①カード一覧(入力用)'!$A:$Q,17,0))&amp;VLOOKUP($H42,'①カード一覧(入力用)'!$A:$B,2,0)&amp;VLOOKUP($H42,'①カード一覧(入力用)'!$A:$D,4,0)&amp;VLOOKUP($H42,'①カード一覧(入力用)'!$A:$C,3,0)&amp;VLOOKUP($H42,'①カード一覧(入力用)'!$A:$J,10,0)))</f>
      </c>
      <c r="P42" s="106">
        <f>IF(G42="","",VALUE((200-VLOOKUP($H42,'①カード一覧(入力用)'!$A:$R,18,0))&amp;VLOOKUP($H42,'①カード一覧(入力用)'!$A:$B,2,0)&amp;VLOOKUP($H42,'①カード一覧(入力用)'!$A:$D,4,0)&amp;VLOOKUP($H42,'①カード一覧(入力用)'!$A:$C,3,0)&amp;VLOOKUP($H42,'①カード一覧(入力用)'!$A:$J,10,0)))</f>
      </c>
      <c r="Q42" s="106">
        <f>IF(G42="","",VALUE(VLOOKUP($H42,'①カード一覧(入力用)'!$A:$G,7,0)&amp;VLOOKUP($H42,'①カード一覧(入力用)'!$A:$C,3,0)&amp;VLOOKUP($H42,'①カード一覧(入力用)'!$A:$B,2,0)&amp;VLOOKUP($H42,'①カード一覧(入力用)'!$A:$D,4,0)&amp;VLOOKUP($H42,'①カード一覧(入力用)'!$A:$J,10,0)))</f>
      </c>
      <c r="R42" s="106">
        <f>IF(G42="","",VALUE(VLOOKUP($H42,'①カード一覧(入力用)'!$A:$H,8,0)&amp;VLOOKUP($H42,'①カード一覧(入力用)'!$A:$AR,44,0)&amp;VLOOKUP($H42,'①カード一覧(入力用)'!$A:$B,2,0)&amp;VLOOKUP($H42,'①カード一覧(入力用)'!$A:$D,4,0)&amp;VLOOKUP($H42,'①カード一覧(入力用)'!$A:$J,10,0)))</f>
      </c>
      <c r="S42" s="106">
        <f>IF(G42="","",RANK(INDEX($I$4:$R$43,E42*2-1,$L$1),INDEX($I$4:$R$43,$E$4,$L$1):INDEX($I$4:$R$43,$Q$1,$L$1),1))</f>
      </c>
      <c r="T42" s="106">
        <f>IF(H42="","",VLOOKUP($H42,'①カード一覧(入力用)'!$A:$A,1,0))</f>
      </c>
      <c r="U42" s="106">
        <f>IF($AD42="","",IF($AA$2="タイプ・コスト","『改行』"&amp;VLOOKUP($AD42,'①カード一覧(入力用)'!$I:$AB,5,0)&amp;VLOOKUP($AD42,'①カード一覧(入力用)'!$I:$AB,6,0)&amp;"『改行』",IF($AA$2&lt;&gt;"No","『改行』"&amp;VLOOKUP($AD42,'①カード一覧(入力用)'!$I:$AB,VLOOKUP($AA$2,$A$34:$B$42,2,0),0)&amp;"『改行』","")))</f>
      </c>
      <c r="V42" s="106">
        <f>IF($U42=$U40,"",$U42)</f>
      </c>
      <c r="W42" s="106">
        <f>IF(ISERROR(MATCH(VALUE(MID(V42,5,3)),$A$45:$A$58,0)),"",V42)</f>
      </c>
      <c r="AB42" s="19">
        <v>20</v>
      </c>
      <c r="AC42" s="10">
        <v>1</v>
      </c>
      <c r="AD42" s="88">
        <f>IF(H42="","",VLOOKUP(AB42,$S$4:$T$43,2,0))</f>
      </c>
      <c r="AE42" s="106">
        <f>IF(OR($AA$2="HP",$AA$2="攻",$AA$2="防",$AA$2="速"),W42,V42)</f>
      </c>
      <c r="AF42" s="20">
        <f>IF($AD42="","","|[["&amp;VLOOKUP($AD42,'①カード一覧(入力用)'!$I:$AB,2,0)&amp;"_"&amp;VLOOKUP($AD42,'①カード一覧(入力用)'!$I:$AB,4,0)&amp;"]]|")</f>
      </c>
      <c r="AG42" s="115">
        <f>IF($AD42="","",IF($AA$2="レアリティ","","CENTER:"&amp;VLOOKUP($AD42,'①カード一覧(入力用)'!$I:$AB,3,0)&amp;"|"))</f>
      </c>
      <c r="AH42" s="115">
        <f>IF($AD42="","",IF($AA$2="勢力・陣形","","CENTER:"&amp;VLOOKUP($AD42,'①カード一覧(入力用)'!$I:$AB,18,0)&amp;"|"))</f>
      </c>
      <c r="AI42" s="115">
        <f>IF($AD42="","",IF($AA$2="タイプ・コスト","",VLOOKUP($AD42,'①カード一覧(入力用)'!$I:$AB,5,0)&amp;"|"))</f>
      </c>
      <c r="AJ42" s="115">
        <f>IF($AD42="","",IF($AA$2="タイプ・コスト","","CENTER:"&amp;VLOOKUP($AD42,'①カード一覧(入力用)'!$I:$AB,6,0)&amp;"|"))</f>
      </c>
      <c r="AK42" s="116">
        <f>IF($AD42="","",VLOOKUP($AD42,'①カード一覧(入力用)'!$I:$AB,7,0)&amp;"|")</f>
      </c>
      <c r="AL42" s="116">
        <f>IF($AD42="","",VLOOKUP($AD42,'①カード一覧(入力用)'!$I:$AB,8,0)&amp;"|")</f>
      </c>
      <c r="AM42" s="116">
        <f>IF($AD42="","",VLOOKUP($AD42,'①カード一覧(入力用)'!$I:$AB,9,0)&amp;"|")</f>
      </c>
      <c r="AN42" s="116">
        <f>IF($AD42="","",VLOOKUP($AD42,'①カード一覧(入力用)'!$I:$AB,10,0)&amp;"|")</f>
      </c>
      <c r="AO42" s="117">
        <f>IF($AD42="","",IF($AA$2="基本技",VLOOKUP($AD42,'①カード一覧(入力用)'!$I:$AB,12,0)&amp;"|",IF($AA$2="必殺技",VLOOKUP($AD42,'①カード一覧(入力用)'!$I:$AB,15,0)&amp;"|",VLOOKUP($AD42,'①カード一覧(入力用)'!$I:$AB,11,0)&amp;"|")))</f>
      </c>
    </row>
    <row r="43" spans="5:41" ht="12">
      <c r="E43" s="105">
        <v>20</v>
      </c>
      <c r="F43" s="106">
        <v>2</v>
      </c>
      <c r="G43" s="106"/>
      <c r="H43" s="106">
        <f>$H42</f>
      </c>
      <c r="I43" s="114">
        <f>IF(G43="","",VLOOKUP($H43,'①カード一覧(入力用)'!$A:$A,1,0))</f>
      </c>
      <c r="J43" s="106">
        <f>IF(G43="","",VALUE(VLOOKUP($H43,'①カード一覧(入力用)'!$A:$F,6,0)&amp;VLOOKUP($H43,'①カード一覧(入力用)'!$A:$B,2,0)&amp;VLOOKUP($H43,'①カード一覧(入力用)'!$A:$D,4,0)&amp;VLOOKUP($H43,'①カード一覧(入力用)'!$A:$C,3,0)&amp;VLOOKUP($H43,'①カード一覧(入力用)'!$A:$J,10,0)))</f>
      </c>
      <c r="K43" s="106">
        <f>IF(G43="","",VALUE(VLOOKUP($H43,'①カード一覧(入力用)'!$A:$E,5,0)&amp;VLOOKUP($H43,'①カード一覧(入力用)'!$A:$D,4,0)&amp;VLOOKUP($H43,'①カード一覧(入力用)'!$A:$C,3,0)&amp;VLOOKUP($H43,'①カード一覧(入力用)'!$A:$J,10,0)))</f>
      </c>
      <c r="L43" s="106">
        <f>IF(G43="","",VALUE(VLOOKUP($H43,'①カード一覧(入力用)'!$A:$D,4,0)&amp;VLOOKUP($H43,'①カード一覧(入力用)'!$A:$C,3,0)&amp;VLOOKUP($H43,'①カード一覧(入力用)'!$A:$B,2,0)&amp;VLOOKUP($H43,'①カード一覧(入力用)'!$A:$J,10,0)))</f>
      </c>
      <c r="M43" s="106">
        <f>IF(G43="","",VALUE((1500-VLOOKUP($H43,'①カード一覧(入力用)'!$A:$O,15,0))&amp;VLOOKUP($H43,'①カード一覧(入力用)'!$A:$B,2,0)&amp;VLOOKUP($H43,'①カード一覧(入力用)'!$A:$D,4,0)&amp;VLOOKUP($H43,'①カード一覧(入力用)'!$A:$C,3,0)&amp;VLOOKUP($H43,'①カード一覧(入力用)'!$A:$J,10,0)))</f>
      </c>
      <c r="N43" s="106">
        <f>IF(G43="","",VALUE((1500-VLOOKUP($H43,'①カード一覧(入力用)'!$A:$P,16,0))&amp;VLOOKUP($H43,'①カード一覧(入力用)'!$A:$B,2,0)&amp;VLOOKUP($H43,'①カード一覧(入力用)'!$A:$D,4,0)&amp;VLOOKUP($H43,'①カード一覧(入力用)'!$A:$C,3,0)&amp;VLOOKUP($H43,'①カード一覧(入力用)'!$A:$J,10,0)))</f>
      </c>
      <c r="O43" s="106">
        <f>IF(G43="","",VALUE((1500-VLOOKUP($H43,'①カード一覧(入力用)'!$A:$Q,17,0))&amp;VLOOKUP($H43,'①カード一覧(入力用)'!$A:$B,2,0)&amp;VLOOKUP($H43,'①カード一覧(入力用)'!$A:$D,4,0)&amp;VLOOKUP($H43,'①カード一覧(入力用)'!$A:$C,3,0)&amp;VLOOKUP($H43,'①カード一覧(入力用)'!$A:$J,10,0)))</f>
      </c>
      <c r="P43" s="106">
        <f>IF(G43="","",VALUE((200-VLOOKUP($H43,'①カード一覧(入力用)'!$A:$R,18,0))&amp;VLOOKUP($H43,'①カード一覧(入力用)'!$A:$B,2,0)&amp;VLOOKUP($H43,'①カード一覧(入力用)'!$A:$D,4,0)&amp;VLOOKUP($H43,'①カード一覧(入力用)'!$A:$C,3,0)&amp;VLOOKUP($H43,'①カード一覧(入力用)'!$A:$J,10,0)))</f>
      </c>
      <c r="Q43" s="106">
        <f>IF(G43="","",VALUE(VLOOKUP($H43,'①カード一覧(入力用)'!$A:$G,7,0)&amp;VLOOKUP($H43,'①カード一覧(入力用)'!$A:$C,3,0)&amp;VLOOKUP($H43,'①カード一覧(入力用)'!$A:$B,2,0)&amp;VLOOKUP($H43,'①カード一覧(入力用)'!$A:$D,4,0)&amp;VLOOKUP($H43,'①カード一覧(入力用)'!$A:$J,10,0)))</f>
      </c>
      <c r="R43" s="106">
        <f>IF(G43="","",VALUE(VLOOKUP($H43,'①カード一覧(入力用)'!$A:$H,8,0)&amp;VLOOKUP($H43,'①カード一覧(入力用)'!$A:$AR,44,0)&amp;VLOOKUP($H43,'①カード一覧(入力用)'!$A:$B,2,0)&amp;VLOOKUP($H43,'①カード一覧(入力用)'!$A:$D,4,0)&amp;VLOOKUP($H43,'①カード一覧(入力用)'!$A:$J,10,0)))</f>
      </c>
      <c r="S43" s="106">
        <f>IF(G43="","",RANK(INDEX($I$4:$R$43,E43*2-1,$L$1),INDEX($I$4:$R$43,$E$4,$L$1):INDEX($I$4:$R$43,$Q$1,$L$1),1))</f>
      </c>
      <c r="T43" s="106">
        <f>IF(H43="","",VLOOKUP($H43,'①カード一覧(入力用)'!$A:$A,1,0))</f>
      </c>
      <c r="U43" s="106"/>
      <c r="V43" s="106"/>
      <c r="W43" s="106"/>
      <c r="AB43" s="19">
        <v>20</v>
      </c>
      <c r="AC43" s="10">
        <v>2</v>
      </c>
      <c r="AD43" s="88">
        <f>AD42</f>
      </c>
      <c r="AE43" s="106"/>
      <c r="AF43" s="20">
        <f>IF($AD43="","",IF($AA$2="基本技","","|~|"))</f>
      </c>
      <c r="AG43" s="118">
        <f>IF($AD43="","",IF(OR($AA$2="レアリティ",$AA$2="基本技"),"","~"&amp;"|"))</f>
      </c>
      <c r="AH43" s="118">
        <f>IF($AD43="","",IF(OR($AA$2="勢力・陣形",$AA$2="基本技"),"","~"&amp;"|"))</f>
      </c>
      <c r="AI43" s="118">
        <f>IF($AD43="","",IF(OR($AA$2="タイプ・コスト",$AA$2="基本技"),"","~"&amp;"|"))</f>
      </c>
      <c r="AJ43" s="118">
        <f>IF($AD43="","",IF(OR($AA$2="タイプ・コスト",$AA$2="基本技"),"","~"&amp;"|"))</f>
      </c>
      <c r="AK43" s="106">
        <f>IF($AD43="","",IF($AA$2="基本技","","~"&amp;"|"))</f>
      </c>
      <c r="AL43" s="106">
        <f>IF($AD43="","",IF($AA$2="基本技","","~"&amp;"|"))</f>
      </c>
      <c r="AM43" s="106">
        <f>IF($AD43="","",IF($AA$2="基本技","","~"&amp;"|"))</f>
      </c>
      <c r="AN43" s="106">
        <f>IF($AD43="","",IF($AA$2="基本技","","~"&amp;"|"))</f>
      </c>
      <c r="AO43" s="20">
        <f>IF($AD43="","",IF($AA$2="基本技","",IF($AA$2="必殺技",VLOOKUP($AD43,'①カード一覧(入力用)'!$I:$AB,14,0)&amp;"|",VLOOKUP($AD43,'①カード一覧(入力用)'!$I:$AB,13,0)&amp;"|")))</f>
      </c>
    </row>
    <row r="45" ht="12">
      <c r="A45" s="20">
        <v>850</v>
      </c>
    </row>
    <row r="46" ht="12">
      <c r="A46" s="20">
        <v>800</v>
      </c>
    </row>
    <row r="47" ht="12">
      <c r="A47" s="20">
        <v>750</v>
      </c>
    </row>
    <row r="48" ht="12">
      <c r="A48" s="20">
        <v>700</v>
      </c>
    </row>
    <row r="49" ht="14.25" customHeight="1">
      <c r="A49" s="20">
        <v>650</v>
      </c>
    </row>
    <row r="50" ht="12">
      <c r="A50" s="20">
        <v>600</v>
      </c>
    </row>
    <row r="51" ht="12">
      <c r="A51" s="20">
        <v>550</v>
      </c>
    </row>
    <row r="52" ht="12">
      <c r="A52" s="20">
        <v>500</v>
      </c>
    </row>
    <row r="53" ht="12">
      <c r="A53" s="20">
        <v>450</v>
      </c>
    </row>
    <row r="54" ht="12">
      <c r="A54" s="20">
        <v>400</v>
      </c>
    </row>
    <row r="55" ht="12">
      <c r="A55" s="20">
        <v>350</v>
      </c>
    </row>
    <row r="56" ht="12">
      <c r="A56" s="20">
        <v>300</v>
      </c>
    </row>
    <row r="57" ht="12">
      <c r="A57" s="20">
        <v>250</v>
      </c>
    </row>
    <row r="58" ht="12">
      <c r="A58" s="20">
        <v>200</v>
      </c>
    </row>
    <row r="129" ht="14.25" customHeight="1"/>
    <row r="229" ht="14.25" customHeight="1"/>
    <row r="309" ht="14.25" customHeight="1"/>
    <row r="429" ht="14.25" customHeight="1"/>
    <row r="509" ht="14.25" customHeight="1"/>
    <row r="629" ht="14.25" customHeight="1"/>
    <row r="709" ht="14.25" customHeight="1"/>
    <row r="829" ht="14.25" customHeight="1"/>
    <row r="909" ht="14.25" customHeight="1"/>
    <row r="1029" ht="14.25" customHeight="1"/>
    <row r="1109" ht="14.25" customHeight="1"/>
    <row r="1229" ht="14.25" customHeight="1"/>
    <row r="1309" ht="14.25" customHeight="1"/>
    <row r="1429" ht="14.25" customHeight="1"/>
    <row r="1509" ht="14.25" customHeight="1"/>
  </sheetData>
  <sheetProtection/>
  <mergeCells count="10">
    <mergeCell ref="X9:Z9"/>
    <mergeCell ref="X10:AA24"/>
    <mergeCell ref="E2:H2"/>
    <mergeCell ref="R1:T1"/>
    <mergeCell ref="AA2:AC3"/>
    <mergeCell ref="M1:N1"/>
    <mergeCell ref="I2:R2"/>
    <mergeCell ref="S2:S3"/>
    <mergeCell ref="T2:T3"/>
    <mergeCell ref="AA1:AC1"/>
  </mergeCells>
  <dataValidations count="3">
    <dataValidation type="list" allowBlank="1" showInputMessage="1" showErrorMessage="1" sqref="AA2">
      <formula1>$A$5:$A$14</formula1>
    </dataValidation>
    <dataValidation type="whole" allowBlank="1" showInputMessage="1" showErrorMessage="1" imeMode="halfAlpha" sqref="Y6">
      <formula1>2</formula1>
      <formula2>IF(Y2+B3-1&lt;B2,Y2+B3-1,B2)</formula2>
    </dataValidation>
    <dataValidation type="whole" allowBlank="1" showInputMessage="1" showErrorMessage="1" imeMode="halfAlpha" sqref="Y2">
      <formula1>2</formula1>
      <formula2>B2</formula2>
    </dataValidation>
  </dataValidations>
  <printOptions/>
  <pageMargins left="0.75" right="0.75" top="1" bottom="1" header="0.512" footer="0.512"/>
  <pageSetup horizontalDpi="300" verticalDpi="300" orientation="portrait" paperSize="9" r:id="rId1"/>
  <ignoredErrors>
    <ignoredError sqref="AD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2011-11-16T01:56:26Z</dcterms:created>
  <dcterms:modified xsi:type="dcterms:W3CDTF">2013-02-04T15:07:15Z</dcterms:modified>
  <cp:category/>
  <cp:version/>
  <cp:contentType/>
  <cp:contentStatus/>
</cp:coreProperties>
</file>