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9570" windowHeight="9600" activeTab="6"/>
  </bookViews>
  <sheets>
    <sheet name="メモ" sheetId="1" r:id="rId1"/>
    <sheet name="Main" sheetId="2" r:id="rId2"/>
    <sheet name="技能" sheetId="3" r:id="rId3"/>
    <sheet name="魔術" sheetId="4" r:id="rId4"/>
    <sheet name="テクノマンサー" sheetId="5" r:id="rId5"/>
    <sheet name="サイバーウェア" sheetId="6" r:id="rId6"/>
    <sheet name="装備品" sheetId="7" r:id="rId7"/>
    <sheet name="CS左" sheetId="8" r:id="rId8"/>
    <sheet name="Tx1" sheetId="9" r:id="rId9"/>
    <sheet name="Tx2" sheetId="10" r:id="rId10"/>
    <sheet name="Print" sheetId="11" state="hidden" r:id="rId11"/>
    <sheet name="Tx3" sheetId="12" r:id="rId12"/>
    <sheet name="Tx4" sheetId="13" r:id="rId13"/>
    <sheet name="種族" sheetId="14" state="hidden" r:id="rId14"/>
    <sheet name="技能R" sheetId="15" state="hidden" r:id="rId15"/>
    <sheet name="技能L" sheetId="16" state="hidden" r:id="rId16"/>
    <sheet name="呪文" sheetId="17" state="hidden" r:id="rId17"/>
    <sheet name="特質" sheetId="18" state="hidden" r:id="rId18"/>
    <sheet name="アデプト" sheetId="19" state="hidden" r:id="rId19"/>
    <sheet name="複合体" sheetId="20" state="hidden" r:id="rId20"/>
    <sheet name="特質L" sheetId="21" state="hidden" r:id="rId21"/>
  </sheets>
  <definedNames>
    <definedName name="アデプトパワーリスト">'アデプト'!$A$1:$A$22</definedName>
    <definedName name="技能リスト">'技能L'!$J$2:$J$75</definedName>
    <definedName name="技能リストS">'技能L'!$A$1:$B$74</definedName>
    <definedName name="種族リスト">'種族'!$A$2:$A$6</definedName>
    <definedName name="呪文リスト">'呪文'!$A$1:$A$84</definedName>
    <definedName name="特質リスト">'特質L'!$A$1:$A$76</definedName>
    <definedName name="複合体リスト">'複合体'!$A$1:$A$24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V3" authorId="0">
      <text>
        <r>
          <rPr>
            <sz val="9"/>
            <rFont val="ＭＳ Ｐゴシック"/>
            <family val="3"/>
          </rPr>
          <t>強靭力の場合は注意。</t>
        </r>
      </text>
    </comment>
    <comment ref="A4" authorId="0">
      <text>
        <r>
          <rPr>
            <sz val="9"/>
            <rFont val="ＭＳ Ｐゴシック"/>
            <family val="3"/>
          </rPr>
          <t>医療
　※医術
　応急処置
　※サイバー技術</t>
        </r>
      </text>
    </comment>
    <comment ref="A5" authorId="0">
      <text>
        <r>
          <rPr>
            <sz val="9"/>
            <rFont val="ＭＳ Ｐゴシック"/>
            <family val="3"/>
          </rPr>
          <t>運動
　水泳
　体術
　登攀
　ランニング</t>
        </r>
      </text>
    </comment>
    <comment ref="A6" authorId="0">
      <text>
        <r>
          <rPr>
            <sz val="9"/>
            <rFont val="ＭＳ Ｐゴシック"/>
            <family val="3"/>
          </rPr>
          <t xml:space="preserve">隠密
　潜入
　パーミング
　尾行
　変装
</t>
        </r>
      </text>
    </comment>
    <comment ref="A7" authorId="0">
      <text>
        <r>
          <rPr>
            <sz val="9"/>
            <rFont val="ＭＳ Ｐゴシック"/>
            <family val="3"/>
          </rPr>
          <t xml:space="preserve">機械整備
　※工業機器整備
　※航空機整備
　※自動車整備
　※船舶整備
</t>
        </r>
      </text>
    </comment>
    <comment ref="A8" authorId="0">
      <text>
        <r>
          <rPr>
            <sz val="9"/>
            <rFont val="ＭＳ Ｐゴシック"/>
            <family val="3"/>
          </rPr>
          <t>近接戦闘
　棍棒
　素手戦闘
　刀剣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クラッキング
　サイバー戦闘
　※電子戦
　ハッキング
</t>
        </r>
      </text>
    </comment>
    <comment ref="A10" authorId="0">
      <text>
        <r>
          <rPr>
            <sz val="9"/>
            <rFont val="ＭＳ Ｐゴシック"/>
            <family val="3"/>
          </rPr>
          <t xml:space="preserve">小火器
　自動火器
　長銃
　ピストル
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召霊術
　※召還
　※束縛
　※放逐
</t>
        </r>
      </text>
    </comment>
    <comment ref="A12" authorId="0">
      <text>
        <r>
          <rPr>
            <sz val="9"/>
            <rFont val="ＭＳ Ｐゴシック"/>
            <family val="3"/>
          </rPr>
          <t xml:space="preserve">対人
　エチケット
　虚言
　交渉
　統率
</t>
        </r>
      </text>
    </comment>
    <comment ref="A13" authorId="0">
      <text>
        <r>
          <rPr>
            <sz val="9"/>
            <rFont val="ＭＳ Ｐゴシック"/>
            <family val="3"/>
          </rPr>
          <t xml:space="preserve">タスキング
　※コンパイル
　※デコンパイル
　※レジスター
</t>
        </r>
      </text>
    </comment>
    <comment ref="A14" authorId="0">
      <text>
        <r>
          <rPr>
            <sz val="9"/>
            <rFont val="ＭＳ Ｐゴシック"/>
            <family val="3"/>
          </rPr>
          <t xml:space="preserve">電子工学
　コンピュータ
　※ソフトウェア
　データ検索
　※ハードウェア
</t>
        </r>
      </text>
    </comment>
    <comment ref="A15" authorId="0">
      <text>
        <r>
          <rPr>
            <sz val="9"/>
            <rFont val="ＭＳ Ｐゴシック"/>
            <family val="3"/>
          </rPr>
          <t xml:space="preserve">魔術
　※儀式呪文行使
　※呪文行使
　※呪文対抗
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野外活動
　航法
　サバイバル
　トラッキング
</t>
        </r>
      </text>
    </comment>
    <comment ref="V33" authorId="0">
      <text>
        <r>
          <rPr>
            <sz val="9"/>
            <rFont val="ＭＳ Ｐゴシック"/>
            <family val="3"/>
          </rPr>
          <t>強靭力の場合は注意。</t>
        </r>
      </text>
    </comment>
    <comment ref="A39" authorId="0">
      <text>
        <r>
          <rPr>
            <sz val="9"/>
            <rFont val="ＭＳ Ｐゴシック"/>
            <family val="3"/>
          </rPr>
          <t>BP換算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5" authorId="0">
      <text>
        <r>
          <rPr>
            <sz val="9"/>
            <rFont val="ＭＳ Ｐゴシック"/>
            <family val="3"/>
          </rPr>
          <t>探知系呪文等で対象ジャンルを指定する必要がある場合。</t>
        </r>
      </text>
    </comment>
    <comment ref="Q5" authorId="0">
      <text>
        <r>
          <rPr>
            <sz val="9"/>
            <rFont val="ＭＳ Ｐゴシック"/>
            <family val="3"/>
          </rPr>
          <t>技能、能力値等の指定が必要な場合</t>
        </r>
      </text>
    </comment>
  </commentList>
</comments>
</file>

<file path=xl/sharedStrings.xml><?xml version="1.0" encoding="utf-8"?>
<sst xmlns="http://schemas.openxmlformats.org/spreadsheetml/2006/main" count="1301" uniqueCount="621">
  <si>
    <t>ケイオス・マジック</t>
  </si>
  <si>
    <t>個人情報</t>
  </si>
  <si>
    <t>作成BP</t>
  </si>
  <si>
    <t>名前</t>
  </si>
  <si>
    <t>BP</t>
  </si>
  <si>
    <t>特質</t>
  </si>
  <si>
    <t>種族</t>
  </si>
  <si>
    <t>ヒューマン</t>
  </si>
  <si>
    <t>ミスティック・アデプト</t>
  </si>
  <si>
    <t>性別</t>
  </si>
  <si>
    <t>男</t>
  </si>
  <si>
    <t>年齢</t>
  </si>
  <si>
    <t>財産</t>
  </si>
  <si>
    <t>ストリートの評判</t>
  </si>
  <si>
    <t>悪名</t>
  </si>
  <si>
    <t>能力値</t>
  </si>
  <si>
    <t>公的認知度</t>
  </si>
  <si>
    <t>現在カルマ</t>
  </si>
  <si>
    <t>技能</t>
  </si>
  <si>
    <t>総カルマ</t>
  </si>
  <si>
    <t>社会不適応</t>
  </si>
  <si>
    <t>アレルギー・依存症</t>
  </si>
  <si>
    <t>SIN持ち(前科あり)</t>
  </si>
  <si>
    <t>その他リスト外の特質は黄色欄へ記入</t>
  </si>
  <si>
    <t>魔術</t>
  </si>
  <si>
    <t>生活スタイル</t>
  </si>
  <si>
    <t>下流</t>
  </si>
  <si>
    <t>依存症(軽度・ニコチン)</t>
  </si>
  <si>
    <t>テクノマンサー</t>
  </si>
  <si>
    <t>生活費</t>
  </si>
  <si>
    <t>初期所持金</t>
  </si>
  <si>
    <t>コンタクト</t>
  </si>
  <si>
    <t>プレイヤー名</t>
  </si>
  <si>
    <t>合計</t>
  </si>
  <si>
    <t>作成日</t>
  </si>
  <si>
    <t>残りBP</t>
  </si>
  <si>
    <t>レーティング</t>
  </si>
  <si>
    <t>インプラント</t>
  </si>
  <si>
    <t>アデプトパワー</t>
  </si>
  <si>
    <t>総計</t>
  </si>
  <si>
    <t>コネ値</t>
  </si>
  <si>
    <t>忠誠値</t>
  </si>
  <si>
    <t>身体能力</t>
  </si>
  <si>
    <t>強靭力</t>
  </si>
  <si>
    <t>フィクサー</t>
  </si>
  <si>
    <t>敏捷力</t>
  </si>
  <si>
    <t>メカニック</t>
  </si>
  <si>
    <t>反応力</t>
  </si>
  <si>
    <t>タリスモンガー</t>
  </si>
  <si>
    <t>筋力</t>
  </si>
  <si>
    <t>精神能力</t>
  </si>
  <si>
    <t>魅力</t>
  </si>
  <si>
    <t>直観力</t>
  </si>
  <si>
    <t>論理力</t>
  </si>
  <si>
    <t>意志力</t>
  </si>
  <si>
    <t>特殊能力</t>
  </si>
  <si>
    <t>エッジ</t>
  </si>
  <si>
    <t>魔力/共振力</t>
  </si>
  <si>
    <t>エッセンス</t>
  </si>
  <si>
    <t>イニシアチブ</t>
  </si>
  <si>
    <t>コンディションモニター</t>
  </si>
  <si>
    <t>身体（８＋【強靭力】÷２)</t>
  </si>
  <si>
    <t>精神（８＋【意思力】÷２)</t>
  </si>
  <si>
    <t>技能グループ</t>
  </si>
  <si>
    <t>能動技能</t>
  </si>
  <si>
    <t>Rating</t>
  </si>
  <si>
    <t>専門分野</t>
  </si>
  <si>
    <t>対応能力値</t>
  </si>
  <si>
    <t>DP</t>
  </si>
  <si>
    <t>医療</t>
  </si>
  <si>
    <t>自動車整備*</t>
  </si>
  <si>
    <t>運動</t>
  </si>
  <si>
    <t>砲術</t>
  </si>
  <si>
    <t>隠密</t>
  </si>
  <si>
    <t>知覚</t>
  </si>
  <si>
    <t>視覚</t>
  </si>
  <si>
    <t>機械整備</t>
  </si>
  <si>
    <t>陸上機操縦</t>
  </si>
  <si>
    <t>車輪型</t>
  </si>
  <si>
    <t>近接戦闘</t>
  </si>
  <si>
    <t>航空機操縦*</t>
  </si>
  <si>
    <t>遠隔操作</t>
  </si>
  <si>
    <t>クラッキング</t>
  </si>
  <si>
    <t>霊視*</t>
  </si>
  <si>
    <t>小火器</t>
  </si>
  <si>
    <t>呪文行使*</t>
  </si>
  <si>
    <t>召霊術</t>
  </si>
  <si>
    <t>自動火器</t>
  </si>
  <si>
    <t>対人</t>
  </si>
  <si>
    <t>航法</t>
  </si>
  <si>
    <t>タスキング</t>
  </si>
  <si>
    <t>航空機整備*</t>
  </si>
  <si>
    <t>電子工学</t>
  </si>
  <si>
    <t>回避</t>
  </si>
  <si>
    <t>呪文対抗*</t>
  </si>
  <si>
    <t>野外活動</t>
  </si>
  <si>
    <t>言語技能</t>
  </si>
  <si>
    <t>英語</t>
  </si>
  <si>
    <t>母国語</t>
  </si>
  <si>
    <t>技能分野</t>
  </si>
  <si>
    <t>知識技能</t>
  </si>
  <si>
    <t>自動車の構造</t>
  </si>
  <si>
    <t>技能G</t>
  </si>
  <si>
    <t>工学</t>
  </si>
  <si>
    <t>能動</t>
  </si>
  <si>
    <t>密輸ルート</t>
  </si>
  <si>
    <t>知識</t>
  </si>
  <si>
    <t>地元知識</t>
  </si>
  <si>
    <t>言語</t>
  </si>
  <si>
    <t>魔法論理</t>
  </si>
  <si>
    <t>初期知識</t>
  </si>
  <si>
    <t>運び屋のセーフハウス</t>
  </si>
  <si>
    <t>技能合計</t>
  </si>
  <si>
    <t>地元のジャンク置き場</t>
  </si>
  <si>
    <t>覚え書き</t>
  </si>
  <si>
    <t>アデプトパワーによる</t>
  </si>
  <si>
    <t>増強対応。</t>
  </si>
  <si>
    <t>スキルワイヤ対応</t>
  </si>
  <si>
    <t>呪文</t>
  </si>
  <si>
    <t>[特定]</t>
  </si>
  <si>
    <t>単価</t>
  </si>
  <si>
    <t>AP</t>
  </si>
  <si>
    <t>強靭</t>
  </si>
  <si>
    <t>敏捷</t>
  </si>
  <si>
    <t>反応</t>
  </si>
  <si>
    <t>直感</t>
  </si>
  <si>
    <t>論理</t>
  </si>
  <si>
    <t>意思</t>
  </si>
  <si>
    <t>IN</t>
  </si>
  <si>
    <t>INパス</t>
  </si>
  <si>
    <t>治癒</t>
  </si>
  <si>
    <t>アストラル知覚</t>
  </si>
  <si>
    <t>精神連結</t>
  </si>
  <si>
    <t>氷膜</t>
  </si>
  <si>
    <t>空中浮遊</t>
  </si>
  <si>
    <t xml:space="preserve">魔力 </t>
  </si>
  <si>
    <t>F</t>
  </si>
  <si>
    <t>精霊</t>
  </si>
  <si>
    <t>助力</t>
  </si>
  <si>
    <t>収束具</t>
  </si>
  <si>
    <t>フォース</t>
  </si>
  <si>
    <t>アデプトP</t>
  </si>
  <si>
    <t>複合体</t>
  </si>
  <si>
    <t>スプライト</t>
  </si>
  <si>
    <t>タスク</t>
  </si>
  <si>
    <t>サイバーウェア</t>
  </si>
  <si>
    <t>総消費
エッセンス</t>
  </si>
  <si>
    <t>魔/共</t>
  </si>
  <si>
    <t>Cモニター</t>
  </si>
  <si>
    <t>バイオウェア</t>
  </si>
  <si>
    <t>肉体</t>
  </si>
  <si>
    <t>精神</t>
  </si>
  <si>
    <t>価格</t>
  </si>
  <si>
    <t>エッセンス消費</t>
  </si>
  <si>
    <t>容量</t>
  </si>
  <si>
    <t>部位：目</t>
  </si>
  <si>
    <t>サイバーアイ</t>
  </si>
  <si>
    <t>　低光量</t>
  </si>
  <si>
    <t>　大光量補正</t>
  </si>
  <si>
    <t>　スマートリンク</t>
  </si>
  <si>
    <t>　熱映像</t>
  </si>
  <si>
    <t>部位：耳</t>
  </si>
  <si>
    <t>部位：頭</t>
  </si>
  <si>
    <t>車両制御リグ</t>
  </si>
  <si>
    <t>部位：体</t>
  </si>
  <si>
    <t>血小板工場</t>
  </si>
  <si>
    <t>部位：右腕</t>
  </si>
  <si>
    <t>部位：左腕</t>
  </si>
  <si>
    <t>部位：右脚</t>
  </si>
  <si>
    <t>部位：左脚</t>
  </si>
  <si>
    <t>INP</t>
  </si>
  <si>
    <t>装備品</t>
  </si>
  <si>
    <t>数量</t>
  </si>
  <si>
    <t>小計</t>
  </si>
  <si>
    <t>　通常弾（10）</t>
  </si>
  <si>
    <t>アーマージャケット</t>
  </si>
  <si>
    <t>レンラク・センセイ</t>
  </si>
  <si>
    <t>　ノヴァテック・ナヴィ</t>
  </si>
  <si>
    <t>　ナノペースト・トロード</t>
  </si>
  <si>
    <t>　シム・モジュール（BTL・ホットシム対応）</t>
  </si>
  <si>
    <t>　サブボーカルマイク</t>
  </si>
  <si>
    <t>工具（ショップ</t>
  </si>
  <si>
    <t>工具（携帯</t>
  </si>
  <si>
    <t>サバイバルキット</t>
  </si>
  <si>
    <t>ロープ（100m</t>
  </si>
  <si>
    <t>ドクワゴン（ベーシック</t>
  </si>
  <si>
    <t>覚醒パッチ（レーティング２</t>
  </si>
  <si>
    <t>残金</t>
  </si>
  <si>
    <r>
      <t>シャドウラン</t>
    </r>
    <r>
      <rPr>
        <sz val="10"/>
        <rFont val="ＭＳ Ｐゴシック"/>
        <family val="3"/>
      </rPr>
      <t>　4ｔｈ　Ｅｄｉｔｉｏｎ　キャラクターシート</t>
    </r>
  </si>
  <si>
    <t>作成日　：</t>
  </si>
  <si>
    <t>パーソナル・データ</t>
  </si>
  <si>
    <t>名前/通称</t>
  </si>
  <si>
    <t>歩行</t>
  </si>
  <si>
    <t>ｍ</t>
  </si>
  <si>
    <t>走行</t>
  </si>
  <si>
    <t>水泳</t>
  </si>
  <si>
    <t>ライフスタイル</t>
  </si>
  <si>
    <t>同居人</t>
  </si>
  <si>
    <t>人</t>
  </si>
  <si>
    <t>維持費</t>
  </si>
  <si>
    <t>支払い</t>
  </si>
  <si>
    <t>ヶ月</t>
  </si>
  <si>
    <t>評判</t>
  </si>
  <si>
    <t>累積カルマ</t>
  </si>
  <si>
    <t>所持金</t>
  </si>
  <si>
    <t>\</t>
  </si>
  <si>
    <t>コンディション・モニター</t>
  </si>
  <si>
    <t>資質</t>
  </si>
  <si>
    <r>
      <t xml:space="preserve">精神ダメージ
</t>
    </r>
    <r>
      <rPr>
        <sz val="10"/>
        <rFont val="ＭＳ Ｐゴシック"/>
        <family val="3"/>
      </rPr>
      <t>（8＋意志力/2）</t>
    </r>
  </si>
  <si>
    <r>
      <t xml:space="preserve">身体ダメージ
</t>
    </r>
    <r>
      <rPr>
        <sz val="10"/>
        <rFont val="ＭＳ Ｐゴシック"/>
        <family val="3"/>
      </rPr>
      <t>（8＋強靭力/2）</t>
    </r>
  </si>
  <si>
    <t>オーバーフロー
ダメージトラック</t>
  </si>
  <si>
    <t>資質の名前</t>
  </si>
  <si>
    <t>解説</t>
  </si>
  <si>
    <t>-1</t>
  </si>
  <si>
    <t>-2</t>
  </si>
  <si>
    <t>-3</t>
  </si>
  <si>
    <t>-4</t>
  </si>
  <si>
    <t>-5</t>
  </si>
  <si>
    <t>1撃で強靭力欄以上の負傷で転倒</t>
  </si>
  <si>
    <t>-6</t>
  </si>
  <si>
    <t>強靭力超過で
死亡</t>
  </si>
  <si>
    <t>-7</t>
  </si>
  <si>
    <r>
      <t>能力値＆技能</t>
    </r>
    <r>
      <rPr>
        <sz val="10"/>
        <rFont val="ＭＳ Ｐゴシック"/>
        <family val="3"/>
      </rPr>
      <t>…アストラル投射中は【　】内の能力値で判定</t>
    </r>
  </si>
  <si>
    <r>
      <t>強靭力</t>
    </r>
    <r>
      <rPr>
        <sz val="10"/>
        <color indexed="9"/>
        <rFont val="ＭＳ Ｐゴシック"/>
        <family val="3"/>
      </rPr>
      <t>…【意志力】</t>
    </r>
  </si>
  <si>
    <t>ＳＧ</t>
  </si>
  <si>
    <t>潜水</t>
  </si>
  <si>
    <t>アストラル戦闘*</t>
  </si>
  <si>
    <t>エチケット</t>
  </si>
  <si>
    <t>パラシュート</t>
  </si>
  <si>
    <t>虚言</t>
  </si>
  <si>
    <r>
      <t>敏捷力</t>
    </r>
    <r>
      <rPr>
        <sz val="10"/>
        <color indexed="9"/>
        <rFont val="ＭＳ Ｐゴシック"/>
        <family val="3"/>
      </rPr>
      <t>…【論理力】</t>
    </r>
  </si>
  <si>
    <t>交渉</t>
  </si>
  <si>
    <t>統率</t>
  </si>
  <si>
    <t>[魔力]召霊術</t>
  </si>
  <si>
    <t>脅迫</t>
  </si>
  <si>
    <t>召還*</t>
  </si>
  <si>
    <t>棍棒</t>
  </si>
  <si>
    <t>指導</t>
  </si>
  <si>
    <t>束縛*</t>
  </si>
  <si>
    <t>素手戦闘</t>
  </si>
  <si>
    <t>放逐*</t>
  </si>
  <si>
    <t>刀剣</t>
  </si>
  <si>
    <t>[魔力]魔術</t>
  </si>
  <si>
    <t>儀式呪文行使*</t>
  </si>
  <si>
    <t>[敏捷]潜入</t>
  </si>
  <si>
    <t>長銃</t>
  </si>
  <si>
    <t>[敏捷]パーミング</t>
  </si>
  <si>
    <t>ピストル</t>
  </si>
  <si>
    <t>尾行</t>
  </si>
  <si>
    <t>エンチャント*</t>
  </si>
  <si>
    <t>偽造</t>
  </si>
  <si>
    <t>変装</t>
  </si>
  <si>
    <t>[共振力]タスキング</t>
  </si>
  <si>
    <t>弓術</t>
  </si>
  <si>
    <t>コンパイル*</t>
  </si>
  <si>
    <t>重火器</t>
  </si>
  <si>
    <t>デコンパイル*</t>
  </si>
  <si>
    <t>錠前</t>
  </si>
  <si>
    <t>[意志]サバイバル</t>
  </si>
  <si>
    <t>レジスター*</t>
  </si>
  <si>
    <t>脱出</t>
  </si>
  <si>
    <t>トラッキング</t>
  </si>
  <si>
    <t>知識/言語</t>
  </si>
  <si>
    <t>投擲武器</t>
  </si>
  <si>
    <t>工芸</t>
  </si>
  <si>
    <t>特殊近接武器†</t>
  </si>
  <si>
    <t>技能名</t>
  </si>
  <si>
    <t>レート</t>
  </si>
  <si>
    <t>特殊射撃武器†</t>
  </si>
  <si>
    <r>
      <t>反応力</t>
    </r>
    <r>
      <rPr>
        <sz val="10"/>
        <color indexed="9"/>
        <rFont val="ＭＳ Ｐゴシック"/>
        <family val="3"/>
      </rPr>
      <t>…【直観力】</t>
    </r>
  </si>
  <si>
    <t>医術*</t>
  </si>
  <si>
    <t>宇宙船操縦*</t>
  </si>
  <si>
    <t>応急処置</t>
  </si>
  <si>
    <t>サイバー技術*</t>
  </si>
  <si>
    <t>機器整備</t>
  </si>
  <si>
    <t>船舶操縦</t>
  </si>
  <si>
    <t>工業機器整備*</t>
  </si>
  <si>
    <t>特殊ヴィークル操縦*†</t>
  </si>
  <si>
    <t>歩行機操縦*</t>
  </si>
  <si>
    <t>船舶整備*</t>
  </si>
  <si>
    <t>直観力：言語、趣味知識、ストリート知識
論理力：学術知識、職業知識</t>
  </si>
  <si>
    <r>
      <t>筋力</t>
    </r>
    <r>
      <rPr>
        <sz val="10"/>
        <color indexed="9"/>
        <rFont val="ＭＳ Ｐゴシック"/>
        <family val="3"/>
      </rPr>
      <t>…【魅力】</t>
    </r>
  </si>
  <si>
    <t>サイバー戦闘</t>
  </si>
  <si>
    <t>電子戦*</t>
  </si>
  <si>
    <t>エッジ(現在/最大)</t>
  </si>
  <si>
    <t>/</t>
  </si>
  <si>
    <t>ハッキング</t>
  </si>
  <si>
    <t>[敏捷]体術</t>
  </si>
  <si>
    <t>登攀</t>
  </si>
  <si>
    <t>コンピュータ</t>
  </si>
  <si>
    <t>ランニング</t>
  </si>
  <si>
    <t>ソフトウェア*</t>
  </si>
  <si>
    <t>イニシアティブ/イニシアティブ・パス</t>
  </si>
  <si>
    <t>データ検索</t>
  </si>
  <si>
    <r>
      <t>通常</t>
    </r>
    <r>
      <rPr>
        <b/>
        <sz val="9"/>
        <color indexed="9"/>
        <rFont val="ＭＳ Ｐゴシック"/>
        <family val="3"/>
      </rPr>
      <t>(反応力+直観力)</t>
    </r>
  </si>
  <si>
    <t>：</t>
  </si>
  <si>
    <t>ハードウェア*</t>
  </si>
  <si>
    <t>[　]</t>
  </si>
  <si>
    <t>使用能力値が異なる</t>
  </si>
  <si>
    <t>アルカナ*</t>
  </si>
  <si>
    <r>
      <t>アストラル</t>
    </r>
    <r>
      <rPr>
        <b/>
        <sz val="9"/>
        <color indexed="9"/>
        <rFont val="ＭＳ Ｐゴシック"/>
        <family val="3"/>
      </rPr>
      <t>(直観力×2)</t>
    </r>
  </si>
  <si>
    <t>*</t>
  </si>
  <si>
    <t>能力値のみで判定不可</t>
  </si>
  <si>
    <t>爆発物</t>
  </si>
  <si>
    <r>
      <t>マトリックス</t>
    </r>
    <r>
      <rPr>
        <b/>
        <sz val="10"/>
        <color indexed="9"/>
        <rFont val="ＭＳ Ｐゴシック"/>
        <family val="3"/>
      </rPr>
      <t>(レスポンス+直観力)</t>
    </r>
  </si>
  <si>
    <t>†</t>
  </si>
  <si>
    <t>特定済みの為、専門化不可</t>
  </si>
  <si>
    <t>武器整備</t>
  </si>
  <si>
    <t>ここまで</t>
  </si>
  <si>
    <t>カルマ</t>
  </si>
  <si>
    <t>最低</t>
  </si>
  <si>
    <t>エルフ</t>
  </si>
  <si>
    <t>オーク</t>
  </si>
  <si>
    <t>トロール</t>
  </si>
  <si>
    <t>ドワーフ</t>
  </si>
  <si>
    <t>自然上限</t>
  </si>
  <si>
    <t>絶対上限</t>
  </si>
  <si>
    <t>ダイス</t>
  </si>
  <si>
    <t>倍率</t>
  </si>
  <si>
    <t>ストリート</t>
  </si>
  <si>
    <t>1d6</t>
  </si>
  <si>
    <t>3d6</t>
  </si>
  <si>
    <t>上流</t>
  </si>
  <si>
    <t>4d6</t>
  </si>
  <si>
    <t>中流</t>
  </si>
  <si>
    <t>不法居住</t>
  </si>
  <si>
    <t>2d6</t>
  </si>
  <si>
    <t>贅沢</t>
  </si>
  <si>
    <t>基本</t>
  </si>
  <si>
    <t>アデプト</t>
  </si>
  <si>
    <t>主に論理力</t>
  </si>
  <si>
    <t>技能リスト</t>
  </si>
  <si>
    <t>※医術</t>
  </si>
  <si>
    <t>魔力</t>
  </si>
  <si>
    <t>※サイバー技術</t>
  </si>
  <si>
    <t>共振力</t>
  </si>
  <si>
    <t>主に筋力</t>
  </si>
  <si>
    <t>体術</t>
  </si>
  <si>
    <t>消火器</t>
  </si>
  <si>
    <t>サバイバル</t>
  </si>
  <si>
    <t>主に直観力</t>
  </si>
  <si>
    <t>潜入</t>
  </si>
  <si>
    <t>パーミング</t>
  </si>
  <si>
    <t>※工業機器整備</t>
  </si>
  <si>
    <t>強靱力</t>
  </si>
  <si>
    <t>※航空機整備</t>
  </si>
  <si>
    <t>※自動車整備</t>
  </si>
  <si>
    <t>※船舶整備</t>
  </si>
  <si>
    <t>※電子戦</t>
  </si>
  <si>
    <t>※召還</t>
  </si>
  <si>
    <t>攻撃</t>
  </si>
  <si>
    <t>※束縛</t>
  </si>
  <si>
    <t>※放逐</t>
  </si>
  <si>
    <t>※コンパイル</t>
  </si>
  <si>
    <t>※デコンパイル</t>
  </si>
  <si>
    <t>※レジスター</t>
  </si>
  <si>
    <t>※ソフトウェア</t>
  </si>
  <si>
    <t>※ハードウェア</t>
  </si>
  <si>
    <t>※儀式呪文行使</t>
  </si>
  <si>
    <t>※呪文行使</t>
  </si>
  <si>
    <t>※呪文対抗</t>
  </si>
  <si>
    <t>ストリート知識</t>
  </si>
  <si>
    <t>学術知識</t>
  </si>
  <si>
    <t>趣味知識</t>
  </si>
  <si>
    <t>特殊ヴィークル操縦†*</t>
  </si>
  <si>
    <t>職業知識</t>
  </si>
  <si>
    <t>酸噴射</t>
  </si>
  <si>
    <t>毒の波</t>
  </si>
  <si>
    <t>拳打</t>
  </si>
  <si>
    <t>拳撃</t>
  </si>
  <si>
    <t>爆発</t>
  </si>
  <si>
    <t>死神の手</t>
  </si>
  <si>
    <t>魔力破</t>
  </si>
  <si>
    <t>魔力球</t>
  </si>
  <si>
    <t>火炎放射</t>
  </si>
  <si>
    <t>火球</t>
  </si>
  <si>
    <t>雷撃</t>
  </si>
  <si>
    <t>雷球</t>
  </si>
  <si>
    <t>粉砕</t>
  </si>
  <si>
    <t>理力破</t>
  </si>
  <si>
    <t>理力球</t>
  </si>
  <si>
    <t>昏倒</t>
  </si>
  <si>
    <t>喪神破</t>
  </si>
  <si>
    <t>喪神球</t>
  </si>
  <si>
    <t>機器分析</t>
  </si>
  <si>
    <t>真偽分析</t>
  </si>
  <si>
    <t>地獄耳</t>
  </si>
  <si>
    <t>千里眼</t>
  </si>
  <si>
    <t>戦闘感覚</t>
  </si>
  <si>
    <t>敵感知</t>
  </si>
  <si>
    <t>広域敵探知</t>
  </si>
  <si>
    <t>個人探知</t>
  </si>
  <si>
    <t>生命探知</t>
  </si>
  <si>
    <t>広域生命探知</t>
  </si>
  <si>
    <t>[生命体]探知</t>
  </si>
  <si>
    <t>広域[生命体]探知</t>
  </si>
  <si>
    <t>魔力探知</t>
  </si>
  <si>
    <t>広域魔力探知</t>
  </si>
  <si>
    <t>[物体]探知</t>
  </si>
  <si>
    <t>精神探査</t>
  </si>
  <si>
    <t>消毒</t>
  </si>
  <si>
    <t>病気治療</t>
  </si>
  <si>
    <t>[能力値]減退</t>
  </si>
  <si>
    <t>解毒</t>
  </si>
  <si>
    <t>冬眠</t>
  </si>
  <si>
    <t>[能力値]増強</t>
  </si>
  <si>
    <t>反射増強</t>
  </si>
  <si>
    <t>酸素注入</t>
  </si>
  <si>
    <t>予防</t>
  </si>
  <si>
    <t>鎮痛</t>
  </si>
  <si>
    <t>安定化</t>
  </si>
  <si>
    <t>混乱</t>
  </si>
  <si>
    <t>集団混乱</t>
  </si>
  <si>
    <t>混沌</t>
  </si>
  <si>
    <t>集団混沌</t>
  </si>
  <si>
    <t>見世物</t>
  </si>
  <si>
    <t>立体見世物</t>
  </si>
  <si>
    <t>透明化</t>
  </si>
  <si>
    <t>完全透明化</t>
  </si>
  <si>
    <t>仮面</t>
  </si>
  <si>
    <t>物理の仮面</t>
  </si>
  <si>
    <t>幻覚</t>
  </si>
  <si>
    <t>立体幻覚</t>
  </si>
  <si>
    <t>しじま</t>
  </si>
  <si>
    <t>静寂</t>
  </si>
  <si>
    <t>鎧</t>
  </si>
  <si>
    <t>行動制御</t>
  </si>
  <si>
    <t>集団行動制御</t>
  </si>
  <si>
    <t>感情制御</t>
  </si>
  <si>
    <t>集団感情制御</t>
  </si>
  <si>
    <t>思考制御</t>
  </si>
  <si>
    <t>集団思考制御</t>
  </si>
  <si>
    <t>投擲</t>
  </si>
  <si>
    <t>発火</t>
  </si>
  <si>
    <t>感化</t>
  </si>
  <si>
    <t>光</t>
  </si>
  <si>
    <t>魔法の指</t>
  </si>
  <si>
    <t>マナ障壁</t>
  </si>
  <si>
    <t>石化</t>
  </si>
  <si>
    <t>物理障壁</t>
  </si>
  <si>
    <t>騒霊</t>
  </si>
  <si>
    <t>影</t>
  </si>
  <si>
    <t>変身</t>
  </si>
  <si>
    <t>(クリッター)変化</t>
  </si>
  <si>
    <t>ドロドロになれ</t>
  </si>
  <si>
    <t>.</t>
  </si>
  <si>
    <t>SIN持ち(通常)</t>
  </si>
  <si>
    <t>アストラル・カメレオン</t>
  </si>
  <si>
    <t>アストラル・ビーコン</t>
  </si>
  <si>
    <t>アレルギー(強度・特定)</t>
  </si>
  <si>
    <t>5,-20</t>
  </si>
  <si>
    <t>エルフ気取り</t>
  </si>
  <si>
    <t>オーク気取り</t>
  </si>
  <si>
    <t>おぼろなリンク</t>
  </si>
  <si>
    <t>グレムリン L1</t>
  </si>
  <si>
    <t>グレムリン L2</t>
  </si>
  <si>
    <t>グレムリン L3</t>
  </si>
  <si>
    <t>グレムリン L4</t>
  </si>
  <si>
    <t>コードスリンガー</t>
  </si>
  <si>
    <t>コードブロック</t>
  </si>
  <si>
    <t>シムセンス酔い(テクノマンサー)</t>
  </si>
  <si>
    <t>シムセンス酔い(通常)</t>
  </si>
  <si>
    <t>ヒューマン風の外見</t>
  </si>
  <si>
    <t>ホームグラウンド</t>
  </si>
  <si>
    <t>依存症(強度・特定)</t>
  </si>
  <si>
    <t>5,-30</t>
  </si>
  <si>
    <t>過敏な神経構造 L1</t>
  </si>
  <si>
    <t>過敏な神経構造 L2</t>
  </si>
  <si>
    <t>頑強</t>
  </si>
  <si>
    <t>虚弱</t>
  </si>
  <si>
    <t>苦手</t>
  </si>
  <si>
    <t>苦痛に強い L1</t>
  </si>
  <si>
    <t>苦痛に強い L2</t>
  </si>
  <si>
    <t>苦痛に強い L3</t>
  </si>
  <si>
    <t>苦痛に弱い</t>
  </si>
  <si>
    <t>幸運</t>
  </si>
  <si>
    <t>高速回復</t>
  </si>
  <si>
    <t>自然免疫 L1</t>
  </si>
  <si>
    <t>自然免疫 L2</t>
  </si>
  <si>
    <t>写真記憶</t>
  </si>
  <si>
    <t>弱い免疫系</t>
  </si>
  <si>
    <t>集中力 L1</t>
  </si>
  <si>
    <t>集中力 L2</t>
  </si>
  <si>
    <t>柔軟</t>
  </si>
  <si>
    <t>焦げ付き(テクノマンサー)</t>
  </si>
  <si>
    <t>焦げ付き(通常)</t>
  </si>
  <si>
    <t>生への執着 L1</t>
  </si>
  <si>
    <t>生への執着 L2</t>
  </si>
  <si>
    <t>生への執着 L3</t>
  </si>
  <si>
    <t>生態信号体制</t>
  </si>
  <si>
    <t>精霊との親和性</t>
  </si>
  <si>
    <t>精霊との反発性</t>
  </si>
  <si>
    <t>戦闘硬直</t>
  </si>
  <si>
    <t>第一印象</t>
  </si>
  <si>
    <t>卓越した能力値(意志力)</t>
  </si>
  <si>
    <t>卓越した能力値(強靭力)</t>
  </si>
  <si>
    <t>卓越した能力値(筋力)</t>
  </si>
  <si>
    <t>卓越した能力値(直観力)</t>
  </si>
  <si>
    <t>卓越した能力値(反応力)</t>
  </si>
  <si>
    <t>卓越した能力値(敏捷力)</t>
  </si>
  <si>
    <t>卓越した能力値(魅力)</t>
  </si>
  <si>
    <t>卓越した能力値(論理力)</t>
  </si>
  <si>
    <t>胆力</t>
  </si>
  <si>
    <t>天賦の才</t>
  </si>
  <si>
    <t>動物共感</t>
  </si>
  <si>
    <t>導師精霊</t>
  </si>
  <si>
    <t>病原体や毒素に対する抵抗力 L1</t>
  </si>
  <si>
    <t>病原体や毒素に対する抵抗力 L2</t>
  </si>
  <si>
    <t>不運</t>
  </si>
  <si>
    <t>平凡</t>
  </si>
  <si>
    <t>魔法使い</t>
  </si>
  <si>
    <t>魔法抵抗 L1</t>
  </si>
  <si>
    <t>魔法抵抗 L2</t>
  </si>
  <si>
    <t>魔法抵抗 L3</t>
  </si>
  <si>
    <t>魔法抵抗 L4</t>
  </si>
  <si>
    <t>無教育</t>
  </si>
  <si>
    <t>免疫過敏</t>
  </si>
  <si>
    <t>両手効き</t>
  </si>
  <si>
    <t>キネシクス</t>
  </si>
  <si>
    <t>感覚強化</t>
  </si>
  <si>
    <t>技能強化(戦闘技能)</t>
  </si>
  <si>
    <t>技能強化(戦闘技能以外)</t>
  </si>
  <si>
    <t>強打</t>
  </si>
  <si>
    <t>苦痛耐性</t>
  </si>
  <si>
    <t>高速治癒</t>
  </si>
  <si>
    <t>殺戮の手</t>
  </si>
  <si>
    <t>自然耐性</t>
  </si>
  <si>
    <t>呪文耐性</t>
  </si>
  <si>
    <t>身体能力値強化</t>
  </si>
  <si>
    <t>声帯制御</t>
  </si>
  <si>
    <t>大跳躍</t>
  </si>
  <si>
    <t>知覚強化</t>
  </si>
  <si>
    <t>能力値ブースト</t>
  </si>
  <si>
    <t>反射強化 L1</t>
  </si>
  <si>
    <t>反射強化 L2</t>
  </si>
  <si>
    <t>反射強化 L3</t>
  </si>
  <si>
    <t>魔力装甲</t>
  </si>
  <si>
    <t>矢薙ぎ</t>
  </si>
  <si>
    <t>呪文維持</t>
  </si>
  <si>
    <t>呪文行使</t>
  </si>
  <si>
    <t>呪文対抗</t>
  </si>
  <si>
    <t>召還</t>
  </si>
  <si>
    <t>束縛</t>
  </si>
  <si>
    <t>武器(リーチ0)</t>
  </si>
  <si>
    <t>武器(リーチ1)</t>
  </si>
  <si>
    <t>武器(リーチ2)</t>
  </si>
  <si>
    <t>放逐</t>
  </si>
  <si>
    <t>『一般用』</t>
  </si>
  <si>
    <t>分析</t>
  </si>
  <si>
    <t>検索</t>
  </si>
  <si>
    <t>命令</t>
  </si>
  <si>
    <t>編集</t>
  </si>
  <si>
    <t>暗号化</t>
  </si>
  <si>
    <t>仮想現実フィルター</t>
  </si>
  <si>
    <t>走査</t>
  </si>
  <si>
    <t>『ハッキング用』</t>
  </si>
  <si>
    <t>装甲</t>
  </si>
  <si>
    <t>生体信号フィルター</t>
  </si>
  <si>
    <t>ブラックハンマー</t>
  </si>
  <si>
    <t>ブラックアウト</t>
  </si>
  <si>
    <t>データ爆弾</t>
  </si>
  <si>
    <t>暗号解読</t>
  </si>
  <si>
    <t>解除</t>
  </si>
  <si>
    <t>ECCM</t>
  </si>
  <si>
    <t>侵入</t>
  </si>
  <si>
    <t>修復</t>
  </si>
  <si>
    <t>傍受</t>
  </si>
  <si>
    <t>偽装</t>
  </si>
  <si>
    <t>追跡</t>
  </si>
  <si>
    <t>天賦の才(特定)</t>
  </si>
  <si>
    <t>ストリートコップ</t>
  </si>
  <si>
    <t>クライスラーニッサン・パトロール</t>
  </si>
  <si>
    <t>　フィチェッチィ・ペイン・インデューサー</t>
  </si>
  <si>
    <t>　ヴィークル改造（リガー対応</t>
  </si>
  <si>
    <t>　イングラム・ホワイトナイト（LMG/折畳式ストック（着脱可）、ガスベント5/スマート化）</t>
  </si>
  <si>
    <t>セスカ・ブラック・スコーピオン（MP/スマート化・サイレンサー）</t>
  </si>
  <si>
    <t>アレス・アルファ（AL・GR/エアバーストリンク/スマートガン、2点の反動補正薬室）</t>
  </si>
  <si>
    <t>　破片手榴弾（グレネードランチャー用</t>
  </si>
  <si>
    <t>　銃座（弾薬250発セット可能</t>
  </si>
  <si>
    <t>偽造SIN（レーティング２</t>
  </si>
  <si>
    <t>依存症(軽度・シンナー)</t>
  </si>
  <si>
    <t>誓約（儀式/護符）</t>
  </si>
  <si>
    <t>苦手（指導）</t>
  </si>
  <si>
    <t>公共の交通路線</t>
  </si>
  <si>
    <t>　オートソフト（防御/レーティング４</t>
  </si>
  <si>
    <t>　オートソフト（機動/レーティング４</t>
  </si>
  <si>
    <r>
      <t>MCTフライスパイ（機動</t>
    </r>
    <r>
      <rPr>
        <sz val="9"/>
        <rFont val="ＭＳ Ｐゴシック"/>
        <family val="3"/>
      </rPr>
      <t>/レーティング２</t>
    </r>
  </si>
  <si>
    <t>GM-ニッサン・ドーベルマン（鮮明化３・照準３</t>
  </si>
  <si>
    <t>　パイロットプログラム（レーティング６</t>
  </si>
  <si>
    <t>　オートソフト（照準・４</t>
  </si>
  <si>
    <t>　オートソフト（鮮明化/レーティング４</t>
  </si>
  <si>
    <t>　オートソフト（機動・４</t>
  </si>
  <si>
    <t>xeno</t>
  </si>
  <si>
    <t>ルード</t>
  </si>
  <si>
    <r>
      <t>G</t>
    </r>
    <r>
      <rPr>
        <sz val="9"/>
        <rFont val="ＭＳ Ｐゴシック"/>
        <family val="3"/>
      </rPr>
      <t>MCブルドッグ・ステップバン</t>
    </r>
  </si>
  <si>
    <t>偽造免許（レーティング４</t>
  </si>
  <si>
    <t>偽造SIN（レーティング４</t>
  </si>
  <si>
    <t>偽造免許（レーティング６</t>
  </si>
  <si>
    <t>　ヴィークル改造（リガー対応</t>
  </si>
  <si>
    <t>　パイロットプログラム（レーティング６</t>
  </si>
  <si>
    <t>偽造免許はスタート時はレート４まで。</t>
  </si>
  <si>
    <t>オートソフトはドローンごとに取る必要はなく、ひとつのソフトを共用できる。</t>
  </si>
  <si>
    <t>パイロットプログラムはスタート時はレート４まで。</t>
  </si>
  <si>
    <t>加えて、〔パイロット〕と〈オートソフト〉のレーティングを最大活用するには、ドローンの【レスポンス】が</t>
  </si>
  <si>
    <t>これらのプログラムよりも高いレーティングでないといけない。</t>
  </si>
  <si>
    <t>オートソフト</t>
  </si>
  <si>
    <t>　〔パイロット：４〕</t>
  </si>
  <si>
    <r>
      <t>G</t>
    </r>
    <r>
      <rPr>
        <sz val="9"/>
        <rFont val="ＭＳ Ｐゴシック"/>
        <family val="3"/>
      </rPr>
      <t>MCブルドッグ・ステップバン</t>
    </r>
  </si>
  <si>
    <t>　〔パイロット：４〕</t>
  </si>
  <si>
    <t>　【レスポンス：３→４】【ファイアウォール：３】【シグナル：３】</t>
  </si>
  <si>
    <t>偽造免許（レーティング４</t>
  </si>
  <si>
    <t>防御：４、機動（地上機）：４、機動（航空機）：４、照準（自動火器）：４、照準（重火器）：４、</t>
  </si>
  <si>
    <t>照準（特殊射撃武器）：４、鮮明化：４、電子戦：４</t>
  </si>
  <si>
    <t>プログラム（一般）</t>
  </si>
  <si>
    <t>命令：５、走査：５</t>
  </si>
  <si>
    <t>ECCM：５</t>
  </si>
  <si>
    <t>プログラム（ハッキング）</t>
  </si>
  <si>
    <t>ヘルメス・アイコン（レスポンス：４、シグナル：３）</t>
  </si>
  <si>
    <t>　【シグナル：３→４】</t>
  </si>
  <si>
    <t>　ノヴァテック・ナヴィ（ファイアウォール：３、システム：４）</t>
  </si>
  <si>
    <t>ドローン、ヴィークルの無改造での【レスポンス】は機器レーティングと同じ値の３。　４にアップグレードするには￥２０００必要。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</si>
</sst>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\\#,##0_);[Red]&quot;(\&quot;#,##0\)"/>
    <numFmt numFmtId="178" formatCode="0_);[Red]\(0\)"/>
    <numFmt numFmtId="179" formatCode="0_ "/>
  </numFmts>
  <fonts count="22">
    <font>
      <sz val="9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9"/>
      <name val="ＭＳ Ｐゴシック"/>
      <family val="3"/>
    </font>
    <font>
      <sz val="9"/>
      <color indexed="22"/>
      <name val="ＭＳ Ｐゴシック"/>
      <family val="3"/>
    </font>
    <font>
      <sz val="9"/>
      <color indexed="55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name val="ＭＳ Ｐゴシック"/>
      <family val="3"/>
    </font>
    <font>
      <b/>
      <sz val="16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thin">
        <color indexed="8"/>
      </top>
      <bottom style="medium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thin">
        <color indexed="8"/>
      </bottom>
    </border>
    <border>
      <left style="medium">
        <color indexed="48"/>
      </left>
      <right style="medium">
        <color indexed="4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" fillId="0" borderId="0">
      <alignment vertical="center"/>
      <protection/>
    </xf>
  </cellStyleXfs>
  <cellXfs count="3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20" applyFont="1" applyAlignment="1">
      <alignment/>
      <protection/>
    </xf>
    <xf numFmtId="0" fontId="2" fillId="0" borderId="0" xfId="20" applyAlignment="1">
      <alignment/>
      <protection/>
    </xf>
    <xf numFmtId="0" fontId="3" fillId="0" borderId="0" xfId="20" applyFont="1" applyBorder="1" applyAlignment="1">
      <alignment shrinkToFit="1"/>
      <protection/>
    </xf>
    <xf numFmtId="0" fontId="2" fillId="0" borderId="22" xfId="20" applyBorder="1" applyAlignment="1">
      <alignment/>
      <protection/>
    </xf>
    <xf numFmtId="0" fontId="3" fillId="0" borderId="23" xfId="20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0" fontId="2" fillId="0" borderId="24" xfId="20" applyBorder="1" applyAlignment="1">
      <alignment/>
      <protection/>
    </xf>
    <xf numFmtId="0" fontId="3" fillId="0" borderId="24" xfId="20" applyFont="1" applyBorder="1" applyAlignment="1">
      <alignment/>
      <protection/>
    </xf>
    <xf numFmtId="0" fontId="3" fillId="0" borderId="25" xfId="20" applyFont="1" applyBorder="1" applyAlignment="1">
      <alignment/>
      <protection/>
    </xf>
    <xf numFmtId="0" fontId="3" fillId="0" borderId="22" xfId="20" applyFont="1" applyBorder="1" applyAlignment="1">
      <alignment/>
      <protection/>
    </xf>
    <xf numFmtId="0" fontId="3" fillId="0" borderId="26" xfId="20" applyFont="1" applyBorder="1" applyAlignment="1">
      <alignment/>
      <protection/>
    </xf>
    <xf numFmtId="0" fontId="3" fillId="0" borderId="0" xfId="20" applyFont="1" applyFill="1" applyBorder="1" applyAlignment="1">
      <alignment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Alignment="1">
      <alignment shrinkToFit="1"/>
      <protection/>
    </xf>
    <xf numFmtId="0" fontId="14" fillId="0" borderId="0" xfId="20" applyFont="1" applyFill="1" applyAlignment="1">
      <alignment shrinkToFit="1"/>
      <protection/>
    </xf>
    <xf numFmtId="0" fontId="3" fillId="0" borderId="0" xfId="20" applyFont="1" applyAlignment="1">
      <alignment horizontal="center" shrinkToFit="1"/>
      <protection/>
    </xf>
    <xf numFmtId="0" fontId="2" fillId="0" borderId="0" xfId="20" applyAlignment="1">
      <alignment horizontal="center" shrinkToFit="1"/>
      <protection/>
    </xf>
    <xf numFmtId="0" fontId="3" fillId="0" borderId="0" xfId="20" applyFont="1" applyBorder="1" applyAlignment="1">
      <alignment horizontal="center" shrinkToFit="1"/>
      <protection/>
    </xf>
    <xf numFmtId="0" fontId="2" fillId="0" borderId="0" xfId="20" applyBorder="1" applyAlignment="1">
      <alignment shrinkToFit="1"/>
      <protection/>
    </xf>
    <xf numFmtId="0" fontId="2" fillId="0" borderId="0" xfId="20" applyFont="1" applyBorder="1" applyAlignment="1">
      <alignment shrinkToFit="1"/>
      <protection/>
    </xf>
    <xf numFmtId="0" fontId="13" fillId="0" borderId="0" xfId="20" applyFont="1" applyAlignment="1">
      <alignment vertical="top" shrinkToFit="1"/>
      <protection/>
    </xf>
    <xf numFmtId="0" fontId="13" fillId="0" borderId="0" xfId="20" applyFont="1" applyAlignment="1">
      <alignment horizontal="center" vertical="top" shrinkToFit="1"/>
      <protection/>
    </xf>
    <xf numFmtId="0" fontId="3" fillId="0" borderId="27" xfId="20" applyFont="1" applyBorder="1" applyAlignment="1">
      <alignment shrinkToFit="1"/>
      <protection/>
    </xf>
    <xf numFmtId="0" fontId="3" fillId="0" borderId="28" xfId="20" applyFont="1" applyBorder="1" applyAlignment="1">
      <alignment shrinkToFit="1"/>
      <protection/>
    </xf>
    <xf numFmtId="0" fontId="3" fillId="0" borderId="29" xfId="20" applyFont="1" applyBorder="1" applyAlignment="1">
      <alignment shrinkToFit="1"/>
      <protection/>
    </xf>
    <xf numFmtId="0" fontId="3" fillId="0" borderId="23" xfId="20" applyFont="1" applyBorder="1" applyAlignment="1">
      <alignment shrinkToFit="1"/>
      <protection/>
    </xf>
    <xf numFmtId="0" fontId="3" fillId="0" borderId="0" xfId="20" applyFont="1" applyBorder="1" applyAlignment="1">
      <alignment horizontal="center" vertical="top" shrinkToFit="1"/>
      <protection/>
    </xf>
    <xf numFmtId="0" fontId="3" fillId="0" borderId="24" xfId="20" applyFont="1" applyBorder="1" applyAlignment="1">
      <alignment shrinkToFit="1"/>
      <protection/>
    </xf>
    <xf numFmtId="0" fontId="3" fillId="0" borderId="25" xfId="20" applyFont="1" applyBorder="1" applyAlignment="1">
      <alignment shrinkToFit="1"/>
      <protection/>
    </xf>
    <xf numFmtId="0" fontId="3" fillId="0" borderId="22" xfId="20" applyFont="1" applyBorder="1" applyAlignment="1">
      <alignment shrinkToFit="1"/>
      <protection/>
    </xf>
    <xf numFmtId="0" fontId="3" fillId="0" borderId="26" xfId="20" applyFont="1" applyBorder="1" applyAlignment="1">
      <alignment shrinkToFit="1"/>
      <protection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179" fontId="0" fillId="0" borderId="0" xfId="0" applyNumberFormat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0" fillId="6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7" borderId="33" xfId="0" applyFont="1" applyFill="1" applyBorder="1" applyAlignment="1">
      <alignment horizontal="left" vertical="center"/>
    </xf>
    <xf numFmtId="0" fontId="0" fillId="7" borderId="34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34" xfId="0" applyFont="1" applyFill="1" applyBorder="1" applyAlignment="1">
      <alignment horizontal="left" vertical="center"/>
    </xf>
    <xf numFmtId="0" fontId="0" fillId="6" borderId="3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left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14" fontId="0" fillId="6" borderId="1" xfId="0" applyNumberForma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textRotation="255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6" borderId="35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7" borderId="3" xfId="0" applyFont="1" applyFill="1" applyBorder="1" applyAlignment="1">
      <alignment horizontal="left" vertical="center"/>
    </xf>
    <xf numFmtId="0" fontId="0" fillId="6" borderId="33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3" borderId="12" xfId="0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8" borderId="4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8" borderId="39" xfId="0" applyFont="1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2" borderId="41" xfId="0" applyNumberFormat="1" applyFill="1" applyBorder="1" applyAlignment="1">
      <alignment horizontal="right" vertical="center" shrinkToFit="1"/>
    </xf>
    <xf numFmtId="0" fontId="0" fillId="6" borderId="42" xfId="0" applyFill="1" applyBorder="1" applyAlignment="1">
      <alignment horizontal="left" vertical="center"/>
    </xf>
    <xf numFmtId="0" fontId="0" fillId="6" borderId="42" xfId="0" applyFont="1" applyFill="1" applyBorder="1" applyAlignment="1">
      <alignment horizontal="left" vertical="center"/>
    </xf>
    <xf numFmtId="177" fontId="0" fillId="3" borderId="42" xfId="0" applyNumberFormat="1" applyFill="1" applyBorder="1" applyAlignment="1">
      <alignment horizontal="center" vertical="center"/>
    </xf>
    <xf numFmtId="178" fontId="0" fillId="3" borderId="42" xfId="0" applyNumberFormat="1" applyFill="1" applyBorder="1" applyAlignment="1">
      <alignment horizontal="center" vertical="center"/>
    </xf>
    <xf numFmtId="176" fontId="0" fillId="2" borderId="42" xfId="0" applyNumberFormat="1" applyFill="1" applyBorder="1" applyAlignment="1">
      <alignment horizontal="right" vertical="center" shrinkToFit="1"/>
    </xf>
    <xf numFmtId="0" fontId="0" fillId="6" borderId="41" xfId="0" applyFill="1" applyBorder="1" applyAlignment="1">
      <alignment horizontal="left" vertical="center"/>
    </xf>
    <xf numFmtId="0" fontId="0" fillId="6" borderId="41" xfId="0" applyFont="1" applyFill="1" applyBorder="1" applyAlignment="1">
      <alignment horizontal="left" vertical="center"/>
    </xf>
    <xf numFmtId="177" fontId="0" fillId="3" borderId="41" xfId="0" applyNumberFormat="1" applyFill="1" applyBorder="1" applyAlignment="1">
      <alignment horizontal="center" vertical="center"/>
    </xf>
    <xf numFmtId="178" fontId="0" fillId="3" borderId="41" xfId="0" applyNumberFormat="1" applyFill="1" applyBorder="1" applyAlignment="1">
      <alignment horizontal="center" vertical="center"/>
    </xf>
    <xf numFmtId="176" fontId="0" fillId="2" borderId="43" xfId="0" applyNumberFormat="1" applyFill="1" applyBorder="1" applyAlignment="1">
      <alignment horizontal="right" vertical="center" shrinkToFit="1"/>
    </xf>
    <xf numFmtId="0" fontId="0" fillId="6" borderId="43" xfId="0" applyFill="1" applyBorder="1" applyAlignment="1">
      <alignment horizontal="left" vertical="center"/>
    </xf>
    <xf numFmtId="0" fontId="0" fillId="6" borderId="43" xfId="0" applyFont="1" applyFill="1" applyBorder="1" applyAlignment="1">
      <alignment horizontal="left" vertical="center"/>
    </xf>
    <xf numFmtId="177" fontId="0" fillId="3" borderId="43" xfId="0" applyNumberFormat="1" applyFill="1" applyBorder="1" applyAlignment="1">
      <alignment horizontal="center" vertical="center"/>
    </xf>
    <xf numFmtId="178" fontId="0" fillId="3" borderId="43" xfId="0" applyNumberForma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left" vertical="center"/>
    </xf>
    <xf numFmtId="0" fontId="0" fillId="6" borderId="41" xfId="0" applyFont="1" applyFill="1" applyBorder="1" applyAlignment="1">
      <alignment horizontal="left" vertical="center"/>
    </xf>
    <xf numFmtId="0" fontId="0" fillId="6" borderId="43" xfId="0" applyFont="1" applyFill="1" applyBorder="1" applyAlignment="1">
      <alignment horizontal="left" vertical="center"/>
    </xf>
    <xf numFmtId="176" fontId="0" fillId="2" borderId="44" xfId="0" applyNumberFormat="1" applyFill="1" applyBorder="1" applyAlignment="1">
      <alignment horizontal="right" vertical="center" shrinkToFit="1"/>
    </xf>
    <xf numFmtId="176" fontId="0" fillId="2" borderId="45" xfId="0" applyNumberFormat="1" applyFill="1" applyBorder="1" applyAlignment="1">
      <alignment horizontal="right" vertical="center" shrinkToFit="1"/>
    </xf>
    <xf numFmtId="178" fontId="0" fillId="3" borderId="46" xfId="0" applyNumberFormat="1" applyFill="1" applyBorder="1" applyAlignment="1">
      <alignment horizontal="center" vertical="center"/>
    </xf>
    <xf numFmtId="176" fontId="0" fillId="2" borderId="47" xfId="0" applyNumberFormat="1" applyFill="1" applyBorder="1" applyAlignment="1">
      <alignment horizontal="right" vertical="center" shrinkToFit="1"/>
    </xf>
    <xf numFmtId="178" fontId="0" fillId="3" borderId="48" xfId="0" applyNumberFormat="1" applyFill="1" applyBorder="1" applyAlignment="1">
      <alignment horizontal="center" vertical="center"/>
    </xf>
    <xf numFmtId="0" fontId="0" fillId="6" borderId="49" xfId="0" applyFill="1" applyBorder="1" applyAlignment="1">
      <alignment horizontal="left" vertical="center"/>
    </xf>
    <xf numFmtId="0" fontId="0" fillId="6" borderId="50" xfId="0" applyFont="1" applyFill="1" applyBorder="1" applyAlignment="1">
      <alignment horizontal="left" vertical="center"/>
    </xf>
    <xf numFmtId="0" fontId="0" fillId="6" borderId="51" xfId="0" applyFont="1" applyFill="1" applyBorder="1" applyAlignment="1">
      <alignment horizontal="left" vertical="center"/>
    </xf>
    <xf numFmtId="177" fontId="0" fillId="3" borderId="49" xfId="0" applyNumberFormat="1" applyFill="1" applyBorder="1" applyAlignment="1">
      <alignment horizontal="center" vertical="center"/>
    </xf>
    <xf numFmtId="177" fontId="0" fillId="3" borderId="51" xfId="0" applyNumberFormat="1" applyFill="1" applyBorder="1" applyAlignment="1">
      <alignment horizontal="center" vertical="center"/>
    </xf>
    <xf numFmtId="178" fontId="0" fillId="3" borderId="49" xfId="0" applyNumberFormat="1" applyFill="1" applyBorder="1" applyAlignment="1">
      <alignment horizontal="center" vertical="center"/>
    </xf>
    <xf numFmtId="178" fontId="0" fillId="3" borderId="51" xfId="0" applyNumberFormat="1" applyFill="1" applyBorder="1" applyAlignment="1">
      <alignment horizontal="center" vertical="center"/>
    </xf>
    <xf numFmtId="177" fontId="0" fillId="3" borderId="52" xfId="0" applyNumberFormat="1" applyFill="1" applyBorder="1" applyAlignment="1">
      <alignment horizontal="center" vertical="center"/>
    </xf>
    <xf numFmtId="177" fontId="0" fillId="3" borderId="53" xfId="0" applyNumberFormat="1" applyFill="1" applyBorder="1" applyAlignment="1">
      <alignment horizontal="center" vertical="center"/>
    </xf>
    <xf numFmtId="178" fontId="0" fillId="3" borderId="52" xfId="0" applyNumberFormat="1" applyFill="1" applyBorder="1" applyAlignment="1">
      <alignment horizontal="center" vertical="center"/>
    </xf>
    <xf numFmtId="178" fontId="0" fillId="3" borderId="53" xfId="0" applyNumberFormat="1" applyFill="1" applyBorder="1" applyAlignment="1">
      <alignment horizontal="center" vertical="center"/>
    </xf>
    <xf numFmtId="0" fontId="0" fillId="6" borderId="50" xfId="0" applyFill="1" applyBorder="1" applyAlignment="1">
      <alignment horizontal="left" vertical="center"/>
    </xf>
    <xf numFmtId="0" fontId="0" fillId="6" borderId="51" xfId="0" applyFill="1" applyBorder="1" applyAlignment="1">
      <alignment horizontal="left" vertical="center"/>
    </xf>
    <xf numFmtId="0" fontId="0" fillId="6" borderId="54" xfId="0" applyFont="1" applyFill="1" applyBorder="1" applyAlignment="1">
      <alignment horizontal="left" vertical="center"/>
    </xf>
    <xf numFmtId="177" fontId="0" fillId="3" borderId="46" xfId="0" applyNumberForma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left" vertical="center"/>
    </xf>
    <xf numFmtId="0" fontId="0" fillId="6" borderId="56" xfId="0" applyFill="1" applyBorder="1" applyAlignment="1">
      <alignment horizontal="left" vertical="center"/>
    </xf>
    <xf numFmtId="177" fontId="0" fillId="3" borderId="48" xfId="0" applyNumberForma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11" fillId="0" borderId="22" xfId="20" applyFont="1" applyBorder="1" applyAlignment="1">
      <alignment horizontal="center" vertical="top"/>
      <protection/>
    </xf>
    <xf numFmtId="0" fontId="3" fillId="0" borderId="22" xfId="20" applyFont="1" applyBorder="1" applyAlignment="1">
      <alignment horizontal="left"/>
      <protection/>
    </xf>
    <xf numFmtId="14" fontId="3" fillId="0" borderId="22" xfId="20" applyNumberFormat="1" applyFont="1" applyBorder="1" applyAlignment="1">
      <alignment horizontal="left"/>
      <protection/>
    </xf>
    <xf numFmtId="0" fontId="3" fillId="0" borderId="0" xfId="20" applyFont="1" applyBorder="1" applyAlignment="1">
      <alignment shrinkToFit="1"/>
      <protection/>
    </xf>
    <xf numFmtId="0" fontId="12" fillId="9" borderId="57" xfId="20" applyFont="1" applyFill="1" applyBorder="1" applyAlignment="1">
      <alignment shrinkToFi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3" fillId="0" borderId="58" xfId="20" applyFont="1" applyBorder="1" applyAlignment="1">
      <alignment horizontal="left" vertical="center" shrinkToFit="1"/>
      <protection/>
    </xf>
    <xf numFmtId="0" fontId="13" fillId="0" borderId="0" xfId="20" applyFont="1" applyBorder="1" applyAlignment="1">
      <alignment horizontal="center" vertical="center"/>
      <protection/>
    </xf>
    <xf numFmtId="0" fontId="3" fillId="0" borderId="58" xfId="20" applyFont="1" applyBorder="1" applyAlignment="1">
      <alignment horizontal="center" vertical="center"/>
      <protection/>
    </xf>
    <xf numFmtId="0" fontId="3" fillId="0" borderId="58" xfId="20" applyFont="1" applyBorder="1" applyAlignment="1">
      <alignment horizontal="right"/>
      <protection/>
    </xf>
    <xf numFmtId="176" fontId="3" fillId="0" borderId="58" xfId="20" applyNumberFormat="1" applyFont="1" applyBorder="1" applyAlignment="1">
      <alignment horizontal="center" vertical="center"/>
      <protection/>
    </xf>
    <xf numFmtId="0" fontId="3" fillId="0" borderId="58" xfId="20" applyFont="1" applyBorder="1" applyAlignment="1">
      <alignment horizontal="right" vertical="center"/>
      <protection/>
    </xf>
    <xf numFmtId="0" fontId="12" fillId="9" borderId="59" xfId="20" applyFont="1" applyFill="1" applyBorder="1" applyAlignment="1">
      <alignment/>
      <protection/>
    </xf>
    <xf numFmtId="0" fontId="12" fillId="9" borderId="57" xfId="20" applyFont="1" applyFill="1" applyBorder="1" applyAlignment="1">
      <alignment/>
      <protection/>
    </xf>
    <xf numFmtId="0" fontId="13" fillId="0" borderId="23" xfId="20" applyFont="1" applyBorder="1" applyAlignment="1">
      <alignment horizontal="center" vertical="center" wrapText="1"/>
      <protection/>
    </xf>
    <xf numFmtId="0" fontId="13" fillId="0" borderId="24" xfId="20" applyFont="1" applyBorder="1" applyAlignment="1">
      <alignment horizontal="center" vertical="center" wrapText="1"/>
      <protection/>
    </xf>
    <xf numFmtId="0" fontId="13" fillId="0" borderId="36" xfId="20" applyFont="1" applyBorder="1" applyAlignment="1">
      <alignment horizontal="left" vertical="center" shrinkToFit="1"/>
      <protection/>
    </xf>
    <xf numFmtId="0" fontId="13" fillId="0" borderId="60" xfId="20" applyFont="1" applyFill="1" applyBorder="1" applyAlignment="1">
      <alignment horizontal="left" vertical="center"/>
      <protection/>
    </xf>
    <xf numFmtId="0" fontId="3" fillId="0" borderId="61" xfId="20" applyFont="1" applyBorder="1" applyAlignment="1">
      <alignment horizontal="left" vertical="center" shrinkToFit="1"/>
      <protection/>
    </xf>
    <xf numFmtId="0" fontId="3" fillId="0" borderId="62" xfId="20" applyFont="1" applyFill="1" applyBorder="1" applyAlignment="1">
      <alignment/>
      <protection/>
    </xf>
    <xf numFmtId="0" fontId="3" fillId="0" borderId="36" xfId="20" applyFont="1" applyBorder="1" applyAlignment="1">
      <alignment/>
      <protection/>
    </xf>
    <xf numFmtId="0" fontId="3" fillId="0" borderId="38" xfId="20" applyFont="1" applyBorder="1" applyAlignment="1">
      <alignment/>
      <protection/>
    </xf>
    <xf numFmtId="49" fontId="3" fillId="0" borderId="60" xfId="20" applyNumberFormat="1" applyFont="1" applyBorder="1" applyAlignment="1">
      <alignment horizontal="center" vertical="center"/>
      <protection/>
    </xf>
    <xf numFmtId="0" fontId="3" fillId="0" borderId="39" xfId="20" applyFont="1" applyBorder="1" applyAlignment="1">
      <alignment/>
      <protection/>
    </xf>
    <xf numFmtId="0" fontId="3" fillId="0" borderId="12" xfId="20" applyFont="1" applyBorder="1" applyAlignment="1">
      <alignment/>
      <protection/>
    </xf>
    <xf numFmtId="49" fontId="3" fillId="0" borderId="13" xfId="20" applyNumberFormat="1" applyFont="1" applyBorder="1" applyAlignment="1">
      <alignment horizontal="center" vertical="center"/>
      <protection/>
    </xf>
    <xf numFmtId="0" fontId="3" fillId="0" borderId="63" xfId="20" applyFont="1" applyBorder="1" applyAlignment="1">
      <alignment horizontal="left" vertical="center" shrinkToFit="1"/>
      <protection/>
    </xf>
    <xf numFmtId="0" fontId="3" fillId="0" borderId="14" xfId="20" applyFont="1" applyFill="1" applyBorder="1" applyAlignment="1">
      <alignment/>
      <protection/>
    </xf>
    <xf numFmtId="0" fontId="3" fillId="0" borderId="61" xfId="20" applyFont="1" applyBorder="1" applyAlignment="1">
      <alignment/>
      <protection/>
    </xf>
    <xf numFmtId="0" fontId="3" fillId="0" borderId="35" xfId="20" applyFont="1" applyBorder="1" applyAlignment="1">
      <alignment/>
      <protection/>
    </xf>
    <xf numFmtId="49" fontId="3" fillId="0" borderId="62" xfId="20" applyNumberFormat="1" applyFont="1" applyBorder="1" applyAlignment="1">
      <alignment horizontal="center" vertical="center"/>
      <protection/>
    </xf>
    <xf numFmtId="0" fontId="3" fillId="0" borderId="63" xfId="20" applyFont="1" applyBorder="1" applyAlignment="1">
      <alignment/>
      <protection/>
    </xf>
    <xf numFmtId="0" fontId="3" fillId="0" borderId="1" xfId="20" applyFont="1" applyBorder="1" applyAlignment="1">
      <alignment/>
      <protection/>
    </xf>
    <xf numFmtId="49" fontId="3" fillId="0" borderId="14" xfId="20" applyNumberFormat="1" applyFont="1" applyBorder="1" applyAlignment="1">
      <alignment horizontal="center" vertical="center"/>
      <protection/>
    </xf>
    <xf numFmtId="0" fontId="3" fillId="0" borderId="40" xfId="20" applyFont="1" applyBorder="1" applyAlignment="1">
      <alignment/>
      <protection/>
    </xf>
    <xf numFmtId="0" fontId="3" fillId="0" borderId="11" xfId="20" applyFont="1" applyBorder="1" applyAlignment="1">
      <alignment/>
      <protection/>
    </xf>
    <xf numFmtId="49" fontId="3" fillId="0" borderId="15" xfId="20" applyNumberFormat="1" applyFont="1" applyBorder="1" applyAlignment="1">
      <alignment horizontal="center" vertical="center"/>
      <protection/>
    </xf>
    <xf numFmtId="0" fontId="3" fillId="0" borderId="64" xfId="20" applyFont="1" applyBorder="1" applyAlignment="1">
      <alignment vertical="center" wrapText="1"/>
      <protection/>
    </xf>
    <xf numFmtId="0" fontId="3" fillId="0" borderId="24" xfId="20" applyFont="1" applyFill="1" applyBorder="1" applyAlignment="1">
      <alignment vertical="center" wrapText="1"/>
      <protection/>
    </xf>
    <xf numFmtId="0" fontId="3" fillId="0" borderId="65" xfId="20" applyFont="1" applyBorder="1" applyAlignment="1">
      <alignment horizontal="left" vertical="center" shrinkToFit="1"/>
      <protection/>
    </xf>
    <xf numFmtId="0" fontId="3" fillId="0" borderId="66" xfId="20" applyFont="1" applyFill="1" applyBorder="1" applyAlignment="1">
      <alignment/>
      <protection/>
    </xf>
    <xf numFmtId="0" fontId="3" fillId="0" borderId="40" xfId="20" applyFont="1" applyBorder="1" applyAlignment="1">
      <alignment horizontal="left" vertical="center" shrinkToFit="1"/>
      <protection/>
    </xf>
    <xf numFmtId="0" fontId="3" fillId="0" borderId="15" xfId="20" applyFont="1" applyFill="1" applyBorder="1" applyAlignment="1">
      <alignment/>
      <protection/>
    </xf>
    <xf numFmtId="0" fontId="2" fillId="0" borderId="5" xfId="20" applyFont="1" applyBorder="1" applyAlignment="1">
      <alignment horizontal="left" shrinkToFit="1"/>
      <protection/>
    </xf>
    <xf numFmtId="0" fontId="3" fillId="0" borderId="5" xfId="20" applyFont="1" applyBorder="1" applyAlignment="1">
      <alignment horizontal="center" shrinkToFit="1"/>
      <protection/>
    </xf>
    <xf numFmtId="0" fontId="11" fillId="10" borderId="59" xfId="20" applyFont="1" applyFill="1" applyBorder="1" applyAlignment="1">
      <alignment shrinkToFit="1"/>
      <protection/>
    </xf>
    <xf numFmtId="0" fontId="14" fillId="9" borderId="59" xfId="20" applyFont="1" applyFill="1" applyBorder="1" applyAlignment="1">
      <alignment shrinkToFit="1"/>
      <protection/>
    </xf>
    <xf numFmtId="0" fontId="16" fillId="0" borderId="59" xfId="20" applyFont="1" applyBorder="1" applyAlignment="1">
      <alignment horizontal="center" vertical="center" shrinkToFit="1"/>
      <protection/>
    </xf>
    <xf numFmtId="0" fontId="16" fillId="0" borderId="67" xfId="20" applyFont="1" applyBorder="1" applyAlignment="1">
      <alignment horizontal="center" vertical="center" shrinkToFit="1"/>
      <protection/>
    </xf>
    <xf numFmtId="0" fontId="3" fillId="0" borderId="68" xfId="20" applyFont="1" applyBorder="1" applyAlignment="1">
      <alignment horizontal="center" shrinkToFit="1"/>
      <protection/>
    </xf>
    <xf numFmtId="0" fontId="2" fillId="9" borderId="0" xfId="20" applyFont="1" applyFill="1" applyBorder="1" applyAlignment="1">
      <alignment shrinkToFit="1"/>
      <protection/>
    </xf>
    <xf numFmtId="0" fontId="2" fillId="0" borderId="68" xfId="20" applyFont="1" applyBorder="1" applyAlignment="1">
      <alignment horizontal="left" shrinkToFit="1"/>
      <protection/>
    </xf>
    <xf numFmtId="0" fontId="3" fillId="0" borderId="0" xfId="20" applyFont="1" applyBorder="1" applyAlignment="1">
      <alignment horizontal="center" shrinkToFit="1"/>
      <protection/>
    </xf>
    <xf numFmtId="0" fontId="17" fillId="9" borderId="0" xfId="20" applyFont="1" applyFill="1" applyBorder="1" applyAlignment="1">
      <alignment shrinkToFit="1"/>
      <protection/>
    </xf>
    <xf numFmtId="0" fontId="11" fillId="0" borderId="68" xfId="20" applyFont="1" applyBorder="1" applyAlignment="1">
      <alignment shrinkToFit="1"/>
      <protection/>
    </xf>
    <xf numFmtId="0" fontId="2" fillId="9" borderId="68" xfId="20" applyFont="1" applyFill="1" applyBorder="1" applyAlignment="1">
      <alignment shrinkToFit="1"/>
      <protection/>
    </xf>
    <xf numFmtId="0" fontId="14" fillId="9" borderId="69" xfId="20" applyFont="1" applyFill="1" applyBorder="1" applyAlignment="1">
      <alignment shrinkToFit="1"/>
      <protection/>
    </xf>
    <xf numFmtId="0" fontId="2" fillId="9" borderId="5" xfId="20" applyFont="1" applyFill="1" applyBorder="1" applyAlignment="1">
      <alignment shrinkToFit="1"/>
      <protection/>
    </xf>
    <xf numFmtId="0" fontId="2" fillId="0" borderId="5" xfId="20" applyFont="1" applyFill="1" applyBorder="1" applyAlignment="1">
      <alignment horizontal="left" shrinkToFit="1"/>
      <protection/>
    </xf>
    <xf numFmtId="0" fontId="2" fillId="9" borderId="70" xfId="20" applyFont="1" applyFill="1" applyBorder="1" applyAlignment="1">
      <alignment shrinkToFit="1"/>
      <protection/>
    </xf>
    <xf numFmtId="0" fontId="11" fillId="0" borderId="5" xfId="20" applyFont="1" applyBorder="1" applyAlignment="1">
      <alignment shrinkToFit="1"/>
      <protection/>
    </xf>
    <xf numFmtId="0" fontId="11" fillId="0" borderId="5" xfId="20" applyFont="1" applyBorder="1" applyAlignment="1">
      <alignment horizontal="left" shrinkToFit="1"/>
      <protection/>
    </xf>
    <xf numFmtId="0" fontId="2" fillId="9" borderId="5" xfId="20" applyFont="1" applyFill="1" applyBorder="1" applyAlignment="1">
      <alignment horizontal="left" shrinkToFit="1"/>
      <protection/>
    </xf>
    <xf numFmtId="0" fontId="2" fillId="0" borderId="68" xfId="20" applyFont="1" applyFill="1" applyBorder="1" applyAlignment="1">
      <alignment horizontal="left" shrinkToFit="1"/>
      <protection/>
    </xf>
    <xf numFmtId="0" fontId="3" fillId="0" borderId="70" xfId="20" applyFont="1" applyBorder="1" applyAlignment="1">
      <alignment horizontal="center" shrinkToFit="1"/>
      <protection/>
    </xf>
    <xf numFmtId="0" fontId="2" fillId="9" borderId="68" xfId="20" applyFont="1" applyFill="1" applyBorder="1" applyAlignment="1">
      <alignment horizontal="left" shrinkToFit="1"/>
      <protection/>
    </xf>
    <xf numFmtId="0" fontId="2" fillId="9" borderId="68" xfId="20" applyFill="1" applyBorder="1" applyAlignment="1">
      <alignment shrinkToFit="1"/>
      <protection/>
    </xf>
    <xf numFmtId="0" fontId="14" fillId="9" borderId="24" xfId="20" applyFont="1" applyFill="1" applyBorder="1" applyAlignment="1">
      <alignment shrinkToFit="1"/>
      <protection/>
    </xf>
    <xf numFmtId="0" fontId="13" fillId="0" borderId="0" xfId="20" applyFont="1" applyBorder="1" applyAlignment="1">
      <alignment vertical="top" shrinkToFit="1"/>
      <protection/>
    </xf>
    <xf numFmtId="0" fontId="13" fillId="0" borderId="0" xfId="20" applyFont="1" applyBorder="1" applyAlignment="1">
      <alignment horizontal="center" vertical="top" shrinkToFit="1"/>
      <protection/>
    </xf>
    <xf numFmtId="0" fontId="3" fillId="0" borderId="68" xfId="20" applyFont="1" applyBorder="1" applyAlignment="1">
      <alignment shrinkToFit="1"/>
      <protection/>
    </xf>
    <xf numFmtId="0" fontId="2" fillId="9" borderId="68" xfId="20" applyFill="1" applyBorder="1" applyAlignment="1">
      <alignment horizontal="left" shrinkToFit="1"/>
      <protection/>
    </xf>
    <xf numFmtId="0" fontId="3" fillId="0" borderId="59" xfId="20" applyFont="1" applyBorder="1" applyAlignment="1">
      <alignment vertical="center" wrapText="1" shrinkToFit="1"/>
      <protection/>
    </xf>
    <xf numFmtId="0" fontId="17" fillId="9" borderId="0" xfId="20" applyFont="1" applyFill="1" applyBorder="1" applyAlignment="1">
      <alignment horizontal="left" shrinkToFit="1"/>
      <protection/>
    </xf>
    <xf numFmtId="0" fontId="11" fillId="0" borderId="68" xfId="20" applyFont="1" applyBorder="1" applyAlignment="1">
      <alignment horizontal="left" shrinkToFit="1"/>
      <protection/>
    </xf>
    <xf numFmtId="0" fontId="2" fillId="9" borderId="0" xfId="20" applyFont="1" applyFill="1" applyBorder="1" applyAlignment="1">
      <alignment horizontal="left" shrinkToFit="1"/>
      <protection/>
    </xf>
    <xf numFmtId="0" fontId="3" fillId="0" borderId="69" xfId="20" applyFont="1" applyBorder="1" applyAlignment="1">
      <alignment horizontal="center"/>
      <protection/>
    </xf>
    <xf numFmtId="0" fontId="16" fillId="0" borderId="58" xfId="20" applyFont="1" applyBorder="1" applyAlignment="1">
      <alignment horizontal="center" vertical="center" shrinkToFit="1"/>
      <protection/>
    </xf>
    <xf numFmtId="0" fontId="14" fillId="9" borderId="57" xfId="20" applyFont="1" applyFill="1" applyBorder="1" applyAlignment="1">
      <alignment shrinkToFit="1"/>
      <protection/>
    </xf>
    <xf numFmtId="0" fontId="2" fillId="9" borderId="70" xfId="20" applyFont="1" applyFill="1" applyBorder="1" applyAlignment="1">
      <alignment horizontal="left" shrinkToFit="1"/>
      <protection/>
    </xf>
    <xf numFmtId="0" fontId="17" fillId="9" borderId="71" xfId="20" applyFont="1" applyFill="1" applyBorder="1" applyAlignment="1">
      <alignment vertical="center" shrinkToFit="1"/>
      <protection/>
    </xf>
    <xf numFmtId="0" fontId="16" fillId="0" borderId="72" xfId="20" applyFont="1" applyBorder="1" applyAlignment="1">
      <alignment horizontal="center" vertical="center" shrinkToFit="1"/>
      <protection/>
    </xf>
    <xf numFmtId="0" fontId="16" fillId="0" borderId="60" xfId="20" applyFont="1" applyBorder="1" applyAlignment="1">
      <alignment horizontal="center" vertical="center" shrinkToFit="1"/>
      <protection/>
    </xf>
    <xf numFmtId="0" fontId="12" fillId="9" borderId="0" xfId="20" applyFont="1" applyFill="1" applyBorder="1" applyAlignment="1">
      <alignment horizontal="center" vertical="top" shrinkToFit="1"/>
      <protection/>
    </xf>
    <xf numFmtId="0" fontId="3" fillId="0" borderId="0" xfId="20" applyFont="1" applyBorder="1" applyAlignment="1">
      <alignment horizontal="center" vertical="top" shrinkToFit="1"/>
      <protection/>
    </xf>
    <xf numFmtId="0" fontId="3" fillId="0" borderId="0" xfId="20" applyFont="1" applyBorder="1" applyAlignment="1">
      <alignment vertical="top" shrinkToFit="1"/>
      <protection/>
    </xf>
    <xf numFmtId="0" fontId="17" fillId="9" borderId="69" xfId="20" applyFont="1" applyFill="1" applyBorder="1" applyAlignment="1">
      <alignment vertical="center" shrinkToFit="1"/>
      <protection/>
    </xf>
    <xf numFmtId="0" fontId="16" fillId="0" borderId="36" xfId="20" applyFont="1" applyBorder="1" applyAlignment="1">
      <alignment horizontal="center" vertical="center" shrinkToFit="1"/>
      <protection/>
    </xf>
    <xf numFmtId="0" fontId="17" fillId="9" borderId="25" xfId="20" applyFont="1" applyFill="1" applyBorder="1" applyAlignment="1">
      <alignment vertical="center" shrinkToFit="1"/>
      <protection/>
    </xf>
    <xf numFmtId="0" fontId="16" fillId="0" borderId="73" xfId="20" applyFont="1" applyBorder="1" applyAlignment="1">
      <alignment horizontal="center" vertical="center" shrinkToFit="1"/>
      <protection/>
    </xf>
    <xf numFmtId="0" fontId="16" fillId="0" borderId="74" xfId="20" applyFont="1" applyBorder="1" applyAlignment="1">
      <alignment horizontal="center" vertical="center" shrinkToFit="1"/>
      <protection/>
    </xf>
    <xf numFmtId="0" fontId="0" fillId="11" borderId="52" xfId="0" applyFill="1" applyBorder="1" applyAlignment="1">
      <alignment horizontal="left" vertical="center"/>
    </xf>
    <xf numFmtId="0" fontId="0" fillId="11" borderId="75" xfId="0" applyFont="1" applyFill="1" applyBorder="1" applyAlignment="1">
      <alignment horizontal="left" vertical="center"/>
    </xf>
    <xf numFmtId="0" fontId="0" fillId="11" borderId="53" xfId="0" applyFont="1" applyFill="1" applyBorder="1" applyAlignment="1">
      <alignment horizontal="left" vertical="center"/>
    </xf>
    <xf numFmtId="0" fontId="0" fillId="11" borderId="41" xfId="0" applyFill="1" applyBorder="1" applyAlignment="1">
      <alignment horizontal="left" vertical="center"/>
    </xf>
    <xf numFmtId="0" fontId="0" fillId="11" borderId="41" xfId="0" applyFont="1" applyFill="1" applyBorder="1" applyAlignment="1">
      <alignment horizontal="left" vertical="center"/>
    </xf>
    <xf numFmtId="0" fontId="0" fillId="11" borderId="42" xfId="0" applyFont="1" applyFill="1" applyBorder="1" applyAlignment="1">
      <alignment horizontal="left" vertical="center"/>
    </xf>
    <xf numFmtId="0" fontId="0" fillId="11" borderId="42" xfId="0" applyFill="1" applyBorder="1" applyAlignment="1">
      <alignment horizontal="left" vertical="center"/>
    </xf>
    <xf numFmtId="0" fontId="0" fillId="11" borderId="42" xfId="0" applyFont="1" applyFill="1" applyBorder="1" applyAlignment="1">
      <alignment horizontal="left" vertical="center"/>
    </xf>
    <xf numFmtId="0" fontId="0" fillId="11" borderId="49" xfId="0" applyFont="1" applyFill="1" applyBorder="1" applyAlignment="1">
      <alignment horizontal="left" vertical="center"/>
    </xf>
    <xf numFmtId="0" fontId="0" fillId="11" borderId="50" xfId="0" applyFont="1" applyFill="1" applyBorder="1" applyAlignment="1">
      <alignment horizontal="left" vertical="center"/>
    </xf>
    <xf numFmtId="0" fontId="0" fillId="11" borderId="51" xfId="0" applyFont="1" applyFill="1" applyBorder="1" applyAlignment="1">
      <alignment horizontal="left" vertical="center"/>
    </xf>
    <xf numFmtId="0" fontId="0" fillId="11" borderId="43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キャラクターシート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L32" sqref="L32"/>
    </sheetView>
  </sheetViews>
  <sheetFormatPr defaultColWidth="4.83203125" defaultRowHeight="11.25"/>
  <cols>
    <col min="1" max="16384" width="4.83203125" style="1" customWidth="1"/>
  </cols>
  <sheetData>
    <row r="1" spans="1:11" ht="11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 customHeight="1">
      <c r="A2" s="2"/>
      <c r="B2" s="3"/>
      <c r="C2" s="3"/>
      <c r="D2" s="3"/>
      <c r="E2" s="3"/>
      <c r="F2" s="3"/>
      <c r="G2" s="4"/>
      <c r="H2" s="4"/>
      <c r="I2" s="4"/>
      <c r="J2" s="4"/>
      <c r="K2" s="2"/>
    </row>
    <row r="3" spans="1:11" ht="11.25" customHeight="1">
      <c r="A3" s="2"/>
      <c r="B3" s="2"/>
      <c r="C3" s="3"/>
      <c r="D3" s="3"/>
      <c r="E3" s="3"/>
      <c r="F3" s="3"/>
      <c r="G3" s="4"/>
      <c r="H3" s="4"/>
      <c r="I3" s="4"/>
      <c r="J3" s="4"/>
      <c r="K3" s="2"/>
    </row>
    <row r="4" spans="1:11" ht="11.25" customHeight="1">
      <c r="A4" s="2"/>
      <c r="B4" s="3"/>
      <c r="C4" s="3"/>
      <c r="D4" s="3"/>
      <c r="E4" s="3"/>
      <c r="F4" s="3"/>
      <c r="G4" s="4"/>
      <c r="H4" s="4"/>
      <c r="I4" s="4"/>
      <c r="J4" s="4"/>
      <c r="K4" s="2"/>
    </row>
    <row r="5" spans="1:11" ht="11.25" customHeight="1">
      <c r="A5" s="2"/>
      <c r="B5" s="2"/>
      <c r="C5" s="3"/>
      <c r="D5" s="3"/>
      <c r="E5" s="3"/>
      <c r="F5" s="3"/>
      <c r="G5" s="4"/>
      <c r="H5" s="4"/>
      <c r="I5" s="4"/>
      <c r="J5" s="4"/>
      <c r="K5" s="2"/>
    </row>
    <row r="6" spans="1:11" ht="11.25" customHeight="1">
      <c r="A6" s="2"/>
      <c r="B6" s="3"/>
      <c r="C6" s="3"/>
      <c r="D6" s="3"/>
      <c r="E6" s="3"/>
      <c r="F6" s="3"/>
      <c r="G6" s="4"/>
      <c r="H6" s="4"/>
      <c r="I6" s="4"/>
      <c r="J6" s="4"/>
      <c r="K6" s="2"/>
    </row>
    <row r="7" spans="1:11" ht="11.25" customHeight="1">
      <c r="A7" s="2"/>
      <c r="B7" s="2"/>
      <c r="C7" s="3"/>
      <c r="D7" s="3"/>
      <c r="E7" s="3"/>
      <c r="F7" s="3"/>
      <c r="G7" s="4"/>
      <c r="H7" s="4"/>
      <c r="I7" s="4"/>
      <c r="J7" s="4"/>
      <c r="K7" s="2"/>
    </row>
    <row r="8" spans="1:11" ht="11.25" customHeight="1">
      <c r="A8" s="2"/>
      <c r="B8" s="3"/>
      <c r="C8" s="3"/>
      <c r="D8" s="3"/>
      <c r="E8" s="3"/>
      <c r="F8" s="3"/>
      <c r="G8" s="4"/>
      <c r="H8" s="4"/>
      <c r="I8" s="4"/>
      <c r="J8" s="4"/>
      <c r="K8" s="2"/>
    </row>
    <row r="9" spans="1:11" ht="11.25" customHeight="1">
      <c r="A9" s="2"/>
      <c r="B9" s="2"/>
      <c r="C9" s="3"/>
      <c r="D9" s="3"/>
      <c r="E9" s="3"/>
      <c r="F9" s="3"/>
      <c r="G9" s="4"/>
      <c r="H9" s="4"/>
      <c r="I9" s="4"/>
      <c r="J9" s="4"/>
      <c r="K9" s="2"/>
    </row>
    <row r="10" spans="1:11" ht="11.25" customHeight="1">
      <c r="A10" s="2"/>
      <c r="B10" s="3"/>
      <c r="C10" s="3"/>
      <c r="D10" s="3"/>
      <c r="E10" s="3"/>
      <c r="F10" s="3"/>
      <c r="G10" s="4"/>
      <c r="H10" s="4"/>
      <c r="I10" s="4"/>
      <c r="J10" s="4"/>
      <c r="K10" s="2"/>
    </row>
    <row r="11" spans="1:11" ht="11.25" customHeight="1">
      <c r="A11" s="2"/>
      <c r="B11" s="3"/>
      <c r="C11" s="3"/>
      <c r="D11" s="3"/>
      <c r="E11" s="3"/>
      <c r="F11" s="3"/>
      <c r="G11" s="4"/>
      <c r="H11" s="4"/>
      <c r="I11" s="4"/>
      <c r="J11" s="4"/>
      <c r="K11" s="2"/>
    </row>
    <row r="12" spans="1:11" ht="11.25" customHeight="1">
      <c r="A12" s="2"/>
      <c r="B12" s="3"/>
      <c r="C12" s="3"/>
      <c r="D12" s="3"/>
      <c r="E12" s="3"/>
      <c r="F12" s="3"/>
      <c r="G12" s="4"/>
      <c r="H12" s="4"/>
      <c r="I12" s="4"/>
      <c r="J12" s="4"/>
      <c r="K12" s="2"/>
    </row>
    <row r="13" spans="1:11" ht="11.25" customHeight="1">
      <c r="A13" s="2"/>
      <c r="B13" s="3"/>
      <c r="C13" s="3"/>
      <c r="D13" s="3"/>
      <c r="E13" s="3"/>
      <c r="F13" s="3"/>
      <c r="G13" s="4"/>
      <c r="H13" s="4"/>
      <c r="I13" s="4"/>
      <c r="J13" s="4"/>
      <c r="K13" s="2"/>
    </row>
    <row r="14" spans="1:11" ht="11.25" customHeight="1">
      <c r="A14" s="2"/>
      <c r="B14" s="3"/>
      <c r="C14" s="3"/>
      <c r="D14" s="3"/>
      <c r="E14" s="3"/>
      <c r="F14" s="3"/>
      <c r="G14" s="4"/>
      <c r="H14" s="4"/>
      <c r="I14" s="4"/>
      <c r="J14" s="4"/>
      <c r="K14" s="2"/>
    </row>
    <row r="15" spans="1:11" ht="11.25" customHeight="1">
      <c r="A15" s="2"/>
      <c r="B15" s="3"/>
      <c r="C15" s="3"/>
      <c r="D15" s="3"/>
      <c r="E15" s="3"/>
      <c r="F15" s="3"/>
      <c r="G15" s="4"/>
      <c r="H15" s="4"/>
      <c r="I15" s="4"/>
      <c r="J15" s="4"/>
      <c r="K15" s="2"/>
    </row>
    <row r="16" spans="1:11" ht="11.25" customHeight="1">
      <c r="A16" s="2"/>
      <c r="B16" s="3"/>
      <c r="C16" s="3"/>
      <c r="D16" s="3"/>
      <c r="E16" s="3"/>
      <c r="F16" s="3"/>
      <c r="G16" s="4"/>
      <c r="H16" s="4"/>
      <c r="I16" s="4"/>
      <c r="J16" s="4"/>
      <c r="K16" s="2"/>
    </row>
    <row r="17" spans="1:11" ht="11.25" customHeight="1">
      <c r="A17" s="2"/>
      <c r="B17" s="3"/>
      <c r="C17" s="3"/>
      <c r="D17" s="3"/>
      <c r="E17" s="3"/>
      <c r="F17" s="3"/>
      <c r="G17" s="4"/>
      <c r="H17" s="4"/>
      <c r="I17" s="4"/>
      <c r="J17" s="4"/>
      <c r="K17" s="2"/>
    </row>
    <row r="18" spans="1:11" ht="11.25" customHeight="1">
      <c r="A18" s="2"/>
      <c r="B18" s="3"/>
      <c r="C18" s="3"/>
      <c r="D18" s="3"/>
      <c r="E18" s="3"/>
      <c r="F18" s="3"/>
      <c r="G18" s="4"/>
      <c r="H18" s="4"/>
      <c r="I18" s="4"/>
      <c r="J18" s="4"/>
      <c r="K18" s="2"/>
    </row>
    <row r="19" spans="1:11" ht="12" customHeight="1">
      <c r="A19" s="2"/>
      <c r="B19" s="3"/>
      <c r="C19" s="3"/>
      <c r="D19" s="3"/>
      <c r="E19" s="3"/>
      <c r="F19" s="3"/>
      <c r="G19" s="4"/>
      <c r="H19" s="4"/>
      <c r="I19" s="4"/>
      <c r="J19" s="4"/>
      <c r="K19" s="2"/>
    </row>
    <row r="20" spans="1:11" ht="12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</row>
    <row r="21" spans="1:11" ht="12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</row>
    <row r="22" spans="1:11" ht="12">
      <c r="A22" s="2"/>
      <c r="B22" s="2"/>
      <c r="C22" s="3"/>
      <c r="D22" s="2"/>
      <c r="E22" s="2"/>
      <c r="F22" s="2"/>
      <c r="G22" s="2"/>
      <c r="H22" s="2"/>
      <c r="I22" s="2"/>
      <c r="J22" s="2"/>
      <c r="K22" s="2"/>
    </row>
    <row r="23" ht="12">
      <c r="C23" s="3"/>
    </row>
    <row r="24" ht="12">
      <c r="C24" s="3"/>
    </row>
    <row r="25" ht="12">
      <c r="C25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63"/>
  <sheetViews>
    <sheetView workbookViewId="0" topLeftCell="A1">
      <selection activeCell="J31" sqref="J31"/>
    </sheetView>
  </sheetViews>
  <sheetFormatPr defaultColWidth="9.33203125" defaultRowHeight="11.25"/>
  <sheetData>
    <row r="1" ht="11.25">
      <c r="A1" t="s">
        <v>171</v>
      </c>
    </row>
    <row r="2" ht="11.25">
      <c r="A2" t="str">
        <f>IF('装備品'!A4="","",CONCATENATE('装備品'!A4,IF('装備品'!P4="","",CONCATENATE("(レーティング",'装備品'!P4,")")),IF('装備品'!N4="","",IF('装備品'!N4=1,"",CONCATENATE("×",'装備品'!N4))),CONCATENATE("　　",'装備品'!R4,"￥")))</f>
        <v>クライスラーニッサン・パトロール　　22700￥</v>
      </c>
    </row>
    <row r="3" ht="11.25">
      <c r="A3" t="str">
        <f>IF('装備品'!A5="","",CONCATENATE('装備品'!A5,IF('装備品'!P5="","",CONCATENATE("(レーティング",'装備品'!P5,")")),IF('装備品'!N5="","",IF('装備品'!N5=1,"",CONCATENATE("×",'装備品'!N5))),CONCATENATE("　　",'装備品'!R5,"￥")))</f>
        <v>　イングラム・ホワイトナイト（LMG/折畳式ストック（着脱可）、ガスベント5/スマート化）×2　　8000￥</v>
      </c>
    </row>
    <row r="4" ht="11.25">
      <c r="A4" t="str">
        <f>IF('装備品'!A6="","",CONCATENATE('装備品'!A6,IF('装備品'!P6="","",CONCATENATE("(レーティング",'装備品'!P6,")")),IF('装備品'!N6="","",IF('装備品'!N6=1,"",CONCATENATE("×",'装備品'!N6))),CONCATENATE("　　",'装備品'!R6,"￥")))</f>
        <v>　フィチェッチィ・ペイン・インデューサー　　4000￥</v>
      </c>
    </row>
    <row r="5" ht="11.25">
      <c r="A5" t="str">
        <f>IF('装備品'!A7="","",CONCATENATE('装備品'!A7,IF('装備品'!P7="","",CONCATENATE("(レーティング",'装備品'!P7,")")),IF('装備品'!N7="","",IF('装備品'!N7=1,"",CONCATENATE("×",'装備品'!N7))),CONCATENATE("　　",'装備品'!R7,"￥")))</f>
        <v>　ヴィークル改造（リガー対応　　2500￥</v>
      </c>
    </row>
    <row r="6" ht="11.25">
      <c r="A6" t="str">
        <f>IF('装備品'!A8="","",CONCATENATE('装備品'!A8,IF('装備品'!P8="","",CONCATENATE("(レーティング",'装備品'!P8,")")),IF('装備品'!N8="","",IF('装備品'!N8=1,"",CONCATENATE("×",'装備品'!N8))),CONCATENATE("　　",'装備品'!R8,"￥")))</f>
        <v>　銃座（弾薬250発セット可能×3　　7500￥</v>
      </c>
    </row>
    <row r="7" ht="11.25">
      <c r="A7" t="str">
        <f>IF('装備品'!A9="","",CONCATENATE('装備品'!A9,IF('装備品'!P9="","",CONCATENATE("(レーティング",'装備品'!P9,")")),IF('装備品'!N9="","",IF('装備品'!N9=1,"",CONCATENATE("×",'装備品'!N9))),CONCATENATE("　　",'装備品'!R9,"￥")))</f>
        <v>　オートソフト（防御/レーティング４　　2000￥</v>
      </c>
    </row>
    <row r="8" ht="11.25">
      <c r="A8" t="str">
        <f>IF('装備品'!A10="","",CONCATENATE('装備品'!A10,IF('装備品'!P10="","",CONCATENATE("(レーティング",'装備品'!P10,")")),IF('装備品'!N10="","",IF('装備品'!N10=1,"",CONCATENATE("×",'装備品'!N10))),CONCATENATE("　　",'装備品'!R10,"￥")))</f>
        <v>　オートソフト（機動/レーティング４　　2000￥</v>
      </c>
    </row>
    <row r="9" ht="11.25">
      <c r="A9" t="str">
        <f>IF('装備品'!A11="","",CONCATENATE('装備品'!A11,IF('装備品'!P11="","",CONCATENATE("(レーティング",'装備品'!P11,")")),IF('装備品'!N11="","",IF('装備品'!N11=1,"",CONCATENATE("×",'装備品'!N11))),CONCATENATE("　　",'装備品'!R11,"￥")))</f>
        <v>　オートソフト（照準・４　　2000￥</v>
      </c>
    </row>
    <row r="10" ht="11.25">
      <c r="A10">
        <f>IF('装備品'!A12="","",CONCATENATE('装備品'!A12,IF('装備品'!P12="","",CONCATENATE("(レーティング",'装備品'!P12,")")),IF('装備品'!N12="","",IF('装備品'!N12=1,"",CONCATENATE("×",'装備品'!N12))),CONCATENATE("　　",'装備品'!R12,"￥")))</f>
      </c>
    </row>
    <row r="11" ht="11.25">
      <c r="A11">
        <f>IF('装備品'!A13="","",CONCATENATE('装備品'!A13,IF('装備品'!P13="","",CONCATENATE("(レーティング",'装備品'!P13,")")),IF('装備品'!N13="","",IF('装備品'!N13=1,"",CONCATENATE("×",'装備品'!N13))),CONCATENATE("　　",'装備品'!R13,"￥")))</f>
      </c>
    </row>
    <row r="12" ht="11.25">
      <c r="A12" t="str">
        <f>IF('装備品'!A14="","",CONCATENATE('装備品'!A14,IF('装備品'!P14="","",CONCATENATE("(レーティング",'装備品'!P14,")")),IF('装備品'!N14="","",IF('装備品'!N14=1,"",CONCATENATE("×",'装備品'!N14))),CONCATENATE("　　",'装備品'!R14,"￥")))</f>
        <v>GMCブルドッグ・ステップバン　　35000￥</v>
      </c>
    </row>
    <row r="13" ht="11.25">
      <c r="A13" t="str">
        <f>IF('装備品'!A15="","",CONCATENATE('装備品'!A15,IF('装備品'!P15="","",CONCATENATE("(レーティング",'装備品'!P15,")")),IF('装備品'!N15="","",IF('装備品'!N15=1,"",CONCATENATE("×",'装備品'!N15))),CONCATENATE("　　",'装備品'!R15,"￥")))</f>
        <v>　ヴィークル改造（リガー対応　　2500￥</v>
      </c>
    </row>
    <row r="14" ht="11.25">
      <c r="A14" t="str">
        <f>IF('装備品'!A16="","",CONCATENATE('装備品'!A16,IF('装備品'!P16="","",CONCATENATE("(レーティング",'装備品'!P16,")")),IF('装備品'!N16="","",IF('装備品'!N16=1,"",CONCATENATE("×",'装備品'!N16))),CONCATENATE("　　",'装備品'!R16,"￥")))</f>
        <v>　オートソフト（機動/レーティング４　　2000￥</v>
      </c>
    </row>
    <row r="15" ht="11.25">
      <c r="A15" t="str">
        <f>IF('装備品'!A17="","",CONCATENATE('装備品'!A17,IF('装備品'!P17="","",CONCATENATE("(レーティング",'装備品'!P17,")")),IF('装備品'!N17="","",IF('装備品'!N17=1,"",CONCATENATE("×",'装備品'!N17))),CONCATENATE("　　",'装備品'!R17,"￥")))</f>
        <v>　オートソフト（防御/レーティング４　　2000￥</v>
      </c>
    </row>
    <row r="16" ht="11.25">
      <c r="A16">
        <f>IF('装備品'!A18="","",CONCATENATE('装備品'!A18,IF('装備品'!P18="","",CONCATENATE("(レーティング",'装備品'!P18,")")),IF('装備品'!N18="","",IF('装備品'!N18=1,"",CONCATENATE("×",'装備品'!N18))),CONCATENATE("　　",'装備品'!R18,"￥")))</f>
      </c>
    </row>
    <row r="17" ht="11.25">
      <c r="A17" t="str">
        <f>IF('装備品'!A19="","",CONCATENATE('装備品'!A19,IF('装備品'!P19="","",CONCATENATE("(レーティング",'装備品'!P19,")")),IF('装備品'!N19="","",IF('装備品'!N19=1,"",CONCATENATE("×",'装備品'!N19))),CONCATENATE("　　",'装備品'!R19,"￥")))</f>
        <v>MCTフライスパイ（機動/レーティング２　　2000￥</v>
      </c>
    </row>
    <row r="18" ht="11.25">
      <c r="A18" t="str">
        <f>IF('装備品'!A20="","",CONCATENATE('装備品'!A20,IF('装備品'!P20="","",CONCATENATE("(レーティング",'装備品'!P20,")")),IF('装備品'!N20="","",IF('装備品'!N20=1,"",CONCATENATE("×",'装備品'!N20))),CONCATENATE("　　",'装備品'!R20,"￥")))</f>
        <v>　オートソフト（鮮明化/レーティング４　　2000￥</v>
      </c>
    </row>
    <row r="19" ht="11.25">
      <c r="A19" t="str">
        <f>IF('装備品'!A21="","",CONCATENATE('装備品'!A21,IF('装備品'!P21="","",CONCATENATE("(レーティング",'装備品'!P21,")")),IF('装備品'!N21="","",IF('装備品'!N21=1,"",CONCATENATE("×",'装備品'!N21))),CONCATENATE("　　",'装備品'!R21,"￥")))</f>
        <v>　パイロットプログラム（レーティング６　　15000￥</v>
      </c>
    </row>
    <row r="20" ht="11.25">
      <c r="A20" t="str">
        <f>IF('装備品'!A22="","",CONCATENATE('装備品'!A22,IF('装備品'!P22="","",CONCATENATE("(レーティング",'装備品'!P22,")")),IF('装備品'!N22="","",IF('装備品'!N22=1,"",CONCATENATE("×",'装備品'!N22))),CONCATENATE("　　",'装備品'!R22,"￥")))</f>
        <v>　オートソフト（機動/レーティング４　　2000￥</v>
      </c>
    </row>
    <row r="21" ht="11.25">
      <c r="A21">
        <f>IF('装備品'!A23="","",CONCATENATE('装備品'!A23,IF('装備品'!P23="","",CONCATENATE("(レーティング",'装備品'!P23,")")),IF('装備品'!N23="","",IF('装備品'!N23=1,"",CONCATENATE("×",'装備品'!N23))),CONCATENATE("　　",'装備品'!R23,"￥")))</f>
      </c>
    </row>
    <row r="22" ht="11.25">
      <c r="A22" t="str">
        <f>IF('装備品'!A24="","",CONCATENATE('装備品'!A24,IF('装備品'!P24="","",CONCATENATE("(レーティング",'装備品'!P24,")")),IF('装備品'!N24="","",IF('装備品'!N24=1,"",CONCATENATE("×",'装備品'!N24))),CONCATENATE("　　",'装備品'!R24,"￥")))</f>
        <v>GM-ニッサン・ドーベルマン（鮮明化３・照準３　　3000￥</v>
      </c>
    </row>
    <row r="23" ht="11.25">
      <c r="A23" t="str">
        <f>IF('装備品'!A25="","",CONCATENATE('装備品'!A25,IF('装備品'!P25="","",CONCATENATE("(レーティング",'装備品'!P25,")")),IF('装備品'!N25="","",IF('装備品'!N25=1,"",CONCATENATE("×",'装備品'!N25))),CONCATENATE("　　",'装備品'!R25,"￥")))</f>
        <v>　パイロットプログラム（レーティング６　　15000￥</v>
      </c>
    </row>
    <row r="24" ht="11.25">
      <c r="A24" t="str">
        <f>IF('装備品'!A26="","",CONCATENATE('装備品'!A26,IF('装備品'!P26="","",CONCATENATE("(レーティング",'装備品'!P26,")")),IF('装備品'!N26="","",IF('装備品'!N26=1,"",CONCATENATE("×",'装備品'!N26))),CONCATENATE("　　",'装備品'!R26,"￥")))</f>
        <v>　オートソフト（照準・４　　2000￥</v>
      </c>
    </row>
    <row r="25" ht="11.25">
      <c r="A25" t="str">
        <f>IF('装備品'!A27="","",CONCATENATE('装備品'!A27,IF('装備品'!P27="","",CONCATENATE("(レーティング",'装備品'!P27,")")),IF('装備品'!N27="","",IF('装備品'!N27=1,"",CONCATENATE("×",'装備品'!N27))),CONCATENATE("　　",'装備品'!R27,"￥")))</f>
        <v>　オートソフト（機動・４　　2000￥</v>
      </c>
    </row>
    <row r="26" ht="11.25">
      <c r="A26" t="str">
        <f>IF('装備品'!A28="","",CONCATENATE('装備品'!A28,IF('装備品'!P28="","",CONCATENATE("(レーティング",'装備品'!P28,")")),IF('装備品'!N28="","",IF('装備品'!N28=1,"",CONCATENATE("×",'装備品'!N28))),CONCATENATE("　　",'装備品'!R28,"￥")))</f>
        <v>　イングラム・ホワイトナイト（LMG/折畳式ストック（着脱可）、ガスベント5/スマート化）　　4000￥</v>
      </c>
    </row>
    <row r="27" ht="11.25">
      <c r="A27">
        <f>IF('装備品'!A29="","",CONCATENATE('装備品'!A29,IF('装備品'!P29="","",CONCATENATE("(レーティング",'装備品'!P29,")")),IF('装備品'!N29="","",IF('装備品'!N29=1,"",CONCATENATE("×",'装備品'!N29))),CONCATENATE("　　",'装備品'!R29,"￥")))</f>
      </c>
    </row>
    <row r="28" ht="11.25">
      <c r="A28">
        <f>IF('装備品'!A30="","",CONCATENATE('装備品'!A30,IF('装備品'!P30="","",CONCATENATE("(レーティング",'装備品'!P30,")")),IF('装備品'!N30="","",IF('装備品'!N30=1,"",CONCATENATE("×",'装備品'!N30))),CONCATENATE("　　",'装備品'!R30,"￥")))</f>
      </c>
    </row>
    <row r="29" ht="11.25">
      <c r="A29">
        <f>IF('装備品'!A31="","",CONCATENATE('装備品'!A31,IF('装備品'!P31="","",CONCATENATE("(レーティング",'装備品'!P31,")")),IF('装備品'!N31="","",IF('装備品'!N31=1,"",CONCATENATE("×",'装備品'!N31))),CONCATENATE("　　",'装備品'!R31,"￥")))</f>
      </c>
    </row>
    <row r="30" ht="11.25">
      <c r="A30">
        <f>IF('装備品'!A32="","",CONCATENATE('装備品'!A32,IF('装備品'!P32="","",CONCATENATE("(レーティング",'装備品'!P32,")")),IF('装備品'!N32="","",IF('装備品'!N32=1,"",CONCATENATE("×",'装備品'!N32))),CONCATENATE("　　",'装備品'!R32,"￥")))</f>
      </c>
    </row>
    <row r="31" ht="11.25">
      <c r="A31">
        <f>IF('装備品'!A33="","",CONCATENATE('装備品'!A33,IF('装備品'!P33="","",CONCATENATE("(レーティング",'装備品'!P33,")")),IF('装備品'!N33="","",IF('装備品'!N33=1,"",CONCATENATE("×",'装備品'!N33))),CONCATENATE("　　",'装備品'!R33,"￥")))</f>
      </c>
    </row>
    <row r="32" ht="11.25">
      <c r="A32" t="str">
        <f>IF('装備品'!A34="","",CONCATENATE('装備品'!A34,IF('装備品'!P34="","",CONCATENATE("(レーティング",'装備品'!P34,")")),IF('装備品'!N34="","",IF('装備品'!N34=1,"",CONCATENATE("×",'装備品'!N34))),CONCATENATE("　　",'装備品'!R34,"￥")))</f>
        <v>セスカ・ブラック・スコーピオン（MP/スマート化・サイレンサー）　　1300￥</v>
      </c>
    </row>
    <row r="33" ht="11.25">
      <c r="A33" t="str">
        <f>IF('装備品'!A35="","",CONCATENATE('装備品'!A35,IF('装備品'!P35="","",CONCATENATE("(レーティング",'装備品'!P35,")")),IF('装備品'!N35="","",IF('装備品'!N35=1,"",CONCATENATE("×",'装備品'!N35))),CONCATENATE("　　",'装備品'!R35,"￥")))</f>
        <v>アレス・アルファ（AL・GR/エアバーストリンク/スマートガン、2点の反動補正薬室）　　2200￥</v>
      </c>
    </row>
    <row r="34" ht="11.25">
      <c r="A34" t="str">
        <f>IF('装備品'!A36="","",CONCATENATE('装備品'!A36,IF('装備品'!P36="","",CONCATENATE("(レーティング",'装備品'!P36,")")),IF('装備品'!N36="","",IF('装備品'!N36=1,"",CONCATENATE("×",'装備品'!N36))),CONCATENATE("　　",'装備品'!R36,"￥")))</f>
        <v>　通常弾（10）×150　　3000￥</v>
      </c>
    </row>
    <row r="35" ht="11.25">
      <c r="A35" t="str">
        <f>IF('装備品'!A37="","",CONCATENATE('装備品'!A37,IF('装備品'!P37="","",CONCATENATE("(レーティング",'装備品'!P37,")")),IF('装備品'!N37="","",IF('装備品'!N37=1,"",CONCATENATE("×",'装備品'!N37))),CONCATENATE("　　",'装備品'!R37,"￥")))</f>
        <v>　破片手榴弾（グレネードランチャー用×10　　350￥</v>
      </c>
    </row>
    <row r="36" ht="11.25">
      <c r="A36">
        <f>IF('装備品'!A38="","",CONCATENATE('装備品'!A38,IF('装備品'!P38="","",CONCATENATE("(レーティング",'装備品'!P38,")")),IF('装備品'!N38="","",IF('装備品'!N38=1,"",CONCATENATE("×",'装備品'!N38))),CONCATENATE("　　",'装備品'!R38,"￥")))</f>
      </c>
    </row>
    <row r="37" ht="11.25">
      <c r="A37" t="str">
        <f>IF('装備品'!A39="","",CONCATENATE('装備品'!A39,IF('装備品'!P39="","",CONCATENATE("(レーティング",'装備品'!P39,")")),IF('装備品'!N39="","",IF('装備品'!N39=1,"",CONCATENATE("×",'装備品'!N39))),CONCATENATE("　　",'装備品'!R39,"￥")))</f>
        <v>アーマージャケット　　900￥</v>
      </c>
    </row>
    <row r="38" ht="11.25">
      <c r="A38">
        <f>IF('装備品'!A40="","",CONCATENATE('装備品'!A40,IF('装備品'!P40="","",CONCATENATE("(レーティング",'装備品'!P40,")")),IF('装備品'!N40="","",IF('装備品'!N40=1,"",CONCATENATE("×",'装備品'!N40))),CONCATENATE("　　",'装備品'!R40,"￥")))</f>
      </c>
    </row>
    <row r="39" ht="11.25">
      <c r="A39">
        <f>IF('装備品'!A41="","",CONCATENATE('装備品'!A41,IF('装備品'!P41="","",CONCATENATE("(レーティング",'装備品'!P41,")")),IF('装備品'!N41="","",IF('装備品'!N41=1,"",CONCATENATE("×",'装備品'!N41))),CONCATENATE("　　",'装備品'!R41,"￥")))</f>
      </c>
    </row>
    <row r="40" ht="11.25">
      <c r="A40">
        <f>IF('装備品'!A42="","",CONCATENATE('装備品'!A42,IF('装備品'!P42="","",CONCATENATE("(レーティング",'装備品'!P42,")")),IF('装備品'!N42="","",IF('装備品'!N42=1,"",CONCATENATE("×",'装備品'!N42))),CONCATENATE("　　",'装備品'!R42,"￥")))</f>
      </c>
    </row>
    <row r="41" ht="11.25">
      <c r="A41">
        <f>IF('装備品'!A43="","",CONCATENATE('装備品'!A43,IF('装備品'!P43="","",CONCATENATE("(レーティング",'装備品'!P43,")")),IF('装備品'!N43="","",IF('装備品'!N43=1,"",CONCATENATE("×",'装備品'!N43))),CONCATENATE("　　",'装備品'!R43,"￥")))</f>
      </c>
    </row>
    <row r="42" ht="11.25">
      <c r="A42" t="str">
        <f>IF('装備品'!A44="","",CONCATENATE('装備品'!A44,IF('装備品'!P44="","",CONCATENATE("(レーティング",'装備品'!P44,")")),IF('装備品'!N44="","",IF('装備品'!N44=1,"",CONCATENATE("×",'装備品'!N44))),CONCATENATE("　　",'装備品'!R44,"￥")))</f>
        <v>レンラク・センセイ　　1000￥</v>
      </c>
    </row>
    <row r="43" ht="11.25">
      <c r="A43" t="str">
        <f>IF('装備品'!A45="","",CONCATENATE('装備品'!A45,IF('装備品'!P45="","",CONCATENATE("(レーティング",'装備品'!P45,")")),IF('装備品'!N45="","",IF('装備品'!N45=1,"",CONCATENATE("×",'装備品'!N45))),CONCATENATE("　　",'装備品'!R45,"￥")))</f>
        <v>　ノヴァテック・ナヴィ　　1500￥</v>
      </c>
    </row>
    <row r="44" ht="11.25">
      <c r="A44" t="str">
        <f>IF('装備品'!A46="","",CONCATENATE('装備品'!A46,IF('装備品'!P46="","",CONCATENATE("(レーティング",'装備品'!P46,")")),IF('装備品'!N46="","",IF('装備品'!N46=1,"",CONCATENATE("×",'装備品'!N46))),CONCATENATE("　　",'装備品'!R46,"￥")))</f>
        <v>　ナノペースト・トロード　　100￥</v>
      </c>
    </row>
    <row r="45" ht="11.25">
      <c r="A45" t="str">
        <f>IF('装備品'!A47="","",CONCATENATE('装備品'!A47,IF('装備品'!P47="","",CONCATENATE("(レーティング",'装備品'!P47,")")),IF('装備品'!N47="","",IF('装備品'!N47=1,"",CONCATENATE("×",'装備品'!N47))),CONCATENATE("　　",'装備品'!R47,"￥")))</f>
        <v>　シム・モジュール（BTL・ホットシム対応）　　250￥</v>
      </c>
    </row>
    <row r="46" ht="11.25">
      <c r="A46" t="str">
        <f>IF('装備品'!A48="","",CONCATENATE('装備品'!A48,IF('装備品'!P48="","",CONCATENATE("(レーティング",'装備品'!P48,")")),IF('装備品'!N48="","",IF('装備品'!N48=1,"",CONCATENATE("×",'装備品'!N48))),CONCATENATE("　　",'装備品'!R48,"￥")))</f>
        <v>　サブボーカルマイク　　50￥</v>
      </c>
    </row>
    <row r="47" ht="11.25">
      <c r="A47" t="str">
        <f>IF('装備品'!A49="","",CONCATENATE('装備品'!A49,IF('装備品'!P49="","",CONCATENATE("(レーティング",'装備品'!P49,")")),IF('装備品'!N49="","",IF('装備品'!N49=1,"",CONCATENATE("×",'装備品'!N49))),CONCATENATE("　　",'装備品'!R49,"￥")))</f>
        <v>偽造SIN（レーティング２　　2000￥</v>
      </c>
    </row>
    <row r="48" ht="11.25">
      <c r="A48" t="str">
        <f>IF('装備品'!A50="","",CONCATENATE('装備品'!A50,IF('装備品'!P50="","",CONCATENATE("(レーティング",'装備品'!P50,")")),IF('装備品'!N50="","",IF('装備品'!N50=1,"",CONCATENATE("×",'装備品'!N50))),CONCATENATE("　　",'装備品'!R50,"￥")))</f>
        <v>偽造SIN（レーティング２　　2000￥</v>
      </c>
    </row>
    <row r="49" ht="11.25">
      <c r="A49" t="str">
        <f>IF('装備品'!A51="","",CONCATENATE('装備品'!A51,IF('装備品'!P51="","",CONCATENATE("(レーティング",'装備品'!P51,")")),IF('装備品'!N51="","",IF('装備品'!N51=1,"",CONCATENATE("×",'装備品'!N51))),CONCATENATE("　　",'装備品'!R51,"￥")))</f>
        <v>偽造SIN（レーティング４　　4000￥</v>
      </c>
    </row>
    <row r="50" ht="11.25">
      <c r="A50" t="str">
        <f>IF('装備品'!A52="","",CONCATENATE('装備品'!A52,IF('装備品'!P52="","",CONCATENATE("(レーティング",'装備品'!P52,")")),IF('装備品'!N52="","",IF('装備品'!N52=1,"",CONCATENATE("×",'装備品'!N52))),CONCATENATE("　　",'装備品'!R52,"￥")))</f>
        <v>偽造免許（レーティング４　　400￥</v>
      </c>
    </row>
    <row r="51" ht="11.25">
      <c r="A51" t="str">
        <f>IF('装備品'!A53="","",CONCATENATE('装備品'!A53,IF('装備品'!P53="","",CONCATENATE("(レーティング",'装備品'!P53,")")),IF('装備品'!N53="","",IF('装備品'!N53=1,"",CONCATENATE("×",'装備品'!N53))),CONCATENATE("　　",'装備品'!R53,"￥")))</f>
        <v>偽造免許（レーティング６　　600￥</v>
      </c>
    </row>
    <row r="52" ht="11.25">
      <c r="A52" t="str">
        <f>IF('装備品'!A54="","",CONCATENATE('装備品'!A54,IF('装備品'!P54="","",CONCATENATE("(レーティング",'装備品'!P54,")")),IF('装備品'!N54="","",IF('装備品'!N54=1,"",CONCATENATE("×",'装備品'!N54))),CONCATENATE("　　",'装備品'!R54,"￥")))</f>
        <v>工具（ショップ　　5000￥</v>
      </c>
    </row>
    <row r="53" ht="11.25">
      <c r="A53" t="str">
        <f>IF('装備品'!A55="","",CONCATENATE('装備品'!A55,IF('装備品'!P55="","",CONCATENATE("(レーティング",'装備品'!P55,")")),IF('装備品'!N55="","",IF('装備品'!N55=1,"",CONCATENATE("×",'装備品'!N55))),CONCATENATE("　　",'装備品'!R55,"￥")))</f>
        <v>工具（携帯　　500￥</v>
      </c>
    </row>
    <row r="54" ht="11.25">
      <c r="A54" t="str">
        <f>IF('装備品'!A56="","",CONCATENATE('装備品'!A56,IF('装備品'!P56="","",CONCATENATE("(レーティング",'装備品'!P56,")")),IF('装備品'!N56="","",IF('装備品'!N56=1,"",CONCATENATE("×",'装備品'!N56))),CONCATENATE("　　",'装備品'!R56,"￥")))</f>
        <v>サバイバルキット　　100￥</v>
      </c>
    </row>
    <row r="55" ht="11.25">
      <c r="A55" t="str">
        <f>IF('装備品'!A57="","",CONCATENATE('装備品'!A57,IF('装備品'!P57="","",CONCATENATE("(レーティング",'装備品'!P57,")")),IF('装備品'!N57="","",IF('装備品'!N57=1,"",CONCATENATE("×",'装備品'!N57))),CONCATENATE("　　",'装備品'!R57,"￥")))</f>
        <v>ロープ（100m　　50￥</v>
      </c>
    </row>
    <row r="56" ht="11.25">
      <c r="A56">
        <f>IF('装備品'!A58="","",CONCATENATE('装備品'!A58,IF('装備品'!P58="","",CONCATENATE("(レーティング",'装備品'!P58,")")),IF('装備品'!N58="","",IF('装備品'!N58=1,"",CONCATENATE("×",'装備品'!N58))),CONCATENATE("　　",'装備品'!R58,"￥")))</f>
      </c>
    </row>
    <row r="57" ht="11.25">
      <c r="A57" t="str">
        <f>IF('装備品'!A59="","",CONCATENATE('装備品'!A59,IF('装備品'!P59="","",CONCATENATE("(レーティング",'装備品'!P59,")")),IF('装備品'!N59="","",IF('装備品'!N59=1,"",CONCATENATE("×",'装備品'!N59))),CONCATENATE("　　",'装備品'!R59,"￥")))</f>
        <v>ドクワゴン（ベーシック　　5000￥</v>
      </c>
    </row>
    <row r="58" ht="11.25">
      <c r="A58" t="str">
        <f>IF('装備品'!A60="","",CONCATENATE('装備品'!A60,IF('装備品'!P60="","",CONCATENATE("(レーティング",'装備品'!P60,")")),IF('装備品'!N60="","",IF('装備品'!N60=1,"",CONCATENATE("×",'装備品'!N60))),CONCATENATE("　　",'装備品'!R60,"￥")))</f>
        <v>覚醒パッチ（レーティング２×2　　100￥</v>
      </c>
    </row>
    <row r="59" ht="11.25">
      <c r="A59">
        <f>IF('装備品'!A61="","",CONCATENATE('装備品'!A61,IF('装備品'!P61="","",CONCATENATE("(レーティング",'装備品'!P61,")")),IF('装備品'!N61="","",IF('装備品'!N61=1,"",CONCATENATE("×",'装備品'!N61))),CONCATENATE("　　",'装備品'!R61,"￥")))</f>
      </c>
    </row>
    <row r="60" ht="11.25">
      <c r="A60">
        <f>IF('装備品'!A62="","",CONCATENATE('装備品'!A62,IF('装備品'!P62="","",CONCATENATE("(レーティング",'装備品'!P62,")")),IF('装備品'!N62="","",IF('装備品'!N62=1,"",CONCATENATE("×",'装備品'!N62))),CONCATENATE("　　",'装備品'!R62,"￥")))</f>
      </c>
    </row>
    <row r="61" ht="11.25">
      <c r="A61">
        <f>IF('装備品'!A63="","",CONCATENATE('装備品'!A63,IF('装備品'!P63="","",CONCATENATE("(レーティング",'装備品'!P63,")")),IF('装備品'!N63="","",IF('装備品'!N63=1,"",CONCATENATE("×",'装備品'!N63))),CONCATENATE("　　",'装備品'!R63,"￥")))</f>
      </c>
    </row>
    <row r="63" ht="11.25">
      <c r="A63" t="s">
        <v>308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33203125" defaultRowHeight="11.25"/>
  <cols>
    <col min="1" max="23" width="4.83203125" style="0" customWidth="1"/>
  </cols>
  <sheetData>
    <row r="1" ht="11.25">
      <c r="A1" t="s">
        <v>1</v>
      </c>
    </row>
    <row r="2" ht="11.25">
      <c r="A2" t="s">
        <v>3</v>
      </c>
    </row>
    <row r="3" ht="11.25">
      <c r="A3" t="s">
        <v>6</v>
      </c>
    </row>
    <row r="4" ht="11.25">
      <c r="A4" t="s">
        <v>9</v>
      </c>
    </row>
    <row r="5" ht="11.25">
      <c r="A5" t="s">
        <v>11</v>
      </c>
    </row>
    <row r="6" ht="11.25">
      <c r="A6" t="s">
        <v>13</v>
      </c>
    </row>
    <row r="7" ht="11.25">
      <c r="A7" t="s">
        <v>14</v>
      </c>
    </row>
    <row r="8" ht="11.25">
      <c r="A8" t="s">
        <v>16</v>
      </c>
    </row>
    <row r="9" ht="11.25">
      <c r="A9" t="s">
        <v>309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1"/>
  <sheetViews>
    <sheetView workbookViewId="0" topLeftCell="A1">
      <selection activeCell="A1" sqref="A1"/>
    </sheetView>
  </sheetViews>
  <sheetFormatPr defaultColWidth="9.33203125" defaultRowHeight="11.25"/>
  <sheetData>
    <row r="1" ht="11.25">
      <c r="A1" t="str">
        <f>CONCATENATE("アデプトパワー(",'魔術'!F42,"BP)")</f>
        <v>アデプトパワー(1BP)</v>
      </c>
    </row>
    <row r="2" ht="11.25">
      <c r="A2" t="str">
        <f>IF('魔術'!L6="","",CONCATENATE('魔術'!L6,IF('魔術'!Q6="","",CONCATENATE("[",'魔術'!Q6,"]")),IF('魔術'!T6="","",CONCATENATE("：",'魔術'!T6))))</f>
        <v>アストラル知覚</v>
      </c>
    </row>
    <row r="3" ht="11.25">
      <c r="A3">
        <f>IF('魔術'!L7="","",CONCATENATE('魔術'!L7,IF('魔術'!Q7="","",CONCATENATE("[",'魔術'!Q7,"]")),IF('魔術'!T7="","",CONCATENATE("：",'魔術'!T7))))</f>
      </c>
    </row>
    <row r="4" ht="11.25">
      <c r="A4">
        <f>IF('魔術'!L8="","",CONCATENATE('魔術'!L8,IF('魔術'!Q8="","",CONCATENATE("[",'魔術'!Q8,"]")),IF('魔術'!T8="","",CONCATENATE("：",'魔術'!T8))))</f>
      </c>
    </row>
    <row r="5" ht="11.25">
      <c r="A5">
        <f>IF('魔術'!L9="","",CONCATENATE('魔術'!L9,IF('魔術'!Q9="","",CONCATENATE("[",'魔術'!Q9,"]")),IF('魔術'!T9="","",CONCATENATE("：",'魔術'!T9))))</f>
      </c>
    </row>
    <row r="6" ht="11.25">
      <c r="A6">
        <f>IF('魔術'!L10="","",CONCATENATE('魔術'!L10,IF('魔術'!Q10="","",CONCATENATE("[",'魔術'!Q10,"]")),IF('魔術'!T10="","",CONCATENATE("：",'魔術'!T10))))</f>
      </c>
    </row>
    <row r="7" ht="11.25">
      <c r="A7">
        <f>IF('魔術'!L11="","",CONCATENATE('魔術'!L11,IF('魔術'!Q11="","",CONCATENATE("[",'魔術'!Q11,"]")),IF('魔術'!T11="","",CONCATENATE("：",'魔術'!T11))))</f>
      </c>
    </row>
    <row r="8" ht="11.25">
      <c r="A8">
        <f>IF('魔術'!L12="","",CONCATENATE('魔術'!L12,IF('魔術'!Q12="","",CONCATENATE("[",'魔術'!Q12,"]")),IF('魔術'!T12="","",CONCATENATE("：",'魔術'!T12))))</f>
      </c>
    </row>
    <row r="9" ht="11.25">
      <c r="A9">
        <f>IF('魔術'!L13="","",CONCATENATE('魔術'!L13,IF('魔術'!Q13="","",CONCATENATE("[",'魔術'!Q13,"]")),IF('魔術'!T13="","",CONCATENATE("：",'魔術'!T13))))</f>
      </c>
    </row>
    <row r="10" ht="11.25">
      <c r="A10">
        <f>IF('魔術'!L14="","",CONCATENATE('魔術'!L14,IF('魔術'!Q14="","",CONCATENATE("[",'魔術'!Q14,"]")),IF('魔術'!T14="","",CONCATENATE("：",'魔術'!T14))))</f>
      </c>
    </row>
    <row r="11" ht="11.25">
      <c r="A11">
        <f>IF('魔術'!L15="","",CONCATENATE('魔術'!L15,IF('魔術'!Q15="","",CONCATENATE("[",'魔術'!Q15,"]")),IF('魔術'!T15="","",CONCATENATE("：",'魔術'!T15))))</f>
      </c>
    </row>
    <row r="12" ht="11.25">
      <c r="A12">
        <f>IF('魔術'!L16="","",CONCATENATE('魔術'!L16,IF('魔術'!Q16="","",CONCATENATE("[",'魔術'!Q16,"]")),IF('魔術'!T16="","",CONCATENATE("：",'魔術'!T16))))</f>
      </c>
    </row>
    <row r="13" ht="11.25">
      <c r="A13">
        <f>IF('魔術'!L17="","",CONCATENATE('魔術'!L17,IF('魔術'!Q17="","",CONCATENATE("[",'魔術'!Q17,"]")),IF('魔術'!T17="","",CONCATENATE("：",'魔術'!T17))))</f>
      </c>
    </row>
    <row r="14" ht="11.25">
      <c r="A14">
        <f>IF('魔術'!L18="","",CONCATENATE('魔術'!L18,IF('魔術'!Q18="","",CONCATENATE("[",'魔術'!Q18,"]")),IF('魔術'!T18="","",CONCATENATE("：",'魔術'!T18))))</f>
      </c>
    </row>
    <row r="15" ht="11.25">
      <c r="A15">
        <f>IF('魔術'!L19="","",CONCATENATE('魔術'!L19,IF('魔術'!Q19="","",CONCATENATE("[",'魔術'!Q19,"]")),IF('魔術'!T19="","",CONCATENATE("：",'魔術'!T19))))</f>
      </c>
    </row>
    <row r="16" ht="11.25">
      <c r="A16">
        <f>IF('魔術'!L20="","",CONCATENATE('魔術'!L20,IF('魔術'!Q20="","",CONCATENATE("[",'魔術'!Q20,"]")),IF('魔術'!T20="","",CONCATENATE("：",'魔術'!T20))))</f>
      </c>
    </row>
    <row r="17" ht="11.25">
      <c r="A17">
        <f>IF('魔術'!L21="","",CONCATENATE('魔術'!L21,IF('魔術'!Q21="","",CONCATENATE("[",'魔術'!Q21,"]")),IF('魔術'!T21="","",CONCATENATE("：",'魔術'!T21))))</f>
      </c>
    </row>
    <row r="18" ht="11.25">
      <c r="A18">
        <f>IF('魔術'!L22="","",CONCATENATE('魔術'!L22,IF('魔術'!Q22="","",CONCATENATE("[",'魔術'!Q22,"]")),IF('魔術'!T22="","",CONCATENATE("：",'魔術'!T22))))</f>
      </c>
    </row>
    <row r="20" ht="11.25">
      <c r="A20" t="str">
        <f>CONCATENATE("呪文(",'魔術'!F39,"BP)")</f>
        <v>呪文(12BP)</v>
      </c>
    </row>
    <row r="21" ht="11.25">
      <c r="A21" t="str">
        <f>IF('魔術'!A6="","",CONCATENATE('魔術'!A6,IF('魔術'!F6="","",CONCATENATE("[",'魔術'!F6,"]"))))</f>
        <v>治癒</v>
      </c>
    </row>
    <row r="22" ht="11.25">
      <c r="A22" t="str">
        <f>IF('魔術'!A7="","",CONCATENATE('魔術'!A7,IF('魔術'!F7="","",CONCATENATE("[",'魔術'!F7,"]"))))</f>
        <v>精神連結</v>
      </c>
    </row>
    <row r="23" ht="11.25">
      <c r="A23" t="str">
        <f>IF('魔術'!A8="","",CONCATENATE('魔術'!A8,IF('魔術'!F8="","",CONCATENATE("[",'魔術'!F8,"]"))))</f>
        <v>氷膜</v>
      </c>
    </row>
    <row r="24" ht="11.25">
      <c r="A24" t="str">
        <f>IF('魔術'!A9="","",CONCATENATE('魔術'!A9,IF('魔術'!F9="","",CONCATENATE("[",'魔術'!F9,"]"))))</f>
        <v>空中浮遊</v>
      </c>
    </row>
    <row r="25" ht="11.25">
      <c r="A25">
        <f>IF('魔術'!A10="","",CONCATENATE('魔術'!A10,IF('魔術'!F10="","",CONCATENATE("[",'魔術'!F10,"]"))))</f>
      </c>
    </row>
    <row r="26" ht="11.25">
      <c r="A26">
        <f>IF('魔術'!A11="","",CONCATENATE('魔術'!A11,IF('魔術'!F11="","",CONCATENATE("[",'魔術'!F11,"]"))))</f>
      </c>
    </row>
    <row r="27" ht="11.25">
      <c r="A27">
        <f>IF('魔術'!A12="","",CONCATENATE('魔術'!A12,IF('魔術'!F12="","",CONCATENATE("[",'魔術'!F12,"]"))))</f>
      </c>
    </row>
    <row r="28" ht="11.25">
      <c r="A28">
        <f>IF('魔術'!A13="","",CONCATENATE('魔術'!A13,IF('魔術'!F13="","",CONCATENATE("[",'魔術'!F13,"]"))))</f>
      </c>
    </row>
    <row r="29" ht="11.25">
      <c r="A29">
        <f>IF('魔術'!A14="","",CONCATENATE('魔術'!A14,IF('魔術'!F14="","",CONCATENATE("[",'魔術'!F14,"]"))))</f>
      </c>
    </row>
    <row r="30" ht="11.25">
      <c r="A30">
        <f>IF('魔術'!A15="","",CONCATENATE('魔術'!A15,IF('魔術'!F15="","",CONCATENATE("[",'魔術'!F15,"]"))))</f>
      </c>
    </row>
    <row r="31" ht="11.25">
      <c r="A31">
        <f>IF('魔術'!A16="","",CONCATENATE('魔術'!A16,IF('魔術'!F16="","",CONCATENATE("[",'魔術'!F16,"]"))))</f>
      </c>
    </row>
    <row r="32" ht="11.25">
      <c r="A32">
        <f>IF('魔術'!A17="","",CONCATENATE('魔術'!A17,IF('魔術'!F17="","",CONCATENATE("[",'魔術'!F17,"]"))))</f>
      </c>
    </row>
    <row r="33" ht="11.25">
      <c r="A33">
        <f>IF('魔術'!A18="","",CONCATENATE('魔術'!A18,IF('魔術'!F18="","",CONCATENATE("[",'魔術'!F18,"]"))))</f>
      </c>
    </row>
    <row r="34" ht="11.25">
      <c r="A34">
        <f>IF('魔術'!A19="","",CONCATENATE('魔術'!A19,IF('魔術'!F19="","",CONCATENATE("[",'魔術'!F19,"]"))))</f>
      </c>
    </row>
    <row r="35" ht="11.25">
      <c r="A35">
        <f>IF('魔術'!A20="","",CONCATENATE('魔術'!A20,IF('魔術'!F20="","",CONCATENATE("[",'魔術'!F20,"]"))))</f>
      </c>
    </row>
    <row r="36" ht="11.25">
      <c r="A36">
        <f>IF('魔術'!A21="","",CONCATENATE('魔術'!A21,IF('魔術'!F21="","",CONCATENATE("[",'魔術'!F21,"]"))))</f>
      </c>
    </row>
    <row r="37" ht="11.25">
      <c r="A37">
        <f>IF('魔術'!A22="","",CONCATENATE('魔術'!A22,IF('魔術'!F22="","",CONCATENATE("[",'魔術'!F22,"]"))))</f>
      </c>
    </row>
    <row r="39" ht="11.25">
      <c r="A39" t="str">
        <f>CONCATENATE("収束具(",'魔術'!F41,"BP)")</f>
        <v>収束具(0BP)</v>
      </c>
    </row>
    <row r="40" ht="11.25">
      <c r="A40">
        <f>IF('魔術'!L27="","",CONCATENATE('魔術'!L27,IF('魔術'!P27="","",CONCATENATE("[",'魔術'!P27,"]")),"：",'魔術'!T27))</f>
      </c>
    </row>
    <row r="41" ht="11.25">
      <c r="A41">
        <f>IF('魔術'!L28="","",CONCATENATE('魔術'!L28,IF('魔術'!P28="","",CONCATENATE("[",'魔術'!P28,"]")),"：",'魔術'!T28))</f>
      </c>
    </row>
    <row r="42" ht="11.25">
      <c r="A42">
        <f>IF('魔術'!L29="","",CONCATENATE('魔術'!L29,IF('魔術'!P29="","",CONCATENATE("[",'魔術'!P29,"]")),"：",'魔術'!T29))</f>
      </c>
    </row>
    <row r="43" ht="11.25">
      <c r="A43">
        <f>IF('魔術'!L30="","",CONCATENATE('魔術'!L30,IF('魔術'!P30="","",CONCATENATE("[",'魔術'!P30,"]")),"：",'魔術'!T30))</f>
      </c>
    </row>
    <row r="44" ht="11.25">
      <c r="A44">
        <f>IF('魔術'!L31="","",CONCATENATE('魔術'!L31,IF('魔術'!P31="","",CONCATENATE("[",'魔術'!P31,"]")),"：",'魔術'!T31))</f>
      </c>
    </row>
    <row r="45" ht="11.25">
      <c r="A45">
        <f>IF('魔術'!L32="","",CONCATENATE('魔術'!L32,IF('魔術'!P32="","",CONCATENATE("[",'魔術'!P32,"]")),"：",'魔術'!T32))</f>
      </c>
    </row>
    <row r="46" ht="11.25">
      <c r="A46">
        <f>IF('魔術'!L33="","",CONCATENATE('魔術'!L33,IF('魔術'!P33="","",CONCATENATE("[",'魔術'!P33,"]")),"：",'魔術'!T33))</f>
      </c>
    </row>
    <row r="47" ht="11.25">
      <c r="A47">
        <f>IF('魔術'!L34="","",CONCATENATE('魔術'!L34,IF('魔術'!P34="","",CONCATENATE("[",'魔術'!P34,"]")),"：",'魔術'!T34))</f>
      </c>
    </row>
    <row r="48" ht="11.25">
      <c r="A48">
        <f>IF('魔術'!L35="","",CONCATENATE('魔術'!L35,IF('魔術'!P35="","",CONCATENATE("[",'魔術'!P35,"]")),"：",'魔術'!T35))</f>
      </c>
    </row>
    <row r="50" ht="11.25">
      <c r="A50" t="str">
        <f>CONCATENATE("精霊(",'魔術'!F40,"BP)")</f>
        <v>精霊(0BP)</v>
      </c>
    </row>
    <row r="51" ht="11.25">
      <c r="A51">
        <f>IF('魔術'!D27="","",CONCATENATE('魔術'!D27,"(",'魔術'!C27,")"," 助力",'魔術'!G27))</f>
      </c>
    </row>
    <row r="52" ht="11.25">
      <c r="A52">
        <f>IF('魔術'!D28="","",CONCATENATE('魔術'!D28,"(",'魔術'!C28,")"," 助力",'魔術'!G28))</f>
      </c>
    </row>
    <row r="53" ht="11.25">
      <c r="A53">
        <f>IF('魔術'!D29="","",CONCATENATE('魔術'!D29,"(",'魔術'!C29,")"," 助力",'魔術'!G29))</f>
      </c>
    </row>
    <row r="54" ht="11.25">
      <c r="A54">
        <f>IF('魔術'!D30="","",CONCATENATE('魔術'!D30,"(",'魔術'!C30,")"," 助力",'魔術'!G30))</f>
      </c>
    </row>
    <row r="55" ht="11.25">
      <c r="A55">
        <f>IF('魔術'!D31="","",CONCATENATE('魔術'!D31,"(",'魔術'!C31,")"," 助力",'魔術'!G31))</f>
      </c>
    </row>
    <row r="56" ht="11.25">
      <c r="A56">
        <f>IF('魔術'!D32="","",CONCATENATE('魔術'!D32,"(",'魔術'!C32,")"," 助力",'魔術'!G32))</f>
      </c>
    </row>
    <row r="57" ht="11.25">
      <c r="A57">
        <f>IF('魔術'!D33="","",CONCATENATE('魔術'!D33,"(",'魔術'!C33,")"," 助力",'魔術'!G33))</f>
      </c>
    </row>
    <row r="58" ht="11.25">
      <c r="A58">
        <f>IF('魔術'!D34="","",CONCATENATE('魔術'!D34,"(",'魔術'!C34,")"," 助力",'魔術'!G34))</f>
      </c>
    </row>
    <row r="59" ht="11.25">
      <c r="A59">
        <f>IF('魔術'!D35="","",CONCATENATE('魔術'!D35,"(",'魔術'!C35,")"," 助力",'魔術'!G35))</f>
      </c>
    </row>
    <row r="61" ht="11.25">
      <c r="A61" t="s">
        <v>308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L33" sqref="L33"/>
    </sheetView>
  </sheetViews>
  <sheetFormatPr defaultColWidth="9.33203125" defaultRowHeight="11.25"/>
  <sheetData>
    <row r="1" ht="11.25">
      <c r="A1" t="str">
        <f>CONCATENATE("複合体(",テクノマンサー!T5,"BP)")</f>
        <v>複合体(0BP)</v>
      </c>
    </row>
    <row r="2" ht="11.25">
      <c r="A2">
        <f>IF(テクノマンサー!A6="","",CONCATENATE(テクノマンサー!A6,"(",テクノマンサー!E6,")"))</f>
      </c>
    </row>
    <row r="3" ht="11.25">
      <c r="A3">
        <f>IF(テクノマンサー!A7="","",CONCATENATE(テクノマンサー!A7,"(",テクノマンサー!E7,")"))</f>
      </c>
    </row>
    <row r="4" ht="11.25">
      <c r="A4">
        <f>IF(テクノマンサー!A8="","",CONCATENATE(テクノマンサー!A8,"(",テクノマンサー!E8,")"))</f>
      </c>
    </row>
    <row r="5" ht="11.25">
      <c r="A5">
        <f>IF(テクノマンサー!A9="","",CONCATENATE(テクノマンサー!A9,"(",テクノマンサー!E9,")"))</f>
      </c>
    </row>
    <row r="6" ht="11.25">
      <c r="A6">
        <f>IF(テクノマンサー!A10="","",CONCATENATE(テクノマンサー!A10,"(",テクノマンサー!E10,")"))</f>
      </c>
    </row>
    <row r="7" ht="11.25">
      <c r="A7">
        <f>IF(テクノマンサー!A11="","",CONCATENATE(テクノマンサー!A11,"(",テクノマンサー!E11,")"))</f>
      </c>
    </row>
    <row r="8" ht="11.25">
      <c r="A8">
        <f>IF(テクノマンサー!A12="","",CONCATENATE(テクノマンサー!A12,"(",テクノマンサー!E12,")"))</f>
      </c>
    </row>
    <row r="9" ht="11.25">
      <c r="A9">
        <f>IF(テクノマンサー!A13="","",CONCATENATE(テクノマンサー!A13,"(",テクノマンサー!E13,")"))</f>
      </c>
    </row>
    <row r="10" ht="11.25">
      <c r="A10">
        <f>IF(テクノマンサー!A14="","",CONCATENATE(テクノマンサー!A14,"(",テクノマンサー!E14,")"))</f>
      </c>
    </row>
    <row r="11" ht="11.25">
      <c r="A11">
        <f>IF(テクノマンサー!A15="","",CONCATENATE(テクノマンサー!A15,"(",テクノマンサー!E15,")"))</f>
      </c>
    </row>
    <row r="12" ht="11.25">
      <c r="A12">
        <f>IF(テクノマンサー!A16="","",CONCATENATE(テクノマンサー!A16,"(",テクノマンサー!E16,")"))</f>
      </c>
    </row>
    <row r="13" ht="11.25">
      <c r="A13">
        <f>IF(テクノマンサー!A17="","",CONCATENATE(テクノマンサー!A17,"(",テクノマンサー!E17,")"))</f>
      </c>
    </row>
    <row r="14" ht="11.25">
      <c r="A14">
        <f>IF(テクノマンサー!A18="","",CONCATENATE(テクノマンサー!A18,"(",テクノマンサー!E18,")"))</f>
      </c>
    </row>
    <row r="15" ht="11.25">
      <c r="A15">
        <f>IF(テクノマンサー!A19="","",CONCATENATE(テクノマンサー!A19,"(",テクノマンサー!E19,")"))</f>
      </c>
    </row>
    <row r="16" ht="11.25">
      <c r="A16">
        <f>IF(テクノマンサー!A20="","",CONCATENATE(テクノマンサー!A20,"(",テクノマンサー!E20,")"))</f>
      </c>
    </row>
    <row r="17" ht="11.25">
      <c r="A17">
        <f>IF(テクノマンサー!A21="","",CONCATENATE(テクノマンサー!A21,"(",テクノマンサー!E21,")"))</f>
      </c>
    </row>
    <row r="18" ht="11.25">
      <c r="A18">
        <f>IF(テクノマンサー!A22="","",CONCATENATE(テクノマンサー!A22,"(",テクノマンサー!E22,")"))</f>
      </c>
    </row>
    <row r="20" ht="11.25">
      <c r="A20" t="str">
        <f>CONCATENATE("スプライト(",テクノマンサー!T6,"BP)")</f>
        <v>スプライト(0BP)</v>
      </c>
    </row>
    <row r="21" ht="11.25">
      <c r="A21">
        <f>IF(テクノマンサー!J6="","",CONCATENATE(テクノマンサー!J6,"(",テクノマンサー!I6,")"," タスク",テクノマンサー!M6))</f>
      </c>
    </row>
    <row r="22" ht="11.25">
      <c r="A22">
        <f>IF(テクノマンサー!J7="","",CONCATENATE(テクノマンサー!J7,"(",テクノマンサー!I7,")"," タスク",テクノマンサー!M7))</f>
      </c>
    </row>
    <row r="23" ht="11.25">
      <c r="A23">
        <f>IF(テクノマンサー!J8="","",CONCATENATE(テクノマンサー!J8,"(",テクノマンサー!I8,")"," タスク",テクノマンサー!M8))</f>
      </c>
    </row>
    <row r="24" ht="11.25">
      <c r="A24">
        <f>IF(テクノマンサー!J9="","",CONCATENATE(テクノマンサー!J9,"(",テクノマンサー!I9,")"," タスク",テクノマンサー!M9))</f>
      </c>
    </row>
    <row r="25" ht="11.25">
      <c r="A25">
        <f>IF(テクノマンサー!J10="","",CONCATENATE(テクノマンサー!J10,"(",テクノマンサー!I10,")"," タスク",テクノマンサー!M10))</f>
      </c>
    </row>
    <row r="26" ht="11.25">
      <c r="A26">
        <f>IF(テクノマンサー!J11="","",CONCATENATE(テクノマンサー!J11,"(",テクノマンサー!I11,")"," タスク",テクノマンサー!M11))</f>
      </c>
    </row>
    <row r="27" ht="11.25">
      <c r="A27">
        <f>IF(テクノマンサー!J12="","",CONCATENATE(テクノマンサー!J12,"(",テクノマンサー!I12,")"," タスク",テクノマンサー!M12))</f>
      </c>
    </row>
    <row r="28" ht="11.25">
      <c r="A28">
        <f>IF(テクノマンサー!J13="","",CONCATENATE(テクノマンサー!J13,"(",テクノマンサー!I13,")"," タスク",テクノマンサー!M13))</f>
      </c>
    </row>
    <row r="29" ht="11.25">
      <c r="A29">
        <f>IF(テクノマンサー!J14="","",CONCATENATE(テクノマンサー!J14,"(",テクノマンサー!I14,")"," タスク",テクノマンサー!M14))</f>
      </c>
    </row>
    <row r="31" ht="11.25">
      <c r="A31" t="s">
        <v>308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A1" sqref="A1"/>
    </sheetView>
  </sheetViews>
  <sheetFormatPr defaultColWidth="9.33203125" defaultRowHeight="11.25"/>
  <cols>
    <col min="1" max="1" width="10.66015625" style="0" customWidth="1"/>
    <col min="2" max="2" width="10" style="89" customWidth="1"/>
    <col min="3" max="5" width="8" style="0" customWidth="1"/>
    <col min="6" max="7" width="6" style="0" customWidth="1"/>
    <col min="8" max="10" width="8" style="0" customWidth="1"/>
    <col min="11" max="11" width="7.16015625" style="0" customWidth="1"/>
  </cols>
  <sheetData>
    <row r="1" spans="1:11" ht="11.25">
      <c r="A1" t="s">
        <v>310</v>
      </c>
      <c r="C1" t="s">
        <v>43</v>
      </c>
      <c r="D1" t="s">
        <v>45</v>
      </c>
      <c r="E1" t="s">
        <v>47</v>
      </c>
      <c r="F1" t="s">
        <v>49</v>
      </c>
      <c r="G1" t="s">
        <v>51</v>
      </c>
      <c r="H1" t="s">
        <v>52</v>
      </c>
      <c r="I1" t="s">
        <v>53</v>
      </c>
      <c r="J1" t="s">
        <v>54</v>
      </c>
      <c r="K1" t="s">
        <v>56</v>
      </c>
    </row>
    <row r="2" spans="1:11" s="5" customFormat="1" ht="11.25">
      <c r="A2" s="5" t="s">
        <v>311</v>
      </c>
      <c r="B2" s="90">
        <v>30</v>
      </c>
      <c r="C2" s="5">
        <v>1</v>
      </c>
      <c r="D2" s="5">
        <v>2</v>
      </c>
      <c r="E2" s="5">
        <v>1</v>
      </c>
      <c r="F2" s="5">
        <v>1</v>
      </c>
      <c r="G2" s="5">
        <v>3</v>
      </c>
      <c r="H2" s="5">
        <v>1</v>
      </c>
      <c r="I2" s="5">
        <v>1</v>
      </c>
      <c r="J2" s="5">
        <v>1</v>
      </c>
      <c r="K2" s="5">
        <v>1</v>
      </c>
    </row>
    <row r="3" spans="1:11" s="5" customFormat="1" ht="11.25">
      <c r="A3" s="5" t="s">
        <v>312</v>
      </c>
      <c r="B3" s="90">
        <v>20</v>
      </c>
      <c r="C3" s="5">
        <v>4</v>
      </c>
      <c r="D3" s="5">
        <v>1</v>
      </c>
      <c r="E3" s="5">
        <v>1</v>
      </c>
      <c r="F3" s="5">
        <v>3</v>
      </c>
      <c r="G3" s="5">
        <v>1</v>
      </c>
      <c r="H3" s="5">
        <v>1</v>
      </c>
      <c r="I3" s="5">
        <v>1</v>
      </c>
      <c r="J3" s="5">
        <v>1</v>
      </c>
      <c r="K3" s="5">
        <v>1</v>
      </c>
    </row>
    <row r="4" spans="1:11" s="5" customFormat="1" ht="11.25">
      <c r="A4" s="5" t="s">
        <v>313</v>
      </c>
      <c r="B4" s="90">
        <v>40</v>
      </c>
      <c r="C4" s="5">
        <v>5</v>
      </c>
      <c r="D4" s="5">
        <v>1</v>
      </c>
      <c r="E4" s="5">
        <v>1</v>
      </c>
      <c r="F4" s="5">
        <v>5</v>
      </c>
      <c r="G4" s="5">
        <v>1</v>
      </c>
      <c r="H4" s="5">
        <v>1</v>
      </c>
      <c r="I4" s="5">
        <v>1</v>
      </c>
      <c r="J4" s="5">
        <v>1</v>
      </c>
      <c r="K4" s="5">
        <v>1</v>
      </c>
    </row>
    <row r="5" spans="1:11" s="5" customFormat="1" ht="11.25">
      <c r="A5" s="5" t="s">
        <v>314</v>
      </c>
      <c r="B5" s="90">
        <v>25</v>
      </c>
      <c r="C5" s="5">
        <v>2</v>
      </c>
      <c r="D5" s="5">
        <v>1</v>
      </c>
      <c r="E5" s="5">
        <v>1</v>
      </c>
      <c r="F5" s="5">
        <v>3</v>
      </c>
      <c r="G5" s="5">
        <v>1</v>
      </c>
      <c r="H5" s="5">
        <v>1</v>
      </c>
      <c r="I5" s="5">
        <v>1</v>
      </c>
      <c r="J5" s="5">
        <v>2</v>
      </c>
      <c r="K5" s="5">
        <v>1</v>
      </c>
    </row>
    <row r="6" spans="1:11" s="5" customFormat="1" ht="11.25">
      <c r="A6" s="5" t="s">
        <v>7</v>
      </c>
      <c r="B6" s="90">
        <v>0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2</v>
      </c>
    </row>
    <row r="8" spans="1:11" ht="11.25">
      <c r="A8" t="s">
        <v>315</v>
      </c>
      <c r="C8" t="s">
        <v>43</v>
      </c>
      <c r="D8" t="s">
        <v>45</v>
      </c>
      <c r="E8" t="s">
        <v>47</v>
      </c>
      <c r="F8" t="s">
        <v>49</v>
      </c>
      <c r="G8" t="s">
        <v>51</v>
      </c>
      <c r="H8" t="s">
        <v>52</v>
      </c>
      <c r="I8" t="s">
        <v>53</v>
      </c>
      <c r="J8" t="s">
        <v>54</v>
      </c>
      <c r="K8" t="s">
        <v>56</v>
      </c>
    </row>
    <row r="9" spans="1:11" ht="11.25">
      <c r="A9" t="s">
        <v>311</v>
      </c>
      <c r="B9" s="89">
        <v>30</v>
      </c>
      <c r="C9">
        <v>6</v>
      </c>
      <c r="D9">
        <v>7</v>
      </c>
      <c r="E9">
        <v>6</v>
      </c>
      <c r="F9">
        <v>6</v>
      </c>
      <c r="G9">
        <v>8</v>
      </c>
      <c r="H9">
        <v>6</v>
      </c>
      <c r="I9">
        <v>6</v>
      </c>
      <c r="J9">
        <v>6</v>
      </c>
      <c r="K9">
        <v>6</v>
      </c>
    </row>
    <row r="10" spans="1:11" ht="11.25">
      <c r="A10" t="s">
        <v>312</v>
      </c>
      <c r="B10" s="89">
        <v>20</v>
      </c>
      <c r="C10">
        <v>9</v>
      </c>
      <c r="D10">
        <v>6</v>
      </c>
      <c r="E10">
        <v>6</v>
      </c>
      <c r="F10">
        <v>8</v>
      </c>
      <c r="G10">
        <v>5</v>
      </c>
      <c r="H10">
        <v>6</v>
      </c>
      <c r="I10">
        <v>5</v>
      </c>
      <c r="J10">
        <v>6</v>
      </c>
      <c r="K10">
        <v>6</v>
      </c>
    </row>
    <row r="11" spans="1:11" ht="11.25">
      <c r="A11" t="s">
        <v>313</v>
      </c>
      <c r="B11" s="89">
        <v>40</v>
      </c>
      <c r="C11">
        <v>10</v>
      </c>
      <c r="D11">
        <v>5</v>
      </c>
      <c r="E11">
        <v>6</v>
      </c>
      <c r="F11">
        <v>10</v>
      </c>
      <c r="G11">
        <v>4</v>
      </c>
      <c r="H11">
        <v>5</v>
      </c>
      <c r="I11">
        <v>5</v>
      </c>
      <c r="J11">
        <v>6</v>
      </c>
      <c r="K11">
        <v>6</v>
      </c>
    </row>
    <row r="12" spans="1:11" ht="11.25">
      <c r="A12" t="s">
        <v>314</v>
      </c>
      <c r="B12" s="89">
        <v>25</v>
      </c>
      <c r="C12">
        <v>7</v>
      </c>
      <c r="D12">
        <v>6</v>
      </c>
      <c r="E12">
        <v>5</v>
      </c>
      <c r="F12">
        <v>8</v>
      </c>
      <c r="G12">
        <v>6</v>
      </c>
      <c r="H12">
        <v>6</v>
      </c>
      <c r="I12">
        <v>6</v>
      </c>
      <c r="J12">
        <v>7</v>
      </c>
      <c r="K12">
        <v>6</v>
      </c>
    </row>
    <row r="13" spans="1:11" ht="11.25">
      <c r="A13" t="s">
        <v>7</v>
      </c>
      <c r="B13" s="89">
        <v>0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7</v>
      </c>
    </row>
    <row r="15" spans="1:11" ht="11.25">
      <c r="A15" t="s">
        <v>316</v>
      </c>
      <c r="C15" t="s">
        <v>43</v>
      </c>
      <c r="D15" t="s">
        <v>45</v>
      </c>
      <c r="E15" t="s">
        <v>47</v>
      </c>
      <c r="F15" t="s">
        <v>49</v>
      </c>
      <c r="G15" t="s">
        <v>51</v>
      </c>
      <c r="H15" t="s">
        <v>52</v>
      </c>
      <c r="I15" t="s">
        <v>53</v>
      </c>
      <c r="J15" t="s">
        <v>54</v>
      </c>
      <c r="K15" t="s">
        <v>56</v>
      </c>
    </row>
    <row r="16" spans="1:11" ht="11.25">
      <c r="A16" t="s">
        <v>311</v>
      </c>
      <c r="B16" s="89">
        <v>30</v>
      </c>
      <c r="C16">
        <v>9</v>
      </c>
      <c r="D16">
        <v>10</v>
      </c>
      <c r="E16">
        <v>9</v>
      </c>
      <c r="F16">
        <v>9</v>
      </c>
      <c r="G16">
        <v>12</v>
      </c>
      <c r="H16">
        <v>9</v>
      </c>
      <c r="I16">
        <v>9</v>
      </c>
      <c r="J16">
        <v>9</v>
      </c>
      <c r="K16">
        <v>6</v>
      </c>
    </row>
    <row r="17" spans="1:11" ht="11.25">
      <c r="A17" t="s">
        <v>312</v>
      </c>
      <c r="B17" s="89">
        <v>20</v>
      </c>
      <c r="C17">
        <v>13</v>
      </c>
      <c r="D17">
        <v>9</v>
      </c>
      <c r="E17">
        <v>9</v>
      </c>
      <c r="F17">
        <v>12</v>
      </c>
      <c r="G17">
        <v>7</v>
      </c>
      <c r="H17">
        <v>9</v>
      </c>
      <c r="I17">
        <v>7</v>
      </c>
      <c r="J17">
        <v>9</v>
      </c>
      <c r="K17">
        <v>6</v>
      </c>
    </row>
    <row r="18" spans="1:11" ht="11.25">
      <c r="A18" t="s">
        <v>313</v>
      </c>
      <c r="B18" s="89">
        <v>40</v>
      </c>
      <c r="C18">
        <v>15</v>
      </c>
      <c r="D18">
        <v>7</v>
      </c>
      <c r="E18">
        <v>9</v>
      </c>
      <c r="F18">
        <v>15</v>
      </c>
      <c r="G18">
        <v>6</v>
      </c>
      <c r="H18">
        <v>7</v>
      </c>
      <c r="I18">
        <v>7</v>
      </c>
      <c r="J18">
        <v>9</v>
      </c>
      <c r="K18">
        <v>6</v>
      </c>
    </row>
    <row r="19" spans="1:11" ht="11.25">
      <c r="A19" t="s">
        <v>314</v>
      </c>
      <c r="B19" s="89">
        <v>25</v>
      </c>
      <c r="C19">
        <v>10</v>
      </c>
      <c r="D19">
        <v>9</v>
      </c>
      <c r="E19">
        <v>7</v>
      </c>
      <c r="F19">
        <v>12</v>
      </c>
      <c r="G19">
        <v>9</v>
      </c>
      <c r="H19">
        <v>9</v>
      </c>
      <c r="I19">
        <v>9</v>
      </c>
      <c r="J19">
        <v>10</v>
      </c>
      <c r="K19">
        <v>6</v>
      </c>
    </row>
    <row r="20" spans="1:11" ht="11.25">
      <c r="A20" t="s">
        <v>7</v>
      </c>
      <c r="B20" s="89">
        <v>0</v>
      </c>
      <c r="C20">
        <v>9</v>
      </c>
      <c r="D20">
        <v>9</v>
      </c>
      <c r="E20">
        <v>9</v>
      </c>
      <c r="F20">
        <v>9</v>
      </c>
      <c r="G20">
        <v>9</v>
      </c>
      <c r="H20">
        <v>9</v>
      </c>
      <c r="I20">
        <v>9</v>
      </c>
      <c r="J20">
        <v>9</v>
      </c>
      <c r="K20">
        <v>6</v>
      </c>
    </row>
    <row r="22" spans="2:4" ht="11.25">
      <c r="B22" s="89" t="s">
        <v>29</v>
      </c>
      <c r="C22" t="s">
        <v>317</v>
      </c>
      <c r="D22" t="s">
        <v>318</v>
      </c>
    </row>
    <row r="23" spans="1:4" ht="11.25">
      <c r="A23" t="s">
        <v>319</v>
      </c>
      <c r="B23" s="89">
        <v>0</v>
      </c>
      <c r="C23" t="s">
        <v>320</v>
      </c>
      <c r="D23">
        <v>10</v>
      </c>
    </row>
    <row r="24" spans="1:4" ht="11.25">
      <c r="A24" t="s">
        <v>26</v>
      </c>
      <c r="B24" s="89">
        <v>2000</v>
      </c>
      <c r="C24" t="s">
        <v>321</v>
      </c>
      <c r="D24">
        <v>50</v>
      </c>
    </row>
    <row r="25" spans="1:4" ht="11.25">
      <c r="A25" t="s">
        <v>322</v>
      </c>
      <c r="B25" s="89">
        <v>10000</v>
      </c>
      <c r="C25" t="s">
        <v>323</v>
      </c>
      <c r="D25">
        <v>500</v>
      </c>
    </row>
    <row r="26" spans="1:4" ht="11.25">
      <c r="A26" t="s">
        <v>324</v>
      </c>
      <c r="B26" s="89">
        <v>5000</v>
      </c>
      <c r="C26" t="s">
        <v>323</v>
      </c>
      <c r="D26">
        <v>100</v>
      </c>
    </row>
    <row r="27" spans="1:4" ht="11.25">
      <c r="A27" t="s">
        <v>325</v>
      </c>
      <c r="B27" s="89">
        <v>500</v>
      </c>
      <c r="C27" t="s">
        <v>326</v>
      </c>
      <c r="D27">
        <v>20</v>
      </c>
    </row>
    <row r="28" spans="1:4" ht="11.25">
      <c r="A28" t="s">
        <v>327</v>
      </c>
      <c r="B28" s="89">
        <v>100000</v>
      </c>
      <c r="C28" t="s">
        <v>323</v>
      </c>
      <c r="D28">
        <v>1000</v>
      </c>
    </row>
    <row r="29" ht="11.25">
      <c r="D29" s="91">
        <f>INT('装備品'!P71/100)</f>
        <v>9</v>
      </c>
    </row>
    <row r="78" ht="11.25">
      <c r="A78" t="s">
        <v>12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33203125" defaultRowHeight="11.25"/>
  <sheetData>
    <row r="1" spans="2:5" ht="11.25">
      <c r="B1" t="s">
        <v>328</v>
      </c>
      <c r="C1" t="s">
        <v>37</v>
      </c>
      <c r="D1" t="s">
        <v>329</v>
      </c>
      <c r="E1" t="s">
        <v>33</v>
      </c>
    </row>
    <row r="2" spans="1:5" ht="11.25">
      <c r="A2" t="str">
        <f>Main!C34</f>
        <v>イニシアチブ</v>
      </c>
      <c r="B2" s="91">
        <f>Main!F34</f>
        <v>8</v>
      </c>
      <c r="C2" s="91">
        <f>Main!I34</f>
        <v>0</v>
      </c>
      <c r="D2" s="91">
        <f>Main!K34</f>
        <v>0</v>
      </c>
      <c r="E2" s="91">
        <f>Main!M34</f>
        <v>8</v>
      </c>
    </row>
    <row r="3" spans="1:5" ht="11.25">
      <c r="A3" t="str">
        <f>Main!C31</f>
        <v>エッジ</v>
      </c>
      <c r="B3" s="91">
        <f>Main!F31</f>
        <v>4</v>
      </c>
      <c r="C3" s="91">
        <f>Main!I31</f>
        <v>0</v>
      </c>
      <c r="D3" s="91">
        <f>Main!K31</f>
        <v>0</v>
      </c>
      <c r="E3" s="91">
        <f>Main!M31</f>
        <v>4</v>
      </c>
    </row>
    <row r="4" spans="1:5" ht="11.25">
      <c r="A4" t="str">
        <f>Main!C33</f>
        <v>エッセンス</v>
      </c>
      <c r="B4" s="91">
        <f>Main!F33</f>
        <v>6</v>
      </c>
      <c r="C4" s="91">
        <f>Main!I33</f>
        <v>0.9</v>
      </c>
      <c r="D4" s="91">
        <f>Main!K33</f>
        <v>0</v>
      </c>
      <c r="E4" s="91">
        <f>Main!M33</f>
        <v>5.1</v>
      </c>
    </row>
    <row r="5" spans="1:5" ht="11.25">
      <c r="A5" t="str">
        <f>Main!C30</f>
        <v>意志力</v>
      </c>
      <c r="B5" s="91">
        <f>Main!F30</f>
        <v>2</v>
      </c>
      <c r="C5" s="91">
        <f>Main!I30</f>
        <v>0</v>
      </c>
      <c r="D5" s="91">
        <f>Main!K30</f>
        <v>0</v>
      </c>
      <c r="E5" s="91">
        <f>Main!M30</f>
        <v>2</v>
      </c>
    </row>
    <row r="6" spans="1:5" ht="11.25">
      <c r="A6" t="str">
        <f>Main!C23</f>
        <v>強靭力</v>
      </c>
      <c r="B6" s="91">
        <f>Main!F23</f>
        <v>3</v>
      </c>
      <c r="C6" s="91">
        <f>Main!I23</f>
        <v>0</v>
      </c>
      <c r="D6" s="91">
        <f>Main!K23</f>
        <v>0</v>
      </c>
      <c r="E6" s="91">
        <f>Main!M23</f>
        <v>3</v>
      </c>
    </row>
    <row r="7" spans="1:5" ht="11.25">
      <c r="A7" t="str">
        <f>Main!C26</f>
        <v>筋力</v>
      </c>
      <c r="B7" s="91">
        <f>Main!F26</f>
        <v>2</v>
      </c>
      <c r="C7" s="91">
        <f>Main!I26</f>
        <v>0</v>
      </c>
      <c r="D7" s="91">
        <f>Main!K26</f>
        <v>0</v>
      </c>
      <c r="E7" s="91">
        <f>Main!M26</f>
        <v>2</v>
      </c>
    </row>
    <row r="8" spans="1:5" ht="11.25">
      <c r="A8" t="str">
        <f>Main!C28</f>
        <v>直観力</v>
      </c>
      <c r="B8" s="91">
        <f>Main!F28</f>
        <v>4</v>
      </c>
      <c r="C8" s="91">
        <f>Main!I28</f>
        <v>0</v>
      </c>
      <c r="D8" s="91">
        <f>Main!K28</f>
        <v>0</v>
      </c>
      <c r="E8" s="91">
        <f>Main!M28</f>
        <v>4</v>
      </c>
    </row>
    <row r="9" spans="1:5" ht="11.25">
      <c r="A9" t="str">
        <f>Main!C25</f>
        <v>反応力</v>
      </c>
      <c r="B9" s="91">
        <f>Main!F25</f>
        <v>4</v>
      </c>
      <c r="C9" s="91">
        <f>Main!I25</f>
        <v>0</v>
      </c>
      <c r="D9" s="91">
        <f>Main!K25</f>
        <v>0</v>
      </c>
      <c r="E9" s="91">
        <f>Main!M25</f>
        <v>4</v>
      </c>
    </row>
    <row r="10" spans="1:5" ht="11.25">
      <c r="A10" t="str">
        <f>Main!C24</f>
        <v>敏捷力</v>
      </c>
      <c r="B10" s="91">
        <f>Main!F24</f>
        <v>4</v>
      </c>
      <c r="C10" s="91">
        <f>Main!I24</f>
        <v>0</v>
      </c>
      <c r="D10" s="91">
        <f>Main!K24</f>
        <v>0</v>
      </c>
      <c r="E10" s="91">
        <f>Main!M24</f>
        <v>4</v>
      </c>
    </row>
    <row r="11" spans="1:5" ht="11.25">
      <c r="A11" t="str">
        <f>Main!C32</f>
        <v>魔力/共振力</v>
      </c>
      <c r="B11" s="91">
        <f>Main!F32</f>
        <v>5</v>
      </c>
      <c r="C11" s="91">
        <f>Main!I32</f>
        <v>-1</v>
      </c>
      <c r="D11" s="91">
        <f>Main!K32</f>
        <v>1</v>
      </c>
      <c r="E11" s="91">
        <f>Main!M32</f>
        <v>4</v>
      </c>
    </row>
    <row r="12" spans="1:5" ht="11.25">
      <c r="A12" t="str">
        <f>Main!C27</f>
        <v>魅力</v>
      </c>
      <c r="B12" s="91">
        <f>Main!F27</f>
        <v>2</v>
      </c>
      <c r="C12" s="91">
        <f>Main!I27</f>
        <v>0</v>
      </c>
      <c r="D12" s="91">
        <f>Main!K27</f>
        <v>0</v>
      </c>
      <c r="E12" s="91">
        <f>Main!M27</f>
        <v>2</v>
      </c>
    </row>
    <row r="13" spans="1:5" ht="11.25">
      <c r="A13" t="str">
        <f>Main!C29</f>
        <v>論理力</v>
      </c>
      <c r="B13" s="91">
        <f>Main!F29</f>
        <v>4</v>
      </c>
      <c r="C13" s="91">
        <f>Main!I29</f>
        <v>0</v>
      </c>
      <c r="D13" s="91">
        <f>Main!K29</f>
        <v>0</v>
      </c>
      <c r="E13" s="91">
        <f>Main!M29</f>
        <v>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4" sqref="A4"/>
    </sheetView>
  </sheetViews>
  <sheetFormatPr defaultColWidth="9.33203125" defaultRowHeight="11.25"/>
  <cols>
    <col min="1" max="1" width="28.66015625" style="0" customWidth="1"/>
    <col min="3" max="3" width="9.66015625" style="0" customWidth="1"/>
    <col min="4" max="4" width="14.5" style="0" customWidth="1"/>
    <col min="5" max="5" width="16.33203125" style="0" customWidth="1"/>
    <col min="8" max="8" width="14.16015625" style="0" customWidth="1"/>
  </cols>
  <sheetData>
    <row r="1" spans="1:10" ht="11.25">
      <c r="A1" t="s">
        <v>226</v>
      </c>
      <c r="B1" t="s">
        <v>54</v>
      </c>
      <c r="D1" t="s">
        <v>69</v>
      </c>
      <c r="E1" t="s">
        <v>69</v>
      </c>
      <c r="F1" t="s">
        <v>330</v>
      </c>
      <c r="H1" t="s">
        <v>63</v>
      </c>
      <c r="J1" t="s">
        <v>331</v>
      </c>
    </row>
    <row r="2" spans="1:10" ht="11.25">
      <c r="A2" t="s">
        <v>299</v>
      </c>
      <c r="B2" t="s">
        <v>53</v>
      </c>
      <c r="E2" t="s">
        <v>332</v>
      </c>
      <c r="F2" t="s">
        <v>53</v>
      </c>
      <c r="H2" t="s">
        <v>69</v>
      </c>
      <c r="J2" t="s">
        <v>225</v>
      </c>
    </row>
    <row r="3" spans="1:10" ht="11.25">
      <c r="A3" t="s">
        <v>227</v>
      </c>
      <c r="B3" t="s">
        <v>51</v>
      </c>
      <c r="E3" t="s">
        <v>272</v>
      </c>
      <c r="F3" t="s">
        <v>53</v>
      </c>
      <c r="H3" t="s">
        <v>71</v>
      </c>
      <c r="J3" t="s">
        <v>228</v>
      </c>
    </row>
    <row r="4" spans="1:10" ht="11.25">
      <c r="A4" t="s">
        <v>249</v>
      </c>
      <c r="B4" t="s">
        <v>333</v>
      </c>
      <c r="E4" t="s">
        <v>334</v>
      </c>
      <c r="F4" t="s">
        <v>53</v>
      </c>
      <c r="H4" t="s">
        <v>73</v>
      </c>
      <c r="J4" t="s">
        <v>250</v>
      </c>
    </row>
    <row r="5" spans="1:10" ht="11.25">
      <c r="A5" t="s">
        <v>254</v>
      </c>
      <c r="B5" t="s">
        <v>335</v>
      </c>
      <c r="D5" t="s">
        <v>71</v>
      </c>
      <c r="E5" t="s">
        <v>71</v>
      </c>
      <c r="F5" t="s">
        <v>336</v>
      </c>
      <c r="H5" t="s">
        <v>76</v>
      </c>
      <c r="J5" t="s">
        <v>253</v>
      </c>
    </row>
    <row r="6" spans="1:10" ht="11.25">
      <c r="A6" t="s">
        <v>289</v>
      </c>
      <c r="B6" t="s">
        <v>53</v>
      </c>
      <c r="E6" t="s">
        <v>195</v>
      </c>
      <c r="F6" t="s">
        <v>49</v>
      </c>
      <c r="H6" t="s">
        <v>79</v>
      </c>
      <c r="J6" t="s">
        <v>236</v>
      </c>
    </row>
    <row r="7" spans="1:10" ht="11.25">
      <c r="A7" t="s">
        <v>273</v>
      </c>
      <c r="B7" t="s">
        <v>53</v>
      </c>
      <c r="E7" t="s">
        <v>337</v>
      </c>
      <c r="F7" t="s">
        <v>45</v>
      </c>
      <c r="H7" t="s">
        <v>82</v>
      </c>
      <c r="J7" t="s">
        <v>87</v>
      </c>
    </row>
    <row r="8" spans="1:10" ht="11.25">
      <c r="A8" t="s">
        <v>282</v>
      </c>
      <c r="B8" t="s">
        <v>53</v>
      </c>
      <c r="E8" t="s">
        <v>288</v>
      </c>
      <c r="F8" t="s">
        <v>49</v>
      </c>
      <c r="H8" t="s">
        <v>338</v>
      </c>
      <c r="J8" t="s">
        <v>255</v>
      </c>
    </row>
    <row r="9" spans="1:10" ht="11.25">
      <c r="A9" t="s">
        <v>339</v>
      </c>
      <c r="B9" t="s">
        <v>54</v>
      </c>
      <c r="E9" t="s">
        <v>290</v>
      </c>
      <c r="F9" t="s">
        <v>49</v>
      </c>
      <c r="H9" t="s">
        <v>86</v>
      </c>
      <c r="J9" t="s">
        <v>257</v>
      </c>
    </row>
    <row r="10" spans="1:10" ht="11.25">
      <c r="A10" t="s">
        <v>291</v>
      </c>
      <c r="B10" t="s">
        <v>53</v>
      </c>
      <c r="D10" t="s">
        <v>73</v>
      </c>
      <c r="E10" t="s">
        <v>73</v>
      </c>
      <c r="F10" t="s">
        <v>340</v>
      </c>
      <c r="H10" t="s">
        <v>88</v>
      </c>
      <c r="J10" t="s">
        <v>239</v>
      </c>
    </row>
    <row r="11" spans="1:10" ht="11.25">
      <c r="A11" t="s">
        <v>293</v>
      </c>
      <c r="B11" t="s">
        <v>53</v>
      </c>
      <c r="E11" t="s">
        <v>341</v>
      </c>
      <c r="F11" t="s">
        <v>45</v>
      </c>
      <c r="H11" t="s">
        <v>90</v>
      </c>
      <c r="J11" t="s">
        <v>341</v>
      </c>
    </row>
    <row r="12" spans="1:10" ht="11.25">
      <c r="A12" t="s">
        <v>256</v>
      </c>
      <c r="B12" t="s">
        <v>335</v>
      </c>
      <c r="E12" t="s">
        <v>342</v>
      </c>
      <c r="F12" t="s">
        <v>45</v>
      </c>
      <c r="H12" t="s">
        <v>92</v>
      </c>
      <c r="J12" t="s">
        <v>337</v>
      </c>
    </row>
    <row r="13" spans="1:10" ht="11.25">
      <c r="A13" t="s">
        <v>261</v>
      </c>
      <c r="B13" t="s">
        <v>52</v>
      </c>
      <c r="E13" t="s">
        <v>248</v>
      </c>
      <c r="F13" t="s">
        <v>52</v>
      </c>
      <c r="H13" t="s">
        <v>24</v>
      </c>
      <c r="J13" t="s">
        <v>260</v>
      </c>
    </row>
    <row r="14" spans="1:10" ht="11.25">
      <c r="A14" t="s">
        <v>296</v>
      </c>
      <c r="B14" t="s">
        <v>53</v>
      </c>
      <c r="E14" t="s">
        <v>251</v>
      </c>
      <c r="F14" t="s">
        <v>52</v>
      </c>
      <c r="H14" t="s">
        <v>95</v>
      </c>
      <c r="J14" t="s">
        <v>245</v>
      </c>
    </row>
    <row r="15" spans="1:10" ht="11.25">
      <c r="A15" t="s">
        <v>342</v>
      </c>
      <c r="B15" t="s">
        <v>45</v>
      </c>
      <c r="D15" t="s">
        <v>76</v>
      </c>
      <c r="E15" t="s">
        <v>76</v>
      </c>
      <c r="F15" t="s">
        <v>53</v>
      </c>
      <c r="J15" t="s">
        <v>241</v>
      </c>
    </row>
    <row r="16" spans="1:10" ht="11.25">
      <c r="A16" t="s">
        <v>286</v>
      </c>
      <c r="B16" t="s">
        <v>53</v>
      </c>
      <c r="E16" t="s">
        <v>343</v>
      </c>
      <c r="F16" t="s">
        <v>53</v>
      </c>
      <c r="J16" t="s">
        <v>263</v>
      </c>
    </row>
    <row r="17" spans="1:10" ht="11.25">
      <c r="A17" t="s">
        <v>228</v>
      </c>
      <c r="B17" t="s">
        <v>344</v>
      </c>
      <c r="E17" t="s">
        <v>345</v>
      </c>
      <c r="F17" t="s">
        <v>53</v>
      </c>
      <c r="J17" t="s">
        <v>265</v>
      </c>
    </row>
    <row r="18" spans="1:10" ht="11.25">
      <c r="A18" t="s">
        <v>247</v>
      </c>
      <c r="B18" t="s">
        <v>45</v>
      </c>
      <c r="E18" t="s">
        <v>346</v>
      </c>
      <c r="F18" t="s">
        <v>53</v>
      </c>
      <c r="J18" t="s">
        <v>268</v>
      </c>
    </row>
    <row r="19" spans="1:10" ht="11.25">
      <c r="A19" t="s">
        <v>290</v>
      </c>
      <c r="B19" t="s">
        <v>49</v>
      </c>
      <c r="E19" t="s">
        <v>347</v>
      </c>
      <c r="F19" t="s">
        <v>53</v>
      </c>
      <c r="J19" t="s">
        <v>342</v>
      </c>
    </row>
    <row r="20" spans="1:10" ht="11.25">
      <c r="A20" t="s">
        <v>259</v>
      </c>
      <c r="B20" t="s">
        <v>335</v>
      </c>
      <c r="D20" t="s">
        <v>79</v>
      </c>
      <c r="E20" t="s">
        <v>79</v>
      </c>
      <c r="F20" t="s">
        <v>45</v>
      </c>
      <c r="J20" t="s">
        <v>247</v>
      </c>
    </row>
    <row r="21" spans="1:10" ht="11.25">
      <c r="A21" t="s">
        <v>270</v>
      </c>
      <c r="B21" t="s">
        <v>53</v>
      </c>
      <c r="E21" t="s">
        <v>236</v>
      </c>
      <c r="F21" t="s">
        <v>45</v>
      </c>
      <c r="J21" t="s">
        <v>72</v>
      </c>
    </row>
    <row r="22" spans="1:10" ht="11.25">
      <c r="A22" t="s">
        <v>271</v>
      </c>
      <c r="B22" t="s">
        <v>47</v>
      </c>
      <c r="E22" t="s">
        <v>239</v>
      </c>
      <c r="F22" t="s">
        <v>45</v>
      </c>
      <c r="J22" t="s">
        <v>271</v>
      </c>
    </row>
    <row r="23" spans="1:10" ht="11.25">
      <c r="A23" t="s">
        <v>272</v>
      </c>
      <c r="B23" t="s">
        <v>53</v>
      </c>
      <c r="E23" t="s">
        <v>241</v>
      </c>
      <c r="F23" t="s">
        <v>45</v>
      </c>
      <c r="J23" t="s">
        <v>93</v>
      </c>
    </row>
    <row r="24" spans="1:10" ht="11.25">
      <c r="A24" t="s">
        <v>93</v>
      </c>
      <c r="B24" t="s">
        <v>47</v>
      </c>
      <c r="D24" t="s">
        <v>82</v>
      </c>
      <c r="E24" t="s">
        <v>82</v>
      </c>
      <c r="F24" t="s">
        <v>53</v>
      </c>
      <c r="J24" t="s">
        <v>80</v>
      </c>
    </row>
    <row r="25" spans="1:10" ht="11.25">
      <c r="A25" t="s">
        <v>250</v>
      </c>
      <c r="B25" t="s">
        <v>45</v>
      </c>
      <c r="E25" t="s">
        <v>282</v>
      </c>
      <c r="F25" t="s">
        <v>53</v>
      </c>
      <c r="J25" t="s">
        <v>275</v>
      </c>
    </row>
    <row r="26" spans="1:10" ht="11.25">
      <c r="A26" t="s">
        <v>243</v>
      </c>
      <c r="B26" t="s">
        <v>333</v>
      </c>
      <c r="E26" t="s">
        <v>348</v>
      </c>
      <c r="F26" t="s">
        <v>53</v>
      </c>
      <c r="J26" t="s">
        <v>277</v>
      </c>
    </row>
    <row r="27" spans="1:10" ht="11.25">
      <c r="A27" t="s">
        <v>253</v>
      </c>
      <c r="B27" t="s">
        <v>45</v>
      </c>
      <c r="E27" t="s">
        <v>286</v>
      </c>
      <c r="F27" t="s">
        <v>53</v>
      </c>
      <c r="J27" t="s">
        <v>278</v>
      </c>
    </row>
    <row r="28" spans="1:10" ht="11.25">
      <c r="A28" t="s">
        <v>229</v>
      </c>
      <c r="B28" t="s">
        <v>51</v>
      </c>
      <c r="D28" t="s">
        <v>84</v>
      </c>
      <c r="E28" t="s">
        <v>84</v>
      </c>
      <c r="F28" t="s">
        <v>45</v>
      </c>
      <c r="J28" t="s">
        <v>77</v>
      </c>
    </row>
    <row r="29" spans="1:10" ht="11.25">
      <c r="A29" t="s">
        <v>234</v>
      </c>
      <c r="B29" t="s">
        <v>51</v>
      </c>
      <c r="E29" t="s">
        <v>87</v>
      </c>
      <c r="F29" t="s">
        <v>45</v>
      </c>
      <c r="J29" t="s">
        <v>195</v>
      </c>
    </row>
    <row r="30" spans="1:10" ht="11.25">
      <c r="A30" t="s">
        <v>108</v>
      </c>
      <c r="B30" t="s">
        <v>52</v>
      </c>
      <c r="E30" t="s">
        <v>245</v>
      </c>
      <c r="F30" t="s">
        <v>45</v>
      </c>
      <c r="J30" t="s">
        <v>288</v>
      </c>
    </row>
    <row r="31" spans="1:10" ht="11.25">
      <c r="A31" t="s">
        <v>231</v>
      </c>
      <c r="B31" t="s">
        <v>51</v>
      </c>
      <c r="E31" t="s">
        <v>247</v>
      </c>
      <c r="F31" t="s">
        <v>45</v>
      </c>
      <c r="J31" t="s">
        <v>290</v>
      </c>
    </row>
    <row r="32" spans="1:10" ht="11.25">
      <c r="A32" t="s">
        <v>276</v>
      </c>
      <c r="B32" t="s">
        <v>53</v>
      </c>
      <c r="D32" t="s">
        <v>86</v>
      </c>
      <c r="E32" t="s">
        <v>86</v>
      </c>
      <c r="F32" t="s">
        <v>333</v>
      </c>
      <c r="J32" t="s">
        <v>227</v>
      </c>
    </row>
    <row r="33" spans="1:10" ht="11.25">
      <c r="A33" t="s">
        <v>264</v>
      </c>
      <c r="B33" t="s">
        <v>52</v>
      </c>
      <c r="E33" t="s">
        <v>349</v>
      </c>
      <c r="F33" t="s">
        <v>333</v>
      </c>
      <c r="J33" t="s">
        <v>234</v>
      </c>
    </row>
    <row r="34" spans="1:10" ht="11.25">
      <c r="A34" t="s">
        <v>350</v>
      </c>
      <c r="B34" t="s">
        <v>52</v>
      </c>
      <c r="E34" t="s">
        <v>351</v>
      </c>
      <c r="F34" t="s">
        <v>333</v>
      </c>
      <c r="J34" t="s">
        <v>229</v>
      </c>
    </row>
    <row r="35" spans="1:10" ht="11.25">
      <c r="A35" t="s">
        <v>91</v>
      </c>
      <c r="B35" t="s">
        <v>53</v>
      </c>
      <c r="E35" t="s">
        <v>352</v>
      </c>
      <c r="F35" t="s">
        <v>333</v>
      </c>
      <c r="J35" t="s">
        <v>231</v>
      </c>
    </row>
    <row r="36" spans="1:10" ht="11.25">
      <c r="A36" t="s">
        <v>80</v>
      </c>
      <c r="B36" t="s">
        <v>47</v>
      </c>
      <c r="D36" t="s">
        <v>88</v>
      </c>
      <c r="E36" t="s">
        <v>88</v>
      </c>
      <c r="F36" t="s">
        <v>51</v>
      </c>
      <c r="J36" t="s">
        <v>237</v>
      </c>
    </row>
    <row r="37" spans="1:10" ht="11.25">
      <c r="A37" t="s">
        <v>89</v>
      </c>
      <c r="B37" t="s">
        <v>52</v>
      </c>
      <c r="E37" t="s">
        <v>227</v>
      </c>
      <c r="F37" t="s">
        <v>51</v>
      </c>
      <c r="J37" t="s">
        <v>232</v>
      </c>
    </row>
    <row r="38" spans="1:10" ht="11.25">
      <c r="A38" t="s">
        <v>237</v>
      </c>
      <c r="B38" t="s">
        <v>51</v>
      </c>
      <c r="E38" t="s">
        <v>229</v>
      </c>
      <c r="F38" t="s">
        <v>51</v>
      </c>
      <c r="J38" t="s">
        <v>108</v>
      </c>
    </row>
    <row r="39" spans="1:10" ht="11.25">
      <c r="A39" t="s">
        <v>87</v>
      </c>
      <c r="B39" t="s">
        <v>45</v>
      </c>
      <c r="E39" t="s">
        <v>231</v>
      </c>
      <c r="F39" t="s">
        <v>51</v>
      </c>
      <c r="J39" t="s">
        <v>350</v>
      </c>
    </row>
    <row r="40" spans="1:10" ht="11.25">
      <c r="A40" t="s">
        <v>70</v>
      </c>
      <c r="B40" t="s">
        <v>53</v>
      </c>
      <c r="E40" t="s">
        <v>232</v>
      </c>
      <c r="F40" t="s">
        <v>51</v>
      </c>
      <c r="J40" t="s">
        <v>89</v>
      </c>
    </row>
    <row r="41" spans="1:10" ht="11.25">
      <c r="A41" t="s">
        <v>85</v>
      </c>
      <c r="B41" t="s">
        <v>333</v>
      </c>
      <c r="D41" t="s">
        <v>90</v>
      </c>
      <c r="E41" t="s">
        <v>90</v>
      </c>
      <c r="F41" t="s">
        <v>335</v>
      </c>
      <c r="J41" t="s">
        <v>74</v>
      </c>
    </row>
    <row r="42" spans="1:10" ht="11.25">
      <c r="A42" t="s">
        <v>94</v>
      </c>
      <c r="B42" t="s">
        <v>333</v>
      </c>
      <c r="E42" t="s">
        <v>353</v>
      </c>
      <c r="F42" t="s">
        <v>335</v>
      </c>
      <c r="J42" t="s">
        <v>261</v>
      </c>
    </row>
    <row r="43" spans="1:10" ht="11.25">
      <c r="A43" t="s">
        <v>255</v>
      </c>
      <c r="B43" t="s">
        <v>45</v>
      </c>
      <c r="E43" t="s">
        <v>354</v>
      </c>
      <c r="F43" t="s">
        <v>335</v>
      </c>
      <c r="J43" t="s">
        <v>248</v>
      </c>
    </row>
    <row r="44" spans="1:10" ht="11.25">
      <c r="A44" t="s">
        <v>235</v>
      </c>
      <c r="B44" t="s">
        <v>333</v>
      </c>
      <c r="E44" t="s">
        <v>355</v>
      </c>
      <c r="F44" t="s">
        <v>335</v>
      </c>
      <c r="J44" t="s">
        <v>251</v>
      </c>
    </row>
    <row r="45" spans="1:10" ht="11.25">
      <c r="A45" t="s">
        <v>257</v>
      </c>
      <c r="B45" t="s">
        <v>45</v>
      </c>
      <c r="D45" t="s">
        <v>92</v>
      </c>
      <c r="E45" t="s">
        <v>92</v>
      </c>
      <c r="F45" t="s">
        <v>53</v>
      </c>
      <c r="J45" t="s">
        <v>83</v>
      </c>
    </row>
    <row r="46" spans="1:10" ht="11.25">
      <c r="A46" t="s">
        <v>195</v>
      </c>
      <c r="B46" t="s">
        <v>49</v>
      </c>
      <c r="E46" t="s">
        <v>289</v>
      </c>
      <c r="F46" t="s">
        <v>53</v>
      </c>
      <c r="J46" t="s">
        <v>270</v>
      </c>
    </row>
    <row r="47" spans="1:10" ht="11.25">
      <c r="A47" t="s">
        <v>225</v>
      </c>
      <c r="B47" t="s">
        <v>344</v>
      </c>
      <c r="E47" t="s">
        <v>356</v>
      </c>
      <c r="F47" t="s">
        <v>53</v>
      </c>
      <c r="J47" t="s">
        <v>272</v>
      </c>
    </row>
    <row r="48" spans="1:10" ht="11.25">
      <c r="A48" t="s">
        <v>341</v>
      </c>
      <c r="B48" t="s">
        <v>45</v>
      </c>
      <c r="E48" t="s">
        <v>293</v>
      </c>
      <c r="F48" t="s">
        <v>53</v>
      </c>
      <c r="J48" t="s">
        <v>276</v>
      </c>
    </row>
    <row r="49" spans="1:10" ht="11.25">
      <c r="A49" t="s">
        <v>279</v>
      </c>
      <c r="B49" t="s">
        <v>53</v>
      </c>
      <c r="E49" t="s">
        <v>357</v>
      </c>
      <c r="F49" t="s">
        <v>53</v>
      </c>
      <c r="J49" t="s">
        <v>91</v>
      </c>
    </row>
    <row r="50" spans="1:10" ht="11.25">
      <c r="A50" t="s">
        <v>275</v>
      </c>
      <c r="B50" t="s">
        <v>47</v>
      </c>
      <c r="D50" t="s">
        <v>24</v>
      </c>
      <c r="E50" t="s">
        <v>24</v>
      </c>
      <c r="F50" t="s">
        <v>333</v>
      </c>
      <c r="J50" t="s">
        <v>289</v>
      </c>
    </row>
    <row r="51" spans="1:10" ht="11.25">
      <c r="A51" t="s">
        <v>239</v>
      </c>
      <c r="B51" t="s">
        <v>45</v>
      </c>
      <c r="E51" t="s">
        <v>358</v>
      </c>
      <c r="F51" t="s">
        <v>333</v>
      </c>
      <c r="J51" t="s">
        <v>273</v>
      </c>
    </row>
    <row r="52" spans="1:10" ht="11.25">
      <c r="A52" t="s">
        <v>238</v>
      </c>
      <c r="B52" t="s">
        <v>333</v>
      </c>
      <c r="E52" t="s">
        <v>359</v>
      </c>
      <c r="F52" t="s">
        <v>333</v>
      </c>
      <c r="J52" t="s">
        <v>282</v>
      </c>
    </row>
    <row r="53" spans="1:10" ht="11.25">
      <c r="A53" t="s">
        <v>337</v>
      </c>
      <c r="B53" t="s">
        <v>45</v>
      </c>
      <c r="E53" t="s">
        <v>360</v>
      </c>
      <c r="F53" t="s">
        <v>333</v>
      </c>
      <c r="J53" t="s">
        <v>70</v>
      </c>
    </row>
    <row r="54" spans="1:10" ht="11.25">
      <c r="A54" t="s">
        <v>260</v>
      </c>
      <c r="B54" t="s">
        <v>45</v>
      </c>
      <c r="D54" t="s">
        <v>95</v>
      </c>
      <c r="E54" t="s">
        <v>95</v>
      </c>
      <c r="F54" t="s">
        <v>340</v>
      </c>
      <c r="J54" t="s">
        <v>279</v>
      </c>
    </row>
    <row r="55" spans="1:10" ht="11.25">
      <c r="A55" t="s">
        <v>74</v>
      </c>
      <c r="B55" t="s">
        <v>52</v>
      </c>
      <c r="E55" t="s">
        <v>89</v>
      </c>
      <c r="F55" t="s">
        <v>52</v>
      </c>
      <c r="J55" t="s">
        <v>291</v>
      </c>
    </row>
    <row r="56" spans="1:10" ht="11.25">
      <c r="A56" t="s">
        <v>245</v>
      </c>
      <c r="B56" t="s">
        <v>45</v>
      </c>
      <c r="E56" t="s">
        <v>339</v>
      </c>
      <c r="F56" t="s">
        <v>54</v>
      </c>
      <c r="J56" t="s">
        <v>293</v>
      </c>
    </row>
    <row r="57" spans="1:10" ht="11.25">
      <c r="A57" t="s">
        <v>283</v>
      </c>
      <c r="B57" t="s">
        <v>53</v>
      </c>
      <c r="E57" t="s">
        <v>261</v>
      </c>
      <c r="F57" t="s">
        <v>52</v>
      </c>
      <c r="J57" t="s">
        <v>283</v>
      </c>
    </row>
    <row r="58" spans="1:10" ht="11.25">
      <c r="A58" t="s">
        <v>288</v>
      </c>
      <c r="B58" t="s">
        <v>49</v>
      </c>
      <c r="J58" t="s">
        <v>296</v>
      </c>
    </row>
    <row r="59" spans="1:10" ht="11.25">
      <c r="A59" t="s">
        <v>241</v>
      </c>
      <c r="B59" t="s">
        <v>45</v>
      </c>
      <c r="D59" t="s">
        <v>361</v>
      </c>
      <c r="E59" t="s">
        <v>52</v>
      </c>
      <c r="J59" t="s">
        <v>303</v>
      </c>
    </row>
    <row r="60" spans="1:10" ht="11.25">
      <c r="A60" t="s">
        <v>263</v>
      </c>
      <c r="B60" t="s">
        <v>45</v>
      </c>
      <c r="D60" t="s">
        <v>362</v>
      </c>
      <c r="E60" t="s">
        <v>53</v>
      </c>
      <c r="J60" t="s">
        <v>286</v>
      </c>
    </row>
    <row r="61" spans="1:10" ht="11.25">
      <c r="A61" t="s">
        <v>232</v>
      </c>
      <c r="B61" t="s">
        <v>51</v>
      </c>
      <c r="D61" t="s">
        <v>363</v>
      </c>
      <c r="E61" t="s">
        <v>52</v>
      </c>
      <c r="J61" t="s">
        <v>307</v>
      </c>
    </row>
    <row r="62" spans="1:10" ht="11.25">
      <c r="A62" t="s">
        <v>364</v>
      </c>
      <c r="B62" t="s">
        <v>47</v>
      </c>
      <c r="D62" t="s">
        <v>365</v>
      </c>
      <c r="E62" t="s">
        <v>53</v>
      </c>
      <c r="J62" t="s">
        <v>226</v>
      </c>
    </row>
    <row r="63" spans="1:10" ht="11.25">
      <c r="A63" t="s">
        <v>265</v>
      </c>
      <c r="B63" t="s">
        <v>45</v>
      </c>
      <c r="J63" t="s">
        <v>339</v>
      </c>
    </row>
    <row r="64" spans="1:10" ht="11.25">
      <c r="A64" t="s">
        <v>268</v>
      </c>
      <c r="B64" t="s">
        <v>45</v>
      </c>
      <c r="J64" t="s">
        <v>240</v>
      </c>
    </row>
    <row r="65" spans="1:10" ht="11.25">
      <c r="A65" t="s">
        <v>303</v>
      </c>
      <c r="B65" t="s">
        <v>53</v>
      </c>
      <c r="J65" t="s">
        <v>238</v>
      </c>
    </row>
    <row r="66" spans="1:10" ht="11.25">
      <c r="A66" t="s">
        <v>248</v>
      </c>
      <c r="B66" t="s">
        <v>52</v>
      </c>
      <c r="J66" t="s">
        <v>94</v>
      </c>
    </row>
    <row r="67" spans="1:10" ht="11.25">
      <c r="A67" t="s">
        <v>307</v>
      </c>
      <c r="B67" t="s">
        <v>53</v>
      </c>
      <c r="J67" t="s">
        <v>243</v>
      </c>
    </row>
    <row r="68" spans="1:10" ht="11.25">
      <c r="A68" t="s">
        <v>251</v>
      </c>
      <c r="B68" t="s">
        <v>52</v>
      </c>
      <c r="J68" t="s">
        <v>85</v>
      </c>
    </row>
    <row r="69" spans="1:10" ht="11.25">
      <c r="A69" t="s">
        <v>278</v>
      </c>
      <c r="B69" t="s">
        <v>47</v>
      </c>
      <c r="J69" t="s">
        <v>235</v>
      </c>
    </row>
    <row r="70" spans="1:10" ht="11.25">
      <c r="A70" t="s">
        <v>240</v>
      </c>
      <c r="B70" t="s">
        <v>333</v>
      </c>
      <c r="J70" t="s">
        <v>254</v>
      </c>
    </row>
    <row r="71" spans="1:10" ht="11.25">
      <c r="A71" t="s">
        <v>72</v>
      </c>
      <c r="B71" t="s">
        <v>45</v>
      </c>
      <c r="J71" t="s">
        <v>256</v>
      </c>
    </row>
    <row r="72" spans="1:10" ht="11.25">
      <c r="A72" t="s">
        <v>77</v>
      </c>
      <c r="B72" t="s">
        <v>47</v>
      </c>
      <c r="J72" t="s">
        <v>259</v>
      </c>
    </row>
    <row r="73" spans="1:10" ht="11.25">
      <c r="A73" t="s">
        <v>83</v>
      </c>
      <c r="B73" t="s">
        <v>52</v>
      </c>
      <c r="J73" t="s">
        <v>299</v>
      </c>
    </row>
    <row r="74" spans="1:10" ht="11.25">
      <c r="A74" t="s">
        <v>236</v>
      </c>
      <c r="B74" t="s">
        <v>45</v>
      </c>
      <c r="J74" t="s">
        <v>264</v>
      </c>
    </row>
    <row r="75" ht="11.25">
      <c r="J75" t="s">
        <v>249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84"/>
  <sheetViews>
    <sheetView workbookViewId="0" topLeftCell="A1">
      <selection activeCell="A1" sqref="A1"/>
    </sheetView>
  </sheetViews>
  <sheetFormatPr defaultColWidth="9.33203125" defaultRowHeight="11.25"/>
  <cols>
    <col min="1" max="1" width="18.33203125" style="0" customWidth="1"/>
    <col min="2" max="2" width="19.33203125" style="0" customWidth="1"/>
  </cols>
  <sheetData>
    <row r="1" ht="11.25">
      <c r="A1" t="s">
        <v>366</v>
      </c>
    </row>
    <row r="2" ht="11.25">
      <c r="A2" t="s">
        <v>367</v>
      </c>
    </row>
    <row r="3" ht="11.25">
      <c r="A3" t="s">
        <v>368</v>
      </c>
    </row>
    <row r="4" ht="11.25">
      <c r="A4" t="s">
        <v>369</v>
      </c>
    </row>
    <row r="5" ht="11.25">
      <c r="A5" t="s">
        <v>370</v>
      </c>
    </row>
    <row r="6" ht="11.25">
      <c r="A6" t="s">
        <v>371</v>
      </c>
    </row>
    <row r="7" ht="11.25">
      <c r="A7" t="s">
        <v>372</v>
      </c>
    </row>
    <row r="8" ht="11.25">
      <c r="A8" t="s">
        <v>373</v>
      </c>
    </row>
    <row r="9" ht="11.25">
      <c r="A9" t="s">
        <v>374</v>
      </c>
    </row>
    <row r="10" ht="11.25">
      <c r="A10" t="s">
        <v>375</v>
      </c>
    </row>
    <row r="11" ht="11.25">
      <c r="A11" t="s">
        <v>376</v>
      </c>
    </row>
    <row r="12" ht="11.25">
      <c r="A12" t="s">
        <v>377</v>
      </c>
    </row>
    <row r="13" ht="11.25">
      <c r="A13" t="s">
        <v>378</v>
      </c>
    </row>
    <row r="14" ht="11.25">
      <c r="A14" t="s">
        <v>379</v>
      </c>
    </row>
    <row r="15" ht="11.25">
      <c r="A15" t="s">
        <v>380</v>
      </c>
    </row>
    <row r="16" ht="11.25">
      <c r="A16" t="s">
        <v>381</v>
      </c>
    </row>
    <row r="17" ht="11.25">
      <c r="A17" t="s">
        <v>382</v>
      </c>
    </row>
    <row r="18" ht="11.25">
      <c r="A18" t="s">
        <v>383</v>
      </c>
    </row>
    <row r="19" ht="11.25">
      <c r="A19" t="s">
        <v>384</v>
      </c>
    </row>
    <row r="20" ht="11.25">
      <c r="A20" t="s">
        <v>385</v>
      </c>
    </row>
    <row r="21" ht="11.25">
      <c r="A21" t="s">
        <v>386</v>
      </c>
    </row>
    <row r="22" ht="11.25">
      <c r="A22" t="s">
        <v>387</v>
      </c>
    </row>
    <row r="23" ht="11.25">
      <c r="A23" t="s">
        <v>388</v>
      </c>
    </row>
    <row r="24" ht="11.25">
      <c r="A24" t="s">
        <v>389</v>
      </c>
    </row>
    <row r="25" ht="11.25">
      <c r="A25" t="s">
        <v>390</v>
      </c>
    </row>
    <row r="26" ht="11.25">
      <c r="A26" t="s">
        <v>391</v>
      </c>
    </row>
    <row r="27" ht="11.25">
      <c r="A27" t="s">
        <v>392</v>
      </c>
    </row>
    <row r="28" ht="11.25">
      <c r="A28" t="s">
        <v>393</v>
      </c>
    </row>
    <row r="29" ht="11.25">
      <c r="A29" t="s">
        <v>394</v>
      </c>
    </row>
    <row r="30" ht="11.25">
      <c r="A30" t="s">
        <v>395</v>
      </c>
    </row>
    <row r="31" ht="11.25">
      <c r="A31" t="s">
        <v>396</v>
      </c>
    </row>
    <row r="32" ht="11.25">
      <c r="A32" t="s">
        <v>397</v>
      </c>
    </row>
    <row r="33" ht="11.25">
      <c r="A33" t="s">
        <v>398</v>
      </c>
    </row>
    <row r="34" ht="11.25">
      <c r="A34" t="s">
        <v>132</v>
      </c>
    </row>
    <row r="35" ht="11.25">
      <c r="A35" t="s">
        <v>399</v>
      </c>
    </row>
    <row r="36" ht="11.25">
      <c r="A36" t="s">
        <v>400</v>
      </c>
    </row>
    <row r="37" ht="11.25">
      <c r="A37" t="s">
        <v>401</v>
      </c>
    </row>
    <row r="38" ht="11.25">
      <c r="A38" t="s">
        <v>402</v>
      </c>
    </row>
    <row r="39" ht="11.25">
      <c r="A39" t="s">
        <v>403</v>
      </c>
    </row>
    <row r="40" ht="11.25">
      <c r="A40" t="s">
        <v>130</v>
      </c>
    </row>
    <row r="41" ht="11.25">
      <c r="A41" t="s">
        <v>404</v>
      </c>
    </row>
    <row r="42" ht="11.25">
      <c r="A42" t="s">
        <v>405</v>
      </c>
    </row>
    <row r="43" ht="11.25">
      <c r="A43" t="s">
        <v>406</v>
      </c>
    </row>
    <row r="44" ht="11.25">
      <c r="A44" t="s">
        <v>407</v>
      </c>
    </row>
    <row r="45" ht="11.25">
      <c r="A45" t="s">
        <v>408</v>
      </c>
    </row>
    <row r="46" ht="11.25">
      <c r="A46" t="s">
        <v>409</v>
      </c>
    </row>
    <row r="47" ht="11.25">
      <c r="A47" t="s">
        <v>410</v>
      </c>
    </row>
    <row r="48" ht="11.25">
      <c r="A48" t="s">
        <v>411</v>
      </c>
    </row>
    <row r="49" ht="11.25">
      <c r="A49" t="s">
        <v>412</v>
      </c>
    </row>
    <row r="50" ht="11.25">
      <c r="A50" t="s">
        <v>413</v>
      </c>
    </row>
    <row r="51" ht="11.25">
      <c r="A51" t="s">
        <v>414</v>
      </c>
    </row>
    <row r="52" ht="11.25">
      <c r="A52" t="s">
        <v>415</v>
      </c>
    </row>
    <row r="53" ht="11.25">
      <c r="A53" t="s">
        <v>416</v>
      </c>
    </row>
    <row r="54" ht="11.25">
      <c r="A54" t="s">
        <v>417</v>
      </c>
    </row>
    <row r="55" ht="11.25">
      <c r="A55" t="s">
        <v>418</v>
      </c>
    </row>
    <row r="56" ht="11.25">
      <c r="A56" t="s">
        <v>419</v>
      </c>
    </row>
    <row r="57" ht="11.25">
      <c r="A57" t="s">
        <v>420</v>
      </c>
    </row>
    <row r="58" ht="11.25">
      <c r="A58" t="s">
        <v>421</v>
      </c>
    </row>
    <row r="59" ht="11.25">
      <c r="A59" t="s">
        <v>422</v>
      </c>
    </row>
    <row r="60" ht="11.25">
      <c r="A60" t="s">
        <v>423</v>
      </c>
    </row>
    <row r="61" ht="11.25">
      <c r="A61" t="s">
        <v>424</v>
      </c>
    </row>
    <row r="62" ht="11.25">
      <c r="A62" t="s">
        <v>73</v>
      </c>
    </row>
    <row r="63" ht="11.25">
      <c r="A63" t="s">
        <v>425</v>
      </c>
    </row>
    <row r="64" ht="11.25">
      <c r="A64" t="s">
        <v>426</v>
      </c>
    </row>
    <row r="65" ht="11.25">
      <c r="A65" t="s">
        <v>427</v>
      </c>
    </row>
    <row r="66" ht="11.25">
      <c r="A66" t="s">
        <v>428</v>
      </c>
    </row>
    <row r="67" ht="11.25">
      <c r="A67" t="s">
        <v>429</v>
      </c>
    </row>
    <row r="68" ht="11.25">
      <c r="A68" t="s">
        <v>430</v>
      </c>
    </row>
    <row r="69" ht="11.25">
      <c r="A69" t="s">
        <v>431</v>
      </c>
    </row>
    <row r="70" ht="11.25">
      <c r="A70" t="s">
        <v>432</v>
      </c>
    </row>
    <row r="71" ht="11.25">
      <c r="A71" t="s">
        <v>133</v>
      </c>
    </row>
    <row r="72" ht="11.25">
      <c r="A72" t="s">
        <v>433</v>
      </c>
    </row>
    <row r="73" ht="11.25">
      <c r="A73" t="s">
        <v>434</v>
      </c>
    </row>
    <row r="74" ht="11.25">
      <c r="A74" t="s">
        <v>134</v>
      </c>
    </row>
    <row r="75" ht="11.25">
      <c r="A75" t="s">
        <v>435</v>
      </c>
    </row>
    <row r="76" ht="11.25">
      <c r="A76" t="s">
        <v>436</v>
      </c>
    </row>
    <row r="77" ht="11.25">
      <c r="A77" t="s">
        <v>437</v>
      </c>
    </row>
    <row r="78" ht="11.25">
      <c r="A78" t="s">
        <v>438</v>
      </c>
    </row>
    <row r="79" ht="11.25">
      <c r="A79" t="s">
        <v>439</v>
      </c>
    </row>
    <row r="80" ht="11.25">
      <c r="A80" t="s">
        <v>440</v>
      </c>
    </row>
    <row r="81" ht="11.25">
      <c r="A81" t="s">
        <v>441</v>
      </c>
    </row>
    <row r="82" ht="11.25">
      <c r="A82" t="s">
        <v>442</v>
      </c>
    </row>
    <row r="83" ht="11.25">
      <c r="A83" t="s">
        <v>443</v>
      </c>
    </row>
    <row r="84" ht="11.25">
      <c r="A84" t="s">
        <v>444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6"/>
  <sheetViews>
    <sheetView workbookViewId="0" topLeftCell="A1">
      <selection activeCell="F13" sqref="F13"/>
    </sheetView>
  </sheetViews>
  <sheetFormatPr defaultColWidth="9.33203125" defaultRowHeight="11.25"/>
  <cols>
    <col min="1" max="1" width="30.16015625" style="0" customWidth="1"/>
  </cols>
  <sheetData>
    <row r="1" spans="1:2" ht="11.25">
      <c r="A1" t="s">
        <v>445</v>
      </c>
      <c r="B1">
        <v>0</v>
      </c>
    </row>
    <row r="2" spans="1:2" ht="11.25">
      <c r="A2" t="s">
        <v>22</v>
      </c>
      <c r="B2" s="89">
        <v>-10</v>
      </c>
    </row>
    <row r="3" spans="1:2" ht="11.25">
      <c r="A3" t="s">
        <v>446</v>
      </c>
      <c r="B3" s="89">
        <v>-5</v>
      </c>
    </row>
    <row r="4" spans="1:2" ht="11.25">
      <c r="A4" t="s">
        <v>447</v>
      </c>
      <c r="B4" s="89">
        <v>5</v>
      </c>
    </row>
    <row r="5" spans="1:2" ht="11.25">
      <c r="A5" t="s">
        <v>448</v>
      </c>
      <c r="B5" s="89">
        <v>-5</v>
      </c>
    </row>
    <row r="6" spans="1:2" ht="11.25">
      <c r="A6" t="s">
        <v>329</v>
      </c>
      <c r="B6" s="89">
        <v>5</v>
      </c>
    </row>
    <row r="7" spans="1:2" ht="11.25">
      <c r="A7" t="s">
        <v>449</v>
      </c>
      <c r="B7" s="89" t="s">
        <v>450</v>
      </c>
    </row>
    <row r="8" spans="1:2" ht="11.25">
      <c r="A8" t="s">
        <v>451</v>
      </c>
      <c r="B8" s="89">
        <v>-5</v>
      </c>
    </row>
    <row r="9" spans="1:2" ht="11.25">
      <c r="A9" t="s">
        <v>452</v>
      </c>
      <c r="B9" s="89">
        <v>-5</v>
      </c>
    </row>
    <row r="10" spans="1:2" ht="11.25">
      <c r="A10" t="s">
        <v>453</v>
      </c>
      <c r="B10" s="89">
        <v>10</v>
      </c>
    </row>
    <row r="11" spans="1:2" ht="11.25">
      <c r="A11" t="s">
        <v>454</v>
      </c>
      <c r="B11" s="89">
        <v>-5</v>
      </c>
    </row>
    <row r="12" spans="1:2" ht="11.25">
      <c r="A12" t="s">
        <v>455</v>
      </c>
      <c r="B12" s="89">
        <v>-10</v>
      </c>
    </row>
    <row r="13" spans="1:2" ht="11.25">
      <c r="A13" t="s">
        <v>456</v>
      </c>
      <c r="B13" s="89">
        <v>-15</v>
      </c>
    </row>
    <row r="14" spans="1:2" ht="11.25">
      <c r="A14" t="s">
        <v>457</v>
      </c>
      <c r="B14" s="89">
        <v>-20</v>
      </c>
    </row>
    <row r="15" spans="1:2" ht="11.25">
      <c r="A15" t="s">
        <v>458</v>
      </c>
      <c r="B15" s="89">
        <v>10</v>
      </c>
    </row>
    <row r="16" spans="1:2" ht="11.25">
      <c r="A16" t="s">
        <v>459</v>
      </c>
      <c r="B16" s="89">
        <v>-5</v>
      </c>
    </row>
    <row r="17" spans="1:2" ht="11.25">
      <c r="A17" t="s">
        <v>460</v>
      </c>
      <c r="B17" s="89">
        <v>-15</v>
      </c>
    </row>
    <row r="18" spans="1:2" ht="11.25">
      <c r="A18" t="s">
        <v>461</v>
      </c>
      <c r="B18" s="89">
        <v>-10</v>
      </c>
    </row>
    <row r="19" spans="1:2" ht="11.25">
      <c r="A19" t="s">
        <v>28</v>
      </c>
      <c r="B19" s="89">
        <v>5</v>
      </c>
    </row>
    <row r="20" spans="1:2" ht="11.25">
      <c r="A20" t="s">
        <v>462</v>
      </c>
      <c r="B20" s="89">
        <v>5</v>
      </c>
    </row>
    <row r="21" spans="1:2" ht="11.25">
      <c r="A21" t="s">
        <v>463</v>
      </c>
      <c r="B21" s="89">
        <v>10</v>
      </c>
    </row>
    <row r="22" spans="1:2" ht="11.25">
      <c r="A22" t="s">
        <v>8</v>
      </c>
      <c r="B22" s="89">
        <v>10</v>
      </c>
    </row>
    <row r="23" spans="1:2" ht="11.25">
      <c r="A23" t="s">
        <v>464</v>
      </c>
      <c r="B23" s="89" t="s">
        <v>465</v>
      </c>
    </row>
    <row r="24" spans="1:2" ht="11.25">
      <c r="A24" t="s">
        <v>466</v>
      </c>
      <c r="B24" s="89">
        <v>-5</v>
      </c>
    </row>
    <row r="25" spans="1:2" ht="11.25">
      <c r="A25" t="s">
        <v>467</v>
      </c>
      <c r="B25" s="89">
        <v>-10</v>
      </c>
    </row>
    <row r="26" spans="1:2" ht="11.25">
      <c r="A26" t="s">
        <v>468</v>
      </c>
      <c r="B26" s="89">
        <v>10</v>
      </c>
    </row>
    <row r="27" spans="1:2" ht="11.25">
      <c r="A27" t="s">
        <v>469</v>
      </c>
      <c r="B27" s="89">
        <v>-20</v>
      </c>
    </row>
    <row r="28" spans="1:2" ht="11.25">
      <c r="A28" t="s">
        <v>470</v>
      </c>
      <c r="B28" s="89">
        <v>-5</v>
      </c>
    </row>
    <row r="29" spans="1:2" ht="11.25">
      <c r="A29" t="s">
        <v>471</v>
      </c>
      <c r="B29" s="89">
        <v>5</v>
      </c>
    </row>
    <row r="30" spans="1:2" ht="11.25">
      <c r="A30" t="s">
        <v>472</v>
      </c>
      <c r="B30" s="89">
        <v>10</v>
      </c>
    </row>
    <row r="31" spans="1:2" ht="11.25">
      <c r="A31" t="s">
        <v>473</v>
      </c>
      <c r="B31" s="89">
        <v>15</v>
      </c>
    </row>
    <row r="32" spans="1:2" ht="11.25">
      <c r="A32" t="s">
        <v>474</v>
      </c>
      <c r="B32" s="89">
        <v>-10</v>
      </c>
    </row>
    <row r="33" spans="1:2" ht="11.25">
      <c r="A33" t="s">
        <v>475</v>
      </c>
      <c r="B33" s="89">
        <v>20</v>
      </c>
    </row>
    <row r="34" spans="1:2" ht="11.25">
      <c r="A34" t="s">
        <v>476</v>
      </c>
      <c r="B34" s="89">
        <v>10</v>
      </c>
    </row>
    <row r="35" spans="1:2" ht="11.25">
      <c r="A35" t="s">
        <v>477</v>
      </c>
      <c r="B35" s="89">
        <v>5</v>
      </c>
    </row>
    <row r="36" spans="1:2" ht="11.25">
      <c r="A36" t="s">
        <v>478</v>
      </c>
      <c r="B36" s="89">
        <v>15</v>
      </c>
    </row>
    <row r="37" spans="1:2" ht="11.25">
      <c r="A37" t="s">
        <v>479</v>
      </c>
      <c r="B37" s="89">
        <v>10</v>
      </c>
    </row>
    <row r="38" spans="1:2" ht="11.25">
      <c r="A38" t="s">
        <v>20</v>
      </c>
      <c r="B38" s="89">
        <v>-20</v>
      </c>
    </row>
    <row r="39" spans="1:2" ht="11.25">
      <c r="A39" t="s">
        <v>480</v>
      </c>
      <c r="B39" s="89">
        <v>-5</v>
      </c>
    </row>
    <row r="40" spans="1:2" ht="11.25">
      <c r="A40" t="s">
        <v>481</v>
      </c>
      <c r="B40" s="89">
        <v>10</v>
      </c>
    </row>
    <row r="41" spans="1:2" ht="11.25">
      <c r="A41" t="s">
        <v>482</v>
      </c>
      <c r="B41" s="89">
        <v>20</v>
      </c>
    </row>
    <row r="42" spans="1:2" ht="11.25">
      <c r="A42" t="s">
        <v>483</v>
      </c>
      <c r="B42" s="89">
        <v>5</v>
      </c>
    </row>
    <row r="43" spans="1:2" ht="11.25">
      <c r="A43" t="s">
        <v>484</v>
      </c>
      <c r="B43" s="89">
        <v>-10</v>
      </c>
    </row>
    <row r="44" spans="1:2" ht="11.25">
      <c r="A44" t="s">
        <v>485</v>
      </c>
      <c r="B44" s="89">
        <v>-5</v>
      </c>
    </row>
    <row r="45" spans="1:2" ht="11.25">
      <c r="A45" t="s">
        <v>486</v>
      </c>
      <c r="B45" s="89">
        <v>5</v>
      </c>
    </row>
    <row r="46" spans="1:2" ht="11.25">
      <c r="A46" t="s">
        <v>487</v>
      </c>
      <c r="B46" s="89">
        <v>10</v>
      </c>
    </row>
    <row r="47" spans="1:2" ht="11.25">
      <c r="A47" t="s">
        <v>488</v>
      </c>
      <c r="B47" s="89">
        <v>15</v>
      </c>
    </row>
    <row r="48" spans="1:2" ht="11.25">
      <c r="A48" t="s">
        <v>489</v>
      </c>
      <c r="B48" s="89">
        <v>10</v>
      </c>
    </row>
    <row r="49" spans="1:2" ht="11.25">
      <c r="A49" t="s">
        <v>490</v>
      </c>
      <c r="B49" s="89">
        <v>10</v>
      </c>
    </row>
    <row r="50" spans="1:2" ht="11.25">
      <c r="A50" t="s">
        <v>491</v>
      </c>
      <c r="B50" s="89">
        <v>-10</v>
      </c>
    </row>
    <row r="51" spans="1:2" ht="11.25">
      <c r="A51" t="s">
        <v>492</v>
      </c>
      <c r="B51" s="89">
        <v>-20</v>
      </c>
    </row>
    <row r="52" spans="1:2" ht="11.25">
      <c r="A52" t="s">
        <v>493</v>
      </c>
      <c r="B52" s="89">
        <v>5</v>
      </c>
    </row>
    <row r="53" spans="1:2" ht="11.25">
      <c r="A53" t="s">
        <v>494</v>
      </c>
      <c r="B53" s="89">
        <v>20</v>
      </c>
    </row>
    <row r="54" spans="1:2" ht="11.25">
      <c r="A54" t="s">
        <v>495</v>
      </c>
      <c r="B54" s="89">
        <v>20</v>
      </c>
    </row>
    <row r="55" spans="1:2" ht="11.25">
      <c r="A55" t="s">
        <v>496</v>
      </c>
      <c r="B55" s="89">
        <v>20</v>
      </c>
    </row>
    <row r="56" spans="1:2" ht="11.25">
      <c r="A56" t="s">
        <v>497</v>
      </c>
      <c r="B56" s="89">
        <v>20</v>
      </c>
    </row>
    <row r="57" spans="1:2" ht="11.25">
      <c r="A57" t="s">
        <v>498</v>
      </c>
      <c r="B57" s="89">
        <v>20</v>
      </c>
    </row>
    <row r="58" spans="1:2" ht="11.25">
      <c r="A58" t="s">
        <v>499</v>
      </c>
      <c r="B58" s="89">
        <v>20</v>
      </c>
    </row>
    <row r="59" spans="1:2" ht="11.25">
      <c r="A59" t="s">
        <v>500</v>
      </c>
      <c r="B59" s="89">
        <v>20</v>
      </c>
    </row>
    <row r="60" spans="1:2" ht="11.25">
      <c r="A60" t="s">
        <v>501</v>
      </c>
      <c r="B60" s="89">
        <v>20</v>
      </c>
    </row>
    <row r="61" spans="1:2" ht="11.25">
      <c r="A61" t="s">
        <v>502</v>
      </c>
      <c r="B61" s="89">
        <v>5</v>
      </c>
    </row>
    <row r="62" spans="1:2" ht="11.25">
      <c r="A62" t="s">
        <v>503</v>
      </c>
      <c r="B62" s="89">
        <v>10</v>
      </c>
    </row>
    <row r="63" spans="1:2" ht="11.25">
      <c r="A63" t="s">
        <v>504</v>
      </c>
      <c r="B63" s="89">
        <v>10</v>
      </c>
    </row>
    <row r="64" spans="1:2" ht="11.25">
      <c r="A64" t="s">
        <v>505</v>
      </c>
      <c r="B64" s="89">
        <v>5</v>
      </c>
    </row>
    <row r="65" spans="1:2" ht="11.25">
      <c r="A65" t="s">
        <v>506</v>
      </c>
      <c r="B65" s="89">
        <v>5</v>
      </c>
    </row>
    <row r="66" spans="1:2" ht="11.25">
      <c r="A66" t="s">
        <v>507</v>
      </c>
      <c r="B66" s="89">
        <v>10</v>
      </c>
    </row>
    <row r="67" spans="1:2" ht="11.25">
      <c r="A67" t="s">
        <v>508</v>
      </c>
      <c r="B67" s="89">
        <v>-20</v>
      </c>
    </row>
    <row r="68" spans="1:2" ht="11.25">
      <c r="A68" t="s">
        <v>509</v>
      </c>
      <c r="B68" s="89">
        <v>10</v>
      </c>
    </row>
    <row r="69" spans="1:2" ht="11.25">
      <c r="A69" t="s">
        <v>510</v>
      </c>
      <c r="B69" s="89">
        <v>15</v>
      </c>
    </row>
    <row r="70" spans="1:2" ht="11.25">
      <c r="A70" t="s">
        <v>511</v>
      </c>
      <c r="B70" s="89">
        <v>5</v>
      </c>
    </row>
    <row r="71" spans="1:2" ht="11.25">
      <c r="A71" t="s">
        <v>512</v>
      </c>
      <c r="B71" s="89">
        <v>10</v>
      </c>
    </row>
    <row r="72" spans="1:2" ht="11.25">
      <c r="A72" t="s">
        <v>513</v>
      </c>
      <c r="B72" s="89">
        <v>15</v>
      </c>
    </row>
    <row r="73" spans="1:2" ht="11.25">
      <c r="A73" t="s">
        <v>514</v>
      </c>
      <c r="B73" s="89">
        <v>20</v>
      </c>
    </row>
    <row r="74" spans="1:2" ht="11.25">
      <c r="A74" t="s">
        <v>515</v>
      </c>
      <c r="B74" s="89">
        <v>-20</v>
      </c>
    </row>
    <row r="75" spans="1:2" ht="11.25">
      <c r="A75" t="s">
        <v>516</v>
      </c>
      <c r="B75" s="89">
        <v>-15</v>
      </c>
    </row>
    <row r="76" spans="1:2" ht="11.25">
      <c r="A76" t="s">
        <v>517</v>
      </c>
      <c r="B76" s="89">
        <v>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1" sqref="A1"/>
    </sheetView>
  </sheetViews>
  <sheetFormatPr defaultColWidth="9.33203125" defaultRowHeight="11.25"/>
  <cols>
    <col min="1" max="1" width="28.33203125" style="0" customWidth="1"/>
  </cols>
  <sheetData>
    <row r="1" spans="1:2" ht="11.25">
      <c r="A1" t="s">
        <v>131</v>
      </c>
      <c r="B1">
        <v>1</v>
      </c>
    </row>
    <row r="2" spans="1:2" ht="11.25">
      <c r="A2" t="s">
        <v>518</v>
      </c>
      <c r="B2">
        <v>0.5</v>
      </c>
    </row>
    <row r="3" spans="1:2" ht="11.25">
      <c r="A3" t="s">
        <v>519</v>
      </c>
      <c r="B3">
        <v>0.25</v>
      </c>
    </row>
    <row r="4" spans="1:2" ht="11.25">
      <c r="A4" t="s">
        <v>520</v>
      </c>
      <c r="B4">
        <v>0.5</v>
      </c>
    </row>
    <row r="5" spans="1:2" ht="11.25">
      <c r="A5" t="s">
        <v>521</v>
      </c>
      <c r="B5">
        <v>0.25</v>
      </c>
    </row>
    <row r="6" spans="1:2" ht="11.25">
      <c r="A6" t="s">
        <v>522</v>
      </c>
      <c r="B6">
        <v>0.25</v>
      </c>
    </row>
    <row r="7" spans="1:2" ht="11.25">
      <c r="A7" t="s">
        <v>523</v>
      </c>
      <c r="B7">
        <v>0.5</v>
      </c>
    </row>
    <row r="8" spans="1:2" ht="11.25">
      <c r="A8" t="s">
        <v>524</v>
      </c>
      <c r="B8">
        <v>0.25</v>
      </c>
    </row>
    <row r="9" spans="1:2" ht="11.25">
      <c r="A9" t="s">
        <v>525</v>
      </c>
      <c r="B9">
        <v>0.5</v>
      </c>
    </row>
    <row r="10" spans="1:2" ht="11.25">
      <c r="A10" t="s">
        <v>526</v>
      </c>
      <c r="B10">
        <v>0.25</v>
      </c>
    </row>
    <row r="11" spans="1:2" ht="11.25">
      <c r="A11" t="s">
        <v>527</v>
      </c>
      <c r="B11">
        <v>0.5</v>
      </c>
    </row>
    <row r="12" spans="1:2" ht="11.25">
      <c r="A12" t="s">
        <v>528</v>
      </c>
      <c r="B12">
        <v>1</v>
      </c>
    </row>
    <row r="13" spans="1:2" ht="11.25">
      <c r="A13" t="s">
        <v>529</v>
      </c>
      <c r="B13">
        <v>0.5</v>
      </c>
    </row>
    <row r="14" spans="1:2" ht="11.25">
      <c r="A14" t="s">
        <v>388</v>
      </c>
      <c r="B14">
        <v>0.5</v>
      </c>
    </row>
    <row r="15" spans="1:2" ht="11.25">
      <c r="A15" t="s">
        <v>530</v>
      </c>
      <c r="B15">
        <v>0.25</v>
      </c>
    </row>
    <row r="16" spans="1:2" ht="11.25">
      <c r="A16" t="s">
        <v>531</v>
      </c>
      <c r="B16">
        <v>0.25</v>
      </c>
    </row>
    <row r="17" spans="1:2" ht="11.25">
      <c r="A17" t="s">
        <v>532</v>
      </c>
      <c r="B17">
        <v>0.25</v>
      </c>
    </row>
    <row r="18" spans="1:2" ht="11.25">
      <c r="A18" t="s">
        <v>533</v>
      </c>
      <c r="B18">
        <v>2</v>
      </c>
    </row>
    <row r="19" spans="1:2" ht="11.25">
      <c r="A19" t="s">
        <v>534</v>
      </c>
      <c r="B19">
        <v>3</v>
      </c>
    </row>
    <row r="20" spans="1:2" ht="11.25">
      <c r="A20" t="s">
        <v>535</v>
      </c>
      <c r="B20">
        <v>5</v>
      </c>
    </row>
    <row r="21" spans="1:2" ht="11.25">
      <c r="A21" t="s">
        <v>536</v>
      </c>
      <c r="B21">
        <v>0.5</v>
      </c>
    </row>
    <row r="22" spans="1:2" ht="11.25">
      <c r="A22" t="s">
        <v>537</v>
      </c>
      <c r="B22">
        <v>0.25</v>
      </c>
    </row>
    <row r="24" spans="1:2" ht="11.25">
      <c r="A24" t="s">
        <v>538</v>
      </c>
      <c r="B24">
        <v>2</v>
      </c>
    </row>
    <row r="25" spans="1:2" ht="11.25">
      <c r="A25" t="s">
        <v>539</v>
      </c>
      <c r="B25">
        <v>4</v>
      </c>
    </row>
    <row r="26" spans="1:2" ht="11.25">
      <c r="A26" t="s">
        <v>540</v>
      </c>
      <c r="B26">
        <v>3</v>
      </c>
    </row>
    <row r="27" spans="1:2" ht="11.25">
      <c r="A27" t="s">
        <v>541</v>
      </c>
      <c r="B27">
        <v>4</v>
      </c>
    </row>
    <row r="28" spans="1:2" ht="11.25">
      <c r="A28" t="s">
        <v>542</v>
      </c>
      <c r="B28">
        <v>3</v>
      </c>
    </row>
    <row r="29" spans="1:2" ht="11.25">
      <c r="A29" t="s">
        <v>543</v>
      </c>
      <c r="B29">
        <v>3</v>
      </c>
    </row>
    <row r="30" spans="1:2" ht="11.25">
      <c r="A30" t="s">
        <v>544</v>
      </c>
      <c r="B30">
        <v>4</v>
      </c>
    </row>
    <row r="31" spans="1:2" ht="11.25">
      <c r="A31" t="s">
        <v>545</v>
      </c>
      <c r="B31">
        <v>5</v>
      </c>
    </row>
    <row r="32" spans="1:2" ht="11.25">
      <c r="A32" t="s">
        <v>546</v>
      </c>
      <c r="B32">
        <v>3</v>
      </c>
    </row>
    <row r="33" spans="1:2" ht="11.25">
      <c r="A33" t="s">
        <v>333</v>
      </c>
      <c r="B33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K16" sqref="K16:P16"/>
    </sheetView>
  </sheetViews>
  <sheetFormatPr defaultColWidth="9.33203125" defaultRowHeight="11.25"/>
  <cols>
    <col min="1" max="44" width="4.83203125" style="5" customWidth="1"/>
    <col min="45" max="16384" width="9.33203125" style="5" customWidth="1"/>
  </cols>
  <sheetData>
    <row r="1" ht="17.25">
      <c r="A1" s="6" t="s">
        <v>1</v>
      </c>
    </row>
    <row r="3" spans="2:26" ht="11.25">
      <c r="B3" s="101" t="s">
        <v>2</v>
      </c>
      <c r="C3" s="101"/>
      <c r="D3" s="101"/>
      <c r="E3" s="102">
        <v>400</v>
      </c>
      <c r="F3" s="102"/>
      <c r="H3" s="101" t="s">
        <v>3</v>
      </c>
      <c r="I3" s="101"/>
      <c r="J3" s="101"/>
      <c r="K3" s="103" t="s">
        <v>593</v>
      </c>
      <c r="L3" s="103"/>
      <c r="M3" s="103"/>
      <c r="N3" s="103"/>
      <c r="O3" s="103"/>
      <c r="P3" s="103"/>
      <c r="Q3" s="7" t="s">
        <v>4</v>
      </c>
      <c r="R3" s="8"/>
      <c r="S3" s="104" t="s">
        <v>5</v>
      </c>
      <c r="T3" s="104"/>
      <c r="U3" s="104"/>
      <c r="V3" s="104"/>
      <c r="W3" s="104"/>
      <c r="X3" s="104"/>
      <c r="Y3" s="104"/>
      <c r="Z3" s="9" t="s">
        <v>4</v>
      </c>
    </row>
    <row r="4" spans="2:27" ht="11.25">
      <c r="B4" s="101"/>
      <c r="C4" s="101"/>
      <c r="D4" s="101"/>
      <c r="E4" s="102"/>
      <c r="F4" s="102"/>
      <c r="H4" s="101" t="s">
        <v>6</v>
      </c>
      <c r="I4" s="101"/>
      <c r="J4" s="101"/>
      <c r="K4" s="105" t="s">
        <v>7</v>
      </c>
      <c r="L4" s="105"/>
      <c r="M4" s="105"/>
      <c r="N4" s="105"/>
      <c r="O4" s="105"/>
      <c r="P4" s="105"/>
      <c r="Q4" s="7">
        <f>IF(Main!K4="ヒューマン",0,IF(Main!K4="オーク",20,IF(Main!K4="ドワーフ",25,IF(Main!K4="エルフ",30,IF(Main!K4="トロール",40,"エラー")))))</f>
        <v>0</v>
      </c>
      <c r="R4" s="8"/>
      <c r="S4" s="106" t="s">
        <v>8</v>
      </c>
      <c r="T4" s="106"/>
      <c r="U4" s="106"/>
      <c r="V4" s="106"/>
      <c r="W4" s="106"/>
      <c r="X4" s="106"/>
      <c r="Y4" s="106"/>
      <c r="Z4" s="10">
        <f>IF(S4="",0,VLOOKUP(Main!S4,'特質'!$A$1:$B$76,2,FALSE))</f>
        <v>10</v>
      </c>
      <c r="AA4" s="11"/>
    </row>
    <row r="5" spans="2:27" ht="11.25">
      <c r="B5" s="101" t="s">
        <v>5</v>
      </c>
      <c r="C5" s="101"/>
      <c r="D5" s="101"/>
      <c r="E5" s="102">
        <f>Q4+Z17</f>
        <v>-25</v>
      </c>
      <c r="F5" s="102"/>
      <c r="H5" s="101" t="s">
        <v>9</v>
      </c>
      <c r="I5" s="101"/>
      <c r="J5" s="101"/>
      <c r="K5" s="101" t="s">
        <v>10</v>
      </c>
      <c r="L5" s="101"/>
      <c r="M5" s="101"/>
      <c r="N5" s="101"/>
      <c r="O5" s="101"/>
      <c r="P5" s="101"/>
      <c r="Q5" s="7"/>
      <c r="R5" s="8"/>
      <c r="S5" s="107"/>
      <c r="T5" s="107"/>
      <c r="U5" s="107"/>
      <c r="V5" s="107"/>
      <c r="W5" s="107"/>
      <c r="X5" s="107"/>
      <c r="Y5" s="107"/>
      <c r="Z5" s="10">
        <f>IF(S5="",0,VLOOKUP(Main!S5,'特質'!$A$1:$B$76,2,FALSE))</f>
        <v>0</v>
      </c>
      <c r="AA5" s="11"/>
    </row>
    <row r="6" spans="2:27" ht="11.25">
      <c r="B6" s="101"/>
      <c r="C6" s="101"/>
      <c r="D6" s="101"/>
      <c r="E6" s="102"/>
      <c r="F6" s="102"/>
      <c r="H6" s="101" t="s">
        <v>11</v>
      </c>
      <c r="I6" s="101"/>
      <c r="J6" s="101"/>
      <c r="K6" s="108"/>
      <c r="L6" s="108"/>
      <c r="M6" s="108"/>
      <c r="N6" s="108"/>
      <c r="O6" s="108"/>
      <c r="P6" s="108"/>
      <c r="Q6" s="7"/>
      <c r="R6" s="8"/>
      <c r="S6" s="107"/>
      <c r="T6" s="107"/>
      <c r="U6" s="107"/>
      <c r="V6" s="107"/>
      <c r="W6" s="107"/>
      <c r="X6" s="107"/>
      <c r="Y6" s="107"/>
      <c r="Z6" s="10">
        <f>IF(S6="",0,VLOOKUP(Main!S6,'特質'!$A$1:$B$76,2,FALSE))</f>
        <v>0</v>
      </c>
      <c r="AA6" s="11"/>
    </row>
    <row r="7" spans="2:27" ht="11.25">
      <c r="B7" s="101" t="s">
        <v>12</v>
      </c>
      <c r="C7" s="101"/>
      <c r="D7" s="101"/>
      <c r="E7" s="102">
        <f>Q14</f>
        <v>42</v>
      </c>
      <c r="F7" s="102"/>
      <c r="H7" s="101" t="s">
        <v>13</v>
      </c>
      <c r="I7" s="101"/>
      <c r="J7" s="101"/>
      <c r="K7" s="108">
        <v>0</v>
      </c>
      <c r="L7" s="108"/>
      <c r="M7" s="108"/>
      <c r="N7" s="108"/>
      <c r="O7" s="108"/>
      <c r="P7" s="108"/>
      <c r="Q7" s="7"/>
      <c r="R7" s="8"/>
      <c r="S7" s="107"/>
      <c r="T7" s="107"/>
      <c r="U7" s="107"/>
      <c r="V7" s="107"/>
      <c r="W7" s="107"/>
      <c r="X7" s="107"/>
      <c r="Y7" s="107"/>
      <c r="Z7" s="10">
        <f>IF(S7="",0,VLOOKUP(Main!S7,'特質'!$A$1:$B$76,2,FALSE))</f>
        <v>0</v>
      </c>
      <c r="AA7" s="11"/>
    </row>
    <row r="8" spans="2:27" ht="11.25">
      <c r="B8" s="101"/>
      <c r="C8" s="101"/>
      <c r="D8" s="101"/>
      <c r="E8" s="102"/>
      <c r="F8" s="102"/>
      <c r="H8" s="101" t="s">
        <v>14</v>
      </c>
      <c r="I8" s="101"/>
      <c r="J8" s="101"/>
      <c r="K8" s="108">
        <v>0</v>
      </c>
      <c r="L8" s="108"/>
      <c r="M8" s="108"/>
      <c r="N8" s="108"/>
      <c r="O8" s="108"/>
      <c r="P8" s="108"/>
      <c r="Q8" s="7"/>
      <c r="R8" s="8"/>
      <c r="S8" s="107"/>
      <c r="T8" s="107"/>
      <c r="U8" s="107"/>
      <c r="V8" s="107"/>
      <c r="W8" s="107"/>
      <c r="X8" s="107"/>
      <c r="Y8" s="107"/>
      <c r="Z8" s="10">
        <f>IF(S8="",0,VLOOKUP(Main!S8,'特質'!$A$1:$B$76,2,FALSE))</f>
        <v>0</v>
      </c>
      <c r="AA8" s="11"/>
    </row>
    <row r="9" spans="2:27" ht="11.25">
      <c r="B9" s="101" t="s">
        <v>15</v>
      </c>
      <c r="C9" s="101"/>
      <c r="D9" s="101"/>
      <c r="E9" s="102">
        <f>H35</f>
        <v>230</v>
      </c>
      <c r="F9" s="102"/>
      <c r="H9" s="101" t="s">
        <v>16</v>
      </c>
      <c r="I9" s="101"/>
      <c r="J9" s="101"/>
      <c r="K9" s="108">
        <v>0</v>
      </c>
      <c r="L9" s="108"/>
      <c r="M9" s="108"/>
      <c r="N9" s="108"/>
      <c r="O9" s="108"/>
      <c r="P9" s="108"/>
      <c r="Q9" s="7"/>
      <c r="R9" s="8"/>
      <c r="S9" s="107"/>
      <c r="T9" s="107"/>
      <c r="U9" s="107"/>
      <c r="V9" s="107"/>
      <c r="W9" s="107"/>
      <c r="X9" s="107"/>
      <c r="Y9" s="107"/>
      <c r="Z9" s="10">
        <f>IF(S9="",0,VLOOKUP(Main!S9,'特質'!$A$1:$B$76,2,FALSE))</f>
        <v>0</v>
      </c>
      <c r="AA9" s="11"/>
    </row>
    <row r="10" spans="2:27" ht="11.25">
      <c r="B10" s="101"/>
      <c r="C10" s="101"/>
      <c r="D10" s="101"/>
      <c r="E10" s="102"/>
      <c r="F10" s="102"/>
      <c r="H10" s="101" t="s">
        <v>17</v>
      </c>
      <c r="I10" s="101"/>
      <c r="J10" s="101"/>
      <c r="K10" s="108">
        <v>0</v>
      </c>
      <c r="L10" s="108"/>
      <c r="M10" s="108"/>
      <c r="N10" s="108"/>
      <c r="O10" s="108"/>
      <c r="P10" s="108"/>
      <c r="Q10" s="7"/>
      <c r="R10" s="8"/>
      <c r="S10" s="107"/>
      <c r="T10" s="107"/>
      <c r="U10" s="107"/>
      <c r="V10" s="107"/>
      <c r="W10" s="107"/>
      <c r="X10" s="107"/>
      <c r="Y10" s="107"/>
      <c r="Z10" s="10">
        <f>IF(S10="",0,VLOOKUP(Main!S10,'特質'!$A$1:$B$76,2,FALSE))</f>
        <v>0</v>
      </c>
      <c r="AA10" s="11"/>
    </row>
    <row r="11" spans="2:28" ht="11.25">
      <c r="B11" s="101" t="s">
        <v>18</v>
      </c>
      <c r="C11" s="101"/>
      <c r="D11" s="101"/>
      <c r="E11" s="102">
        <f>'技能'!C40</f>
        <v>122</v>
      </c>
      <c r="F11" s="102"/>
      <c r="H11" s="101" t="s">
        <v>19</v>
      </c>
      <c r="I11" s="101"/>
      <c r="J11" s="101"/>
      <c r="K11" s="108">
        <v>0</v>
      </c>
      <c r="L11" s="108"/>
      <c r="M11" s="108"/>
      <c r="N11" s="108"/>
      <c r="O11" s="108"/>
      <c r="P11" s="108"/>
      <c r="Q11" s="7"/>
      <c r="R11" s="8"/>
      <c r="S11" s="109"/>
      <c r="T11" s="109"/>
      <c r="U11" s="109"/>
      <c r="V11" s="109"/>
      <c r="W11" s="109"/>
      <c r="X11" s="109"/>
      <c r="Y11" s="109"/>
      <c r="Z11" s="12"/>
      <c r="AA11" s="11"/>
      <c r="AB11" s="5" t="s">
        <v>21</v>
      </c>
    </row>
    <row r="12" spans="2:28" ht="11.25">
      <c r="B12" s="101"/>
      <c r="C12" s="101"/>
      <c r="D12" s="101"/>
      <c r="E12" s="102"/>
      <c r="F12" s="102"/>
      <c r="H12" s="101"/>
      <c r="I12" s="101"/>
      <c r="J12" s="101"/>
      <c r="K12" s="108"/>
      <c r="L12" s="108"/>
      <c r="M12" s="108"/>
      <c r="N12" s="108"/>
      <c r="O12" s="108"/>
      <c r="P12" s="108"/>
      <c r="Q12" s="7"/>
      <c r="R12" s="8"/>
      <c r="S12" s="110" t="s">
        <v>22</v>
      </c>
      <c r="T12" s="110"/>
      <c r="U12" s="110"/>
      <c r="V12" s="110"/>
      <c r="W12" s="110"/>
      <c r="X12" s="110"/>
      <c r="Y12" s="110"/>
      <c r="Z12" s="12">
        <v>-10</v>
      </c>
      <c r="AA12" s="11"/>
      <c r="AB12" s="5" t="s">
        <v>23</v>
      </c>
    </row>
    <row r="13" spans="2:27" ht="11.25">
      <c r="B13" s="101" t="s">
        <v>24</v>
      </c>
      <c r="C13" s="101"/>
      <c r="D13" s="101"/>
      <c r="E13" s="102">
        <f>'魔術'!F43</f>
        <v>12</v>
      </c>
      <c r="F13" s="102"/>
      <c r="H13" s="101" t="s">
        <v>25</v>
      </c>
      <c r="I13" s="101"/>
      <c r="J13" s="101"/>
      <c r="K13" s="111" t="s">
        <v>26</v>
      </c>
      <c r="L13" s="111"/>
      <c r="M13" s="111"/>
      <c r="N13" s="111"/>
      <c r="O13" s="111"/>
      <c r="P13" s="111"/>
      <c r="Q13" s="7"/>
      <c r="R13" s="8"/>
      <c r="S13" s="112" t="s">
        <v>27</v>
      </c>
      <c r="T13" s="112"/>
      <c r="U13" s="112"/>
      <c r="V13" s="112"/>
      <c r="W13" s="112"/>
      <c r="X13" s="112"/>
      <c r="Y13" s="112"/>
      <c r="Z13" s="13">
        <v>-5</v>
      </c>
      <c r="AA13" s="11"/>
    </row>
    <row r="14" spans="2:27" ht="11.25">
      <c r="B14" s="101"/>
      <c r="C14" s="101"/>
      <c r="D14" s="101"/>
      <c r="E14" s="102"/>
      <c r="F14" s="102"/>
      <c r="H14" s="101" t="s">
        <v>12</v>
      </c>
      <c r="I14" s="101"/>
      <c r="J14" s="101"/>
      <c r="K14" s="113">
        <v>210000</v>
      </c>
      <c r="L14" s="113"/>
      <c r="M14" s="113"/>
      <c r="N14" s="113"/>
      <c r="O14" s="113"/>
      <c r="P14" s="113"/>
      <c r="Q14" s="7">
        <v>42</v>
      </c>
      <c r="R14" s="8"/>
      <c r="S14" s="103" t="s">
        <v>581</v>
      </c>
      <c r="T14" s="103"/>
      <c r="U14" s="103"/>
      <c r="V14" s="103"/>
      <c r="W14" s="103"/>
      <c r="X14" s="103"/>
      <c r="Y14" s="103"/>
      <c r="Z14" s="13">
        <v>-10</v>
      </c>
      <c r="AA14" s="11"/>
    </row>
    <row r="15" spans="2:26" ht="11.25">
      <c r="B15" s="101" t="s">
        <v>28</v>
      </c>
      <c r="C15" s="101"/>
      <c r="D15" s="101"/>
      <c r="E15" s="102">
        <f>テクノマンサー!T7</f>
        <v>0</v>
      </c>
      <c r="F15" s="102"/>
      <c r="H15" s="101" t="s">
        <v>29</v>
      </c>
      <c r="I15" s="101"/>
      <c r="J15" s="101"/>
      <c r="K15" s="114">
        <f>VLOOKUP(K13,'種族'!A23:D28,2,TRUE)</f>
        <v>2000</v>
      </c>
      <c r="L15" s="114"/>
      <c r="M15" s="114"/>
      <c r="N15" s="114"/>
      <c r="O15" s="114"/>
      <c r="P15" s="114"/>
      <c r="Q15" s="7"/>
      <c r="S15" s="103" t="s">
        <v>580</v>
      </c>
      <c r="T15" s="103"/>
      <c r="U15" s="103"/>
      <c r="V15" s="103"/>
      <c r="W15" s="103"/>
      <c r="X15" s="103"/>
      <c r="Y15" s="103"/>
      <c r="Z15" s="13">
        <v>-5</v>
      </c>
    </row>
    <row r="16" spans="2:26" ht="11.25">
      <c r="B16" s="101"/>
      <c r="C16" s="101"/>
      <c r="D16" s="101"/>
      <c r="E16" s="102"/>
      <c r="F16" s="102"/>
      <c r="H16" s="101" t="s">
        <v>30</v>
      </c>
      <c r="I16" s="101"/>
      <c r="J16" s="101"/>
      <c r="K16" s="115" t="str">
        <f>CONCATENATE("(",VLOOKUP(K13,'種族'!A23:D28,3,TRUE),"＋",'種族'!D29,")×",VLOOKUP(K13,'種族'!A23:D28,4,TRUE))</f>
        <v>(3d6＋9)×50</v>
      </c>
      <c r="L16" s="115"/>
      <c r="M16" s="115"/>
      <c r="N16" s="115"/>
      <c r="O16" s="115"/>
      <c r="P16" s="115"/>
      <c r="Q16" s="7"/>
      <c r="S16" s="103" t="s">
        <v>582</v>
      </c>
      <c r="T16" s="103"/>
      <c r="U16" s="103"/>
      <c r="V16" s="103"/>
      <c r="W16" s="103"/>
      <c r="X16" s="103"/>
      <c r="Y16" s="103"/>
      <c r="Z16" s="13">
        <v>-5</v>
      </c>
    </row>
    <row r="17" spans="2:26" ht="11.25">
      <c r="B17" s="101" t="s">
        <v>31</v>
      </c>
      <c r="C17" s="101"/>
      <c r="D17" s="101"/>
      <c r="E17" s="102">
        <f>AD36</f>
        <v>19</v>
      </c>
      <c r="F17" s="102"/>
      <c r="H17" s="101" t="s">
        <v>32</v>
      </c>
      <c r="I17" s="101"/>
      <c r="J17" s="101"/>
      <c r="K17" s="103" t="s">
        <v>592</v>
      </c>
      <c r="L17" s="103"/>
      <c r="M17" s="103"/>
      <c r="N17" s="103"/>
      <c r="O17" s="103"/>
      <c r="P17" s="103"/>
      <c r="Q17" s="7"/>
      <c r="S17" s="116" t="s">
        <v>33</v>
      </c>
      <c r="T17" s="116"/>
      <c r="U17" s="116"/>
      <c r="V17" s="116"/>
      <c r="W17" s="116"/>
      <c r="X17" s="116"/>
      <c r="Y17" s="116"/>
      <c r="Z17" s="14">
        <f>SUM(Z4:Z16)</f>
        <v>-25</v>
      </c>
    </row>
    <row r="18" spans="2:17" ht="11.25">
      <c r="B18" s="101"/>
      <c r="C18" s="101"/>
      <c r="D18" s="101"/>
      <c r="E18" s="102"/>
      <c r="F18" s="102"/>
      <c r="H18" s="101" t="s">
        <v>34</v>
      </c>
      <c r="I18" s="101"/>
      <c r="J18" s="101"/>
      <c r="K18" s="117">
        <v>40259</v>
      </c>
      <c r="L18" s="117"/>
      <c r="M18" s="117"/>
      <c r="N18" s="117"/>
      <c r="O18" s="117"/>
      <c r="P18" s="117"/>
      <c r="Q18" s="7"/>
    </row>
    <row r="19" spans="2:6" ht="11.25">
      <c r="B19" s="101" t="s">
        <v>35</v>
      </c>
      <c r="C19" s="101"/>
      <c r="D19" s="101"/>
      <c r="E19" s="118">
        <f>E3-SUM(E5:F18)</f>
        <v>0</v>
      </c>
      <c r="F19" s="118"/>
    </row>
    <row r="20" spans="2:6" ht="11.25">
      <c r="B20" s="101"/>
      <c r="C20" s="101"/>
      <c r="D20" s="101"/>
      <c r="E20" s="118"/>
      <c r="F20" s="118"/>
    </row>
    <row r="22" spans="2:30" ht="11.25">
      <c r="B22" s="119" t="s">
        <v>15</v>
      </c>
      <c r="C22" s="119"/>
      <c r="D22" s="119"/>
      <c r="E22" s="119"/>
      <c r="F22" s="120" t="s">
        <v>36</v>
      </c>
      <c r="G22" s="120"/>
      <c r="H22" s="9" t="s">
        <v>4</v>
      </c>
      <c r="I22" s="120" t="s">
        <v>37</v>
      </c>
      <c r="J22" s="120"/>
      <c r="K22" s="120" t="s">
        <v>38</v>
      </c>
      <c r="L22" s="120"/>
      <c r="M22" s="121" t="s">
        <v>39</v>
      </c>
      <c r="N22" s="121"/>
      <c r="S22" s="119" t="s">
        <v>31</v>
      </c>
      <c r="T22" s="119"/>
      <c r="U22" s="119"/>
      <c r="V22" s="119"/>
      <c r="W22" s="119"/>
      <c r="X22" s="119"/>
      <c r="Y22" s="119"/>
      <c r="Z22" s="121" t="s">
        <v>40</v>
      </c>
      <c r="AA22" s="121"/>
      <c r="AB22" s="121" t="s">
        <v>41</v>
      </c>
      <c r="AC22" s="121"/>
      <c r="AD22" s="15" t="s">
        <v>4</v>
      </c>
    </row>
    <row r="23" spans="2:30" ht="11.25">
      <c r="B23" s="122" t="s">
        <v>42</v>
      </c>
      <c r="C23" s="121" t="s">
        <v>43</v>
      </c>
      <c r="D23" s="121"/>
      <c r="E23" s="121"/>
      <c r="F23" s="123">
        <v>3</v>
      </c>
      <c r="G23" s="123"/>
      <c r="H23" s="7">
        <f>IF(F23&gt;VLOOKUP($K$4,'種族'!$A$9:$K$13,3,TRUE),"ERR",IF(F23=VLOOKUP($K$4,'種族'!$A$9:$K$13,3,TRUE),((F23-VLOOKUP($K$4,'種族'!$A$2:$K$6,3,TRUE))*10+15),(F23-VLOOKUP($K$4,'種族'!$A$2:$K$6,3,TRUE))*10))</f>
        <v>20</v>
      </c>
      <c r="I23" s="123">
        <f>サイバーウェア!Q57</f>
        <v>0</v>
      </c>
      <c r="J23" s="123"/>
      <c r="K23" s="123">
        <f>'魔術'!W23</f>
        <v>0</v>
      </c>
      <c r="L23" s="123"/>
      <c r="M23" s="115">
        <f aca="true" t="shared" si="0" ref="M23:M31">F23+I23+K23</f>
        <v>3</v>
      </c>
      <c r="N23" s="115"/>
      <c r="S23" s="105" t="s">
        <v>44</v>
      </c>
      <c r="T23" s="105"/>
      <c r="U23" s="105"/>
      <c r="V23" s="105"/>
      <c r="W23" s="105"/>
      <c r="X23" s="105"/>
      <c r="Y23" s="105"/>
      <c r="Z23" s="123">
        <v>3</v>
      </c>
      <c r="AA23" s="123"/>
      <c r="AB23" s="123">
        <v>2</v>
      </c>
      <c r="AC23" s="123"/>
      <c r="AD23" s="7">
        <f aca="true" t="shared" si="1" ref="AD23:AD35">Z23+AB23</f>
        <v>5</v>
      </c>
    </row>
    <row r="24" spans="2:30" ht="11.25">
      <c r="B24" s="122"/>
      <c r="C24" s="121" t="s">
        <v>45</v>
      </c>
      <c r="D24" s="121"/>
      <c r="E24" s="121"/>
      <c r="F24" s="123">
        <v>4</v>
      </c>
      <c r="G24" s="123"/>
      <c r="H24" s="7">
        <f>IF(F24&gt;VLOOKUP($K$4,'種族'!$A$9:$K$13,4,TRUE),"ERR",IF(F24=VLOOKUP($K$4,'種族'!$A$9:$K$13,4,TRUE),((F24-VLOOKUP($K$4,'種族'!$A$2:$K$6,4,TRUE))*10+15),(F24-VLOOKUP($K$4,'種族'!$A$2:$K$6,4,TRUE))*10))</f>
        <v>30</v>
      </c>
      <c r="I24" s="123">
        <f>サイバーウェア!R57</f>
        <v>0</v>
      </c>
      <c r="J24" s="123"/>
      <c r="K24" s="123">
        <f>'魔術'!X23</f>
        <v>0</v>
      </c>
      <c r="L24" s="123"/>
      <c r="M24" s="115">
        <f t="shared" si="0"/>
        <v>4</v>
      </c>
      <c r="N24" s="115"/>
      <c r="S24" s="105" t="s">
        <v>46</v>
      </c>
      <c r="T24" s="105"/>
      <c r="U24" s="105"/>
      <c r="V24" s="105"/>
      <c r="W24" s="105"/>
      <c r="X24" s="105"/>
      <c r="Y24" s="105"/>
      <c r="Z24" s="123">
        <v>2</v>
      </c>
      <c r="AA24" s="123"/>
      <c r="AB24" s="123">
        <v>2</v>
      </c>
      <c r="AC24" s="123"/>
      <c r="AD24" s="7">
        <f t="shared" si="1"/>
        <v>4</v>
      </c>
    </row>
    <row r="25" spans="2:30" ht="11.25">
      <c r="B25" s="122"/>
      <c r="C25" s="121" t="s">
        <v>47</v>
      </c>
      <c r="D25" s="121"/>
      <c r="E25" s="121"/>
      <c r="F25" s="123">
        <v>4</v>
      </c>
      <c r="G25" s="123"/>
      <c r="H25" s="7">
        <f>IF(F25&gt;VLOOKUP($K$4,'種族'!$A$9:$K$13,5,TRUE),"ERR",IF(F25=VLOOKUP($K$4,'種族'!$A$9:$K$13,5,TRUE),((F25-VLOOKUP($K$4,'種族'!$A$2:$K$6,5,TRUE))*10+15),(F25-VLOOKUP($K$4,'種族'!$A$2:$K$6,5,TRUE))*10))</f>
        <v>30</v>
      </c>
      <c r="I25" s="123">
        <f>サイバーウェア!S57</f>
        <v>0</v>
      </c>
      <c r="J25" s="123"/>
      <c r="K25" s="123">
        <f>'魔術'!Y23</f>
        <v>0</v>
      </c>
      <c r="L25" s="123"/>
      <c r="M25" s="115">
        <f t="shared" si="0"/>
        <v>4</v>
      </c>
      <c r="N25" s="115"/>
      <c r="S25" s="105" t="s">
        <v>48</v>
      </c>
      <c r="T25" s="105"/>
      <c r="U25" s="105"/>
      <c r="V25" s="105"/>
      <c r="W25" s="105"/>
      <c r="X25" s="105"/>
      <c r="Y25" s="105"/>
      <c r="Z25" s="123">
        <v>2</v>
      </c>
      <c r="AA25" s="123"/>
      <c r="AB25" s="123">
        <v>1</v>
      </c>
      <c r="AC25" s="123"/>
      <c r="AD25" s="7">
        <f t="shared" si="1"/>
        <v>3</v>
      </c>
    </row>
    <row r="26" spans="2:30" ht="11.25">
      <c r="B26" s="122"/>
      <c r="C26" s="121" t="s">
        <v>49</v>
      </c>
      <c r="D26" s="121"/>
      <c r="E26" s="121"/>
      <c r="F26" s="123">
        <v>2</v>
      </c>
      <c r="G26" s="123"/>
      <c r="H26" s="7">
        <f>IF(F26&gt;VLOOKUP($K$4,'種族'!$A$9:$K$13,6,TRUE),"ERR",IF(F26=VLOOKUP($K$4,'種族'!$A$9:$K$13,6,TRUE),((F26-VLOOKUP($K$4,'種族'!$A$2:$K$6,6,TRUE))*10+15),(F26-VLOOKUP($K$4,'種族'!$A$2:$K$6,6,TRUE))*10))</f>
        <v>10</v>
      </c>
      <c r="I26" s="123">
        <f>サイバーウェア!T57</f>
        <v>0</v>
      </c>
      <c r="J26" s="123"/>
      <c r="K26" s="123">
        <f>'魔術'!Z23</f>
        <v>0</v>
      </c>
      <c r="L26" s="123"/>
      <c r="M26" s="115">
        <f t="shared" si="0"/>
        <v>2</v>
      </c>
      <c r="N26" s="115"/>
      <c r="O26" s="8"/>
      <c r="S26" s="124" t="s">
        <v>570</v>
      </c>
      <c r="T26" s="105"/>
      <c r="U26" s="105"/>
      <c r="V26" s="105"/>
      <c r="W26" s="105"/>
      <c r="X26" s="105"/>
      <c r="Y26" s="105"/>
      <c r="Z26" s="123">
        <v>3</v>
      </c>
      <c r="AA26" s="123"/>
      <c r="AB26" s="123">
        <v>4</v>
      </c>
      <c r="AC26" s="123"/>
      <c r="AD26" s="7">
        <f t="shared" si="1"/>
        <v>7</v>
      </c>
    </row>
    <row r="27" spans="2:30" ht="11.25">
      <c r="B27" s="122" t="s">
        <v>50</v>
      </c>
      <c r="C27" s="121" t="s">
        <v>51</v>
      </c>
      <c r="D27" s="121"/>
      <c r="E27" s="121"/>
      <c r="F27" s="123">
        <v>2</v>
      </c>
      <c r="G27" s="123"/>
      <c r="H27" s="7">
        <f>IF(F27&gt;VLOOKUP($K$4,'種族'!$A$9:$K$13,7,TRUE),"ERR",IF(F27=VLOOKUP($K$4,'種族'!$A$9:$K$13,7,TRUE),((F27-VLOOKUP($K$4,'種族'!$A$2:$K$6,7,TRUE))*10+15),(F27-VLOOKUP($K$4,'種族'!$A$2:$K$6,7,TRUE))*10))</f>
        <v>10</v>
      </c>
      <c r="I27" s="123">
        <f>サイバーウェア!U57</f>
        <v>0</v>
      </c>
      <c r="J27" s="123"/>
      <c r="K27" s="123">
        <f>'魔術'!AA23</f>
        <v>0</v>
      </c>
      <c r="L27" s="123"/>
      <c r="M27" s="115">
        <f t="shared" si="0"/>
        <v>2</v>
      </c>
      <c r="N27" s="115"/>
      <c r="O27" s="8"/>
      <c r="S27" s="124"/>
      <c r="T27" s="105"/>
      <c r="U27" s="105"/>
      <c r="V27" s="105"/>
      <c r="W27" s="105"/>
      <c r="X27" s="105"/>
      <c r="Y27" s="105"/>
      <c r="Z27" s="123"/>
      <c r="AA27" s="123"/>
      <c r="AB27" s="123"/>
      <c r="AC27" s="123"/>
      <c r="AD27" s="7">
        <f t="shared" si="1"/>
        <v>0</v>
      </c>
    </row>
    <row r="28" spans="2:30" ht="11.25">
      <c r="B28" s="122"/>
      <c r="C28" s="121" t="s">
        <v>52</v>
      </c>
      <c r="D28" s="121"/>
      <c r="E28" s="121"/>
      <c r="F28" s="123">
        <v>4</v>
      </c>
      <c r="G28" s="123"/>
      <c r="H28" s="7">
        <f>IF(F28&gt;VLOOKUP($K$4,'種族'!$A$9:$K$13,8,TRUE),"ERR",IF(F28=VLOOKUP($K$4,'種族'!$A$9:$K$13,8,TRUE),((F28-VLOOKUP($K$4,'種族'!$A$2:$K$6,8,TRUE))*10+15),(F28-VLOOKUP($K$4,'種族'!$A$2:$K$6,8,TRUE))*10))</f>
        <v>30</v>
      </c>
      <c r="I28" s="123">
        <f>サイバーウェア!V57</f>
        <v>0</v>
      </c>
      <c r="J28" s="123"/>
      <c r="K28" s="123">
        <f>'魔術'!AB23</f>
        <v>0</v>
      </c>
      <c r="L28" s="123"/>
      <c r="M28" s="115">
        <f t="shared" si="0"/>
        <v>4</v>
      </c>
      <c r="N28" s="115"/>
      <c r="O28" s="8"/>
      <c r="S28" s="105"/>
      <c r="T28" s="105"/>
      <c r="U28" s="105"/>
      <c r="V28" s="105"/>
      <c r="W28" s="105"/>
      <c r="X28" s="105"/>
      <c r="Y28" s="105"/>
      <c r="Z28" s="123"/>
      <c r="AA28" s="123"/>
      <c r="AB28" s="123"/>
      <c r="AC28" s="123"/>
      <c r="AD28" s="7">
        <f t="shared" si="1"/>
        <v>0</v>
      </c>
    </row>
    <row r="29" spans="2:30" ht="11.25">
      <c r="B29" s="122"/>
      <c r="C29" s="121" t="s">
        <v>53</v>
      </c>
      <c r="D29" s="121"/>
      <c r="E29" s="121"/>
      <c r="F29" s="123">
        <v>4</v>
      </c>
      <c r="G29" s="123"/>
      <c r="H29" s="7">
        <f>IF(F29&gt;VLOOKUP($K$4,'種族'!$A$9:$K$13,9,TRUE),"ERR",IF(F29=VLOOKUP($K$4,'種族'!$A$9:$K$13,9,TRUE),((F29-VLOOKUP($K$4,'種族'!$A$2:$K$6,9,TRUE))*10+15),(F29-VLOOKUP($K$4,'種族'!$A$2:$K$6,9,TRUE))*10))</f>
        <v>30</v>
      </c>
      <c r="I29" s="123">
        <f>サイバーウェア!W57</f>
        <v>0</v>
      </c>
      <c r="J29" s="123"/>
      <c r="K29" s="123">
        <f>'魔術'!AC23</f>
        <v>0</v>
      </c>
      <c r="L29" s="123"/>
      <c r="M29" s="115">
        <f t="shared" si="0"/>
        <v>4</v>
      </c>
      <c r="N29" s="115"/>
      <c r="O29" s="8"/>
      <c r="S29" s="105"/>
      <c r="T29" s="105"/>
      <c r="U29" s="105"/>
      <c r="V29" s="105"/>
      <c r="W29" s="105"/>
      <c r="X29" s="105"/>
      <c r="Y29" s="105"/>
      <c r="Z29" s="123"/>
      <c r="AA29" s="123"/>
      <c r="AB29" s="123"/>
      <c r="AC29" s="123"/>
      <c r="AD29" s="7">
        <f t="shared" si="1"/>
        <v>0</v>
      </c>
    </row>
    <row r="30" spans="2:30" ht="11.25">
      <c r="B30" s="122"/>
      <c r="C30" s="121" t="s">
        <v>54</v>
      </c>
      <c r="D30" s="121"/>
      <c r="E30" s="121"/>
      <c r="F30" s="123">
        <v>2</v>
      </c>
      <c r="G30" s="123"/>
      <c r="H30" s="7">
        <f>IF(F30&gt;VLOOKUP($K$4,'種族'!$A$9:$K$13,10,TRUE),"ERR",IF(F30=VLOOKUP($K$4,'種族'!$A$9:$K$13,10,TRUE),((F30-VLOOKUP($K$4,'種族'!$A$2:$K$6,10,TRUE))*10+15),(F30-VLOOKUP($K$4,'種族'!$A$2:$K$6,10,TRUE))*10))</f>
        <v>10</v>
      </c>
      <c r="I30" s="123">
        <f>サイバーウェア!X57</f>
        <v>0</v>
      </c>
      <c r="J30" s="123"/>
      <c r="K30" s="123">
        <f>'魔術'!AD23</f>
        <v>0</v>
      </c>
      <c r="L30" s="123"/>
      <c r="M30" s="115">
        <f t="shared" si="0"/>
        <v>2</v>
      </c>
      <c r="N30" s="115"/>
      <c r="O30" s="8"/>
      <c r="S30" s="105"/>
      <c r="T30" s="105"/>
      <c r="U30" s="105"/>
      <c r="V30" s="105"/>
      <c r="W30" s="105"/>
      <c r="X30" s="105"/>
      <c r="Y30" s="105"/>
      <c r="Z30" s="123"/>
      <c r="AA30" s="123"/>
      <c r="AB30" s="123"/>
      <c r="AC30" s="123"/>
      <c r="AD30" s="7">
        <f t="shared" si="1"/>
        <v>0</v>
      </c>
    </row>
    <row r="31" spans="2:30" ht="11.25">
      <c r="B31" s="122" t="s">
        <v>55</v>
      </c>
      <c r="C31" s="121" t="s">
        <v>56</v>
      </c>
      <c r="D31" s="121"/>
      <c r="E31" s="121"/>
      <c r="F31" s="123">
        <v>4</v>
      </c>
      <c r="G31" s="123"/>
      <c r="H31" s="7">
        <f>IF(F31&gt;VLOOKUP($K$4,'種族'!$A$9:$K$13,11,TRUE),"ERR",IF(F31=VLOOKUP($K$4,'種族'!$A$9:$K$13,11,TRUE),((F31-VLOOKUP($K$4,'種族'!$A$2:$K$6,11,TRUE))*10+15),(F31-VLOOKUP($K$4,'種族'!$A$2:$K$6,11,TRUE))*10))</f>
        <v>20</v>
      </c>
      <c r="I31" s="125"/>
      <c r="J31" s="125"/>
      <c r="K31" s="125"/>
      <c r="L31" s="125"/>
      <c r="M31" s="115">
        <f t="shared" si="0"/>
        <v>4</v>
      </c>
      <c r="N31" s="115"/>
      <c r="O31" s="8"/>
      <c r="S31" s="105"/>
      <c r="T31" s="105"/>
      <c r="U31" s="105"/>
      <c r="V31" s="105"/>
      <c r="W31" s="105"/>
      <c r="X31" s="105"/>
      <c r="Y31" s="105"/>
      <c r="Z31" s="123"/>
      <c r="AA31" s="123"/>
      <c r="AB31" s="123"/>
      <c r="AC31" s="123"/>
      <c r="AD31" s="7">
        <f t="shared" si="1"/>
        <v>0</v>
      </c>
    </row>
    <row r="32" spans="2:30" ht="11.25">
      <c r="B32" s="122"/>
      <c r="C32" s="121" t="s">
        <v>57</v>
      </c>
      <c r="D32" s="121"/>
      <c r="E32" s="121"/>
      <c r="F32" s="123">
        <v>5</v>
      </c>
      <c r="G32" s="123"/>
      <c r="H32" s="7">
        <f>IF(F32&gt;0,IF(F32&lt;6,(F32-1)*10,IF(F32&gt;6,"自然上限を超えています",(F32-1)*10+15)),0)</f>
        <v>40</v>
      </c>
      <c r="I32" s="115">
        <f>ROUNDUP(I33*-1,0)</f>
        <v>-1</v>
      </c>
      <c r="J32" s="115"/>
      <c r="K32" s="123">
        <f>SUM('魔術'!V23)</f>
        <v>1</v>
      </c>
      <c r="L32" s="123"/>
      <c r="M32" s="126">
        <f>F32+I32</f>
        <v>4</v>
      </c>
      <c r="N32" s="126"/>
      <c r="S32" s="105"/>
      <c r="T32" s="105"/>
      <c r="U32" s="105"/>
      <c r="V32" s="105"/>
      <c r="W32" s="105"/>
      <c r="X32" s="105"/>
      <c r="Y32" s="105"/>
      <c r="Z32" s="123"/>
      <c r="AA32" s="123"/>
      <c r="AB32" s="123"/>
      <c r="AC32" s="123"/>
      <c r="AD32" s="7">
        <f t="shared" si="1"/>
        <v>0</v>
      </c>
    </row>
    <row r="33" spans="2:30" ht="11.25">
      <c r="B33" s="122"/>
      <c r="C33" s="121" t="s">
        <v>58</v>
      </c>
      <c r="D33" s="121"/>
      <c r="E33" s="121"/>
      <c r="F33" s="123">
        <f>6</f>
        <v>6</v>
      </c>
      <c r="G33" s="123"/>
      <c r="H33" s="16"/>
      <c r="I33" s="115">
        <f>サイバーウェア!J4</f>
        <v>0.9</v>
      </c>
      <c r="J33" s="115"/>
      <c r="K33" s="125"/>
      <c r="L33" s="125"/>
      <c r="M33" s="115">
        <f>F33-I33</f>
        <v>5.1</v>
      </c>
      <c r="N33" s="115"/>
      <c r="S33" s="105"/>
      <c r="T33" s="105"/>
      <c r="U33" s="105"/>
      <c r="V33" s="105"/>
      <c r="W33" s="105"/>
      <c r="X33" s="105"/>
      <c r="Y33" s="105"/>
      <c r="Z33" s="123"/>
      <c r="AA33" s="123"/>
      <c r="AB33" s="123"/>
      <c r="AC33" s="123"/>
      <c r="AD33" s="7">
        <f t="shared" si="1"/>
        <v>0</v>
      </c>
    </row>
    <row r="34" spans="2:30" ht="11.25">
      <c r="B34" s="122"/>
      <c r="C34" s="121" t="s">
        <v>59</v>
      </c>
      <c r="D34" s="121"/>
      <c r="E34" s="121"/>
      <c r="F34" s="115">
        <f>M25+M28</f>
        <v>8</v>
      </c>
      <c r="G34" s="115"/>
      <c r="H34" s="16"/>
      <c r="I34" s="115">
        <f>サイバーウェア!AA57</f>
        <v>0</v>
      </c>
      <c r="J34" s="115"/>
      <c r="K34" s="115">
        <f>'魔術'!AE23</f>
        <v>0</v>
      </c>
      <c r="L34" s="115"/>
      <c r="M34" s="115">
        <f>F34+I34+K34</f>
        <v>8</v>
      </c>
      <c r="N34" s="115"/>
      <c r="S34" s="105"/>
      <c r="T34" s="105"/>
      <c r="U34" s="105"/>
      <c r="V34" s="105"/>
      <c r="W34" s="105"/>
      <c r="X34" s="105"/>
      <c r="Y34" s="105"/>
      <c r="Z34" s="123"/>
      <c r="AA34" s="123"/>
      <c r="AB34" s="123"/>
      <c r="AC34" s="123"/>
      <c r="AD34" s="7">
        <f t="shared" si="1"/>
        <v>0</v>
      </c>
    </row>
    <row r="35" spans="2:30" ht="11.25">
      <c r="B35" s="15"/>
      <c r="C35" s="121"/>
      <c r="D35" s="121"/>
      <c r="E35" s="121"/>
      <c r="F35" s="127" t="s">
        <v>33</v>
      </c>
      <c r="G35" s="127"/>
      <c r="H35" s="7">
        <f>SUM(H23:H34)</f>
        <v>230</v>
      </c>
      <c r="I35" s="121"/>
      <c r="J35" s="121"/>
      <c r="K35" s="121"/>
      <c r="L35" s="121"/>
      <c r="M35" s="121"/>
      <c r="N35" s="121"/>
      <c r="S35" s="105"/>
      <c r="T35" s="105"/>
      <c r="U35" s="105"/>
      <c r="V35" s="105"/>
      <c r="W35" s="105"/>
      <c r="X35" s="105"/>
      <c r="Y35" s="105"/>
      <c r="Z35" s="123"/>
      <c r="AA35" s="123"/>
      <c r="AB35" s="123"/>
      <c r="AC35" s="123"/>
      <c r="AD35" s="7">
        <f t="shared" si="1"/>
        <v>0</v>
      </c>
    </row>
    <row r="36" spans="19:30" ht="11.25">
      <c r="S36" s="127" t="s">
        <v>33</v>
      </c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7">
        <f>SUM(AD23:AD35)</f>
        <v>19</v>
      </c>
    </row>
    <row r="37" spans="3:14" ht="11.25">
      <c r="C37" s="119" t="s">
        <v>60</v>
      </c>
      <c r="D37" s="119"/>
      <c r="E37" s="119"/>
      <c r="F37" s="119"/>
      <c r="G37" s="119"/>
      <c r="H37" s="119"/>
      <c r="I37" s="120" t="s">
        <v>37</v>
      </c>
      <c r="J37" s="120"/>
      <c r="K37" s="120" t="s">
        <v>38</v>
      </c>
      <c r="L37" s="120"/>
      <c r="M37" s="121" t="s">
        <v>39</v>
      </c>
      <c r="N37" s="121"/>
    </row>
    <row r="38" spans="3:14" ht="11.25">
      <c r="C38" s="119" t="s">
        <v>61</v>
      </c>
      <c r="D38" s="119"/>
      <c r="E38" s="119"/>
      <c r="F38" s="119"/>
      <c r="G38" s="119"/>
      <c r="H38" s="17">
        <f>8+ROUNDUP(Main!F23/2,0)</f>
        <v>10</v>
      </c>
      <c r="I38" s="115">
        <f>サイバーウェア!AC57</f>
        <v>0</v>
      </c>
      <c r="J38" s="115"/>
      <c r="K38" s="123"/>
      <c r="L38" s="123"/>
      <c r="M38" s="115">
        <f>H38+I38+K38</f>
        <v>10</v>
      </c>
      <c r="N38" s="115"/>
    </row>
    <row r="39" spans="3:14" ht="11.25">
      <c r="C39" s="119" t="s">
        <v>62</v>
      </c>
      <c r="D39" s="119"/>
      <c r="E39" s="119"/>
      <c r="F39" s="119"/>
      <c r="G39" s="119"/>
      <c r="H39" s="17">
        <f>8+ROUNDUP(Main!F30/2,0)</f>
        <v>9</v>
      </c>
      <c r="I39" s="115">
        <f>サイバーウェア!AD57</f>
        <v>0</v>
      </c>
      <c r="J39" s="115"/>
      <c r="K39" s="123"/>
      <c r="L39" s="123"/>
      <c r="M39" s="115">
        <f>H39+I39+K39</f>
        <v>9</v>
      </c>
      <c r="N39" s="115"/>
    </row>
  </sheetData>
  <mergeCells count="193">
    <mergeCell ref="C39:G39"/>
    <mergeCell ref="I39:J39"/>
    <mergeCell ref="K39:L39"/>
    <mergeCell ref="M39:N39"/>
    <mergeCell ref="C38:G38"/>
    <mergeCell ref="I38:J38"/>
    <mergeCell ref="K38:L38"/>
    <mergeCell ref="M38:N38"/>
    <mergeCell ref="S36:AC36"/>
    <mergeCell ref="C37:H37"/>
    <mergeCell ref="I37:J37"/>
    <mergeCell ref="K37:L37"/>
    <mergeCell ref="M37:N37"/>
    <mergeCell ref="M35:N35"/>
    <mergeCell ref="S35:Y35"/>
    <mergeCell ref="Z35:AA35"/>
    <mergeCell ref="AB35:AC35"/>
    <mergeCell ref="C35:E35"/>
    <mergeCell ref="F35:G35"/>
    <mergeCell ref="I35:J35"/>
    <mergeCell ref="K35:L35"/>
    <mergeCell ref="AB33:AC33"/>
    <mergeCell ref="C34:E34"/>
    <mergeCell ref="F34:G34"/>
    <mergeCell ref="I34:J34"/>
    <mergeCell ref="K34:L34"/>
    <mergeCell ref="M34:N34"/>
    <mergeCell ref="S34:Y34"/>
    <mergeCell ref="Z34:AA34"/>
    <mergeCell ref="AB34:AC34"/>
    <mergeCell ref="K33:L33"/>
    <mergeCell ref="AB31:AC31"/>
    <mergeCell ref="M32:N32"/>
    <mergeCell ref="S32:Y32"/>
    <mergeCell ref="Z32:AA32"/>
    <mergeCell ref="AB32:AC32"/>
    <mergeCell ref="K32:L32"/>
    <mergeCell ref="M33:N33"/>
    <mergeCell ref="S33:Y33"/>
    <mergeCell ref="Z33:AA33"/>
    <mergeCell ref="K31:L31"/>
    <mergeCell ref="M31:N31"/>
    <mergeCell ref="S31:Y31"/>
    <mergeCell ref="Z31:AA31"/>
    <mergeCell ref="B31:B34"/>
    <mergeCell ref="C31:E31"/>
    <mergeCell ref="F31:G31"/>
    <mergeCell ref="I31:J31"/>
    <mergeCell ref="C33:E33"/>
    <mergeCell ref="F33:G33"/>
    <mergeCell ref="I33:J33"/>
    <mergeCell ref="C32:E32"/>
    <mergeCell ref="F32:G32"/>
    <mergeCell ref="I32:J32"/>
    <mergeCell ref="AB29:AC29"/>
    <mergeCell ref="C30:E30"/>
    <mergeCell ref="F30:G30"/>
    <mergeCell ref="I30:J30"/>
    <mergeCell ref="K30:L30"/>
    <mergeCell ref="M30:N30"/>
    <mergeCell ref="S30:Y30"/>
    <mergeCell ref="Z30:AA30"/>
    <mergeCell ref="AB30:AC30"/>
    <mergeCell ref="K29:L29"/>
    <mergeCell ref="AB27:AC27"/>
    <mergeCell ref="M28:N28"/>
    <mergeCell ref="S28:Y28"/>
    <mergeCell ref="Z28:AA28"/>
    <mergeCell ref="AB28:AC28"/>
    <mergeCell ref="K28:L28"/>
    <mergeCell ref="M29:N29"/>
    <mergeCell ref="S29:Y29"/>
    <mergeCell ref="Z29:AA29"/>
    <mergeCell ref="K27:L27"/>
    <mergeCell ref="M27:N27"/>
    <mergeCell ref="S27:Y27"/>
    <mergeCell ref="Z27:AA27"/>
    <mergeCell ref="B27:B30"/>
    <mergeCell ref="C27:E27"/>
    <mergeCell ref="F27:G27"/>
    <mergeCell ref="I27:J27"/>
    <mergeCell ref="C29:E29"/>
    <mergeCell ref="F29:G29"/>
    <mergeCell ref="I29:J29"/>
    <mergeCell ref="C28:E28"/>
    <mergeCell ref="F28:G28"/>
    <mergeCell ref="I28:J28"/>
    <mergeCell ref="AB25:AC25"/>
    <mergeCell ref="C26:E26"/>
    <mergeCell ref="F26:G26"/>
    <mergeCell ref="I26:J26"/>
    <mergeCell ref="K26:L26"/>
    <mergeCell ref="M26:N26"/>
    <mergeCell ref="S26:Y26"/>
    <mergeCell ref="Z26:AA26"/>
    <mergeCell ref="AB26:AC26"/>
    <mergeCell ref="K25:L25"/>
    <mergeCell ref="AB23:AC23"/>
    <mergeCell ref="M24:N24"/>
    <mergeCell ref="S24:Y24"/>
    <mergeCell ref="Z24:AA24"/>
    <mergeCell ref="AB24:AC24"/>
    <mergeCell ref="K24:L24"/>
    <mergeCell ref="M25:N25"/>
    <mergeCell ref="S25:Y25"/>
    <mergeCell ref="Z25:AA25"/>
    <mergeCell ref="K23:L23"/>
    <mergeCell ref="M23:N23"/>
    <mergeCell ref="S23:Y23"/>
    <mergeCell ref="Z23:AA23"/>
    <mergeCell ref="B23:B26"/>
    <mergeCell ref="C23:E23"/>
    <mergeCell ref="F23:G23"/>
    <mergeCell ref="I23:J23"/>
    <mergeCell ref="C25:E25"/>
    <mergeCell ref="F25:G25"/>
    <mergeCell ref="I25:J25"/>
    <mergeCell ref="C24:E24"/>
    <mergeCell ref="F24:G24"/>
    <mergeCell ref="I24:J24"/>
    <mergeCell ref="M22:N22"/>
    <mergeCell ref="S22:Y22"/>
    <mergeCell ref="Z22:AA22"/>
    <mergeCell ref="AB22:AC22"/>
    <mergeCell ref="B22:E22"/>
    <mergeCell ref="F22:G22"/>
    <mergeCell ref="I22:J22"/>
    <mergeCell ref="K22:L22"/>
    <mergeCell ref="S17:Y17"/>
    <mergeCell ref="H18:J18"/>
    <mergeCell ref="K18:P18"/>
    <mergeCell ref="B19:D20"/>
    <mergeCell ref="E19:F20"/>
    <mergeCell ref="B17:D18"/>
    <mergeCell ref="E17:F18"/>
    <mergeCell ref="H17:J17"/>
    <mergeCell ref="K17:P17"/>
    <mergeCell ref="S15:Y15"/>
    <mergeCell ref="H16:J16"/>
    <mergeCell ref="K16:P16"/>
    <mergeCell ref="S16:Y16"/>
    <mergeCell ref="B15:D16"/>
    <mergeCell ref="E15:F16"/>
    <mergeCell ref="H15:J15"/>
    <mergeCell ref="K15:P15"/>
    <mergeCell ref="S13:Y13"/>
    <mergeCell ref="H14:J14"/>
    <mergeCell ref="K14:P14"/>
    <mergeCell ref="S14:Y14"/>
    <mergeCell ref="B13:D14"/>
    <mergeCell ref="E13:F14"/>
    <mergeCell ref="H13:J13"/>
    <mergeCell ref="K13:P13"/>
    <mergeCell ref="S11:Y11"/>
    <mergeCell ref="H12:J12"/>
    <mergeCell ref="K12:P12"/>
    <mergeCell ref="S12:Y12"/>
    <mergeCell ref="B11:D12"/>
    <mergeCell ref="E11:F12"/>
    <mergeCell ref="H11:J11"/>
    <mergeCell ref="K11:P11"/>
    <mergeCell ref="S9:Y9"/>
    <mergeCell ref="H10:J10"/>
    <mergeCell ref="K10:P10"/>
    <mergeCell ref="S10:Y10"/>
    <mergeCell ref="B9:D10"/>
    <mergeCell ref="E9:F10"/>
    <mergeCell ref="H9:J9"/>
    <mergeCell ref="K9:P9"/>
    <mergeCell ref="S7:Y7"/>
    <mergeCell ref="H8:J8"/>
    <mergeCell ref="K8:P8"/>
    <mergeCell ref="S8:Y8"/>
    <mergeCell ref="B7:D8"/>
    <mergeCell ref="E7:F8"/>
    <mergeCell ref="H7:J7"/>
    <mergeCell ref="K7:P7"/>
    <mergeCell ref="S5:Y5"/>
    <mergeCell ref="H6:J6"/>
    <mergeCell ref="K6:P6"/>
    <mergeCell ref="S6:Y6"/>
    <mergeCell ref="B5:D6"/>
    <mergeCell ref="E5:F6"/>
    <mergeCell ref="H5:J5"/>
    <mergeCell ref="K5:P5"/>
    <mergeCell ref="S3:Y3"/>
    <mergeCell ref="H4:J4"/>
    <mergeCell ref="K4:P4"/>
    <mergeCell ref="S4:Y4"/>
    <mergeCell ref="B3:D4"/>
    <mergeCell ref="E3:F4"/>
    <mergeCell ref="H3:J3"/>
    <mergeCell ref="K3:P3"/>
  </mergeCells>
  <dataValidations count="4">
    <dataValidation type="list" allowBlank="1" sqref="S4:S16">
      <formula1>特質リスト</formula1>
      <formula2>0</formula2>
    </dataValidation>
    <dataValidation type="list" allowBlank="1" showErrorMessage="1" sqref="K4">
      <formula1>種族リスト</formula1>
      <formula2>0</formula2>
    </dataValidation>
    <dataValidation type="list" allowBlank="1" showErrorMessage="1" sqref="K13:P13">
      <formula1>"ストリート,不法居住,下流,中流,上流,贅沢"</formula1>
      <formula2>0</formula2>
    </dataValidation>
    <dataValidation type="list" allowBlank="1" showErrorMessage="1" sqref="K5:P5">
      <formula1>"男,女"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9.33203125" defaultRowHeight="11.25"/>
  <sheetData>
    <row r="1" ht="11.25">
      <c r="A1" t="s">
        <v>547</v>
      </c>
    </row>
    <row r="2" ht="11.25">
      <c r="A2" t="s">
        <v>548</v>
      </c>
    </row>
    <row r="3" ht="11.25">
      <c r="A3" t="s">
        <v>549</v>
      </c>
    </row>
    <row r="4" ht="11.25">
      <c r="A4" t="s">
        <v>550</v>
      </c>
    </row>
    <row r="5" ht="11.25">
      <c r="A5" t="s">
        <v>551</v>
      </c>
    </row>
    <row r="6" ht="11.25">
      <c r="A6" t="s">
        <v>552</v>
      </c>
    </row>
    <row r="7" ht="11.25">
      <c r="A7" t="s">
        <v>553</v>
      </c>
    </row>
    <row r="8" ht="11.25">
      <c r="A8" t="s">
        <v>554</v>
      </c>
    </row>
    <row r="9" ht="11.25">
      <c r="A9" t="s">
        <v>555</v>
      </c>
    </row>
    <row r="10" ht="11.25">
      <c r="A10" t="s">
        <v>556</v>
      </c>
    </row>
    <row r="11" ht="11.25">
      <c r="A11" t="s">
        <v>350</v>
      </c>
    </row>
    <row r="12" ht="11.25">
      <c r="A12" t="s">
        <v>557</v>
      </c>
    </row>
    <row r="13" ht="11.25">
      <c r="A13" t="s">
        <v>558</v>
      </c>
    </row>
    <row r="14" ht="11.25">
      <c r="A14" t="s">
        <v>559</v>
      </c>
    </row>
    <row r="15" ht="11.25">
      <c r="A15" t="s">
        <v>560</v>
      </c>
    </row>
    <row r="16" ht="11.25">
      <c r="A16" t="s">
        <v>561</v>
      </c>
    </row>
    <row r="17" ht="11.25">
      <c r="A17" t="s">
        <v>562</v>
      </c>
    </row>
    <row r="18" ht="11.25">
      <c r="A18" t="s">
        <v>563</v>
      </c>
    </row>
    <row r="19" ht="11.25">
      <c r="A19" t="s">
        <v>564</v>
      </c>
    </row>
    <row r="20" ht="11.25">
      <c r="A20" t="s">
        <v>565</v>
      </c>
    </row>
    <row r="21" ht="11.25">
      <c r="A21" t="s">
        <v>566</v>
      </c>
    </row>
    <row r="22" ht="11.25">
      <c r="A22" t="s">
        <v>567</v>
      </c>
    </row>
    <row r="23" ht="11.25">
      <c r="A23" t="s">
        <v>73</v>
      </c>
    </row>
    <row r="24" ht="11.25">
      <c r="A24" t="s">
        <v>568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37">
      <selection activeCell="A1" sqref="A1"/>
    </sheetView>
  </sheetViews>
  <sheetFormatPr defaultColWidth="9.33203125" defaultRowHeight="11.25"/>
  <cols>
    <col min="1" max="1" width="30.16015625" style="0" customWidth="1"/>
  </cols>
  <sheetData>
    <row r="1" ht="11.25">
      <c r="B1" s="92">
        <v>0</v>
      </c>
    </row>
    <row r="2" spans="1:2" ht="11.25">
      <c r="A2" t="s">
        <v>447</v>
      </c>
      <c r="B2" s="89">
        <v>5</v>
      </c>
    </row>
    <row r="3" spans="1:2" ht="11.25">
      <c r="A3" t="s">
        <v>329</v>
      </c>
      <c r="B3" s="89">
        <v>5</v>
      </c>
    </row>
    <row r="4" spans="1:2" ht="11.25">
      <c r="A4" t="s">
        <v>453</v>
      </c>
      <c r="B4" s="89">
        <v>10</v>
      </c>
    </row>
    <row r="5" spans="1:2" ht="11.25">
      <c r="A5" t="s">
        <v>468</v>
      </c>
      <c r="B5" s="89">
        <v>10</v>
      </c>
    </row>
    <row r="6" spans="1:2" ht="11.25">
      <c r="A6" t="s">
        <v>471</v>
      </c>
      <c r="B6" s="89">
        <v>5</v>
      </c>
    </row>
    <row r="7" spans="1:2" ht="11.25">
      <c r="A7" t="s">
        <v>472</v>
      </c>
      <c r="B7" s="89">
        <v>10</v>
      </c>
    </row>
    <row r="8" spans="1:2" ht="11.25">
      <c r="A8" t="s">
        <v>473</v>
      </c>
      <c r="B8" s="89">
        <v>15</v>
      </c>
    </row>
    <row r="9" spans="1:2" ht="11.25">
      <c r="A9" t="s">
        <v>475</v>
      </c>
      <c r="B9" s="89">
        <v>20</v>
      </c>
    </row>
    <row r="10" spans="1:2" ht="11.25">
      <c r="A10" t="s">
        <v>476</v>
      </c>
      <c r="B10" s="89">
        <v>10</v>
      </c>
    </row>
    <row r="11" spans="1:2" ht="11.25">
      <c r="A11" t="s">
        <v>458</v>
      </c>
      <c r="B11" s="89">
        <v>10</v>
      </c>
    </row>
    <row r="12" spans="1:2" ht="11.25">
      <c r="A12" t="s">
        <v>477</v>
      </c>
      <c r="B12" s="89">
        <v>5</v>
      </c>
    </row>
    <row r="13" spans="1:2" ht="11.25">
      <c r="A13" t="s">
        <v>478</v>
      </c>
      <c r="B13" s="89">
        <v>15</v>
      </c>
    </row>
    <row r="14" spans="1:2" ht="11.25">
      <c r="A14" t="s">
        <v>479</v>
      </c>
      <c r="B14" s="89">
        <v>10</v>
      </c>
    </row>
    <row r="15" spans="1:2" ht="11.25">
      <c r="A15" t="s">
        <v>481</v>
      </c>
      <c r="B15" s="89">
        <v>10</v>
      </c>
    </row>
    <row r="16" spans="1:2" ht="11.25">
      <c r="A16" t="s">
        <v>482</v>
      </c>
      <c r="B16" s="89">
        <v>20</v>
      </c>
    </row>
    <row r="17" spans="1:2" ht="11.25">
      <c r="A17" t="s">
        <v>483</v>
      </c>
      <c r="B17" s="89">
        <v>5</v>
      </c>
    </row>
    <row r="18" spans="1:2" ht="11.25">
      <c r="A18" t="s">
        <v>489</v>
      </c>
      <c r="B18" s="89">
        <v>10</v>
      </c>
    </row>
    <row r="19" spans="1:2" ht="11.25">
      <c r="A19" t="s">
        <v>486</v>
      </c>
      <c r="B19" s="89">
        <v>5</v>
      </c>
    </row>
    <row r="20" spans="1:2" ht="11.25">
      <c r="A20" t="s">
        <v>487</v>
      </c>
      <c r="B20" s="89">
        <v>10</v>
      </c>
    </row>
    <row r="21" spans="1:2" ht="11.25">
      <c r="A21" t="s">
        <v>488</v>
      </c>
      <c r="B21" s="89">
        <v>15</v>
      </c>
    </row>
    <row r="22" spans="1:2" ht="11.25">
      <c r="A22" t="s">
        <v>490</v>
      </c>
      <c r="B22" s="89">
        <v>10</v>
      </c>
    </row>
    <row r="23" spans="1:2" ht="11.25">
      <c r="A23" t="s">
        <v>493</v>
      </c>
      <c r="B23" s="89">
        <v>5</v>
      </c>
    </row>
    <row r="24" spans="1:2" ht="11.25">
      <c r="A24" t="s">
        <v>495</v>
      </c>
      <c r="B24" s="89">
        <v>20</v>
      </c>
    </row>
    <row r="25" spans="1:2" ht="11.25">
      <c r="A25" t="s">
        <v>499</v>
      </c>
      <c r="B25" s="89">
        <v>20</v>
      </c>
    </row>
    <row r="26" spans="1:2" ht="11.25">
      <c r="A26" t="s">
        <v>498</v>
      </c>
      <c r="B26" s="89">
        <v>20</v>
      </c>
    </row>
    <row r="27" spans="1:2" ht="11.25">
      <c r="A27" t="s">
        <v>496</v>
      </c>
      <c r="B27" s="89">
        <v>20</v>
      </c>
    </row>
    <row r="28" spans="1:2" ht="11.25">
      <c r="A28" t="s">
        <v>500</v>
      </c>
      <c r="B28" s="89">
        <v>20</v>
      </c>
    </row>
    <row r="29" spans="1:2" ht="11.25">
      <c r="A29" t="s">
        <v>497</v>
      </c>
      <c r="B29" s="89">
        <v>20</v>
      </c>
    </row>
    <row r="30" spans="1:2" ht="11.25">
      <c r="A30" t="s">
        <v>501</v>
      </c>
      <c r="B30" s="89">
        <v>20</v>
      </c>
    </row>
    <row r="31" spans="1:2" ht="11.25">
      <c r="A31" t="s">
        <v>494</v>
      </c>
      <c r="B31" s="89">
        <v>20</v>
      </c>
    </row>
    <row r="32" spans="1:2" ht="11.25">
      <c r="A32" t="s">
        <v>502</v>
      </c>
      <c r="B32" s="89">
        <v>5</v>
      </c>
    </row>
    <row r="33" spans="1:2" ht="11.25">
      <c r="A33" t="s">
        <v>28</v>
      </c>
      <c r="B33" s="89">
        <v>5</v>
      </c>
    </row>
    <row r="34" spans="1:2" ht="11.25">
      <c r="A34" t="s">
        <v>569</v>
      </c>
      <c r="B34" s="89">
        <v>10</v>
      </c>
    </row>
    <row r="35" spans="1:2" ht="11.25">
      <c r="A35" t="s">
        <v>505</v>
      </c>
      <c r="B35" s="89">
        <v>5</v>
      </c>
    </row>
    <row r="36" spans="1:2" ht="11.25">
      <c r="A36" t="s">
        <v>504</v>
      </c>
      <c r="B36" s="89">
        <v>10</v>
      </c>
    </row>
    <row r="37" spans="1:2" ht="11.25">
      <c r="A37" t="s">
        <v>462</v>
      </c>
      <c r="B37" s="89">
        <v>5</v>
      </c>
    </row>
    <row r="38" spans="1:2" ht="11.25">
      <c r="A38" t="s">
        <v>506</v>
      </c>
      <c r="B38" s="89">
        <v>5</v>
      </c>
    </row>
    <row r="39" spans="1:2" ht="11.25">
      <c r="A39" t="s">
        <v>507</v>
      </c>
      <c r="B39" s="89">
        <v>10</v>
      </c>
    </row>
    <row r="40" spans="1:2" ht="11.25">
      <c r="A40" t="s">
        <v>509</v>
      </c>
      <c r="B40" s="89">
        <v>10</v>
      </c>
    </row>
    <row r="41" spans="1:2" ht="11.25">
      <c r="A41" t="s">
        <v>463</v>
      </c>
      <c r="B41" s="89">
        <v>10</v>
      </c>
    </row>
    <row r="42" spans="1:2" ht="11.25">
      <c r="A42" t="s">
        <v>510</v>
      </c>
      <c r="B42" s="89">
        <v>15</v>
      </c>
    </row>
    <row r="43" spans="1:2" ht="11.25">
      <c r="A43" t="s">
        <v>511</v>
      </c>
      <c r="B43" s="89">
        <v>5</v>
      </c>
    </row>
    <row r="44" spans="1:2" ht="11.25">
      <c r="A44" t="s">
        <v>512</v>
      </c>
      <c r="B44" s="89">
        <v>10</v>
      </c>
    </row>
    <row r="45" spans="1:2" ht="11.25">
      <c r="A45" t="s">
        <v>513</v>
      </c>
      <c r="B45" s="89">
        <v>15</v>
      </c>
    </row>
    <row r="46" spans="1:2" ht="11.25">
      <c r="A46" t="s">
        <v>514</v>
      </c>
      <c r="B46" s="89">
        <v>20</v>
      </c>
    </row>
    <row r="47" spans="1:2" ht="11.25">
      <c r="A47" t="s">
        <v>8</v>
      </c>
      <c r="B47" s="89">
        <v>10</v>
      </c>
    </row>
    <row r="48" spans="1:2" ht="11.25">
      <c r="A48" t="s">
        <v>517</v>
      </c>
      <c r="B48" s="89">
        <v>5</v>
      </c>
    </row>
    <row r="49" spans="1:2" ht="11.25">
      <c r="A49" t="s">
        <v>448</v>
      </c>
      <c r="B49" s="89">
        <v>-5</v>
      </c>
    </row>
    <row r="50" spans="1:2" ht="11.25">
      <c r="A50" t="s">
        <v>451</v>
      </c>
      <c r="B50" s="89">
        <v>-5</v>
      </c>
    </row>
    <row r="51" spans="1:2" ht="11.25">
      <c r="A51" t="s">
        <v>452</v>
      </c>
      <c r="B51" s="89">
        <v>-5</v>
      </c>
    </row>
    <row r="52" spans="1:2" ht="11.25">
      <c r="A52" t="s">
        <v>466</v>
      </c>
      <c r="B52" s="89">
        <v>-5</v>
      </c>
    </row>
    <row r="53" spans="1:2" ht="11.25">
      <c r="A53" t="s">
        <v>467</v>
      </c>
      <c r="B53" s="89">
        <v>-10</v>
      </c>
    </row>
    <row r="54" spans="1:2" ht="11.25">
      <c r="A54" t="s">
        <v>469</v>
      </c>
      <c r="B54" s="89">
        <v>-20</v>
      </c>
    </row>
    <row r="55" spans="1:2" ht="11.25">
      <c r="A55" t="s">
        <v>474</v>
      </c>
      <c r="B55" s="89">
        <v>-10</v>
      </c>
    </row>
    <row r="56" spans="1:2" ht="11.25">
      <c r="A56" t="s">
        <v>454</v>
      </c>
      <c r="B56" s="89">
        <v>-5</v>
      </c>
    </row>
    <row r="57" spans="1:2" ht="11.25">
      <c r="A57" t="s">
        <v>455</v>
      </c>
      <c r="B57" s="89">
        <v>-10</v>
      </c>
    </row>
    <row r="58" spans="1:2" ht="11.25">
      <c r="A58" t="s">
        <v>456</v>
      </c>
      <c r="B58" s="89">
        <v>-15</v>
      </c>
    </row>
    <row r="59" spans="1:2" ht="11.25">
      <c r="A59" t="s">
        <v>457</v>
      </c>
      <c r="B59" s="89">
        <v>-20</v>
      </c>
    </row>
    <row r="60" spans="1:2" ht="11.25">
      <c r="A60" t="s">
        <v>459</v>
      </c>
      <c r="B60" s="89">
        <v>-5</v>
      </c>
    </row>
    <row r="61" spans="1:2" ht="11.25">
      <c r="A61" t="s">
        <v>485</v>
      </c>
      <c r="B61" s="89">
        <v>-5</v>
      </c>
    </row>
    <row r="62" spans="1:2" ht="11.25">
      <c r="A62" t="s">
        <v>484</v>
      </c>
      <c r="B62" s="89">
        <v>-10</v>
      </c>
    </row>
    <row r="63" spans="1:2" ht="11.25">
      <c r="A63" t="s">
        <v>461</v>
      </c>
      <c r="B63" s="89">
        <v>-10</v>
      </c>
    </row>
    <row r="64" spans="1:2" ht="11.25">
      <c r="A64" t="s">
        <v>460</v>
      </c>
      <c r="B64" s="89">
        <v>-15</v>
      </c>
    </row>
    <row r="65" spans="1:2" ht="11.25">
      <c r="A65" t="s">
        <v>20</v>
      </c>
      <c r="B65" s="89">
        <v>-20</v>
      </c>
    </row>
    <row r="66" spans="1:2" ht="11.25">
      <c r="A66" t="s">
        <v>446</v>
      </c>
      <c r="B66" s="89">
        <v>-5</v>
      </c>
    </row>
    <row r="67" spans="1:2" ht="11.25">
      <c r="A67" t="s">
        <v>22</v>
      </c>
      <c r="B67" s="89">
        <v>-10</v>
      </c>
    </row>
    <row r="68" spans="1:2" ht="11.25">
      <c r="A68" t="s">
        <v>491</v>
      </c>
      <c r="B68" s="89">
        <v>-10</v>
      </c>
    </row>
    <row r="69" spans="1:2" ht="11.25">
      <c r="A69" t="s">
        <v>492</v>
      </c>
      <c r="B69" s="89">
        <v>-20</v>
      </c>
    </row>
    <row r="70" spans="1:2" ht="11.25">
      <c r="A70" t="s">
        <v>470</v>
      </c>
      <c r="B70" s="89">
        <v>-5</v>
      </c>
    </row>
    <row r="71" spans="1:2" ht="11.25">
      <c r="A71" t="s">
        <v>508</v>
      </c>
      <c r="B71" s="89">
        <v>-20</v>
      </c>
    </row>
    <row r="72" spans="1:7" ht="11.25">
      <c r="A72" t="s">
        <v>515</v>
      </c>
      <c r="B72" s="89">
        <v>-20</v>
      </c>
      <c r="F72" s="91"/>
      <c r="G72" s="91"/>
    </row>
    <row r="73" spans="1:7" ht="11.25">
      <c r="A73" t="s">
        <v>516</v>
      </c>
      <c r="B73" s="89">
        <v>-15</v>
      </c>
      <c r="F73" s="91"/>
      <c r="G73" s="91"/>
    </row>
    <row r="74" spans="1:2" ht="11.25">
      <c r="A74" t="s">
        <v>480</v>
      </c>
      <c r="B74" s="89">
        <v>-5</v>
      </c>
    </row>
    <row r="75" spans="1:2" ht="11.25">
      <c r="A75" t="s">
        <v>449</v>
      </c>
      <c r="B75" s="89" t="s">
        <v>450</v>
      </c>
    </row>
    <row r="76" spans="1:2" ht="11.25">
      <c r="A76" t="s">
        <v>464</v>
      </c>
      <c r="B76" s="89" t="s">
        <v>465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2"/>
  <sheetViews>
    <sheetView workbookViewId="0" topLeftCell="A3">
      <selection activeCell="AG36" sqref="AG36"/>
    </sheetView>
  </sheetViews>
  <sheetFormatPr defaultColWidth="9.33203125" defaultRowHeight="11.25"/>
  <cols>
    <col min="1" max="21" width="4.83203125" style="0" customWidth="1"/>
    <col min="22" max="22" width="0" style="0" hidden="1" customWidth="1"/>
    <col min="23" max="36" width="4.83203125" style="0" customWidth="1"/>
  </cols>
  <sheetData>
    <row r="1" ht="17.25">
      <c r="A1" s="6" t="s">
        <v>18</v>
      </c>
    </row>
    <row r="3" spans="1:41" ht="11.25">
      <c r="A3" s="99" t="s">
        <v>63</v>
      </c>
      <c r="B3" s="99"/>
      <c r="C3" s="99"/>
      <c r="D3" s="120" t="s">
        <v>36</v>
      </c>
      <c r="E3" s="120"/>
      <c r="F3" s="18" t="s">
        <v>4</v>
      </c>
      <c r="H3" s="99" t="s">
        <v>64</v>
      </c>
      <c r="I3" s="99"/>
      <c r="J3" s="99"/>
      <c r="K3" s="99"/>
      <c r="L3" s="99"/>
      <c r="M3" s="19" t="s">
        <v>65</v>
      </c>
      <c r="N3" s="20"/>
      <c r="O3" s="100" t="s">
        <v>66</v>
      </c>
      <c r="P3" s="100"/>
      <c r="Q3" s="100"/>
      <c r="R3" s="18" t="s">
        <v>4</v>
      </c>
      <c r="S3" s="100" t="s">
        <v>67</v>
      </c>
      <c r="T3" s="100"/>
      <c r="U3" s="100"/>
      <c r="V3" s="15" t="s">
        <v>68</v>
      </c>
      <c r="AN3" s="21"/>
      <c r="AO3" s="22"/>
    </row>
    <row r="4" spans="1:41" ht="11.25">
      <c r="A4" s="99" t="s">
        <v>69</v>
      </c>
      <c r="B4" s="99"/>
      <c r="C4" s="99"/>
      <c r="D4" s="123"/>
      <c r="E4" s="123"/>
      <c r="F4" s="7">
        <f aca="true" t="shared" si="0" ref="F4:F16">IF(D4&lt;=4,D4*10,"ERR")</f>
        <v>0</v>
      </c>
      <c r="H4" s="111" t="s">
        <v>70</v>
      </c>
      <c r="I4" s="111"/>
      <c r="J4" s="111"/>
      <c r="K4" s="111"/>
      <c r="L4" s="111"/>
      <c r="M4" s="123">
        <v>2</v>
      </c>
      <c r="N4" s="123"/>
      <c r="O4" s="101"/>
      <c r="P4" s="101"/>
      <c r="Q4" s="101"/>
      <c r="R4" s="7">
        <f>IF('技能'!M4=0,0,IF('技能'!O4="",'技能'!M4*4,'技能'!M4*4+2))</f>
        <v>8</v>
      </c>
      <c r="S4" s="115" t="str">
        <f aca="true" t="shared" si="1" ref="S4:S31">IF(H4="","",VLOOKUP(H4,技能リストS,2,TRUE))</f>
        <v>論理力</v>
      </c>
      <c r="T4" s="115"/>
      <c r="U4" s="115"/>
      <c r="V4" s="7">
        <f>IF(H4="",0,VLOOKUP(S4,'技能R'!$A$2:$E$13,5,TRUE)+M4+IF(O4="",0,2))</f>
        <v>6</v>
      </c>
      <c r="AN4" s="21"/>
      <c r="AO4" s="22"/>
    </row>
    <row r="5" spans="1:41" ht="11.25">
      <c r="A5" s="99" t="s">
        <v>71</v>
      </c>
      <c r="B5" s="99"/>
      <c r="C5" s="99"/>
      <c r="D5" s="123"/>
      <c r="E5" s="123"/>
      <c r="F5" s="7">
        <f t="shared" si="0"/>
        <v>0</v>
      </c>
      <c r="H5" s="111" t="s">
        <v>72</v>
      </c>
      <c r="I5" s="111"/>
      <c r="J5" s="111"/>
      <c r="K5" s="111"/>
      <c r="L5" s="111"/>
      <c r="M5" s="123">
        <v>3</v>
      </c>
      <c r="N5" s="123"/>
      <c r="O5" s="101"/>
      <c r="P5" s="101"/>
      <c r="Q5" s="101"/>
      <c r="R5" s="7">
        <f>IF('技能'!M5=0,0,IF('技能'!O5="",'技能'!M5*4,'技能'!M5*4+2))</f>
        <v>12</v>
      </c>
      <c r="S5" s="115" t="str">
        <f t="shared" si="1"/>
        <v>敏捷力</v>
      </c>
      <c r="T5" s="115"/>
      <c r="U5" s="115"/>
      <c r="V5" s="7">
        <f>IF(H5="",0,VLOOKUP(S5,'技能R'!$A$2:$E$13,5,TRUE)+M5+IF(O5="",0,2))</f>
        <v>7</v>
      </c>
      <c r="AN5" s="21"/>
      <c r="AO5" s="22"/>
    </row>
    <row r="6" spans="1:41" ht="11.25">
      <c r="A6" s="99" t="s">
        <v>73</v>
      </c>
      <c r="B6" s="99"/>
      <c r="C6" s="99"/>
      <c r="D6" s="123"/>
      <c r="E6" s="123"/>
      <c r="F6" s="7">
        <f t="shared" si="0"/>
        <v>0</v>
      </c>
      <c r="H6" s="111" t="s">
        <v>74</v>
      </c>
      <c r="I6" s="111"/>
      <c r="J6" s="111"/>
      <c r="K6" s="111"/>
      <c r="L6" s="111"/>
      <c r="M6" s="123">
        <v>1</v>
      </c>
      <c r="N6" s="123"/>
      <c r="O6" s="101" t="s">
        <v>75</v>
      </c>
      <c r="P6" s="101"/>
      <c r="Q6" s="101"/>
      <c r="R6" s="7">
        <f>IF('技能'!M6=0,0,IF('技能'!O6="",'技能'!M6*4,'技能'!M6*4+2))</f>
        <v>6</v>
      </c>
      <c r="S6" s="115" t="str">
        <f t="shared" si="1"/>
        <v>直観力</v>
      </c>
      <c r="T6" s="115"/>
      <c r="U6" s="115"/>
      <c r="V6" s="7">
        <f>IF(H6="",0,VLOOKUP(S6,'技能R'!$A$2:$E$13,5,TRUE)+M6+IF(O6="",0,2))</f>
        <v>7</v>
      </c>
      <c r="AN6" s="21"/>
      <c r="AO6" s="22"/>
    </row>
    <row r="7" spans="1:41" ht="11.25">
      <c r="A7" s="99" t="s">
        <v>76</v>
      </c>
      <c r="B7" s="99"/>
      <c r="C7" s="99"/>
      <c r="D7" s="123"/>
      <c r="E7" s="123"/>
      <c r="F7" s="7">
        <f t="shared" si="0"/>
        <v>0</v>
      </c>
      <c r="H7" s="111" t="s">
        <v>77</v>
      </c>
      <c r="I7" s="111"/>
      <c r="J7" s="111"/>
      <c r="K7" s="111"/>
      <c r="L7" s="111"/>
      <c r="M7" s="123">
        <v>3</v>
      </c>
      <c r="N7" s="123"/>
      <c r="O7" s="101" t="s">
        <v>78</v>
      </c>
      <c r="P7" s="101"/>
      <c r="Q7" s="101"/>
      <c r="R7" s="7">
        <f>IF('技能'!M7=0,0,IF('技能'!O7="",'技能'!M7*4,'技能'!M7*4+2))</f>
        <v>14</v>
      </c>
      <c r="S7" s="115" t="str">
        <f t="shared" si="1"/>
        <v>反応力</v>
      </c>
      <c r="T7" s="115"/>
      <c r="U7" s="115"/>
      <c r="V7" s="7">
        <f>IF(H7="",0,VLOOKUP(S7,'技能R'!$A$2:$E$13,5,TRUE)+M7+IF(O7="",0,2))</f>
        <v>9</v>
      </c>
      <c r="AN7" s="21"/>
      <c r="AO7" s="22"/>
    </row>
    <row r="8" spans="1:41" ht="11.25">
      <c r="A8" s="99" t="s">
        <v>79</v>
      </c>
      <c r="B8" s="99"/>
      <c r="C8" s="99"/>
      <c r="D8" s="123"/>
      <c r="E8" s="123"/>
      <c r="F8" s="7">
        <f t="shared" si="0"/>
        <v>0</v>
      </c>
      <c r="H8" s="111" t="s">
        <v>80</v>
      </c>
      <c r="I8" s="111"/>
      <c r="J8" s="111"/>
      <c r="K8" s="111"/>
      <c r="L8" s="111"/>
      <c r="M8" s="123">
        <v>1</v>
      </c>
      <c r="N8" s="123"/>
      <c r="O8" s="101" t="s">
        <v>81</v>
      </c>
      <c r="P8" s="101"/>
      <c r="Q8" s="101"/>
      <c r="R8" s="7">
        <f>IF('技能'!M8=0,0,IF('技能'!O8="",'技能'!M8*4,'技能'!M8*4+2))</f>
        <v>6</v>
      </c>
      <c r="S8" s="115" t="str">
        <f t="shared" si="1"/>
        <v>反応力</v>
      </c>
      <c r="T8" s="115"/>
      <c r="U8" s="115"/>
      <c r="V8" s="7">
        <f>IF(H8="",0,VLOOKUP(S8,'技能R'!$A$2:$E$13,5,TRUE)+M8+IF(O8="",0,2))</f>
        <v>7</v>
      </c>
      <c r="AN8" s="21"/>
      <c r="AO8" s="22"/>
    </row>
    <row r="9" spans="1:41" ht="11.25">
      <c r="A9" s="99" t="s">
        <v>82</v>
      </c>
      <c r="B9" s="99"/>
      <c r="C9" s="99"/>
      <c r="D9" s="123"/>
      <c r="E9" s="123"/>
      <c r="F9" s="7">
        <f t="shared" si="0"/>
        <v>0</v>
      </c>
      <c r="H9" s="111" t="s">
        <v>83</v>
      </c>
      <c r="I9" s="111"/>
      <c r="J9" s="111"/>
      <c r="K9" s="111"/>
      <c r="L9" s="111"/>
      <c r="M9" s="123">
        <v>3</v>
      </c>
      <c r="N9" s="123"/>
      <c r="O9" s="101"/>
      <c r="P9" s="101"/>
      <c r="Q9" s="101"/>
      <c r="R9" s="7">
        <f>IF('技能'!M9=0,0,IF('技能'!O9="",'技能'!M9*4,'技能'!M9*4+2))</f>
        <v>12</v>
      </c>
      <c r="S9" s="115" t="str">
        <f t="shared" si="1"/>
        <v>直観力</v>
      </c>
      <c r="T9" s="115"/>
      <c r="U9" s="115"/>
      <c r="V9" s="7">
        <f>IF(H9="",0,VLOOKUP(S9,'技能R'!$A$2:$E$13,5,TRUE)+M9+IF(O9="",0,2))</f>
        <v>7</v>
      </c>
      <c r="AN9" s="21"/>
      <c r="AO9" s="22"/>
    </row>
    <row r="10" spans="1:41" ht="11.25">
      <c r="A10" s="99" t="s">
        <v>84</v>
      </c>
      <c r="B10" s="99"/>
      <c r="C10" s="99"/>
      <c r="D10" s="123"/>
      <c r="E10" s="123"/>
      <c r="F10" s="7">
        <f t="shared" si="0"/>
        <v>0</v>
      </c>
      <c r="H10" s="111" t="s">
        <v>85</v>
      </c>
      <c r="I10" s="111"/>
      <c r="J10" s="111"/>
      <c r="K10" s="111"/>
      <c r="L10" s="111"/>
      <c r="M10" s="123">
        <v>3</v>
      </c>
      <c r="N10" s="123"/>
      <c r="O10" s="101"/>
      <c r="P10" s="101"/>
      <c r="Q10" s="101"/>
      <c r="R10" s="7">
        <f>IF('技能'!M10=0,0,IF('技能'!O10="",'技能'!M10*4,'技能'!M10*4+2))</f>
        <v>12</v>
      </c>
      <c r="S10" s="115" t="str">
        <f t="shared" si="1"/>
        <v>魔力</v>
      </c>
      <c r="T10" s="115"/>
      <c r="U10" s="115"/>
      <c r="V10" s="7">
        <f>IF(H10="",0,VLOOKUP(S10,'技能R'!$A$2:$E$13,5,TRUE)+M10+IF(O10="",0,2))</f>
        <v>7</v>
      </c>
      <c r="AN10" s="21"/>
      <c r="AO10" s="22"/>
    </row>
    <row r="11" spans="1:41" ht="11.25">
      <c r="A11" s="99" t="s">
        <v>86</v>
      </c>
      <c r="B11" s="99"/>
      <c r="C11" s="99"/>
      <c r="D11" s="123"/>
      <c r="E11" s="123"/>
      <c r="F11" s="7">
        <f t="shared" si="0"/>
        <v>0</v>
      </c>
      <c r="H11" s="111" t="s">
        <v>87</v>
      </c>
      <c r="I11" s="111"/>
      <c r="J11" s="111"/>
      <c r="K11" s="111"/>
      <c r="L11" s="111"/>
      <c r="M11" s="123">
        <v>4</v>
      </c>
      <c r="N11" s="123"/>
      <c r="O11" s="101"/>
      <c r="P11" s="101"/>
      <c r="Q11" s="101"/>
      <c r="R11" s="7">
        <f>IF('技能'!M11=0,0,IF('技能'!O11="",'技能'!M11*4,'技能'!M11*4+2))</f>
        <v>16</v>
      </c>
      <c r="S11" s="115" t="str">
        <f t="shared" si="1"/>
        <v>敏捷力</v>
      </c>
      <c r="T11" s="115"/>
      <c r="U11" s="115"/>
      <c r="V11" s="7">
        <f>IF(H11="",0,VLOOKUP(S11,'技能R'!$A$2:$E$13,5,TRUE)+M11+IF(O11="",0,2))</f>
        <v>8</v>
      </c>
      <c r="AN11" s="21"/>
      <c r="AO11" s="22"/>
    </row>
    <row r="12" spans="1:41" ht="11.25">
      <c r="A12" s="99" t="s">
        <v>88</v>
      </c>
      <c r="B12" s="99"/>
      <c r="C12" s="99"/>
      <c r="D12" s="123"/>
      <c r="E12" s="123"/>
      <c r="F12" s="7">
        <f t="shared" si="0"/>
        <v>0</v>
      </c>
      <c r="H12" s="111" t="s">
        <v>89</v>
      </c>
      <c r="I12" s="111"/>
      <c r="J12" s="111"/>
      <c r="K12" s="111"/>
      <c r="L12" s="111"/>
      <c r="M12" s="123">
        <v>2</v>
      </c>
      <c r="N12" s="123"/>
      <c r="O12" s="101"/>
      <c r="P12" s="101"/>
      <c r="Q12" s="101"/>
      <c r="R12" s="7">
        <f>IF('技能'!M12=0,0,IF('技能'!O12="",'技能'!M12*4,'技能'!M12*4+2))</f>
        <v>8</v>
      </c>
      <c r="S12" s="115" t="str">
        <f t="shared" si="1"/>
        <v>直観力</v>
      </c>
      <c r="T12" s="115"/>
      <c r="U12" s="115"/>
      <c r="V12" s="7">
        <f>IF(H12="",0,VLOOKUP(S12,'技能R'!$A$2:$E$13,5,TRUE)+M12+IF(O12="",0,2))</f>
        <v>6</v>
      </c>
      <c r="AN12" s="21"/>
      <c r="AO12" s="22"/>
    </row>
    <row r="13" spans="1:41" ht="11.25">
      <c r="A13" s="99" t="s">
        <v>90</v>
      </c>
      <c r="B13" s="99"/>
      <c r="C13" s="99"/>
      <c r="D13" s="123"/>
      <c r="E13" s="123"/>
      <c r="F13" s="7">
        <f t="shared" si="0"/>
        <v>0</v>
      </c>
      <c r="H13" s="111" t="s">
        <v>91</v>
      </c>
      <c r="I13" s="111"/>
      <c r="J13" s="111"/>
      <c r="K13" s="111"/>
      <c r="L13" s="111"/>
      <c r="M13" s="123">
        <v>2</v>
      </c>
      <c r="N13" s="123"/>
      <c r="O13" s="101"/>
      <c r="P13" s="101"/>
      <c r="Q13" s="101"/>
      <c r="R13" s="7">
        <f>IF('技能'!M13=0,0,IF('技能'!O13="",'技能'!M13*4,'技能'!M13*4+2))</f>
        <v>8</v>
      </c>
      <c r="S13" s="115" t="str">
        <f t="shared" si="1"/>
        <v>論理力</v>
      </c>
      <c r="T13" s="115"/>
      <c r="U13" s="115"/>
      <c r="V13" s="7">
        <f>IF(H13="",0,VLOOKUP(S13,'技能R'!$A$2:$E$13,5,TRUE)+M13+IF(O13="",0,2))</f>
        <v>6</v>
      </c>
      <c r="AN13" s="21"/>
      <c r="AO13" s="22"/>
    </row>
    <row r="14" spans="1:41" ht="11.25">
      <c r="A14" s="99" t="s">
        <v>92</v>
      </c>
      <c r="B14" s="99"/>
      <c r="C14" s="99"/>
      <c r="D14" s="123"/>
      <c r="E14" s="123"/>
      <c r="F14" s="7">
        <f t="shared" si="0"/>
        <v>0</v>
      </c>
      <c r="H14" s="111" t="s">
        <v>293</v>
      </c>
      <c r="I14" s="111"/>
      <c r="J14" s="111"/>
      <c r="K14" s="111"/>
      <c r="L14" s="111"/>
      <c r="M14" s="123">
        <v>2</v>
      </c>
      <c r="N14" s="123"/>
      <c r="O14" s="101"/>
      <c r="P14" s="101"/>
      <c r="Q14" s="101"/>
      <c r="R14" s="7">
        <f>IF('技能'!M14=0,0,IF('技能'!O14="",'技能'!M14*4,'技能'!M14*4+2))</f>
        <v>8</v>
      </c>
      <c r="S14" s="115" t="str">
        <f t="shared" si="1"/>
        <v>論理力</v>
      </c>
      <c r="T14" s="115"/>
      <c r="U14" s="115"/>
      <c r="V14" s="7">
        <f>IF(H14="",0,VLOOKUP(S14,'技能R'!$A$2:$E$13,5,TRUE)+M14+IF(O14="",0,2))</f>
        <v>6</v>
      </c>
      <c r="AN14" s="21"/>
      <c r="AO14" s="22"/>
    </row>
    <row r="15" spans="1:41" ht="11.25">
      <c r="A15" s="99" t="s">
        <v>24</v>
      </c>
      <c r="B15" s="99"/>
      <c r="C15" s="99"/>
      <c r="D15" s="123"/>
      <c r="E15" s="123"/>
      <c r="F15" s="7">
        <f t="shared" si="0"/>
        <v>0</v>
      </c>
      <c r="H15" s="111" t="s">
        <v>94</v>
      </c>
      <c r="I15" s="111"/>
      <c r="J15" s="111"/>
      <c r="K15" s="111"/>
      <c r="L15" s="111"/>
      <c r="M15" s="123">
        <v>3</v>
      </c>
      <c r="N15" s="123"/>
      <c r="O15" s="101"/>
      <c r="P15" s="101"/>
      <c r="Q15" s="101"/>
      <c r="R15" s="7">
        <f>IF('技能'!M15=0,0,IF('技能'!O15="",'技能'!M15*4,'技能'!M15*4+2))</f>
        <v>12</v>
      </c>
      <c r="S15" s="115" t="str">
        <f t="shared" si="1"/>
        <v>魔力</v>
      </c>
      <c r="T15" s="115"/>
      <c r="U15" s="115"/>
      <c r="V15" s="7">
        <f>IF(H15="",0,VLOOKUP(S15,'技能R'!$A$2:$E$13,5,TRUE)+M15+IF(O15="",0,2))</f>
        <v>7</v>
      </c>
      <c r="AN15" s="21"/>
      <c r="AO15" s="22"/>
    </row>
    <row r="16" spans="1:41" ht="11.25">
      <c r="A16" s="99" t="s">
        <v>95</v>
      </c>
      <c r="B16" s="99"/>
      <c r="C16" s="99"/>
      <c r="D16" s="123"/>
      <c r="E16" s="123"/>
      <c r="F16" s="7">
        <f t="shared" si="0"/>
        <v>0</v>
      </c>
      <c r="H16" s="111"/>
      <c r="I16" s="111"/>
      <c r="J16" s="111"/>
      <c r="K16" s="111"/>
      <c r="L16" s="111"/>
      <c r="M16" s="123"/>
      <c r="N16" s="123"/>
      <c r="O16" s="101"/>
      <c r="P16" s="101"/>
      <c r="Q16" s="101"/>
      <c r="R16" s="7">
        <f>IF('技能'!M16=0,0,IF('技能'!O16="",'技能'!M16*4,'技能'!M16*4+2))</f>
        <v>0</v>
      </c>
      <c r="S16" s="115">
        <f t="shared" si="1"/>
      </c>
      <c r="T16" s="115"/>
      <c r="U16" s="115"/>
      <c r="V16" s="7">
        <f>IF(H16="",0,VLOOKUP(S16,'技能R'!$A$2:$E$13,5,TRUE)+M16+IF(O16="",0,2))</f>
        <v>0</v>
      </c>
      <c r="AN16" s="21"/>
      <c r="AO16" s="22"/>
    </row>
    <row r="17" spans="6:41" ht="11.25">
      <c r="F17" s="5"/>
      <c r="H17" s="111"/>
      <c r="I17" s="111"/>
      <c r="J17" s="111"/>
      <c r="K17" s="111"/>
      <c r="L17" s="111"/>
      <c r="M17" s="123"/>
      <c r="N17" s="123"/>
      <c r="O17" s="101"/>
      <c r="P17" s="101"/>
      <c r="Q17" s="101"/>
      <c r="R17" s="7">
        <f>IF('技能'!M17=0,0,IF('技能'!O17="",'技能'!M17*4,'技能'!M17*4+2))</f>
        <v>0</v>
      </c>
      <c r="S17" s="115">
        <f t="shared" si="1"/>
      </c>
      <c r="T17" s="115"/>
      <c r="U17" s="115"/>
      <c r="V17" s="7">
        <f>IF(H17="",0,VLOOKUP(S17,'技能R'!$A$2:$E$13,5,TRUE)+M17+IF(O17="",0,2))</f>
        <v>0</v>
      </c>
      <c r="AN17" s="21"/>
      <c r="AO17" s="22"/>
    </row>
    <row r="18" spans="1:41" ht="11.25">
      <c r="A18" s="95" t="s">
        <v>96</v>
      </c>
      <c r="B18" s="95"/>
      <c r="C18" s="95"/>
      <c r="D18" s="120" t="s">
        <v>36</v>
      </c>
      <c r="E18" s="120"/>
      <c r="F18" s="15" t="s">
        <v>4</v>
      </c>
      <c r="H18" s="111"/>
      <c r="I18" s="111"/>
      <c r="J18" s="111"/>
      <c r="K18" s="111"/>
      <c r="L18" s="111"/>
      <c r="M18" s="123"/>
      <c r="N18" s="123"/>
      <c r="O18" s="101"/>
      <c r="P18" s="101"/>
      <c r="Q18" s="101"/>
      <c r="R18" s="7">
        <f>IF('技能'!M18=0,0,IF('技能'!O18="",'技能'!M18*4,'技能'!M18*4+2))</f>
        <v>0</v>
      </c>
      <c r="S18" s="115">
        <f t="shared" si="1"/>
      </c>
      <c r="T18" s="115"/>
      <c r="U18" s="115"/>
      <c r="V18" s="7">
        <f>IF(H18="",0,VLOOKUP(S18,'技能R'!$A$2:$E$13,5,TRUE)+M18+IF(O18="",0,2))</f>
        <v>0</v>
      </c>
      <c r="AN18" s="21"/>
      <c r="AO18" s="22"/>
    </row>
    <row r="19" spans="1:41" ht="11.25">
      <c r="A19" s="96" t="s">
        <v>97</v>
      </c>
      <c r="B19" s="96"/>
      <c r="C19" s="96"/>
      <c r="D19" s="23" t="s">
        <v>98</v>
      </c>
      <c r="E19" s="20"/>
      <c r="F19" s="7">
        <v>0</v>
      </c>
      <c r="H19" s="111"/>
      <c r="I19" s="111"/>
      <c r="J19" s="111"/>
      <c r="K19" s="111"/>
      <c r="L19" s="111"/>
      <c r="M19" s="123"/>
      <c r="N19" s="123"/>
      <c r="O19" s="101"/>
      <c r="P19" s="101"/>
      <c r="Q19" s="101"/>
      <c r="R19" s="7">
        <f>IF('技能'!M19=0,0,IF('技能'!O19="",'技能'!M19*4,'技能'!M19*4+2))</f>
        <v>0</v>
      </c>
      <c r="S19" s="115">
        <f t="shared" si="1"/>
      </c>
      <c r="T19" s="115"/>
      <c r="U19" s="115"/>
      <c r="V19" s="7">
        <f>IF(H19="",0,VLOOKUP(S19,'技能R'!$A$2:$E$13,5,TRUE)+M19+IF(O19="",0,2))</f>
        <v>0</v>
      </c>
      <c r="AN19" s="21"/>
      <c r="AO19" s="22"/>
    </row>
    <row r="20" spans="1:41" ht="11.25">
      <c r="A20" s="97"/>
      <c r="B20" s="97"/>
      <c r="C20" s="97"/>
      <c r="D20" s="98"/>
      <c r="E20" s="98"/>
      <c r="F20" s="7">
        <f aca="true" t="shared" si="2" ref="F20:F31">IF(D20="",0,D20*2)</f>
        <v>0</v>
      </c>
      <c r="H20" s="111"/>
      <c r="I20" s="111"/>
      <c r="J20" s="111"/>
      <c r="K20" s="111"/>
      <c r="L20" s="111"/>
      <c r="M20" s="123"/>
      <c r="N20" s="123"/>
      <c r="O20" s="101"/>
      <c r="P20" s="101"/>
      <c r="Q20" s="101"/>
      <c r="R20" s="7">
        <f>IF('技能'!M20=0,0,IF('技能'!O20="",'技能'!M20*4,'技能'!M20*4+2))</f>
        <v>0</v>
      </c>
      <c r="S20" s="115">
        <f t="shared" si="1"/>
      </c>
      <c r="T20" s="115"/>
      <c r="U20" s="115"/>
      <c r="V20" s="7">
        <f>IF(H20="",0,VLOOKUP(S20,'技能R'!$A$2:$E$13,5,TRUE)+M20+IF(O20="",0,2))</f>
        <v>0</v>
      </c>
      <c r="AN20" s="21"/>
      <c r="AO20" s="22"/>
    </row>
    <row r="21" spans="1:41" ht="11.25">
      <c r="A21" s="97"/>
      <c r="B21" s="97"/>
      <c r="C21" s="97"/>
      <c r="D21" s="98"/>
      <c r="E21" s="98"/>
      <c r="F21" s="7">
        <f t="shared" si="2"/>
        <v>0</v>
      </c>
      <c r="H21" s="111"/>
      <c r="I21" s="111"/>
      <c r="J21" s="111"/>
      <c r="K21" s="111"/>
      <c r="L21" s="111"/>
      <c r="M21" s="123"/>
      <c r="N21" s="123"/>
      <c r="O21" s="101"/>
      <c r="P21" s="101"/>
      <c r="Q21" s="101"/>
      <c r="R21" s="7">
        <f>IF('技能'!M21=0,0,IF('技能'!O21="",'技能'!M21*4,'技能'!M21*4+2))</f>
        <v>0</v>
      </c>
      <c r="S21" s="115">
        <f t="shared" si="1"/>
      </c>
      <c r="T21" s="115"/>
      <c r="U21" s="115"/>
      <c r="V21" s="7">
        <f>IF(H21="",0,VLOOKUP(S21,'技能R'!$A$2:$E$13,5,TRUE)+M21+IF(O21="",0,2))</f>
        <v>0</v>
      </c>
      <c r="AN21" s="21"/>
      <c r="AO21" s="22"/>
    </row>
    <row r="22" spans="1:41" ht="11.25">
      <c r="A22" s="94"/>
      <c r="B22" s="94"/>
      <c r="C22" s="94"/>
      <c r="D22" s="98"/>
      <c r="E22" s="98"/>
      <c r="F22" s="7">
        <f t="shared" si="2"/>
        <v>0</v>
      </c>
      <c r="H22" s="111"/>
      <c r="I22" s="111"/>
      <c r="J22" s="111"/>
      <c r="K22" s="111"/>
      <c r="L22" s="111"/>
      <c r="M22" s="123"/>
      <c r="N22" s="123"/>
      <c r="O22" s="101"/>
      <c r="P22" s="101"/>
      <c r="Q22" s="101"/>
      <c r="R22" s="7">
        <f>IF('技能'!M22=0,0,IF('技能'!O22="",'技能'!M22*4,'技能'!M22*4+2))</f>
        <v>0</v>
      </c>
      <c r="S22" s="115">
        <f t="shared" si="1"/>
      </c>
      <c r="T22" s="115"/>
      <c r="U22" s="115"/>
      <c r="V22" s="7">
        <f>IF(H22="",0,VLOOKUP(S22,'技能R'!$A$2:$E$13,5,TRUE)+M22+IF(O22="",0,2))</f>
        <v>0</v>
      </c>
      <c r="AN22" s="21"/>
      <c r="AO22" s="22"/>
    </row>
    <row r="23" spans="1:41" ht="11.25">
      <c r="A23" s="128"/>
      <c r="B23" s="128"/>
      <c r="C23" s="128"/>
      <c r="D23" s="123"/>
      <c r="E23" s="123"/>
      <c r="F23" s="7">
        <f t="shared" si="2"/>
        <v>0</v>
      </c>
      <c r="H23" s="111"/>
      <c r="I23" s="111"/>
      <c r="J23" s="111"/>
      <c r="K23" s="111"/>
      <c r="L23" s="111"/>
      <c r="M23" s="123"/>
      <c r="N23" s="123"/>
      <c r="O23" s="101"/>
      <c r="P23" s="101"/>
      <c r="Q23" s="101"/>
      <c r="R23" s="7">
        <f>IF('技能'!M23=0,0,IF('技能'!O23="",'技能'!M23*4,'技能'!M23*4+2))</f>
        <v>0</v>
      </c>
      <c r="S23" s="115">
        <f t="shared" si="1"/>
      </c>
      <c r="T23" s="115"/>
      <c r="U23" s="115"/>
      <c r="V23" s="7">
        <f>IF(H23="",0,VLOOKUP(S23,'技能R'!$A$2:$E$13,5,TRUE)+M23+IF(O23="",0,2))</f>
        <v>0</v>
      </c>
      <c r="AN23" s="21"/>
      <c r="AO23" s="22"/>
    </row>
    <row r="24" spans="1:41" ht="11.25">
      <c r="A24" s="101"/>
      <c r="B24" s="101"/>
      <c r="C24" s="101"/>
      <c r="D24" s="123"/>
      <c r="E24" s="123"/>
      <c r="F24" s="7">
        <f t="shared" si="2"/>
        <v>0</v>
      </c>
      <c r="H24" s="111"/>
      <c r="I24" s="111"/>
      <c r="J24" s="111"/>
      <c r="K24" s="111"/>
      <c r="L24" s="111"/>
      <c r="M24" s="123"/>
      <c r="N24" s="123"/>
      <c r="O24" s="101"/>
      <c r="P24" s="101"/>
      <c r="Q24" s="101"/>
      <c r="R24" s="7">
        <f>IF('技能'!M24=0,0,IF('技能'!O24="",'技能'!M24*4,'技能'!M24*4+2))</f>
        <v>0</v>
      </c>
      <c r="S24" s="115">
        <f t="shared" si="1"/>
      </c>
      <c r="T24" s="115"/>
      <c r="U24" s="115"/>
      <c r="V24" s="7">
        <f>IF(H24="",0,VLOOKUP(S24,'技能R'!$A$2:$E$13,5,TRUE)+M24+IF(O24="",0,2))</f>
        <v>0</v>
      </c>
      <c r="AN24" s="21"/>
      <c r="AO24" s="22"/>
    </row>
    <row r="25" spans="1:41" ht="11.25">
      <c r="A25" s="101"/>
      <c r="B25" s="101"/>
      <c r="C25" s="101"/>
      <c r="D25" s="123"/>
      <c r="E25" s="123"/>
      <c r="F25" s="7">
        <f t="shared" si="2"/>
        <v>0</v>
      </c>
      <c r="H25" s="111"/>
      <c r="I25" s="111"/>
      <c r="J25" s="111"/>
      <c r="K25" s="111"/>
      <c r="L25" s="111"/>
      <c r="M25" s="123"/>
      <c r="N25" s="123"/>
      <c r="O25" s="101"/>
      <c r="P25" s="101"/>
      <c r="Q25" s="101"/>
      <c r="R25" s="7">
        <f>IF('技能'!M25=0,0,IF('技能'!O25="",'技能'!M25*4,'技能'!M25*4+2))</f>
        <v>0</v>
      </c>
      <c r="S25" s="115">
        <f t="shared" si="1"/>
      </c>
      <c r="T25" s="115"/>
      <c r="U25" s="115"/>
      <c r="V25" s="7">
        <f>IF(H25="",0,VLOOKUP(S25,'技能R'!$A$2:$E$13,5,TRUE)+M25+IF(O25="",0,2))</f>
        <v>0</v>
      </c>
      <c r="AN25" s="21"/>
      <c r="AO25" s="22"/>
    </row>
    <row r="26" spans="1:41" ht="11.25">
      <c r="A26" s="101"/>
      <c r="B26" s="101"/>
      <c r="C26" s="101"/>
      <c r="D26" s="123"/>
      <c r="E26" s="123"/>
      <c r="F26" s="7">
        <f t="shared" si="2"/>
        <v>0</v>
      </c>
      <c r="H26" s="111"/>
      <c r="I26" s="111"/>
      <c r="J26" s="111"/>
      <c r="K26" s="111"/>
      <c r="L26" s="111"/>
      <c r="M26" s="123"/>
      <c r="N26" s="123"/>
      <c r="O26" s="101"/>
      <c r="P26" s="101"/>
      <c r="Q26" s="101"/>
      <c r="R26" s="7">
        <f>IF('技能'!M26=0,0,IF('技能'!O26="",'技能'!M26*4,'技能'!M26*4+2))</f>
        <v>0</v>
      </c>
      <c r="S26" s="115">
        <f t="shared" si="1"/>
      </c>
      <c r="T26" s="115"/>
      <c r="U26" s="115"/>
      <c r="V26" s="7">
        <f>IF(H26="",0,VLOOKUP(S26,'技能R'!$A$2:$E$13,5,TRUE)+M26+IF(O26="",0,2))</f>
        <v>0</v>
      </c>
      <c r="AN26" s="21"/>
      <c r="AO26" s="22"/>
    </row>
    <row r="27" spans="1:41" ht="11.25">
      <c r="A27" s="101"/>
      <c r="B27" s="101"/>
      <c r="C27" s="101"/>
      <c r="D27" s="123"/>
      <c r="E27" s="123"/>
      <c r="F27" s="7">
        <f t="shared" si="2"/>
        <v>0</v>
      </c>
      <c r="H27" s="111"/>
      <c r="I27" s="111"/>
      <c r="J27" s="111"/>
      <c r="K27" s="111"/>
      <c r="L27" s="111"/>
      <c r="M27" s="123"/>
      <c r="N27" s="123"/>
      <c r="O27" s="101"/>
      <c r="P27" s="101"/>
      <c r="Q27" s="101"/>
      <c r="R27" s="7">
        <f>IF('技能'!M27=0,0,IF('技能'!O27="",'技能'!M27*4,'技能'!M27*4+2))</f>
        <v>0</v>
      </c>
      <c r="S27" s="115">
        <f t="shared" si="1"/>
      </c>
      <c r="T27" s="115"/>
      <c r="U27" s="115"/>
      <c r="V27" s="7">
        <f>IF(H27="",0,VLOOKUP(S27,'技能R'!$A$2:$E$13,5,TRUE)+M27+IF(O27="",0,2))</f>
        <v>0</v>
      </c>
      <c r="AN27" s="21"/>
      <c r="AO27" s="22"/>
    </row>
    <row r="28" spans="1:41" ht="11.25">
      <c r="A28" s="101"/>
      <c r="B28" s="101"/>
      <c r="C28" s="101"/>
      <c r="D28" s="123"/>
      <c r="E28" s="123"/>
      <c r="F28" s="7">
        <f t="shared" si="2"/>
        <v>0</v>
      </c>
      <c r="H28" s="111"/>
      <c r="I28" s="111"/>
      <c r="J28" s="111"/>
      <c r="K28" s="111"/>
      <c r="L28" s="111"/>
      <c r="M28" s="123"/>
      <c r="N28" s="123"/>
      <c r="O28" s="101"/>
      <c r="P28" s="101"/>
      <c r="Q28" s="101"/>
      <c r="R28" s="7">
        <f>IF('技能'!M28=0,0,IF('技能'!O28="",'技能'!M28*4,'技能'!M28*4+2))</f>
        <v>0</v>
      </c>
      <c r="S28" s="115">
        <f t="shared" si="1"/>
      </c>
      <c r="T28" s="115"/>
      <c r="U28" s="115"/>
      <c r="V28" s="7">
        <f>IF(H28="",0,VLOOKUP(S28,'技能R'!$A$2:$E$13,5,TRUE)+M28+IF(O28="",0,2))</f>
        <v>0</v>
      </c>
      <c r="AN28" s="21"/>
      <c r="AO28" s="22"/>
    </row>
    <row r="29" spans="1:41" ht="11.25">
      <c r="A29" s="101"/>
      <c r="B29" s="101"/>
      <c r="C29" s="101"/>
      <c r="D29" s="123"/>
      <c r="E29" s="123"/>
      <c r="F29" s="7">
        <f t="shared" si="2"/>
        <v>0</v>
      </c>
      <c r="H29" s="111"/>
      <c r="I29" s="111"/>
      <c r="J29" s="111"/>
      <c r="K29" s="111"/>
      <c r="L29" s="111"/>
      <c r="M29" s="123"/>
      <c r="N29" s="123"/>
      <c r="O29" s="101"/>
      <c r="P29" s="101"/>
      <c r="Q29" s="101"/>
      <c r="R29" s="7">
        <f>IF('技能'!M29=0,0,IF('技能'!O29="",'技能'!M29*4,'技能'!M29*4+2))</f>
        <v>0</v>
      </c>
      <c r="S29" s="115">
        <f t="shared" si="1"/>
      </c>
      <c r="T29" s="115"/>
      <c r="U29" s="115"/>
      <c r="V29" s="7">
        <f>IF(H29="",0,VLOOKUP(S29,'技能R'!$A$2:$E$13,5,TRUE)+M29+IF(O29="",0,2))</f>
        <v>0</v>
      </c>
      <c r="AN29" s="21"/>
      <c r="AO29" s="22"/>
    </row>
    <row r="30" spans="1:41" ht="11.25">
      <c r="A30" s="101"/>
      <c r="B30" s="101"/>
      <c r="C30" s="101"/>
      <c r="D30" s="123"/>
      <c r="E30" s="123"/>
      <c r="F30" s="7">
        <f t="shared" si="2"/>
        <v>0</v>
      </c>
      <c r="H30" s="111"/>
      <c r="I30" s="111"/>
      <c r="J30" s="111"/>
      <c r="K30" s="111"/>
      <c r="L30" s="111"/>
      <c r="M30" s="123"/>
      <c r="N30" s="123"/>
      <c r="O30" s="101"/>
      <c r="P30" s="101"/>
      <c r="Q30" s="101"/>
      <c r="R30" s="7">
        <f>IF('技能'!M30=0,0,IF('技能'!O30="",'技能'!M30*4,'技能'!M30*4+2))</f>
        <v>0</v>
      </c>
      <c r="S30" s="115">
        <f t="shared" si="1"/>
      </c>
      <c r="T30" s="115"/>
      <c r="U30" s="115"/>
      <c r="V30" s="7">
        <f>IF(H30="",0,VLOOKUP(S30,'技能R'!$A$2:$E$13,5,TRUE)+M30+IF(O30="",0,2))</f>
        <v>0</v>
      </c>
      <c r="AN30" s="21"/>
      <c r="AO30" s="22"/>
    </row>
    <row r="31" spans="1:41" ht="11.25">
      <c r="A31" s="101"/>
      <c r="B31" s="101"/>
      <c r="C31" s="101"/>
      <c r="D31" s="123"/>
      <c r="E31" s="123"/>
      <c r="F31" s="7">
        <f t="shared" si="2"/>
        <v>0</v>
      </c>
      <c r="H31" s="111"/>
      <c r="I31" s="111"/>
      <c r="J31" s="111"/>
      <c r="K31" s="111"/>
      <c r="L31" s="111"/>
      <c r="M31" s="123"/>
      <c r="N31" s="123"/>
      <c r="O31" s="101"/>
      <c r="P31" s="101"/>
      <c r="Q31" s="101"/>
      <c r="R31" s="7">
        <f>IF('技能'!M31=0,0,IF('技能'!O31="",'技能'!M31*4,'技能'!M31*4+2))</f>
        <v>0</v>
      </c>
      <c r="S31" s="115">
        <f t="shared" si="1"/>
      </c>
      <c r="T31" s="115"/>
      <c r="U31" s="115"/>
      <c r="V31" s="7">
        <f>IF(H31="",0,VLOOKUP(S31,'技能R'!$A$2:$E$13,5,TRUE)+M31+IF(O31="",0,2))</f>
        <v>0</v>
      </c>
      <c r="AN31" s="21"/>
      <c r="AO31" s="22"/>
    </row>
    <row r="33" spans="3:22" ht="11.25">
      <c r="C33" s="8"/>
      <c r="D33" s="24"/>
      <c r="E33" s="119" t="s">
        <v>99</v>
      </c>
      <c r="F33" s="119"/>
      <c r="G33" s="119"/>
      <c r="H33" s="95" t="s">
        <v>100</v>
      </c>
      <c r="I33" s="95"/>
      <c r="J33" s="95"/>
      <c r="K33" s="95"/>
      <c r="L33" s="95"/>
      <c r="M33" s="120" t="s">
        <v>36</v>
      </c>
      <c r="N33" s="120"/>
      <c r="O33" s="129" t="s">
        <v>66</v>
      </c>
      <c r="P33" s="129"/>
      <c r="Q33" s="129"/>
      <c r="R33" s="18" t="s">
        <v>4</v>
      </c>
      <c r="S33" s="100" t="s">
        <v>67</v>
      </c>
      <c r="T33" s="100"/>
      <c r="U33" s="100"/>
      <c r="V33" s="15" t="s">
        <v>68</v>
      </c>
    </row>
    <row r="34" spans="1:22" ht="11.25">
      <c r="A34" s="131"/>
      <c r="B34" s="131"/>
      <c r="C34" s="15" t="s">
        <v>4</v>
      </c>
      <c r="D34" s="25"/>
      <c r="E34" s="132"/>
      <c r="F34" s="132"/>
      <c r="G34" s="132"/>
      <c r="H34" s="133" t="s">
        <v>101</v>
      </c>
      <c r="I34" s="133"/>
      <c r="J34" s="133"/>
      <c r="K34" s="133"/>
      <c r="L34" s="133"/>
      <c r="M34" s="130">
        <v>3</v>
      </c>
      <c r="N34" s="130"/>
      <c r="O34" s="134"/>
      <c r="P34" s="134"/>
      <c r="Q34" s="134"/>
      <c r="R34" s="26">
        <f aca="true" t="shared" si="3" ref="R34:R61">IF(M34=0,0,IF(O34="",M34*2,M34*2+1))</f>
        <v>6</v>
      </c>
      <c r="S34" s="115" t="e">
        <f>IF(H34="","",VLOOKUP(E34,'技能L'!$D$59:$E$62,2,TRUE))</f>
        <v>#N/A</v>
      </c>
      <c r="T34" s="115"/>
      <c r="U34" s="115"/>
      <c r="V34" s="7" t="e">
        <f>IF(H34="",0,VLOOKUP(S34,'技能R'!$A$2:$E$13,5,TRUE)+M34+IF(O34="",0,2))</f>
        <v>#N/A</v>
      </c>
    </row>
    <row r="35" spans="1:22" ht="11.25">
      <c r="A35" s="135" t="s">
        <v>102</v>
      </c>
      <c r="B35" s="135"/>
      <c r="C35" s="27">
        <f>SUM(F4:F16)</f>
        <v>0</v>
      </c>
      <c r="D35" s="25"/>
      <c r="E35" s="132"/>
      <c r="F35" s="132"/>
      <c r="G35" s="132"/>
      <c r="H35" s="109" t="s">
        <v>103</v>
      </c>
      <c r="I35" s="109"/>
      <c r="J35" s="109"/>
      <c r="K35" s="109"/>
      <c r="L35" s="109"/>
      <c r="M35" s="130">
        <v>3</v>
      </c>
      <c r="N35" s="130"/>
      <c r="O35" s="134"/>
      <c r="P35" s="134"/>
      <c r="Q35" s="134"/>
      <c r="R35" s="26">
        <f t="shared" si="3"/>
        <v>6</v>
      </c>
      <c r="S35" s="115" t="e">
        <f>IF(H35="","",VLOOKUP(E35,'技能L'!$D$59:$E$62,2,TRUE))</f>
        <v>#N/A</v>
      </c>
      <c r="T35" s="115"/>
      <c r="U35" s="115"/>
      <c r="V35" s="7" t="e">
        <f>IF(H35="",0,VLOOKUP(S35,'技能R'!$A$2:$E$13,5,TRUE)+M35+IF(O35="",0,2))</f>
        <v>#N/A</v>
      </c>
    </row>
    <row r="36" spans="1:22" ht="11.25">
      <c r="A36" s="135" t="s">
        <v>104</v>
      </c>
      <c r="B36" s="135"/>
      <c r="C36" s="27">
        <f>SUM(R4:R31)</f>
        <v>122</v>
      </c>
      <c r="D36" s="25"/>
      <c r="E36" s="132"/>
      <c r="F36" s="132"/>
      <c r="G36" s="132"/>
      <c r="H36" s="109" t="s">
        <v>105</v>
      </c>
      <c r="I36" s="109"/>
      <c r="J36" s="109"/>
      <c r="K36" s="109"/>
      <c r="L36" s="109"/>
      <c r="M36" s="130">
        <v>4</v>
      </c>
      <c r="N36" s="130"/>
      <c r="O36" s="134"/>
      <c r="P36" s="134"/>
      <c r="Q36" s="134"/>
      <c r="R36" s="26">
        <f t="shared" si="3"/>
        <v>8</v>
      </c>
      <c r="S36" s="115" t="e">
        <f>IF(H36="","",VLOOKUP(E36,'技能L'!$D$59:$E$62,2,TRUE))</f>
        <v>#N/A</v>
      </c>
      <c r="T36" s="115"/>
      <c r="U36" s="115"/>
      <c r="V36" s="7" t="e">
        <f>IF(H36="",0,VLOOKUP(S36,'技能R'!$A$2:$E$13,5,TRUE)+M36+IF(O36="",0,2))</f>
        <v>#N/A</v>
      </c>
    </row>
    <row r="37" spans="1:22" ht="11.25">
      <c r="A37" s="135" t="s">
        <v>106</v>
      </c>
      <c r="B37" s="135"/>
      <c r="C37" s="27">
        <f>SUM(R34:R61)</f>
        <v>48</v>
      </c>
      <c r="D37" s="25"/>
      <c r="E37" s="132"/>
      <c r="F37" s="132"/>
      <c r="G37" s="132"/>
      <c r="H37" s="109" t="s">
        <v>107</v>
      </c>
      <c r="I37" s="109"/>
      <c r="J37" s="109"/>
      <c r="K37" s="109"/>
      <c r="L37" s="109"/>
      <c r="M37" s="130">
        <v>2</v>
      </c>
      <c r="N37" s="130"/>
      <c r="O37" s="134"/>
      <c r="P37" s="134"/>
      <c r="Q37" s="134"/>
      <c r="R37" s="26">
        <f t="shared" si="3"/>
        <v>4</v>
      </c>
      <c r="S37" s="115" t="e">
        <f>IF(H37="","",VLOOKUP(E37,'技能L'!$D$59:$E$62,2,TRUE))</f>
        <v>#N/A</v>
      </c>
      <c r="T37" s="115"/>
      <c r="U37" s="115"/>
      <c r="V37" s="7" t="e">
        <f>IF(H37="",0,VLOOKUP(S37,'技能R'!$A$2:$E$13,5,TRUE)+M37+IF(O37="",0,2))</f>
        <v>#N/A</v>
      </c>
    </row>
    <row r="38" spans="1:22" ht="11.25">
      <c r="A38" s="135" t="s">
        <v>108</v>
      </c>
      <c r="B38" s="135"/>
      <c r="C38" s="27">
        <f>SUM(F19:F31)</f>
        <v>0</v>
      </c>
      <c r="D38" s="25"/>
      <c r="E38" s="132"/>
      <c r="F38" s="132"/>
      <c r="G38" s="132"/>
      <c r="H38" s="109" t="s">
        <v>109</v>
      </c>
      <c r="I38" s="109"/>
      <c r="J38" s="109"/>
      <c r="K38" s="109"/>
      <c r="L38" s="109"/>
      <c r="M38" s="130">
        <v>3</v>
      </c>
      <c r="N38" s="130"/>
      <c r="O38" s="134"/>
      <c r="P38" s="134"/>
      <c r="Q38" s="134"/>
      <c r="R38" s="26">
        <f t="shared" si="3"/>
        <v>6</v>
      </c>
      <c r="S38" s="115" t="e">
        <f>IF(H38="","",VLOOKUP(E38,'技能L'!$D$59:$E$62,2,TRUE))</f>
        <v>#N/A</v>
      </c>
      <c r="T38" s="115"/>
      <c r="U38" s="115"/>
      <c r="V38" s="7" t="e">
        <f>IF(H38="",0,VLOOKUP(S38,'技能R'!$A$2:$E$13,5,TRUE)+M38+IF(O38="",0,2))</f>
        <v>#N/A</v>
      </c>
    </row>
    <row r="39" spans="1:22" ht="11.25">
      <c r="A39" s="135" t="s">
        <v>110</v>
      </c>
      <c r="B39" s="135"/>
      <c r="C39" s="27">
        <f>(Main!F28+Main!F29)*6</f>
        <v>48</v>
      </c>
      <c r="D39" s="25"/>
      <c r="E39" s="132"/>
      <c r="F39" s="132"/>
      <c r="G39" s="132"/>
      <c r="H39" s="109" t="s">
        <v>111</v>
      </c>
      <c r="I39" s="109"/>
      <c r="J39" s="109"/>
      <c r="K39" s="109"/>
      <c r="L39" s="109"/>
      <c r="M39" s="130">
        <v>4</v>
      </c>
      <c r="N39" s="130"/>
      <c r="O39" s="134"/>
      <c r="P39" s="134"/>
      <c r="Q39" s="134"/>
      <c r="R39" s="26">
        <f t="shared" si="3"/>
        <v>8</v>
      </c>
      <c r="S39" s="115" t="e">
        <f>IF(H39="","",VLOOKUP(E39,'技能L'!$D$59:$E$62,2,TRUE))</f>
        <v>#N/A</v>
      </c>
      <c r="T39" s="115"/>
      <c r="U39" s="115"/>
      <c r="V39" s="7" t="e">
        <f>IF(H39="",0,VLOOKUP(S39,'技能R'!$A$2:$E$13,5,TRUE)+M39+IF(O39="",0,2))</f>
        <v>#N/A</v>
      </c>
    </row>
    <row r="40" spans="1:22" ht="11.25">
      <c r="A40" s="135" t="s">
        <v>112</v>
      </c>
      <c r="B40" s="135"/>
      <c r="C40" s="27">
        <f>IF((SUM(C37:C38)-C39)&lt;0,SUM(C35:C36),SUM(C35:C38)-C39)</f>
        <v>122</v>
      </c>
      <c r="D40" s="25"/>
      <c r="E40" s="132"/>
      <c r="F40" s="132"/>
      <c r="G40" s="132"/>
      <c r="H40" s="110" t="s">
        <v>113</v>
      </c>
      <c r="I40" s="110"/>
      <c r="J40" s="110"/>
      <c r="K40" s="110"/>
      <c r="L40" s="110"/>
      <c r="M40" s="130">
        <v>3</v>
      </c>
      <c r="N40" s="130"/>
      <c r="O40" s="134"/>
      <c r="P40" s="134"/>
      <c r="Q40" s="134"/>
      <c r="R40" s="26">
        <f t="shared" si="3"/>
        <v>6</v>
      </c>
      <c r="S40" s="115" t="e">
        <f>IF(H40="","",VLOOKUP(E40,'技能L'!$D$59:$E$62,2,TRUE))</f>
        <v>#N/A</v>
      </c>
      <c r="T40" s="115"/>
      <c r="U40" s="115"/>
      <c r="V40" s="7" t="e">
        <f>IF(H40="",0,VLOOKUP(S40,'技能R'!$A$2:$E$13,5,TRUE)+M40+IF(O40="",0,2))</f>
        <v>#N/A</v>
      </c>
    </row>
    <row r="41" spans="3:22" ht="11.25">
      <c r="C41" s="25"/>
      <c r="D41" s="25"/>
      <c r="E41" s="105"/>
      <c r="F41" s="105"/>
      <c r="G41" s="105"/>
      <c r="H41" s="138" t="s">
        <v>583</v>
      </c>
      <c r="I41" s="138"/>
      <c r="J41" s="138"/>
      <c r="K41" s="138"/>
      <c r="L41" s="138"/>
      <c r="M41" s="137">
        <v>2</v>
      </c>
      <c r="N41" s="137"/>
      <c r="O41" s="134"/>
      <c r="P41" s="134"/>
      <c r="Q41" s="134"/>
      <c r="R41" s="26">
        <f t="shared" si="3"/>
        <v>4</v>
      </c>
      <c r="S41" s="115" t="e">
        <f>IF(H41="","",VLOOKUP(E41,'技能L'!$D$59:$E$62,2,TRUE))</f>
        <v>#N/A</v>
      </c>
      <c r="T41" s="115"/>
      <c r="U41" s="115"/>
      <c r="V41" s="7" t="e">
        <f>IF(H41="",0,VLOOKUP(S41,'技能R'!$A$2:$E$13,5,TRUE)+M41+IF(O41="",0,2))</f>
        <v>#N/A</v>
      </c>
    </row>
    <row r="42" spans="1:22" ht="11.25">
      <c r="A42" t="s">
        <v>114</v>
      </c>
      <c r="C42" s="25"/>
      <c r="D42" s="25"/>
      <c r="E42" s="105"/>
      <c r="F42" s="105"/>
      <c r="G42" s="105"/>
      <c r="H42" s="136"/>
      <c r="I42" s="136"/>
      <c r="J42" s="136"/>
      <c r="K42" s="136"/>
      <c r="L42" s="136"/>
      <c r="M42" s="137"/>
      <c r="N42" s="137"/>
      <c r="O42" s="134"/>
      <c r="P42" s="134"/>
      <c r="Q42" s="134"/>
      <c r="R42" s="26">
        <f t="shared" si="3"/>
        <v>0</v>
      </c>
      <c r="S42" s="115">
        <f>IF(H42="","",VLOOKUP(E42,'技能L'!$D$59:$E$62,2,TRUE))</f>
      </c>
      <c r="T42" s="115"/>
      <c r="U42" s="115"/>
      <c r="V42" s="7">
        <f>IF(H42="",0,VLOOKUP(S42,'技能R'!$A$2:$E$13,5,TRUE)+M42+IF(O42="",0,2))</f>
        <v>0</v>
      </c>
    </row>
    <row r="43" spans="1:22" ht="11.25">
      <c r="A43" t="s">
        <v>115</v>
      </c>
      <c r="C43" s="25"/>
      <c r="D43" s="25"/>
      <c r="E43" s="105"/>
      <c r="F43" s="105"/>
      <c r="G43" s="105"/>
      <c r="H43" s="136"/>
      <c r="I43" s="136"/>
      <c r="J43" s="136"/>
      <c r="K43" s="136"/>
      <c r="L43" s="136"/>
      <c r="M43" s="137"/>
      <c r="N43" s="137"/>
      <c r="O43" s="134"/>
      <c r="P43" s="134"/>
      <c r="Q43" s="134"/>
      <c r="R43" s="26">
        <f t="shared" si="3"/>
        <v>0</v>
      </c>
      <c r="S43" s="115">
        <f>IF(H43="","",VLOOKUP(E43,'技能L'!$D$59:$E$62,2,TRUE))</f>
      </c>
      <c r="T43" s="115"/>
      <c r="U43" s="115"/>
      <c r="V43" s="7">
        <f>IF(H43="",0,VLOOKUP(S43,'技能R'!$A$2:$E$13,5,TRUE)+M43+IF(O43="",0,2))</f>
        <v>0</v>
      </c>
    </row>
    <row r="44" spans="1:22" ht="11.25">
      <c r="A44" t="s">
        <v>116</v>
      </c>
      <c r="C44" s="25"/>
      <c r="D44" s="25"/>
      <c r="E44" s="105"/>
      <c r="F44" s="105"/>
      <c r="G44" s="105"/>
      <c r="H44" s="136"/>
      <c r="I44" s="136"/>
      <c r="J44" s="136"/>
      <c r="K44" s="136"/>
      <c r="L44" s="136"/>
      <c r="M44" s="137"/>
      <c r="N44" s="137"/>
      <c r="O44" s="134"/>
      <c r="P44" s="134"/>
      <c r="Q44" s="134"/>
      <c r="R44" s="26">
        <f t="shared" si="3"/>
        <v>0</v>
      </c>
      <c r="S44" s="115">
        <f>IF(H44="","",VLOOKUP(E44,'技能L'!$D$59:$E$62,2,TRUE))</f>
      </c>
      <c r="T44" s="115"/>
      <c r="U44" s="115"/>
      <c r="V44" s="7">
        <f>IF(H44="",0,VLOOKUP(S44,'技能R'!$A$2:$E$13,5,TRUE)+M44+IF(O44="",0,2))</f>
        <v>0</v>
      </c>
    </row>
    <row r="45" spans="1:22" ht="11.25">
      <c r="A45" t="s">
        <v>117</v>
      </c>
      <c r="C45" s="25"/>
      <c r="D45" s="25"/>
      <c r="E45" s="105"/>
      <c r="F45" s="105"/>
      <c r="G45" s="105"/>
      <c r="H45" s="136"/>
      <c r="I45" s="136"/>
      <c r="J45" s="136"/>
      <c r="K45" s="136"/>
      <c r="L45" s="136"/>
      <c r="M45" s="137"/>
      <c r="N45" s="137"/>
      <c r="O45" s="134"/>
      <c r="P45" s="134"/>
      <c r="Q45" s="134"/>
      <c r="R45" s="26">
        <f t="shared" si="3"/>
        <v>0</v>
      </c>
      <c r="S45" s="115">
        <f>IF(H45="","",VLOOKUP(E45,'技能L'!$D$59:$E$62,2,TRUE))</f>
      </c>
      <c r="T45" s="115"/>
      <c r="U45" s="115"/>
      <c r="V45" s="7">
        <f>IF(H45="",0,VLOOKUP(S45,'技能R'!$A$2:$E$13,5,TRUE)+M45+IF(O45="",0,2))</f>
        <v>0</v>
      </c>
    </row>
    <row r="46" spans="3:22" ht="11.25">
      <c r="C46" s="25"/>
      <c r="D46" s="25"/>
      <c r="E46" s="105"/>
      <c r="F46" s="105"/>
      <c r="G46" s="105"/>
      <c r="H46" s="136"/>
      <c r="I46" s="136"/>
      <c r="J46" s="136"/>
      <c r="K46" s="136"/>
      <c r="L46" s="136"/>
      <c r="M46" s="137"/>
      <c r="N46" s="137"/>
      <c r="O46" s="134"/>
      <c r="P46" s="134"/>
      <c r="Q46" s="134"/>
      <c r="R46" s="26">
        <f t="shared" si="3"/>
        <v>0</v>
      </c>
      <c r="S46" s="115">
        <f>IF(H46="","",VLOOKUP(E46,'技能L'!$D$59:$E$62,2,TRUE))</f>
      </c>
      <c r="T46" s="115"/>
      <c r="U46" s="115"/>
      <c r="V46" s="7">
        <f>IF(H46="",0,VLOOKUP(S46,'技能R'!$A$2:$E$13,5,TRUE)+M46+IF(O46="",0,2))</f>
        <v>0</v>
      </c>
    </row>
    <row r="47" spans="3:22" ht="11.25">
      <c r="C47" s="25"/>
      <c r="D47" s="25"/>
      <c r="E47" s="105"/>
      <c r="F47" s="105"/>
      <c r="G47" s="105"/>
      <c r="H47" s="136"/>
      <c r="I47" s="136"/>
      <c r="J47" s="136"/>
      <c r="K47" s="136"/>
      <c r="L47" s="136"/>
      <c r="M47" s="137"/>
      <c r="N47" s="137"/>
      <c r="O47" s="134"/>
      <c r="P47" s="134"/>
      <c r="Q47" s="134"/>
      <c r="R47" s="26">
        <f t="shared" si="3"/>
        <v>0</v>
      </c>
      <c r="S47" s="115">
        <f>IF(H47="","",VLOOKUP(E47,'技能L'!$D$59:$E$62,2,TRUE))</f>
      </c>
      <c r="T47" s="115"/>
      <c r="U47" s="115"/>
      <c r="V47" s="7">
        <f>IF(H47="",0,VLOOKUP(S47,'技能R'!$A$2:$E$13,5,TRUE)+M47+IF(O47="",0,2))</f>
        <v>0</v>
      </c>
    </row>
    <row r="48" spans="3:22" ht="11.25">
      <c r="C48" s="25"/>
      <c r="D48" s="25"/>
      <c r="E48" s="105"/>
      <c r="F48" s="105"/>
      <c r="G48" s="105"/>
      <c r="H48" s="136"/>
      <c r="I48" s="136"/>
      <c r="J48" s="136"/>
      <c r="K48" s="136"/>
      <c r="L48" s="136"/>
      <c r="M48" s="137"/>
      <c r="N48" s="137"/>
      <c r="O48" s="134"/>
      <c r="P48" s="134"/>
      <c r="Q48" s="134"/>
      <c r="R48" s="26">
        <f t="shared" si="3"/>
        <v>0</v>
      </c>
      <c r="S48" s="115">
        <f>IF(H48="","",VLOOKUP(E48,'技能L'!$D$59:$E$62,2,TRUE))</f>
      </c>
      <c r="T48" s="115"/>
      <c r="U48" s="115"/>
      <c r="V48" s="7">
        <f>IF(H48="",0,VLOOKUP(S48,'技能R'!$A$2:$E$13,5,TRUE)+M48+IF(O48="",0,2))</f>
        <v>0</v>
      </c>
    </row>
    <row r="49" spans="3:22" ht="11.25">
      <c r="C49" s="25"/>
      <c r="D49" s="25"/>
      <c r="E49" s="105"/>
      <c r="F49" s="105"/>
      <c r="G49" s="105"/>
      <c r="H49" s="136"/>
      <c r="I49" s="136"/>
      <c r="J49" s="136"/>
      <c r="K49" s="136"/>
      <c r="L49" s="136"/>
      <c r="M49" s="137"/>
      <c r="N49" s="137"/>
      <c r="O49" s="134"/>
      <c r="P49" s="134"/>
      <c r="Q49" s="134"/>
      <c r="R49" s="26">
        <f t="shared" si="3"/>
        <v>0</v>
      </c>
      <c r="S49" s="115">
        <f>IF(H49="","",VLOOKUP(E49,'技能L'!$D$59:$E$62,2,TRUE))</f>
      </c>
      <c r="T49" s="115"/>
      <c r="U49" s="115"/>
      <c r="V49" s="7">
        <f>IF(H49="",0,VLOOKUP(S49,'技能R'!$A$2:$E$13,5,TRUE)+M49+IF(O49="",0,2))</f>
        <v>0</v>
      </c>
    </row>
    <row r="50" spans="3:22" ht="11.25">
      <c r="C50" s="25"/>
      <c r="D50" s="25"/>
      <c r="E50" s="105"/>
      <c r="F50" s="105"/>
      <c r="G50" s="105"/>
      <c r="H50" s="136"/>
      <c r="I50" s="136"/>
      <c r="J50" s="136"/>
      <c r="K50" s="136"/>
      <c r="L50" s="136"/>
      <c r="M50" s="137"/>
      <c r="N50" s="137"/>
      <c r="O50" s="134"/>
      <c r="P50" s="134"/>
      <c r="Q50" s="134"/>
      <c r="R50" s="26">
        <f t="shared" si="3"/>
        <v>0</v>
      </c>
      <c r="S50" s="115">
        <f>IF(H50="","",VLOOKUP(E50,'技能L'!$D$59:$E$62,2,TRUE))</f>
      </c>
      <c r="T50" s="115"/>
      <c r="U50" s="115"/>
      <c r="V50" s="7">
        <f>IF(H50="",0,VLOOKUP(S50,'技能R'!$A$2:$E$13,5,TRUE)+M50+IF(O50="",0,2))</f>
        <v>0</v>
      </c>
    </row>
    <row r="51" spans="3:22" ht="11.25">
      <c r="C51" s="25"/>
      <c r="D51" s="25"/>
      <c r="E51" s="105"/>
      <c r="F51" s="105"/>
      <c r="G51" s="105"/>
      <c r="H51" s="136"/>
      <c r="I51" s="136"/>
      <c r="J51" s="136"/>
      <c r="K51" s="136"/>
      <c r="L51" s="136"/>
      <c r="M51" s="137"/>
      <c r="N51" s="137"/>
      <c r="O51" s="134"/>
      <c r="P51" s="134"/>
      <c r="Q51" s="134"/>
      <c r="R51" s="26">
        <f t="shared" si="3"/>
        <v>0</v>
      </c>
      <c r="S51" s="115">
        <f>IF(H51="","",VLOOKUP(E51,'技能L'!$D$59:$E$62,2,TRUE))</f>
      </c>
      <c r="T51" s="115"/>
      <c r="U51" s="115"/>
      <c r="V51" s="7">
        <f>IF(H51="",0,VLOOKUP(S51,'技能R'!$A$2:$E$13,5,TRUE)+M51+IF(O51="",0,2))</f>
        <v>0</v>
      </c>
    </row>
    <row r="52" spans="3:22" ht="11.25">
      <c r="C52" s="25"/>
      <c r="D52" s="25"/>
      <c r="E52" s="105"/>
      <c r="F52" s="105"/>
      <c r="G52" s="105"/>
      <c r="H52" s="136"/>
      <c r="I52" s="136"/>
      <c r="J52" s="136"/>
      <c r="K52" s="136"/>
      <c r="L52" s="136"/>
      <c r="M52" s="137"/>
      <c r="N52" s="137"/>
      <c r="O52" s="134"/>
      <c r="P52" s="134"/>
      <c r="Q52" s="134"/>
      <c r="R52" s="26">
        <f t="shared" si="3"/>
        <v>0</v>
      </c>
      <c r="S52" s="115">
        <f>IF(H52="","",VLOOKUP(E52,'技能L'!$D$59:$E$62,2,TRUE))</f>
      </c>
      <c r="T52" s="115"/>
      <c r="U52" s="115"/>
      <c r="V52" s="7">
        <f>IF(H52="",0,VLOOKUP(S52,'技能R'!$A$2:$E$13,5,TRUE)+M52+IF(O52="",0,2))</f>
        <v>0</v>
      </c>
    </row>
    <row r="53" spans="3:22" ht="11.25">
      <c r="C53" s="25"/>
      <c r="D53" s="25"/>
      <c r="E53" s="105"/>
      <c r="F53" s="105"/>
      <c r="G53" s="105"/>
      <c r="H53" s="136"/>
      <c r="I53" s="136"/>
      <c r="J53" s="136"/>
      <c r="K53" s="136"/>
      <c r="L53" s="136"/>
      <c r="M53" s="137"/>
      <c r="N53" s="137"/>
      <c r="O53" s="134"/>
      <c r="P53" s="134"/>
      <c r="Q53" s="134"/>
      <c r="R53" s="26">
        <f t="shared" si="3"/>
        <v>0</v>
      </c>
      <c r="S53" s="115">
        <f>IF(H53="","",VLOOKUP(E53,'技能L'!$D$59:$E$62,2,TRUE))</f>
      </c>
      <c r="T53" s="115"/>
      <c r="U53" s="115"/>
      <c r="V53" s="7">
        <f>IF(H53="",0,VLOOKUP(S53,'技能R'!$A$2:$E$13,5,TRUE)+M53+IF(O53="",0,2))</f>
        <v>0</v>
      </c>
    </row>
    <row r="54" spans="3:22" ht="11.25">
      <c r="C54" s="25"/>
      <c r="D54" s="25"/>
      <c r="E54" s="105"/>
      <c r="F54" s="105"/>
      <c r="G54" s="105"/>
      <c r="H54" s="136"/>
      <c r="I54" s="136"/>
      <c r="J54" s="136"/>
      <c r="K54" s="136"/>
      <c r="L54" s="136"/>
      <c r="M54" s="137"/>
      <c r="N54" s="137"/>
      <c r="O54" s="134"/>
      <c r="P54" s="134"/>
      <c r="Q54" s="134"/>
      <c r="R54" s="26">
        <f t="shared" si="3"/>
        <v>0</v>
      </c>
      <c r="S54" s="115">
        <f>IF(H54="","",VLOOKUP(E54,'技能L'!$D$59:$E$62,2,TRUE))</f>
      </c>
      <c r="T54" s="115"/>
      <c r="U54" s="115"/>
      <c r="V54" s="7">
        <f>IF(H54="",0,VLOOKUP(S54,'技能R'!$A$2:$E$13,5,TRUE)+M54+IF(O54="",0,2))</f>
        <v>0</v>
      </c>
    </row>
    <row r="55" spans="3:22" ht="11.25">
      <c r="C55" s="25"/>
      <c r="D55" s="25"/>
      <c r="E55" s="105"/>
      <c r="F55" s="105"/>
      <c r="G55" s="105"/>
      <c r="H55" s="136"/>
      <c r="I55" s="136"/>
      <c r="J55" s="136"/>
      <c r="K55" s="136"/>
      <c r="L55" s="136"/>
      <c r="M55" s="137"/>
      <c r="N55" s="137"/>
      <c r="O55" s="134"/>
      <c r="P55" s="134"/>
      <c r="Q55" s="134"/>
      <c r="R55" s="26">
        <f t="shared" si="3"/>
        <v>0</v>
      </c>
      <c r="S55" s="115">
        <f>IF(H55="","",VLOOKUP(E55,'技能L'!$D$59:$E$62,2,TRUE))</f>
      </c>
      <c r="T55" s="115"/>
      <c r="U55" s="115"/>
      <c r="V55" s="7">
        <f>IF(H55="",0,VLOOKUP(S55,'技能R'!$A$2:$E$13,5,TRUE)+M55+IF(O55="",0,2))</f>
        <v>0</v>
      </c>
    </row>
    <row r="56" spans="3:22" ht="11.25">
      <c r="C56" s="25"/>
      <c r="D56" s="25"/>
      <c r="E56" s="105"/>
      <c r="F56" s="105"/>
      <c r="G56" s="105"/>
      <c r="H56" s="136"/>
      <c r="I56" s="136"/>
      <c r="J56" s="136"/>
      <c r="K56" s="136"/>
      <c r="L56" s="136"/>
      <c r="M56" s="137"/>
      <c r="N56" s="137"/>
      <c r="O56" s="134"/>
      <c r="P56" s="134"/>
      <c r="Q56" s="134"/>
      <c r="R56" s="26">
        <f t="shared" si="3"/>
        <v>0</v>
      </c>
      <c r="S56" s="115">
        <f>IF(H56="","",VLOOKUP(E56,'技能L'!$D$59:$E$62,2,TRUE))</f>
      </c>
      <c r="T56" s="115"/>
      <c r="U56" s="115"/>
      <c r="V56" s="7">
        <f>IF(H56="",0,VLOOKUP(S56,'技能R'!$A$2:$E$13,5,TRUE)+M56+IF(O56="",0,2))</f>
        <v>0</v>
      </c>
    </row>
    <row r="57" spans="3:22" ht="11.25">
      <c r="C57" s="25"/>
      <c r="D57" s="25"/>
      <c r="E57" s="105"/>
      <c r="F57" s="105"/>
      <c r="G57" s="105"/>
      <c r="H57" s="136"/>
      <c r="I57" s="136"/>
      <c r="J57" s="136"/>
      <c r="K57" s="136"/>
      <c r="L57" s="136"/>
      <c r="M57" s="137"/>
      <c r="N57" s="137"/>
      <c r="O57" s="134"/>
      <c r="P57" s="134"/>
      <c r="Q57" s="134"/>
      <c r="R57" s="26">
        <f t="shared" si="3"/>
        <v>0</v>
      </c>
      <c r="S57" s="115">
        <f>IF(H57="","",VLOOKUP(E57,'技能L'!$D$59:$E$62,2,TRUE))</f>
      </c>
      <c r="T57" s="115"/>
      <c r="U57" s="115"/>
      <c r="V57" s="7">
        <f>IF(H57="",0,VLOOKUP(S57,'技能R'!$A$2:$E$13,5,TRUE)+M57+IF(O57="",0,2))</f>
        <v>0</v>
      </c>
    </row>
    <row r="58" spans="3:22" ht="11.25">
      <c r="C58" s="25"/>
      <c r="D58" s="25"/>
      <c r="E58" s="105"/>
      <c r="F58" s="105"/>
      <c r="G58" s="105"/>
      <c r="H58" s="136"/>
      <c r="I58" s="136"/>
      <c r="J58" s="136"/>
      <c r="K58" s="136"/>
      <c r="L58" s="136"/>
      <c r="M58" s="137"/>
      <c r="N58" s="137"/>
      <c r="O58" s="134"/>
      <c r="P58" s="134"/>
      <c r="Q58" s="134"/>
      <c r="R58" s="26">
        <f t="shared" si="3"/>
        <v>0</v>
      </c>
      <c r="S58" s="115">
        <f>IF(H58="","",VLOOKUP(E58,'技能L'!$D$59:$E$62,2,TRUE))</f>
      </c>
      <c r="T58" s="115"/>
      <c r="U58" s="115"/>
      <c r="V58" s="7">
        <f>IF(H58="",0,VLOOKUP(S58,'技能R'!$A$2:$E$13,5,TRUE)+M58+IF(O58="",0,2))</f>
        <v>0</v>
      </c>
    </row>
    <row r="59" spans="3:22" ht="11.25">
      <c r="C59" s="25"/>
      <c r="D59" s="25"/>
      <c r="E59" s="105"/>
      <c r="F59" s="105"/>
      <c r="G59" s="105"/>
      <c r="H59" s="136"/>
      <c r="I59" s="136"/>
      <c r="J59" s="136"/>
      <c r="K59" s="136"/>
      <c r="L59" s="136"/>
      <c r="M59" s="137"/>
      <c r="N59" s="137"/>
      <c r="O59" s="134"/>
      <c r="P59" s="134"/>
      <c r="Q59" s="134"/>
      <c r="R59" s="26">
        <f t="shared" si="3"/>
        <v>0</v>
      </c>
      <c r="S59" s="115">
        <f>IF(H59="","",VLOOKUP(E59,'技能L'!$D$59:$E$62,2,TRUE))</f>
      </c>
      <c r="T59" s="115"/>
      <c r="U59" s="115"/>
      <c r="V59" s="7">
        <f>IF(H59="",0,VLOOKUP(S59,'技能R'!$A$2:$E$13,5,TRUE)+M59+IF(O59="",0,2))</f>
        <v>0</v>
      </c>
    </row>
    <row r="60" spans="3:22" ht="11.25">
      <c r="C60" s="25"/>
      <c r="D60" s="25"/>
      <c r="E60" s="105"/>
      <c r="F60" s="105"/>
      <c r="G60" s="105"/>
      <c r="H60" s="136"/>
      <c r="I60" s="136"/>
      <c r="J60" s="136"/>
      <c r="K60" s="136"/>
      <c r="L60" s="136"/>
      <c r="M60" s="137"/>
      <c r="N60" s="137"/>
      <c r="O60" s="134"/>
      <c r="P60" s="134"/>
      <c r="Q60" s="134"/>
      <c r="R60" s="26">
        <f t="shared" si="3"/>
        <v>0</v>
      </c>
      <c r="S60" s="115">
        <f>IF(H60="","",VLOOKUP(E60,'技能L'!$D$59:$E$62,2,TRUE))</f>
      </c>
      <c r="T60" s="115"/>
      <c r="U60" s="115"/>
      <c r="V60" s="7">
        <f>IF(H60="",0,VLOOKUP(S60,'技能R'!$A$2:$E$13,5,TRUE)+M60+IF(O60="",0,2))</f>
        <v>0</v>
      </c>
    </row>
    <row r="61" spans="3:22" ht="11.25">
      <c r="C61" s="25"/>
      <c r="D61" s="25"/>
      <c r="E61" s="105"/>
      <c r="F61" s="105"/>
      <c r="G61" s="105"/>
      <c r="H61" s="136"/>
      <c r="I61" s="136"/>
      <c r="J61" s="136"/>
      <c r="K61" s="136"/>
      <c r="L61" s="136"/>
      <c r="M61" s="137"/>
      <c r="N61" s="137"/>
      <c r="O61" s="134"/>
      <c r="P61" s="134"/>
      <c r="Q61" s="134"/>
      <c r="R61" s="26">
        <f t="shared" si="3"/>
        <v>0</v>
      </c>
      <c r="S61" s="115">
        <f>IF(H61="","",VLOOKUP(E61,'技能L'!$D$59:$E$62,2,TRUE))</f>
      </c>
      <c r="T61" s="115"/>
      <c r="U61" s="115"/>
      <c r="V61" s="7">
        <f>IF(H61="",0,VLOOKUP(S61,'技能R'!$A$2:$E$13,5,TRUE)+M61+IF(O61="",0,2))</f>
        <v>0</v>
      </c>
    </row>
    <row r="62" ht="11.25">
      <c r="R62" s="93">
        <f>SUM(R34:R61)</f>
        <v>48</v>
      </c>
    </row>
  </sheetData>
  <mergeCells count="322">
    <mergeCell ref="S61:U61"/>
    <mergeCell ref="E61:G61"/>
    <mergeCell ref="H61:L61"/>
    <mergeCell ref="M61:N61"/>
    <mergeCell ref="O61:Q61"/>
    <mergeCell ref="S59:U59"/>
    <mergeCell ref="E60:G60"/>
    <mergeCell ref="H60:L60"/>
    <mergeCell ref="M60:N60"/>
    <mergeCell ref="O60:Q60"/>
    <mergeCell ref="S60:U60"/>
    <mergeCell ref="E59:G59"/>
    <mergeCell ref="H59:L59"/>
    <mergeCell ref="M59:N59"/>
    <mergeCell ref="O59:Q59"/>
    <mergeCell ref="S57:U57"/>
    <mergeCell ref="E58:G58"/>
    <mergeCell ref="H58:L58"/>
    <mergeCell ref="M58:N58"/>
    <mergeCell ref="O58:Q58"/>
    <mergeCell ref="S58:U58"/>
    <mergeCell ref="E57:G57"/>
    <mergeCell ref="H57:L57"/>
    <mergeCell ref="M57:N57"/>
    <mergeCell ref="O57:Q57"/>
    <mergeCell ref="S55:U55"/>
    <mergeCell ref="E56:G56"/>
    <mergeCell ref="H56:L56"/>
    <mergeCell ref="M56:N56"/>
    <mergeCell ref="O56:Q56"/>
    <mergeCell ref="S56:U56"/>
    <mergeCell ref="E55:G55"/>
    <mergeCell ref="H55:L55"/>
    <mergeCell ref="M55:N55"/>
    <mergeCell ref="O55:Q55"/>
    <mergeCell ref="S53:U53"/>
    <mergeCell ref="E54:G54"/>
    <mergeCell ref="H54:L54"/>
    <mergeCell ref="M54:N54"/>
    <mergeCell ref="O54:Q54"/>
    <mergeCell ref="S54:U54"/>
    <mergeCell ref="E53:G53"/>
    <mergeCell ref="H53:L53"/>
    <mergeCell ref="M53:N53"/>
    <mergeCell ref="O53:Q53"/>
    <mergeCell ref="S51:U51"/>
    <mergeCell ref="E52:G52"/>
    <mergeCell ref="H52:L52"/>
    <mergeCell ref="M52:N52"/>
    <mergeCell ref="O52:Q52"/>
    <mergeCell ref="S52:U52"/>
    <mergeCell ref="E51:G51"/>
    <mergeCell ref="H51:L51"/>
    <mergeCell ref="M51:N51"/>
    <mergeCell ref="O51:Q51"/>
    <mergeCell ref="S49:U49"/>
    <mergeCell ref="E50:G50"/>
    <mergeCell ref="H50:L50"/>
    <mergeCell ref="M50:N50"/>
    <mergeCell ref="O50:Q50"/>
    <mergeCell ref="S50:U50"/>
    <mergeCell ref="E49:G49"/>
    <mergeCell ref="H49:L49"/>
    <mergeCell ref="M49:N49"/>
    <mergeCell ref="O49:Q49"/>
    <mergeCell ref="S47:U47"/>
    <mergeCell ref="E48:G48"/>
    <mergeCell ref="H48:L48"/>
    <mergeCell ref="M48:N48"/>
    <mergeCell ref="O48:Q48"/>
    <mergeCell ref="S48:U48"/>
    <mergeCell ref="E47:G47"/>
    <mergeCell ref="H47:L47"/>
    <mergeCell ref="M47:N47"/>
    <mergeCell ref="O47:Q47"/>
    <mergeCell ref="S45:U45"/>
    <mergeCell ref="E46:G46"/>
    <mergeCell ref="H46:L46"/>
    <mergeCell ref="M46:N46"/>
    <mergeCell ref="O46:Q46"/>
    <mergeCell ref="S46:U46"/>
    <mergeCell ref="E45:G45"/>
    <mergeCell ref="H45:L45"/>
    <mergeCell ref="M45:N45"/>
    <mergeCell ref="O45:Q45"/>
    <mergeCell ref="S43:U43"/>
    <mergeCell ref="E44:G44"/>
    <mergeCell ref="H44:L44"/>
    <mergeCell ref="M44:N44"/>
    <mergeCell ref="O44:Q44"/>
    <mergeCell ref="S44:U44"/>
    <mergeCell ref="E43:G43"/>
    <mergeCell ref="H43:L43"/>
    <mergeCell ref="M43:N43"/>
    <mergeCell ref="O43:Q43"/>
    <mergeCell ref="S41:U41"/>
    <mergeCell ref="E42:G42"/>
    <mergeCell ref="H42:L42"/>
    <mergeCell ref="M42:N42"/>
    <mergeCell ref="O42:Q42"/>
    <mergeCell ref="S42:U42"/>
    <mergeCell ref="E41:G41"/>
    <mergeCell ref="H41:L41"/>
    <mergeCell ref="M41:N41"/>
    <mergeCell ref="O41:Q41"/>
    <mergeCell ref="O40:Q40"/>
    <mergeCell ref="S40:U40"/>
    <mergeCell ref="A39:B39"/>
    <mergeCell ref="E39:G39"/>
    <mergeCell ref="A40:B40"/>
    <mergeCell ref="E40:G40"/>
    <mergeCell ref="H40:L40"/>
    <mergeCell ref="M40:N40"/>
    <mergeCell ref="H39:L39"/>
    <mergeCell ref="M39:N39"/>
    <mergeCell ref="O37:Q37"/>
    <mergeCell ref="S37:U37"/>
    <mergeCell ref="O38:Q38"/>
    <mergeCell ref="S38:U38"/>
    <mergeCell ref="O39:Q39"/>
    <mergeCell ref="S39:U39"/>
    <mergeCell ref="A38:B38"/>
    <mergeCell ref="E38:G38"/>
    <mergeCell ref="H38:L38"/>
    <mergeCell ref="M38:N38"/>
    <mergeCell ref="A37:B37"/>
    <mergeCell ref="E37:G37"/>
    <mergeCell ref="H37:L37"/>
    <mergeCell ref="M37:N37"/>
    <mergeCell ref="O35:Q35"/>
    <mergeCell ref="S35:U35"/>
    <mergeCell ref="A36:B36"/>
    <mergeCell ref="E36:G36"/>
    <mergeCell ref="H36:L36"/>
    <mergeCell ref="M36:N36"/>
    <mergeCell ref="O36:Q36"/>
    <mergeCell ref="S36:U36"/>
    <mergeCell ref="A35:B35"/>
    <mergeCell ref="E35:G35"/>
    <mergeCell ref="H35:L35"/>
    <mergeCell ref="M35:N35"/>
    <mergeCell ref="S33:U33"/>
    <mergeCell ref="A34:B34"/>
    <mergeCell ref="E34:G34"/>
    <mergeCell ref="H34:L34"/>
    <mergeCell ref="M34:N34"/>
    <mergeCell ref="O34:Q34"/>
    <mergeCell ref="S34:U34"/>
    <mergeCell ref="E33:G33"/>
    <mergeCell ref="H33:L33"/>
    <mergeCell ref="M33:N33"/>
    <mergeCell ref="O33:Q33"/>
    <mergeCell ref="O30:Q30"/>
    <mergeCell ref="M30:N30"/>
    <mergeCell ref="S30:U30"/>
    <mergeCell ref="A31:C31"/>
    <mergeCell ref="D31:E31"/>
    <mergeCell ref="H31:L31"/>
    <mergeCell ref="M31:N31"/>
    <mergeCell ref="O31:Q31"/>
    <mergeCell ref="S31:U31"/>
    <mergeCell ref="A30:C30"/>
    <mergeCell ref="D30:E30"/>
    <mergeCell ref="H30:L30"/>
    <mergeCell ref="O29:Q29"/>
    <mergeCell ref="S29:U29"/>
    <mergeCell ref="A28:C28"/>
    <mergeCell ref="D28:E28"/>
    <mergeCell ref="A29:C29"/>
    <mergeCell ref="D29:E29"/>
    <mergeCell ref="H29:L29"/>
    <mergeCell ref="M29:N29"/>
    <mergeCell ref="H28:L28"/>
    <mergeCell ref="M28:N28"/>
    <mergeCell ref="O26:Q26"/>
    <mergeCell ref="S26:U26"/>
    <mergeCell ref="O27:Q27"/>
    <mergeCell ref="S27:U27"/>
    <mergeCell ref="O28:Q28"/>
    <mergeCell ref="S28:U28"/>
    <mergeCell ref="A27:C27"/>
    <mergeCell ref="D27:E27"/>
    <mergeCell ref="H27:L27"/>
    <mergeCell ref="M27:N27"/>
    <mergeCell ref="A26:C26"/>
    <mergeCell ref="D26:E26"/>
    <mergeCell ref="H26:L26"/>
    <mergeCell ref="M26:N26"/>
    <mergeCell ref="O25:Q25"/>
    <mergeCell ref="S25:U25"/>
    <mergeCell ref="A24:C24"/>
    <mergeCell ref="D24:E24"/>
    <mergeCell ref="A25:C25"/>
    <mergeCell ref="D25:E25"/>
    <mergeCell ref="H25:L25"/>
    <mergeCell ref="M25:N25"/>
    <mergeCell ref="H24:L24"/>
    <mergeCell ref="M24:N24"/>
    <mergeCell ref="O22:Q22"/>
    <mergeCell ref="S22:U22"/>
    <mergeCell ref="O23:Q23"/>
    <mergeCell ref="S23:U23"/>
    <mergeCell ref="O24:Q24"/>
    <mergeCell ref="S24:U24"/>
    <mergeCell ref="A23:C23"/>
    <mergeCell ref="D23:E23"/>
    <mergeCell ref="H23:L23"/>
    <mergeCell ref="M23:N23"/>
    <mergeCell ref="A22:C22"/>
    <mergeCell ref="D22:E22"/>
    <mergeCell ref="H22:L22"/>
    <mergeCell ref="M22:N22"/>
    <mergeCell ref="O21:Q21"/>
    <mergeCell ref="S21:U21"/>
    <mergeCell ref="A20:C20"/>
    <mergeCell ref="D20:E20"/>
    <mergeCell ref="A21:C21"/>
    <mergeCell ref="D21:E21"/>
    <mergeCell ref="H21:L21"/>
    <mergeCell ref="M21:N21"/>
    <mergeCell ref="H20:L20"/>
    <mergeCell ref="M20:N20"/>
    <mergeCell ref="O18:Q18"/>
    <mergeCell ref="S18:U18"/>
    <mergeCell ref="S19:U19"/>
    <mergeCell ref="O20:Q20"/>
    <mergeCell ref="S20:U20"/>
    <mergeCell ref="A19:C19"/>
    <mergeCell ref="H19:L19"/>
    <mergeCell ref="M19:N19"/>
    <mergeCell ref="O19:Q19"/>
    <mergeCell ref="A18:C18"/>
    <mergeCell ref="D18:E18"/>
    <mergeCell ref="H18:L18"/>
    <mergeCell ref="M18:N18"/>
    <mergeCell ref="H17:L17"/>
    <mergeCell ref="M17:N17"/>
    <mergeCell ref="O17:Q17"/>
    <mergeCell ref="S17:U17"/>
    <mergeCell ref="O16:Q16"/>
    <mergeCell ref="S16:U16"/>
    <mergeCell ref="A15:C15"/>
    <mergeCell ref="D15:E15"/>
    <mergeCell ref="A16:C16"/>
    <mergeCell ref="D16:E16"/>
    <mergeCell ref="H16:L16"/>
    <mergeCell ref="M16:N16"/>
    <mergeCell ref="H15:L15"/>
    <mergeCell ref="M15:N15"/>
    <mergeCell ref="O13:Q13"/>
    <mergeCell ref="S13:U13"/>
    <mergeCell ref="O14:Q14"/>
    <mergeCell ref="S14:U14"/>
    <mergeCell ref="O15:Q15"/>
    <mergeCell ref="S15:U15"/>
    <mergeCell ref="A14:C14"/>
    <mergeCell ref="D14:E14"/>
    <mergeCell ref="H14:L14"/>
    <mergeCell ref="M14:N14"/>
    <mergeCell ref="A13:C13"/>
    <mergeCell ref="D13:E13"/>
    <mergeCell ref="H13:L13"/>
    <mergeCell ref="M13:N13"/>
    <mergeCell ref="O12:Q12"/>
    <mergeCell ref="S12:U12"/>
    <mergeCell ref="A11:C11"/>
    <mergeCell ref="D11:E11"/>
    <mergeCell ref="A12:C12"/>
    <mergeCell ref="D12:E12"/>
    <mergeCell ref="H12:L12"/>
    <mergeCell ref="M12:N12"/>
    <mergeCell ref="H11:L11"/>
    <mergeCell ref="M11:N11"/>
    <mergeCell ref="O9:Q9"/>
    <mergeCell ref="S9:U9"/>
    <mergeCell ref="O10:Q10"/>
    <mergeCell ref="S10:U10"/>
    <mergeCell ref="O11:Q11"/>
    <mergeCell ref="S11:U11"/>
    <mergeCell ref="A10:C10"/>
    <mergeCell ref="D10:E10"/>
    <mergeCell ref="H10:L10"/>
    <mergeCell ref="M10:N10"/>
    <mergeCell ref="M7:N7"/>
    <mergeCell ref="A9:C9"/>
    <mergeCell ref="D9:E9"/>
    <mergeCell ref="H9:L9"/>
    <mergeCell ref="M9:N9"/>
    <mergeCell ref="S6:U6"/>
    <mergeCell ref="O8:Q8"/>
    <mergeCell ref="S8:U8"/>
    <mergeCell ref="A7:C7"/>
    <mergeCell ref="D7:E7"/>
    <mergeCell ref="A8:C8"/>
    <mergeCell ref="D8:E8"/>
    <mergeCell ref="H8:L8"/>
    <mergeCell ref="M8:N8"/>
    <mergeCell ref="H7:L7"/>
    <mergeCell ref="O7:Q7"/>
    <mergeCell ref="S7:U7"/>
    <mergeCell ref="M5:N5"/>
    <mergeCell ref="A6:C6"/>
    <mergeCell ref="D6:E6"/>
    <mergeCell ref="H6:L6"/>
    <mergeCell ref="M6:N6"/>
    <mergeCell ref="O5:Q5"/>
    <mergeCell ref="S5:U5"/>
    <mergeCell ref="O6:Q6"/>
    <mergeCell ref="H3:L3"/>
    <mergeCell ref="A5:C5"/>
    <mergeCell ref="D5:E5"/>
    <mergeCell ref="H5:L5"/>
    <mergeCell ref="O3:Q3"/>
    <mergeCell ref="S3:U3"/>
    <mergeCell ref="A4:C4"/>
    <mergeCell ref="D4:E4"/>
    <mergeCell ref="H4:L4"/>
    <mergeCell ref="M4:N4"/>
    <mergeCell ref="O4:Q4"/>
    <mergeCell ref="S4:U4"/>
    <mergeCell ref="A3:C3"/>
    <mergeCell ref="D3:E3"/>
  </mergeCells>
  <dataValidations count="2">
    <dataValidation type="list" allowBlank="1" showErrorMessage="1" sqref="H4:H31">
      <formula1>技能リスト</formula1>
      <formula2>0</formula2>
    </dataValidation>
    <dataValidation type="list" allowBlank="1" showErrorMessage="1" sqref="D34:G34 E35:G61">
      <formula1>"趣味知識,ストリート知識,学術知識,職業知識"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3"/>
  <sheetViews>
    <sheetView workbookViewId="0" topLeftCell="A1">
      <selection activeCell="AI34" sqref="AI34"/>
    </sheetView>
  </sheetViews>
  <sheetFormatPr defaultColWidth="9.33203125" defaultRowHeight="11.25"/>
  <cols>
    <col min="1" max="26" width="4.83203125" style="0" customWidth="1"/>
    <col min="27" max="30" width="0" style="0" hidden="1" customWidth="1"/>
    <col min="31" max="39" width="4.83203125" style="0" customWidth="1"/>
  </cols>
  <sheetData>
    <row r="1" ht="17.25">
      <c r="A1" s="6" t="s">
        <v>24</v>
      </c>
    </row>
    <row r="4" ht="11.25">
      <c r="E4" s="5"/>
    </row>
    <row r="5" spans="1:32" ht="11.25">
      <c r="A5" s="99" t="s">
        <v>118</v>
      </c>
      <c r="B5" s="99"/>
      <c r="C5" s="99"/>
      <c r="D5" s="99"/>
      <c r="E5" s="99"/>
      <c r="F5" s="99" t="s">
        <v>119</v>
      </c>
      <c r="G5" s="99"/>
      <c r="H5" s="99"/>
      <c r="I5" s="14" t="s">
        <v>4</v>
      </c>
      <c r="K5" s="28" t="s">
        <v>120</v>
      </c>
      <c r="L5" s="99" t="s">
        <v>38</v>
      </c>
      <c r="M5" s="99"/>
      <c r="N5" s="99"/>
      <c r="O5" s="99"/>
      <c r="P5" s="99"/>
      <c r="Q5" s="99" t="s">
        <v>119</v>
      </c>
      <c r="R5" s="99"/>
      <c r="S5" s="99"/>
      <c r="T5" s="120" t="s">
        <v>36</v>
      </c>
      <c r="U5" s="120"/>
      <c r="V5" s="14" t="s">
        <v>121</v>
      </c>
      <c r="W5" s="18" t="s">
        <v>122</v>
      </c>
      <c r="X5" s="18" t="s">
        <v>123</v>
      </c>
      <c r="Y5" s="18" t="s">
        <v>124</v>
      </c>
      <c r="Z5" s="18" t="s">
        <v>49</v>
      </c>
      <c r="AA5" s="18" t="s">
        <v>51</v>
      </c>
      <c r="AB5" s="18" t="s">
        <v>125</v>
      </c>
      <c r="AC5" s="18" t="s">
        <v>126</v>
      </c>
      <c r="AD5" s="18" t="s">
        <v>127</v>
      </c>
      <c r="AE5" s="18" t="s">
        <v>128</v>
      </c>
      <c r="AF5" s="29" t="s">
        <v>129</v>
      </c>
    </row>
    <row r="6" spans="1:32" ht="11.25">
      <c r="A6" s="111" t="s">
        <v>130</v>
      </c>
      <c r="B6" s="111"/>
      <c r="C6" s="111"/>
      <c r="D6" s="111"/>
      <c r="E6" s="111"/>
      <c r="F6" s="103"/>
      <c r="G6" s="103"/>
      <c r="H6" s="103"/>
      <c r="I6" s="7">
        <f aca="true" t="shared" si="0" ref="I6:I22">IF(A6="",0,3)</f>
        <v>3</v>
      </c>
      <c r="K6" s="30">
        <f>IF(L6=0,0,VLOOKUP(L6,アデプト!$A$1:$B$22,2,TRUE))</f>
        <v>1</v>
      </c>
      <c r="L6" s="139" t="s">
        <v>131</v>
      </c>
      <c r="M6" s="139"/>
      <c r="N6" s="139"/>
      <c r="O6" s="139"/>
      <c r="P6" s="139"/>
      <c r="Q6" s="101"/>
      <c r="R6" s="101"/>
      <c r="S6" s="101"/>
      <c r="T6" s="123"/>
      <c r="U6" s="123"/>
      <c r="V6" s="7">
        <f aca="true" t="shared" si="1" ref="V6:V22">IF(T6=0,K6*1,K6*T6)</f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1.25">
      <c r="A7" s="111" t="s">
        <v>132</v>
      </c>
      <c r="B7" s="111"/>
      <c r="C7" s="111"/>
      <c r="D7" s="111"/>
      <c r="E7" s="111"/>
      <c r="F7" s="103"/>
      <c r="G7" s="103"/>
      <c r="H7" s="103"/>
      <c r="I7" s="7">
        <f t="shared" si="0"/>
        <v>3</v>
      </c>
      <c r="K7" s="30">
        <f>IF(L7=0,0,VLOOKUP(L7,アデプト!$A$1:$B$22,2,TRUE))</f>
        <v>0</v>
      </c>
      <c r="L7" s="139"/>
      <c r="M7" s="139"/>
      <c r="N7" s="139"/>
      <c r="O7" s="139"/>
      <c r="P7" s="139"/>
      <c r="Q7" s="101"/>
      <c r="R7" s="101"/>
      <c r="S7" s="101"/>
      <c r="T7" s="123"/>
      <c r="U7" s="123"/>
      <c r="V7" s="7">
        <f t="shared" si="1"/>
        <v>0</v>
      </c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11.25">
      <c r="A8" s="111" t="s">
        <v>133</v>
      </c>
      <c r="B8" s="111"/>
      <c r="C8" s="111"/>
      <c r="D8" s="111"/>
      <c r="E8" s="111"/>
      <c r="F8" s="103"/>
      <c r="G8" s="103"/>
      <c r="H8" s="103"/>
      <c r="I8" s="7">
        <f t="shared" si="0"/>
        <v>3</v>
      </c>
      <c r="K8" s="30">
        <f>IF(L8=0,0,VLOOKUP(L8,アデプト!$A$1:$B$22,2,TRUE))</f>
        <v>0</v>
      </c>
      <c r="L8" s="139"/>
      <c r="M8" s="139"/>
      <c r="N8" s="139"/>
      <c r="O8" s="139"/>
      <c r="P8" s="139"/>
      <c r="Q8" s="101"/>
      <c r="R8" s="101"/>
      <c r="S8" s="101"/>
      <c r="T8" s="123"/>
      <c r="U8" s="123"/>
      <c r="V8" s="7">
        <f t="shared" si="1"/>
        <v>0</v>
      </c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1.25">
      <c r="A9" s="111" t="s">
        <v>134</v>
      </c>
      <c r="B9" s="111"/>
      <c r="C9" s="111"/>
      <c r="D9" s="111"/>
      <c r="E9" s="111"/>
      <c r="F9" s="103"/>
      <c r="G9" s="103"/>
      <c r="H9" s="103"/>
      <c r="I9" s="7">
        <f t="shared" si="0"/>
        <v>3</v>
      </c>
      <c r="K9" s="30">
        <f>IF(L9=0,0,VLOOKUP(L9,アデプト!$A$1:$B$22,2,TRUE))</f>
        <v>0</v>
      </c>
      <c r="L9" s="139"/>
      <c r="M9" s="139"/>
      <c r="N9" s="139"/>
      <c r="O9" s="139"/>
      <c r="P9" s="139"/>
      <c r="Q9" s="101"/>
      <c r="R9" s="101"/>
      <c r="S9" s="101"/>
      <c r="T9" s="123"/>
      <c r="U9" s="123"/>
      <c r="V9" s="7">
        <f t="shared" si="1"/>
        <v>0</v>
      </c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11.25">
      <c r="A10" s="111"/>
      <c r="B10" s="111"/>
      <c r="C10" s="111"/>
      <c r="D10" s="111"/>
      <c r="E10" s="111"/>
      <c r="F10" s="103"/>
      <c r="G10" s="103"/>
      <c r="H10" s="103"/>
      <c r="I10" s="7">
        <f t="shared" si="0"/>
        <v>0</v>
      </c>
      <c r="K10" s="30">
        <f>IF(L10=0,0,VLOOKUP(L10,アデプト!$A$1:$B$22,2,TRUE))</f>
        <v>0</v>
      </c>
      <c r="L10" s="139"/>
      <c r="M10" s="139"/>
      <c r="N10" s="139"/>
      <c r="O10" s="139"/>
      <c r="P10" s="139"/>
      <c r="Q10" s="101"/>
      <c r="R10" s="101"/>
      <c r="S10" s="101"/>
      <c r="T10" s="123"/>
      <c r="U10" s="123"/>
      <c r="V10" s="7">
        <f t="shared" si="1"/>
        <v>0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1.25">
      <c r="A11" s="111"/>
      <c r="B11" s="111"/>
      <c r="C11" s="111"/>
      <c r="D11" s="111"/>
      <c r="E11" s="111"/>
      <c r="F11" s="103"/>
      <c r="G11" s="103"/>
      <c r="H11" s="103"/>
      <c r="I11" s="7">
        <f t="shared" si="0"/>
        <v>0</v>
      </c>
      <c r="K11" s="30">
        <f>IF(L11=0,0,VLOOKUP(L11,アデプト!$A$1:$B$22,2,TRUE))</f>
        <v>0</v>
      </c>
      <c r="L11" s="139"/>
      <c r="M11" s="139"/>
      <c r="N11" s="139"/>
      <c r="O11" s="139"/>
      <c r="P11" s="139"/>
      <c r="Q11" s="101"/>
      <c r="R11" s="101"/>
      <c r="S11" s="101"/>
      <c r="T11" s="123"/>
      <c r="U11" s="123"/>
      <c r="V11" s="7">
        <f t="shared" si="1"/>
        <v>0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1.25">
      <c r="A12" s="111"/>
      <c r="B12" s="111"/>
      <c r="C12" s="111"/>
      <c r="D12" s="111"/>
      <c r="E12" s="111"/>
      <c r="F12" s="103"/>
      <c r="G12" s="103"/>
      <c r="H12" s="103"/>
      <c r="I12" s="7">
        <f t="shared" si="0"/>
        <v>0</v>
      </c>
      <c r="K12" s="30">
        <f>IF(L12=0,0,VLOOKUP(L12,アデプト!$A$1:$B$22,2,TRUE))</f>
        <v>0</v>
      </c>
      <c r="L12" s="139"/>
      <c r="M12" s="139"/>
      <c r="N12" s="139"/>
      <c r="O12" s="139"/>
      <c r="P12" s="139"/>
      <c r="Q12" s="101"/>
      <c r="R12" s="101"/>
      <c r="S12" s="101"/>
      <c r="T12" s="123"/>
      <c r="U12" s="123"/>
      <c r="V12" s="7">
        <f t="shared" si="1"/>
        <v>0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1.25">
      <c r="A13" s="111"/>
      <c r="B13" s="111"/>
      <c r="C13" s="111"/>
      <c r="D13" s="111"/>
      <c r="E13" s="111"/>
      <c r="F13" s="103"/>
      <c r="G13" s="103"/>
      <c r="H13" s="103"/>
      <c r="I13" s="7">
        <f t="shared" si="0"/>
        <v>0</v>
      </c>
      <c r="K13" s="30">
        <f>IF(L13=0,0,VLOOKUP(L13,アデプト!$A$1:$B$22,2,TRUE))</f>
        <v>0</v>
      </c>
      <c r="L13" s="139"/>
      <c r="M13" s="139"/>
      <c r="N13" s="139"/>
      <c r="O13" s="139"/>
      <c r="P13" s="139"/>
      <c r="Q13" s="101"/>
      <c r="R13" s="101"/>
      <c r="S13" s="101"/>
      <c r="T13" s="123"/>
      <c r="U13" s="123"/>
      <c r="V13" s="7">
        <f t="shared" si="1"/>
        <v>0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1.25">
      <c r="A14" s="111"/>
      <c r="B14" s="111"/>
      <c r="C14" s="111"/>
      <c r="D14" s="111"/>
      <c r="E14" s="111"/>
      <c r="F14" s="103"/>
      <c r="G14" s="103"/>
      <c r="H14" s="103"/>
      <c r="I14" s="7">
        <f t="shared" si="0"/>
        <v>0</v>
      </c>
      <c r="K14" s="30">
        <f>IF(L14=0,0,VLOOKUP(L14,アデプト!$A$1:$B$22,2,TRUE))</f>
        <v>0</v>
      </c>
      <c r="L14" s="139"/>
      <c r="M14" s="139"/>
      <c r="N14" s="139"/>
      <c r="O14" s="139"/>
      <c r="P14" s="139"/>
      <c r="Q14" s="101"/>
      <c r="R14" s="101"/>
      <c r="S14" s="101"/>
      <c r="T14" s="123"/>
      <c r="U14" s="123"/>
      <c r="V14" s="7">
        <f t="shared" si="1"/>
        <v>0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1.25">
      <c r="A15" s="111"/>
      <c r="B15" s="111"/>
      <c r="C15" s="111"/>
      <c r="D15" s="111"/>
      <c r="E15" s="111"/>
      <c r="F15" s="103"/>
      <c r="G15" s="103"/>
      <c r="H15" s="103"/>
      <c r="I15" s="7">
        <f t="shared" si="0"/>
        <v>0</v>
      </c>
      <c r="K15" s="30">
        <f>IF(L15=0,0,VLOOKUP(L15,アデプト!$A$1:$B$22,2,TRUE))</f>
        <v>0</v>
      </c>
      <c r="L15" s="139"/>
      <c r="M15" s="139"/>
      <c r="N15" s="139"/>
      <c r="O15" s="139"/>
      <c r="P15" s="139"/>
      <c r="Q15" s="101"/>
      <c r="R15" s="101"/>
      <c r="S15" s="101"/>
      <c r="T15" s="123"/>
      <c r="U15" s="123"/>
      <c r="V15" s="7">
        <f t="shared" si="1"/>
        <v>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1.25">
      <c r="A16" s="111"/>
      <c r="B16" s="111"/>
      <c r="C16" s="111"/>
      <c r="D16" s="111"/>
      <c r="E16" s="111"/>
      <c r="F16" s="103"/>
      <c r="G16" s="103"/>
      <c r="H16" s="103"/>
      <c r="I16" s="7">
        <f t="shared" si="0"/>
        <v>0</v>
      </c>
      <c r="K16" s="30">
        <f>IF(L16=0,0,VLOOKUP(L16,アデプト!$A$1:$B$22,2,TRUE))</f>
        <v>0</v>
      </c>
      <c r="L16" s="139"/>
      <c r="M16" s="139"/>
      <c r="N16" s="139"/>
      <c r="O16" s="139"/>
      <c r="P16" s="139"/>
      <c r="Q16" s="101"/>
      <c r="R16" s="101"/>
      <c r="S16" s="101"/>
      <c r="T16" s="123"/>
      <c r="U16" s="123"/>
      <c r="V16" s="7">
        <f t="shared" si="1"/>
        <v>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1.25">
      <c r="A17" s="111"/>
      <c r="B17" s="111"/>
      <c r="C17" s="111"/>
      <c r="D17" s="111"/>
      <c r="E17" s="111"/>
      <c r="F17" s="103"/>
      <c r="G17" s="103"/>
      <c r="H17" s="103"/>
      <c r="I17" s="7">
        <f t="shared" si="0"/>
        <v>0</v>
      </c>
      <c r="K17" s="30">
        <f>IF(L17=0,0,VLOOKUP(L17,アデプト!$A$1:$B$22,2,TRUE))</f>
        <v>0</v>
      </c>
      <c r="L17" s="139"/>
      <c r="M17" s="139"/>
      <c r="N17" s="139"/>
      <c r="O17" s="139"/>
      <c r="P17" s="139"/>
      <c r="Q17" s="101"/>
      <c r="R17" s="101"/>
      <c r="S17" s="101"/>
      <c r="T17" s="123"/>
      <c r="U17" s="123"/>
      <c r="V17" s="7">
        <f t="shared" si="1"/>
        <v>0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1.25">
      <c r="A18" s="111"/>
      <c r="B18" s="111"/>
      <c r="C18" s="111"/>
      <c r="D18" s="111"/>
      <c r="E18" s="111"/>
      <c r="F18" s="103"/>
      <c r="G18" s="103"/>
      <c r="H18" s="103"/>
      <c r="I18" s="7">
        <f t="shared" si="0"/>
        <v>0</v>
      </c>
      <c r="K18" s="30">
        <f>IF(L18=0,0,VLOOKUP(L18,アデプト!$A$1:$B$22,2,TRUE))</f>
        <v>0</v>
      </c>
      <c r="L18" s="139"/>
      <c r="M18" s="139"/>
      <c r="N18" s="139"/>
      <c r="O18" s="139"/>
      <c r="P18" s="139"/>
      <c r="Q18" s="101"/>
      <c r="R18" s="101"/>
      <c r="S18" s="101"/>
      <c r="T18" s="123"/>
      <c r="U18" s="123"/>
      <c r="V18" s="7">
        <f t="shared" si="1"/>
        <v>0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1.25">
      <c r="A19" s="111"/>
      <c r="B19" s="111"/>
      <c r="C19" s="111"/>
      <c r="D19" s="111"/>
      <c r="E19" s="111"/>
      <c r="F19" s="103"/>
      <c r="G19" s="103"/>
      <c r="H19" s="103"/>
      <c r="I19" s="7">
        <f t="shared" si="0"/>
        <v>0</v>
      </c>
      <c r="K19" s="30">
        <f>IF(L19=0,0,VLOOKUP(L19,アデプト!$A$1:$B$22,2,TRUE))</f>
        <v>0</v>
      </c>
      <c r="L19" s="139"/>
      <c r="M19" s="139"/>
      <c r="N19" s="139"/>
      <c r="O19" s="139"/>
      <c r="P19" s="139"/>
      <c r="Q19" s="101"/>
      <c r="R19" s="101"/>
      <c r="S19" s="101"/>
      <c r="T19" s="123"/>
      <c r="U19" s="123"/>
      <c r="V19" s="7">
        <f t="shared" si="1"/>
        <v>0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1.25">
      <c r="A20" s="111"/>
      <c r="B20" s="111"/>
      <c r="C20" s="111"/>
      <c r="D20" s="111"/>
      <c r="E20" s="111"/>
      <c r="F20" s="103"/>
      <c r="G20" s="103"/>
      <c r="H20" s="103"/>
      <c r="I20" s="7">
        <f t="shared" si="0"/>
        <v>0</v>
      </c>
      <c r="K20" s="30">
        <f>IF(L20=0,0,VLOOKUP(L20,アデプト!$A$1:$B$22,2,TRUE))</f>
        <v>0</v>
      </c>
      <c r="L20" s="139"/>
      <c r="M20" s="139"/>
      <c r="N20" s="139"/>
      <c r="O20" s="139"/>
      <c r="P20" s="139"/>
      <c r="Q20" s="101"/>
      <c r="R20" s="101"/>
      <c r="S20" s="101"/>
      <c r="T20" s="123"/>
      <c r="U20" s="123"/>
      <c r="V20" s="7">
        <f t="shared" si="1"/>
        <v>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1.25">
      <c r="A21" s="111"/>
      <c r="B21" s="111"/>
      <c r="C21" s="111"/>
      <c r="D21" s="111"/>
      <c r="E21" s="111"/>
      <c r="F21" s="103"/>
      <c r="G21" s="103"/>
      <c r="H21" s="103"/>
      <c r="I21" s="7">
        <f t="shared" si="0"/>
        <v>0</v>
      </c>
      <c r="K21" s="30">
        <f>IF(L21=0,0,VLOOKUP(L21,アデプト!$A$1:$B$22,2,TRUE))</f>
        <v>0</v>
      </c>
      <c r="L21" s="139"/>
      <c r="M21" s="139"/>
      <c r="N21" s="139"/>
      <c r="O21" s="139"/>
      <c r="P21" s="139"/>
      <c r="Q21" s="101"/>
      <c r="R21" s="101"/>
      <c r="S21" s="101"/>
      <c r="T21" s="123"/>
      <c r="U21" s="123"/>
      <c r="V21" s="7">
        <f t="shared" si="1"/>
        <v>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1.25">
      <c r="A22" s="111"/>
      <c r="B22" s="111"/>
      <c r="C22" s="111"/>
      <c r="D22" s="111"/>
      <c r="E22" s="111"/>
      <c r="F22" s="103"/>
      <c r="G22" s="103"/>
      <c r="H22" s="103"/>
      <c r="I22" s="7">
        <f t="shared" si="0"/>
        <v>0</v>
      </c>
      <c r="K22" s="30">
        <f>IF(L22=0,0,VLOOKUP(L22,アデプト!$A$1:$B$22,2,TRUE))</f>
        <v>0</v>
      </c>
      <c r="L22" s="139"/>
      <c r="M22" s="139"/>
      <c r="N22" s="139"/>
      <c r="O22" s="139"/>
      <c r="P22" s="139"/>
      <c r="Q22" s="101"/>
      <c r="R22" s="101"/>
      <c r="S22" s="101"/>
      <c r="T22" s="123"/>
      <c r="U22" s="123"/>
      <c r="V22" s="7">
        <f t="shared" si="1"/>
        <v>0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1.25">
      <c r="A23" s="127" t="s">
        <v>33</v>
      </c>
      <c r="B23" s="127"/>
      <c r="C23" s="127"/>
      <c r="D23" s="127"/>
      <c r="E23" s="127"/>
      <c r="F23" s="127"/>
      <c r="G23" s="127"/>
      <c r="H23" s="127"/>
      <c r="I23" s="7">
        <f>SUM(I6:I22)</f>
        <v>12</v>
      </c>
      <c r="K23" s="116" t="s">
        <v>135</v>
      </c>
      <c r="L23" s="116"/>
      <c r="M23" s="116"/>
      <c r="N23" s="116"/>
      <c r="O23" s="116"/>
      <c r="P23" s="31">
        <f>Main!M32</f>
        <v>4</v>
      </c>
      <c r="Q23" s="116" t="s">
        <v>33</v>
      </c>
      <c r="R23" s="116"/>
      <c r="S23" s="116"/>
      <c r="T23" s="116"/>
      <c r="U23" s="116"/>
      <c r="V23" s="7">
        <f aca="true" t="shared" si="2" ref="V23:AF23">SUM(V6:V22)</f>
        <v>1</v>
      </c>
      <c r="W23" s="7">
        <f t="shared" si="2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  <c r="AA23" s="7">
        <f t="shared" si="2"/>
        <v>0</v>
      </c>
      <c r="AB23" s="7">
        <f t="shared" si="2"/>
        <v>0</v>
      </c>
      <c r="AC23" s="7">
        <f t="shared" si="2"/>
        <v>0</v>
      </c>
      <c r="AD23" s="7">
        <f t="shared" si="2"/>
        <v>0</v>
      </c>
      <c r="AE23" s="7">
        <f t="shared" si="2"/>
        <v>0</v>
      </c>
      <c r="AF23" s="7">
        <f t="shared" si="2"/>
        <v>0</v>
      </c>
    </row>
    <row r="24" ht="11.25">
      <c r="E24" s="5"/>
    </row>
    <row r="26" spans="3:22" ht="11.25">
      <c r="C26" s="9" t="s">
        <v>136</v>
      </c>
      <c r="D26" s="99" t="s">
        <v>137</v>
      </c>
      <c r="E26" s="99"/>
      <c r="F26" s="99"/>
      <c r="G26" s="99" t="s">
        <v>138</v>
      </c>
      <c r="H26" s="99"/>
      <c r="I26" s="14" t="s">
        <v>4</v>
      </c>
      <c r="L26" s="99" t="s">
        <v>139</v>
      </c>
      <c r="M26" s="99"/>
      <c r="N26" s="99"/>
      <c r="O26" s="99"/>
      <c r="P26" s="99" t="s">
        <v>119</v>
      </c>
      <c r="Q26" s="99"/>
      <c r="R26" s="99"/>
      <c r="S26" s="99"/>
      <c r="T26" s="120" t="s">
        <v>140</v>
      </c>
      <c r="U26" s="120"/>
      <c r="V26" s="14" t="s">
        <v>4</v>
      </c>
    </row>
    <row r="27" spans="3:22" ht="11.25">
      <c r="C27" s="32">
        <f>IF(D27="","",Main!$M$32)</f>
      </c>
      <c r="D27" s="140"/>
      <c r="E27" s="140"/>
      <c r="F27" s="140"/>
      <c r="G27" s="123"/>
      <c r="H27" s="123"/>
      <c r="I27" s="7">
        <f aca="true" t="shared" si="3" ref="I27:I35">IF(G27="",0,G27)</f>
        <v>0</v>
      </c>
      <c r="L27" s="124"/>
      <c r="M27" s="124"/>
      <c r="N27" s="124"/>
      <c r="O27" s="124"/>
      <c r="P27" s="108"/>
      <c r="Q27" s="108"/>
      <c r="R27" s="108"/>
      <c r="S27" s="108"/>
      <c r="T27" s="123"/>
      <c r="U27" s="123"/>
      <c r="V27" s="7">
        <f aca="true" t="shared" si="4" ref="V27:V35">T27</f>
        <v>0</v>
      </c>
    </row>
    <row r="28" spans="3:22" ht="11.25">
      <c r="C28" s="32">
        <f>IF(D28="","",Main!$M$32)</f>
      </c>
      <c r="D28" s="140"/>
      <c r="E28" s="140"/>
      <c r="F28" s="140"/>
      <c r="G28" s="123"/>
      <c r="H28" s="123"/>
      <c r="I28" s="7">
        <f t="shared" si="3"/>
        <v>0</v>
      </c>
      <c r="L28" s="124"/>
      <c r="M28" s="124"/>
      <c r="N28" s="124"/>
      <c r="O28" s="124"/>
      <c r="P28" s="108"/>
      <c r="Q28" s="108"/>
      <c r="R28" s="108"/>
      <c r="S28" s="108"/>
      <c r="T28" s="123"/>
      <c r="U28" s="123"/>
      <c r="V28" s="7">
        <f t="shared" si="4"/>
        <v>0</v>
      </c>
    </row>
    <row r="29" spans="3:22" ht="11.25">
      <c r="C29" s="32">
        <f>IF(D29="","",Main!$M$32)</f>
      </c>
      <c r="D29" s="140"/>
      <c r="E29" s="140"/>
      <c r="F29" s="140"/>
      <c r="G29" s="123"/>
      <c r="H29" s="123"/>
      <c r="I29" s="7">
        <f t="shared" si="3"/>
        <v>0</v>
      </c>
      <c r="L29" s="124"/>
      <c r="M29" s="124"/>
      <c r="N29" s="124"/>
      <c r="O29" s="124"/>
      <c r="P29" s="108"/>
      <c r="Q29" s="108"/>
      <c r="R29" s="108"/>
      <c r="S29" s="108"/>
      <c r="T29" s="123"/>
      <c r="U29" s="123"/>
      <c r="V29" s="7">
        <f t="shared" si="4"/>
        <v>0</v>
      </c>
    </row>
    <row r="30" spans="3:22" ht="11.25">
      <c r="C30" s="32">
        <f>IF(D30="","",Main!$M$32)</f>
      </c>
      <c r="D30" s="140"/>
      <c r="E30" s="140"/>
      <c r="F30" s="140"/>
      <c r="G30" s="123"/>
      <c r="H30" s="123"/>
      <c r="I30" s="7">
        <f t="shared" si="3"/>
        <v>0</v>
      </c>
      <c r="L30" s="124"/>
      <c r="M30" s="124"/>
      <c r="N30" s="124"/>
      <c r="O30" s="124"/>
      <c r="P30" s="108"/>
      <c r="Q30" s="108"/>
      <c r="R30" s="108"/>
      <c r="S30" s="108"/>
      <c r="T30" s="123"/>
      <c r="U30" s="123"/>
      <c r="V30" s="7">
        <f t="shared" si="4"/>
        <v>0</v>
      </c>
    </row>
    <row r="31" spans="3:22" ht="11.25">
      <c r="C31" s="32">
        <f>IF(D31="","",Main!$M$32)</f>
      </c>
      <c r="D31" s="140"/>
      <c r="E31" s="140"/>
      <c r="F31" s="140"/>
      <c r="G31" s="123"/>
      <c r="H31" s="123"/>
      <c r="I31" s="7">
        <f t="shared" si="3"/>
        <v>0</v>
      </c>
      <c r="L31" s="124"/>
      <c r="M31" s="124"/>
      <c r="N31" s="124"/>
      <c r="O31" s="124"/>
      <c r="P31" s="108"/>
      <c r="Q31" s="108"/>
      <c r="R31" s="108"/>
      <c r="S31" s="108"/>
      <c r="T31" s="123"/>
      <c r="U31" s="123"/>
      <c r="V31" s="7">
        <f t="shared" si="4"/>
        <v>0</v>
      </c>
    </row>
    <row r="32" spans="3:22" ht="11.25">
      <c r="C32" s="32">
        <f>IF(D32="","",Main!$M$32)</f>
      </c>
      <c r="D32" s="140"/>
      <c r="E32" s="140"/>
      <c r="F32" s="140"/>
      <c r="G32" s="123"/>
      <c r="H32" s="123"/>
      <c r="I32" s="7">
        <f t="shared" si="3"/>
        <v>0</v>
      </c>
      <c r="L32" s="124"/>
      <c r="M32" s="124"/>
      <c r="N32" s="124"/>
      <c r="O32" s="124"/>
      <c r="P32" s="108"/>
      <c r="Q32" s="108"/>
      <c r="R32" s="108"/>
      <c r="S32" s="108"/>
      <c r="T32" s="123"/>
      <c r="U32" s="123"/>
      <c r="V32" s="7">
        <f t="shared" si="4"/>
        <v>0</v>
      </c>
    </row>
    <row r="33" spans="3:22" ht="11.25">
      <c r="C33" s="32">
        <f>IF(D33="","",Main!$M$32)</f>
      </c>
      <c r="D33" s="140"/>
      <c r="E33" s="140"/>
      <c r="F33" s="140"/>
      <c r="G33" s="123"/>
      <c r="H33" s="123"/>
      <c r="I33" s="7">
        <f t="shared" si="3"/>
        <v>0</v>
      </c>
      <c r="L33" s="124"/>
      <c r="M33" s="124"/>
      <c r="N33" s="124"/>
      <c r="O33" s="124"/>
      <c r="P33" s="108"/>
      <c r="Q33" s="108"/>
      <c r="R33" s="108"/>
      <c r="S33" s="108"/>
      <c r="T33" s="123"/>
      <c r="U33" s="123"/>
      <c r="V33" s="7">
        <f t="shared" si="4"/>
        <v>0</v>
      </c>
    </row>
    <row r="34" spans="3:22" ht="11.25">
      <c r="C34" s="32">
        <f>IF(D34="","",Main!$M$32)</f>
      </c>
      <c r="D34" s="140"/>
      <c r="E34" s="140"/>
      <c r="F34" s="140"/>
      <c r="G34" s="123"/>
      <c r="H34" s="123"/>
      <c r="I34" s="7">
        <f t="shared" si="3"/>
        <v>0</v>
      </c>
      <c r="L34" s="124"/>
      <c r="M34" s="124"/>
      <c r="N34" s="124"/>
      <c r="O34" s="124"/>
      <c r="P34" s="108"/>
      <c r="Q34" s="108"/>
      <c r="R34" s="108"/>
      <c r="S34" s="108"/>
      <c r="T34" s="123"/>
      <c r="U34" s="123"/>
      <c r="V34" s="7">
        <f t="shared" si="4"/>
        <v>0</v>
      </c>
    </row>
    <row r="35" spans="3:22" ht="11.25">
      <c r="C35" s="32">
        <f>IF(D35="","",Main!$M$32)</f>
      </c>
      <c r="D35" s="140"/>
      <c r="E35" s="140"/>
      <c r="F35" s="140"/>
      <c r="G35" s="123"/>
      <c r="H35" s="123"/>
      <c r="I35" s="7">
        <f t="shared" si="3"/>
        <v>0</v>
      </c>
      <c r="L35" s="124"/>
      <c r="M35" s="124"/>
      <c r="N35" s="124"/>
      <c r="O35" s="124"/>
      <c r="P35" s="108"/>
      <c r="Q35" s="108"/>
      <c r="R35" s="108"/>
      <c r="S35" s="108"/>
      <c r="T35" s="123"/>
      <c r="U35" s="123"/>
      <c r="V35" s="7">
        <f t="shared" si="4"/>
        <v>0</v>
      </c>
    </row>
    <row r="36" spans="3:22" ht="11.25">
      <c r="C36" s="116" t="s">
        <v>33</v>
      </c>
      <c r="D36" s="116"/>
      <c r="E36" s="116"/>
      <c r="F36" s="116"/>
      <c r="G36" s="116"/>
      <c r="H36" s="116"/>
      <c r="I36" s="7">
        <f>SUM(I27:I35)</f>
        <v>0</v>
      </c>
      <c r="L36" s="116" t="s">
        <v>33</v>
      </c>
      <c r="M36" s="116"/>
      <c r="N36" s="116"/>
      <c r="O36" s="116"/>
      <c r="P36" s="116"/>
      <c r="Q36" s="116"/>
      <c r="R36" s="116"/>
      <c r="S36" s="116"/>
      <c r="T36" s="116"/>
      <c r="U36" s="116"/>
      <c r="V36" s="7">
        <f>SUM(V27:V35)</f>
        <v>0</v>
      </c>
    </row>
    <row r="39" spans="4:6" ht="11.25">
      <c r="D39" s="99" t="s">
        <v>118</v>
      </c>
      <c r="E39" s="99"/>
      <c r="F39" s="7">
        <f>I23</f>
        <v>12</v>
      </c>
    </row>
    <row r="40" spans="4:6" ht="11.25">
      <c r="D40" s="99" t="s">
        <v>137</v>
      </c>
      <c r="E40" s="99"/>
      <c r="F40" s="7">
        <f>I36</f>
        <v>0</v>
      </c>
    </row>
    <row r="41" spans="4:6" ht="11.25">
      <c r="D41" s="99" t="s">
        <v>139</v>
      </c>
      <c r="E41" s="99"/>
      <c r="F41" s="7">
        <f>V36</f>
        <v>0</v>
      </c>
    </row>
    <row r="42" spans="4:6" ht="11.25">
      <c r="D42" s="99" t="s">
        <v>141</v>
      </c>
      <c r="E42" s="99"/>
      <c r="F42" s="7">
        <f>V23</f>
        <v>1</v>
      </c>
    </row>
    <row r="43" spans="4:6" ht="11.25">
      <c r="D43" s="116" t="s">
        <v>33</v>
      </c>
      <c r="E43" s="116"/>
      <c r="F43" s="7">
        <f>SUM(F39:F41)</f>
        <v>12</v>
      </c>
    </row>
  </sheetData>
  <mergeCells count="150">
    <mergeCell ref="D40:E40"/>
    <mergeCell ref="D41:E41"/>
    <mergeCell ref="D42:E42"/>
    <mergeCell ref="D43:E43"/>
    <mergeCell ref="T35:U35"/>
    <mergeCell ref="C36:H36"/>
    <mergeCell ref="L36:U36"/>
    <mergeCell ref="D39:E39"/>
    <mergeCell ref="D35:F35"/>
    <mergeCell ref="G35:H35"/>
    <mergeCell ref="L35:O35"/>
    <mergeCell ref="P35:S35"/>
    <mergeCell ref="T33:U33"/>
    <mergeCell ref="D34:F34"/>
    <mergeCell ref="G34:H34"/>
    <mergeCell ref="L34:O34"/>
    <mergeCell ref="P34:S34"/>
    <mergeCell ref="T34:U34"/>
    <mergeCell ref="D33:F33"/>
    <mergeCell ref="G33:H33"/>
    <mergeCell ref="L33:O33"/>
    <mergeCell ref="P33:S33"/>
    <mergeCell ref="T31:U31"/>
    <mergeCell ref="D32:F32"/>
    <mergeCell ref="G32:H32"/>
    <mergeCell ref="L32:O32"/>
    <mergeCell ref="P32:S32"/>
    <mergeCell ref="T32:U32"/>
    <mergeCell ref="D31:F31"/>
    <mergeCell ref="G31:H31"/>
    <mergeCell ref="L31:O31"/>
    <mergeCell ref="P31:S31"/>
    <mergeCell ref="T29:U29"/>
    <mergeCell ref="D30:F30"/>
    <mergeCell ref="G30:H30"/>
    <mergeCell ref="L30:O30"/>
    <mergeCell ref="P30:S30"/>
    <mergeCell ref="T30:U30"/>
    <mergeCell ref="D29:F29"/>
    <mergeCell ref="G29:H29"/>
    <mergeCell ref="L29:O29"/>
    <mergeCell ref="P29:S29"/>
    <mergeCell ref="T27:U27"/>
    <mergeCell ref="D28:F28"/>
    <mergeCell ref="G28:H28"/>
    <mergeCell ref="L28:O28"/>
    <mergeCell ref="P28:S28"/>
    <mergeCell ref="T28:U28"/>
    <mergeCell ref="D27:F27"/>
    <mergeCell ref="G27:H27"/>
    <mergeCell ref="L27:O27"/>
    <mergeCell ref="P27:S27"/>
    <mergeCell ref="A23:H23"/>
    <mergeCell ref="K23:O23"/>
    <mergeCell ref="Q23:U23"/>
    <mergeCell ref="D26:F26"/>
    <mergeCell ref="G26:H26"/>
    <mergeCell ref="L26:O26"/>
    <mergeCell ref="P26:S26"/>
    <mergeCell ref="T26:U26"/>
    <mergeCell ref="T21:U21"/>
    <mergeCell ref="A22:E22"/>
    <mergeCell ref="F22:H22"/>
    <mergeCell ref="L22:P22"/>
    <mergeCell ref="Q22:S22"/>
    <mergeCell ref="T22:U22"/>
    <mergeCell ref="A21:E21"/>
    <mergeCell ref="F21:H21"/>
    <mergeCell ref="L21:P21"/>
    <mergeCell ref="Q21:S21"/>
    <mergeCell ref="T19:U19"/>
    <mergeCell ref="A20:E20"/>
    <mergeCell ref="F20:H20"/>
    <mergeCell ref="L20:P20"/>
    <mergeCell ref="Q20:S20"/>
    <mergeCell ref="T20:U20"/>
    <mergeCell ref="A19:E19"/>
    <mergeCell ref="F19:H19"/>
    <mergeCell ref="L19:P19"/>
    <mergeCell ref="Q19:S19"/>
    <mergeCell ref="T17:U17"/>
    <mergeCell ref="A18:E18"/>
    <mergeCell ref="F18:H18"/>
    <mergeCell ref="L18:P18"/>
    <mergeCell ref="Q18:S18"/>
    <mergeCell ref="T18:U18"/>
    <mergeCell ref="A17:E17"/>
    <mergeCell ref="F17:H17"/>
    <mergeCell ref="L17:P17"/>
    <mergeCell ref="Q17:S17"/>
    <mergeCell ref="T15:U15"/>
    <mergeCell ref="A16:E16"/>
    <mergeCell ref="F16:H16"/>
    <mergeCell ref="L16:P16"/>
    <mergeCell ref="Q16:S16"/>
    <mergeCell ref="T16:U16"/>
    <mergeCell ref="A15:E15"/>
    <mergeCell ref="F15:H15"/>
    <mergeCell ref="L15:P15"/>
    <mergeCell ref="Q15:S15"/>
    <mergeCell ref="T13:U13"/>
    <mergeCell ref="A14:E14"/>
    <mergeCell ref="F14:H14"/>
    <mergeCell ref="L14:P14"/>
    <mergeCell ref="Q14:S14"/>
    <mergeCell ref="T14:U14"/>
    <mergeCell ref="A13:E13"/>
    <mergeCell ref="F13:H13"/>
    <mergeCell ref="L13:P13"/>
    <mergeCell ref="Q13:S13"/>
    <mergeCell ref="T11:U11"/>
    <mergeCell ref="A12:E12"/>
    <mergeCell ref="F12:H12"/>
    <mergeCell ref="L12:P12"/>
    <mergeCell ref="Q12:S12"/>
    <mergeCell ref="T12:U12"/>
    <mergeCell ref="A11:E11"/>
    <mergeCell ref="F11:H11"/>
    <mergeCell ref="L11:P11"/>
    <mergeCell ref="Q11:S11"/>
    <mergeCell ref="T9:U9"/>
    <mergeCell ref="A10:E10"/>
    <mergeCell ref="F10:H10"/>
    <mergeCell ref="L10:P10"/>
    <mergeCell ref="Q10:S10"/>
    <mergeCell ref="T10:U10"/>
    <mergeCell ref="A9:E9"/>
    <mergeCell ref="F9:H9"/>
    <mergeCell ref="L9:P9"/>
    <mergeCell ref="Q9:S9"/>
    <mergeCell ref="T7:U7"/>
    <mergeCell ref="A8:E8"/>
    <mergeCell ref="F8:H8"/>
    <mergeCell ref="L8:P8"/>
    <mergeCell ref="Q8:S8"/>
    <mergeCell ref="T8:U8"/>
    <mergeCell ref="A7:E7"/>
    <mergeCell ref="F7:H7"/>
    <mergeCell ref="L7:P7"/>
    <mergeCell ref="Q7:S7"/>
    <mergeCell ref="T5:U5"/>
    <mergeCell ref="A6:E6"/>
    <mergeCell ref="F6:H6"/>
    <mergeCell ref="L6:P6"/>
    <mergeCell ref="Q6:S6"/>
    <mergeCell ref="T6:U6"/>
    <mergeCell ref="A5:E5"/>
    <mergeCell ref="F5:H5"/>
    <mergeCell ref="L5:P5"/>
    <mergeCell ref="Q5:S5"/>
  </mergeCells>
  <dataValidations count="4">
    <dataValidation type="list" allowBlank="1" showErrorMessage="1" sqref="D27:F35">
      <formula1>"大気,大地,火,水,獣,人"</formula1>
      <formula2>0</formula2>
    </dataValidation>
    <dataValidation type="list" allowBlank="1" showErrorMessage="1" sqref="L27:N35">
      <formula1>"呪文行使,呪文対抗,呪文維持,召還,放逐,束縛,武器(リーチ0),武器(リーチ1),武器(リーチ2),魔力"</formula1>
      <formula2>0</formula2>
    </dataValidation>
    <dataValidation type="list" allowBlank="1" showErrorMessage="1" sqref="L6:L22">
      <formula1>アデプトパワーリスト</formula1>
      <formula2>0</formula2>
    </dataValidation>
    <dataValidation type="list" allowBlank="1" showErrorMessage="1" sqref="A6:A22">
      <formula1>呪文リスト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M10" sqref="M10:N10"/>
    </sheetView>
  </sheetViews>
  <sheetFormatPr defaultColWidth="9.33203125" defaultRowHeight="11.25"/>
  <cols>
    <col min="1" max="32" width="4.83203125" style="0" customWidth="1"/>
  </cols>
  <sheetData>
    <row r="1" ht="17.25">
      <c r="A1" s="6"/>
    </row>
    <row r="5" spans="1:20" ht="11.25">
      <c r="A5" s="99" t="s">
        <v>142</v>
      </c>
      <c r="B5" s="99"/>
      <c r="C5" s="99"/>
      <c r="D5" s="99"/>
      <c r="E5" s="120" t="s">
        <v>36</v>
      </c>
      <c r="F5" s="120"/>
      <c r="G5" s="14" t="s">
        <v>4</v>
      </c>
      <c r="I5" s="33" t="s">
        <v>136</v>
      </c>
      <c r="J5" s="99" t="s">
        <v>143</v>
      </c>
      <c r="K5" s="99"/>
      <c r="L5" s="99"/>
      <c r="M5" s="99" t="s">
        <v>144</v>
      </c>
      <c r="N5" s="99"/>
      <c r="O5" s="14" t="s">
        <v>4</v>
      </c>
      <c r="R5" s="99" t="s">
        <v>142</v>
      </c>
      <c r="S5" s="99"/>
      <c r="T5" s="7">
        <f>G23</f>
        <v>0</v>
      </c>
    </row>
    <row r="6" spans="1:20" ht="11.25">
      <c r="A6" s="124"/>
      <c r="B6" s="124"/>
      <c r="C6" s="124"/>
      <c r="D6" s="124"/>
      <c r="E6" s="123"/>
      <c r="F6" s="123"/>
      <c r="G6" s="7">
        <f aca="true" t="shared" si="0" ref="G6:G22">IF(A6="",0,E6)</f>
        <v>0</v>
      </c>
      <c r="I6" s="34">
        <f>IF(J6="","",Main!M32)</f>
      </c>
      <c r="J6" s="140"/>
      <c r="K6" s="140"/>
      <c r="L6" s="140"/>
      <c r="M6" s="123"/>
      <c r="N6" s="123"/>
      <c r="O6" s="7">
        <f aca="true" t="shared" si="1" ref="O6:O14">IF(M6="",0,M6)</f>
        <v>0</v>
      </c>
      <c r="R6" s="99" t="s">
        <v>143</v>
      </c>
      <c r="S6" s="99"/>
      <c r="T6" s="7">
        <f>O15</f>
        <v>0</v>
      </c>
    </row>
    <row r="7" spans="1:20" ht="11.25">
      <c r="A7" s="124"/>
      <c r="B7" s="124"/>
      <c r="C7" s="124"/>
      <c r="D7" s="124"/>
      <c r="E7" s="123"/>
      <c r="F7" s="123"/>
      <c r="G7" s="7">
        <f t="shared" si="0"/>
        <v>0</v>
      </c>
      <c r="I7" s="34">
        <f>IF(J7="","",Main!M33)</f>
      </c>
      <c r="J7" s="140"/>
      <c r="K7" s="140"/>
      <c r="L7" s="140"/>
      <c r="M7" s="123"/>
      <c r="N7" s="123"/>
      <c r="O7" s="7">
        <f t="shared" si="1"/>
        <v>0</v>
      </c>
      <c r="R7" s="116" t="s">
        <v>33</v>
      </c>
      <c r="S7" s="116"/>
      <c r="T7" s="7">
        <f>SUM(T5:T6)</f>
        <v>0</v>
      </c>
    </row>
    <row r="8" spans="1:15" ht="11.25">
      <c r="A8" s="124"/>
      <c r="B8" s="124"/>
      <c r="C8" s="124"/>
      <c r="D8" s="124"/>
      <c r="E8" s="123"/>
      <c r="F8" s="123"/>
      <c r="G8" s="7">
        <f t="shared" si="0"/>
        <v>0</v>
      </c>
      <c r="I8" s="34">
        <f>IF(J8="","",Main!M34)</f>
      </c>
      <c r="J8" s="140"/>
      <c r="K8" s="140"/>
      <c r="L8" s="140"/>
      <c r="M8" s="123"/>
      <c r="N8" s="123"/>
      <c r="O8" s="7">
        <f t="shared" si="1"/>
        <v>0</v>
      </c>
    </row>
    <row r="9" spans="1:15" ht="11.25">
      <c r="A9" s="124"/>
      <c r="B9" s="124"/>
      <c r="C9" s="124"/>
      <c r="D9" s="124"/>
      <c r="E9" s="123"/>
      <c r="F9" s="123"/>
      <c r="G9" s="7">
        <f t="shared" si="0"/>
        <v>0</v>
      </c>
      <c r="I9" s="34">
        <f>IF(J9="","",Main!M35)</f>
      </c>
      <c r="J9" s="140"/>
      <c r="K9" s="140"/>
      <c r="L9" s="140"/>
      <c r="M9" s="123"/>
      <c r="N9" s="123"/>
      <c r="O9" s="7">
        <f t="shared" si="1"/>
        <v>0</v>
      </c>
    </row>
    <row r="10" spans="1:15" ht="11.25">
      <c r="A10" s="124"/>
      <c r="B10" s="124"/>
      <c r="C10" s="124"/>
      <c r="D10" s="124"/>
      <c r="E10" s="123"/>
      <c r="F10" s="123"/>
      <c r="G10" s="7">
        <f t="shared" si="0"/>
        <v>0</v>
      </c>
      <c r="I10" s="34">
        <f>IF(J10="","",Main!M36)</f>
      </c>
      <c r="J10" s="140"/>
      <c r="K10" s="140"/>
      <c r="L10" s="140"/>
      <c r="M10" s="123"/>
      <c r="N10" s="123"/>
      <c r="O10" s="7">
        <f t="shared" si="1"/>
        <v>0</v>
      </c>
    </row>
    <row r="11" spans="1:15" ht="11.25">
      <c r="A11" s="124"/>
      <c r="B11" s="124"/>
      <c r="C11" s="124"/>
      <c r="D11" s="124"/>
      <c r="E11" s="123"/>
      <c r="F11" s="123"/>
      <c r="G11" s="7">
        <f t="shared" si="0"/>
        <v>0</v>
      </c>
      <c r="I11" s="34">
        <f>IF(J11="","",Main!M37)</f>
      </c>
      <c r="J11" s="140"/>
      <c r="K11" s="140"/>
      <c r="L11" s="140"/>
      <c r="M11" s="123"/>
      <c r="N11" s="123"/>
      <c r="O11" s="7">
        <f t="shared" si="1"/>
        <v>0</v>
      </c>
    </row>
    <row r="12" spans="1:15" ht="11.25">
      <c r="A12" s="124"/>
      <c r="B12" s="124"/>
      <c r="C12" s="124"/>
      <c r="D12" s="124"/>
      <c r="E12" s="123"/>
      <c r="F12" s="123"/>
      <c r="G12" s="7">
        <f t="shared" si="0"/>
        <v>0</v>
      </c>
      <c r="I12" s="34">
        <f>IF(J12="","",Main!M38)</f>
      </c>
      <c r="J12" s="140"/>
      <c r="K12" s="140"/>
      <c r="L12" s="140"/>
      <c r="M12" s="123"/>
      <c r="N12" s="123"/>
      <c r="O12" s="7">
        <f t="shared" si="1"/>
        <v>0</v>
      </c>
    </row>
    <row r="13" spans="1:15" ht="11.25">
      <c r="A13" s="124"/>
      <c r="B13" s="124"/>
      <c r="C13" s="124"/>
      <c r="D13" s="124"/>
      <c r="E13" s="123"/>
      <c r="F13" s="123"/>
      <c r="G13" s="7">
        <f t="shared" si="0"/>
        <v>0</v>
      </c>
      <c r="I13" s="34">
        <f>IF(J13="","",Main!M39)</f>
      </c>
      <c r="J13" s="140"/>
      <c r="K13" s="140"/>
      <c r="L13" s="140"/>
      <c r="M13" s="123"/>
      <c r="N13" s="123"/>
      <c r="O13" s="7">
        <f t="shared" si="1"/>
        <v>0</v>
      </c>
    </row>
    <row r="14" spans="1:15" ht="11.25">
      <c r="A14" s="124"/>
      <c r="B14" s="124"/>
      <c r="C14" s="124"/>
      <c r="D14" s="124"/>
      <c r="E14" s="123"/>
      <c r="F14" s="123"/>
      <c r="G14" s="7">
        <f t="shared" si="0"/>
        <v>0</v>
      </c>
      <c r="I14" s="34">
        <f>IF(J14="","",Main!M40)</f>
      </c>
      <c r="J14" s="140"/>
      <c r="K14" s="140"/>
      <c r="L14" s="140"/>
      <c r="M14" s="123"/>
      <c r="N14" s="123"/>
      <c r="O14" s="7">
        <f t="shared" si="1"/>
        <v>0</v>
      </c>
    </row>
    <row r="15" spans="1:15" ht="11.25">
      <c r="A15" s="124"/>
      <c r="B15" s="124"/>
      <c r="C15" s="124"/>
      <c r="D15" s="124"/>
      <c r="E15" s="123"/>
      <c r="F15" s="123"/>
      <c r="G15" s="7">
        <f t="shared" si="0"/>
        <v>0</v>
      </c>
      <c r="I15" s="116" t="s">
        <v>33</v>
      </c>
      <c r="J15" s="116"/>
      <c r="K15" s="116"/>
      <c r="L15" s="116"/>
      <c r="M15" s="116"/>
      <c r="N15" s="116"/>
      <c r="O15" s="7">
        <f>SUM(O6:O14)</f>
        <v>0</v>
      </c>
    </row>
    <row r="16" spans="1:7" ht="11.25">
      <c r="A16" s="124"/>
      <c r="B16" s="124"/>
      <c r="C16" s="124"/>
      <c r="D16" s="124"/>
      <c r="E16" s="123"/>
      <c r="F16" s="123"/>
      <c r="G16" s="7">
        <f t="shared" si="0"/>
        <v>0</v>
      </c>
    </row>
    <row r="17" spans="1:7" ht="11.25">
      <c r="A17" s="124"/>
      <c r="B17" s="124"/>
      <c r="C17" s="124"/>
      <c r="D17" s="124"/>
      <c r="E17" s="123"/>
      <c r="F17" s="123"/>
      <c r="G17" s="7">
        <f t="shared" si="0"/>
        <v>0</v>
      </c>
    </row>
    <row r="18" spans="1:7" ht="11.25">
      <c r="A18" s="124"/>
      <c r="B18" s="124"/>
      <c r="C18" s="124"/>
      <c r="D18" s="124"/>
      <c r="E18" s="123"/>
      <c r="F18" s="123"/>
      <c r="G18" s="7">
        <f t="shared" si="0"/>
        <v>0</v>
      </c>
    </row>
    <row r="19" spans="1:7" ht="11.25">
      <c r="A19" s="124"/>
      <c r="B19" s="124"/>
      <c r="C19" s="124"/>
      <c r="D19" s="124"/>
      <c r="E19" s="123"/>
      <c r="F19" s="123"/>
      <c r="G19" s="7">
        <f t="shared" si="0"/>
        <v>0</v>
      </c>
    </row>
    <row r="20" spans="1:7" ht="11.25">
      <c r="A20" s="124"/>
      <c r="B20" s="124"/>
      <c r="C20" s="124"/>
      <c r="D20" s="124"/>
      <c r="E20" s="123"/>
      <c r="F20" s="123"/>
      <c r="G20" s="7">
        <f t="shared" si="0"/>
        <v>0</v>
      </c>
    </row>
    <row r="21" spans="1:7" ht="11.25">
      <c r="A21" s="124"/>
      <c r="B21" s="124"/>
      <c r="C21" s="124"/>
      <c r="D21" s="124"/>
      <c r="E21" s="123"/>
      <c r="F21" s="123"/>
      <c r="G21" s="7">
        <f t="shared" si="0"/>
        <v>0</v>
      </c>
    </row>
    <row r="22" spans="1:7" ht="11.25">
      <c r="A22" s="124"/>
      <c r="B22" s="124"/>
      <c r="C22" s="124"/>
      <c r="D22" s="124"/>
      <c r="E22" s="123"/>
      <c r="F22" s="123"/>
      <c r="G22" s="7">
        <f t="shared" si="0"/>
        <v>0</v>
      </c>
    </row>
    <row r="23" spans="1:7" ht="11.25">
      <c r="A23" s="127" t="s">
        <v>33</v>
      </c>
      <c r="B23" s="127"/>
      <c r="C23" s="127"/>
      <c r="D23" s="127"/>
      <c r="E23" s="127"/>
      <c r="F23" s="127"/>
      <c r="G23" s="7">
        <f>SUM(G6:G22)</f>
        <v>0</v>
      </c>
    </row>
  </sheetData>
  <mergeCells count="61">
    <mergeCell ref="A23:F23"/>
    <mergeCell ref="A21:D21"/>
    <mergeCell ref="E21:F21"/>
    <mergeCell ref="A22:D22"/>
    <mergeCell ref="E22:F22"/>
    <mergeCell ref="A19:D19"/>
    <mergeCell ref="E19:F19"/>
    <mergeCell ref="A20:D20"/>
    <mergeCell ref="E20:F20"/>
    <mergeCell ref="A17:D17"/>
    <mergeCell ref="E17:F17"/>
    <mergeCell ref="A18:D18"/>
    <mergeCell ref="E18:F18"/>
    <mergeCell ref="A15:D15"/>
    <mergeCell ref="E15:F15"/>
    <mergeCell ref="I15:N15"/>
    <mergeCell ref="A16:D16"/>
    <mergeCell ref="E16:F16"/>
    <mergeCell ref="A14:D14"/>
    <mergeCell ref="E14:F14"/>
    <mergeCell ref="J14:L14"/>
    <mergeCell ref="M14:N14"/>
    <mergeCell ref="A13:D13"/>
    <mergeCell ref="E13:F13"/>
    <mergeCell ref="J13:L13"/>
    <mergeCell ref="M13:N13"/>
    <mergeCell ref="A12:D12"/>
    <mergeCell ref="E12:F12"/>
    <mergeCell ref="J12:L12"/>
    <mergeCell ref="M12:N12"/>
    <mergeCell ref="A11:D11"/>
    <mergeCell ref="E11:F11"/>
    <mergeCell ref="J11:L11"/>
    <mergeCell ref="M11:N11"/>
    <mergeCell ref="A10:D10"/>
    <mergeCell ref="E10:F10"/>
    <mergeCell ref="J10:L10"/>
    <mergeCell ref="M10:N10"/>
    <mergeCell ref="A9:D9"/>
    <mergeCell ref="E9:F9"/>
    <mergeCell ref="J9:L9"/>
    <mergeCell ref="M9:N9"/>
    <mergeCell ref="R7:S7"/>
    <mergeCell ref="A8:D8"/>
    <mergeCell ref="E8:F8"/>
    <mergeCell ref="J8:L8"/>
    <mergeCell ref="M8:N8"/>
    <mergeCell ref="A7:D7"/>
    <mergeCell ref="E7:F7"/>
    <mergeCell ref="J7:L7"/>
    <mergeCell ref="M7:N7"/>
    <mergeCell ref="R5:S5"/>
    <mergeCell ref="A6:D6"/>
    <mergeCell ref="E6:F6"/>
    <mergeCell ref="J6:L6"/>
    <mergeCell ref="M6:N6"/>
    <mergeCell ref="R6:S6"/>
    <mergeCell ref="A5:D5"/>
    <mergeCell ref="E5:F5"/>
    <mergeCell ref="J5:L5"/>
    <mergeCell ref="M5:N5"/>
  </mergeCells>
  <dataValidations count="1">
    <dataValidation type="list" allowBlank="1" showErrorMessage="1" sqref="A6:D22">
      <formula1>複合体リスト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1">
      <selection activeCell="AF28" sqref="AF28"/>
    </sheetView>
  </sheetViews>
  <sheetFormatPr defaultColWidth="9.33203125" defaultRowHeight="11.25"/>
  <cols>
    <col min="1" max="20" width="4.83203125" style="35" customWidth="1"/>
    <col min="21" max="26" width="0" style="35" hidden="1" customWidth="1"/>
    <col min="27" max="16384" width="4.83203125" style="35" customWidth="1"/>
  </cols>
  <sheetData>
    <row r="1" ht="17.25">
      <c r="A1" s="36" t="s">
        <v>145</v>
      </c>
    </row>
    <row r="2" ht="11.25" customHeight="1">
      <c r="A2" s="36"/>
    </row>
    <row r="3" spans="1:30" ht="11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1" s="40" customFormat="1" ht="11.25" customHeight="1">
      <c r="A4" s="141"/>
      <c r="B4" s="141"/>
      <c r="C4" s="141"/>
      <c r="D4" s="141"/>
      <c r="E4" s="141"/>
      <c r="F4" s="141"/>
      <c r="G4" s="141"/>
      <c r="H4" s="142" t="s">
        <v>146</v>
      </c>
      <c r="I4" s="142"/>
      <c r="J4" s="143">
        <f>IF(L57&gt;N57,L57+N57/2,L57/2+N57)</f>
        <v>0.9</v>
      </c>
      <c r="K4" s="143"/>
      <c r="L4" s="144"/>
      <c r="M4" s="144"/>
      <c r="N4" s="144"/>
      <c r="O4" s="144"/>
      <c r="P4" s="149"/>
      <c r="Q4" s="148" t="s">
        <v>43</v>
      </c>
      <c r="R4" s="148" t="s">
        <v>45</v>
      </c>
      <c r="S4" s="148" t="s">
        <v>47</v>
      </c>
      <c r="T4" s="148" t="s">
        <v>49</v>
      </c>
      <c r="U4" s="148" t="s">
        <v>51</v>
      </c>
      <c r="V4" s="148" t="s">
        <v>52</v>
      </c>
      <c r="W4" s="148" t="s">
        <v>53</v>
      </c>
      <c r="X4" s="148" t="s">
        <v>54</v>
      </c>
      <c r="Y4" s="148" t="s">
        <v>56</v>
      </c>
      <c r="Z4" s="148" t="s">
        <v>147</v>
      </c>
      <c r="AA4" s="148" t="s">
        <v>128</v>
      </c>
      <c r="AB4" s="148" t="s">
        <v>129</v>
      </c>
      <c r="AC4" s="153" t="s">
        <v>148</v>
      </c>
      <c r="AD4" s="153"/>
      <c r="AE4" s="39"/>
    </row>
    <row r="5" spans="1:31" ht="11.25" customHeight="1">
      <c r="A5" s="141"/>
      <c r="B5" s="141"/>
      <c r="C5" s="141"/>
      <c r="D5" s="141"/>
      <c r="E5" s="141"/>
      <c r="F5" s="141"/>
      <c r="G5" s="141"/>
      <c r="H5" s="142"/>
      <c r="I5" s="142"/>
      <c r="J5" s="143"/>
      <c r="K5" s="143"/>
      <c r="L5" s="144"/>
      <c r="M5" s="144"/>
      <c r="N5" s="144"/>
      <c r="O5" s="144"/>
      <c r="P5" s="149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53"/>
      <c r="AD5" s="153"/>
      <c r="AE5" s="41"/>
    </row>
    <row r="6" spans="1:31" ht="11.25">
      <c r="A6" s="141"/>
      <c r="B6" s="141"/>
      <c r="C6" s="141"/>
      <c r="D6" s="141"/>
      <c r="E6" s="141"/>
      <c r="F6" s="141"/>
      <c r="G6" s="141"/>
      <c r="H6" s="150"/>
      <c r="I6" s="150"/>
      <c r="J6" s="150"/>
      <c r="K6" s="150"/>
      <c r="L6" s="151" t="s">
        <v>145</v>
      </c>
      <c r="M6" s="151"/>
      <c r="N6" s="151" t="s">
        <v>149</v>
      </c>
      <c r="O6" s="151"/>
      <c r="P6" s="149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54" t="s">
        <v>150</v>
      </c>
      <c r="AD6" s="155" t="s">
        <v>151</v>
      </c>
      <c r="AE6" s="41"/>
    </row>
    <row r="7" spans="1:31" ht="11.25">
      <c r="A7" s="141"/>
      <c r="B7" s="141"/>
      <c r="C7" s="141"/>
      <c r="D7" s="141"/>
      <c r="E7" s="141"/>
      <c r="F7" s="141"/>
      <c r="G7" s="141"/>
      <c r="H7" s="147" t="s">
        <v>36</v>
      </c>
      <c r="I7" s="147"/>
      <c r="J7" s="145" t="s">
        <v>152</v>
      </c>
      <c r="K7" s="145"/>
      <c r="L7" s="146" t="s">
        <v>153</v>
      </c>
      <c r="M7" s="146"/>
      <c r="N7" s="146" t="s">
        <v>153</v>
      </c>
      <c r="O7" s="146"/>
      <c r="P7" s="42" t="s">
        <v>154</v>
      </c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54"/>
      <c r="AD7" s="155"/>
      <c r="AE7" s="41"/>
    </row>
    <row r="8" spans="1:31" ht="11.25">
      <c r="A8" s="156" t="s">
        <v>155</v>
      </c>
      <c r="B8" s="156"/>
      <c r="C8" s="157" t="s">
        <v>156</v>
      </c>
      <c r="D8" s="157"/>
      <c r="E8" s="157"/>
      <c r="F8" s="157"/>
      <c r="G8" s="157"/>
      <c r="H8" s="152">
        <v>2</v>
      </c>
      <c r="I8" s="152"/>
      <c r="J8" s="152">
        <v>4500</v>
      </c>
      <c r="K8" s="152"/>
      <c r="L8" s="152">
        <v>0.3</v>
      </c>
      <c r="M8" s="152"/>
      <c r="N8" s="152"/>
      <c r="O8" s="152"/>
      <c r="P8" s="43">
        <v>8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AE8" s="41"/>
    </row>
    <row r="9" spans="1:31" ht="11.25">
      <c r="A9" s="159"/>
      <c r="B9" s="160"/>
      <c r="C9" s="139" t="s">
        <v>157</v>
      </c>
      <c r="D9" s="139"/>
      <c r="E9" s="139"/>
      <c r="F9" s="139"/>
      <c r="G9" s="139"/>
      <c r="H9" s="158"/>
      <c r="I9" s="158"/>
      <c r="J9" s="158"/>
      <c r="K9" s="158"/>
      <c r="L9" s="158"/>
      <c r="M9" s="158"/>
      <c r="N9" s="158"/>
      <c r="O9" s="158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1"/>
    </row>
    <row r="10" spans="1:31" ht="11.25">
      <c r="A10" s="159"/>
      <c r="B10" s="160"/>
      <c r="C10" s="139" t="s">
        <v>158</v>
      </c>
      <c r="D10" s="139"/>
      <c r="E10" s="139"/>
      <c r="F10" s="139"/>
      <c r="G10" s="139"/>
      <c r="H10" s="158"/>
      <c r="I10" s="158"/>
      <c r="J10" s="158"/>
      <c r="K10" s="158"/>
      <c r="L10" s="158"/>
      <c r="M10" s="158"/>
      <c r="N10" s="158"/>
      <c r="O10" s="158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1"/>
    </row>
    <row r="11" spans="1:31" ht="11.25">
      <c r="A11" s="159"/>
      <c r="B11" s="160"/>
      <c r="C11" s="139" t="s">
        <v>159</v>
      </c>
      <c r="D11" s="139"/>
      <c r="E11" s="139"/>
      <c r="F11" s="139"/>
      <c r="G11" s="139"/>
      <c r="H11" s="158"/>
      <c r="I11" s="158"/>
      <c r="J11" s="158"/>
      <c r="K11" s="158"/>
      <c r="L11" s="158"/>
      <c r="M11" s="158"/>
      <c r="N11" s="158"/>
      <c r="O11" s="158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41"/>
    </row>
    <row r="12" spans="1:31" ht="11.25">
      <c r="A12" s="159"/>
      <c r="B12" s="160"/>
      <c r="C12" s="139" t="s">
        <v>160</v>
      </c>
      <c r="D12" s="139"/>
      <c r="E12" s="139"/>
      <c r="F12" s="139"/>
      <c r="G12" s="139"/>
      <c r="H12" s="158"/>
      <c r="I12" s="158"/>
      <c r="J12" s="158"/>
      <c r="K12" s="158"/>
      <c r="L12" s="158"/>
      <c r="M12" s="158"/>
      <c r="N12" s="158"/>
      <c r="O12" s="158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6"/>
      <c r="AE12" s="41"/>
    </row>
    <row r="13" spans="1:31" ht="11.25">
      <c r="A13" s="159"/>
      <c r="B13" s="160"/>
      <c r="C13" s="163"/>
      <c r="D13" s="163"/>
      <c r="E13" s="163"/>
      <c r="F13" s="163"/>
      <c r="G13" s="163"/>
      <c r="H13" s="161"/>
      <c r="I13" s="161"/>
      <c r="J13" s="161"/>
      <c r="K13" s="161"/>
      <c r="L13" s="161"/>
      <c r="M13" s="161"/>
      <c r="N13" s="161"/>
      <c r="O13" s="161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1"/>
    </row>
    <row r="14" spans="1:31" ht="11.25">
      <c r="A14" s="162" t="s">
        <v>161</v>
      </c>
      <c r="B14" s="162"/>
      <c r="C14" s="157"/>
      <c r="D14" s="157"/>
      <c r="E14" s="157"/>
      <c r="F14" s="157"/>
      <c r="G14" s="157"/>
      <c r="H14" s="152"/>
      <c r="I14" s="152"/>
      <c r="J14" s="152"/>
      <c r="K14" s="152"/>
      <c r="L14" s="152"/>
      <c r="M14" s="152"/>
      <c r="N14" s="152"/>
      <c r="O14" s="15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41"/>
    </row>
    <row r="15" spans="1:31" ht="11.25">
      <c r="A15" s="159"/>
      <c r="B15" s="160"/>
      <c r="C15" s="139"/>
      <c r="D15" s="139"/>
      <c r="E15" s="139"/>
      <c r="F15" s="139"/>
      <c r="G15" s="139"/>
      <c r="H15" s="158"/>
      <c r="I15" s="158"/>
      <c r="J15" s="158"/>
      <c r="K15" s="158"/>
      <c r="L15" s="158"/>
      <c r="M15" s="158"/>
      <c r="N15" s="158"/>
      <c r="O15" s="158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6"/>
      <c r="AE15" s="41"/>
    </row>
    <row r="16" spans="1:31" ht="11.25">
      <c r="A16" s="159"/>
      <c r="B16" s="160"/>
      <c r="C16" s="139"/>
      <c r="D16" s="139"/>
      <c r="E16" s="139"/>
      <c r="F16" s="139"/>
      <c r="G16" s="139"/>
      <c r="H16" s="158"/>
      <c r="I16" s="158"/>
      <c r="J16" s="158"/>
      <c r="K16" s="158"/>
      <c r="L16" s="158"/>
      <c r="M16" s="158"/>
      <c r="N16" s="158"/>
      <c r="O16" s="158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1"/>
    </row>
    <row r="17" spans="1:31" ht="11.25">
      <c r="A17" s="159"/>
      <c r="B17" s="160"/>
      <c r="C17" s="139"/>
      <c r="D17" s="139"/>
      <c r="E17" s="139"/>
      <c r="F17" s="139"/>
      <c r="G17" s="139"/>
      <c r="H17" s="158"/>
      <c r="I17" s="158"/>
      <c r="J17" s="158"/>
      <c r="K17" s="158"/>
      <c r="L17" s="158"/>
      <c r="M17" s="158"/>
      <c r="N17" s="158"/>
      <c r="O17" s="15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41"/>
    </row>
    <row r="18" spans="1:31" ht="11.25">
      <c r="A18" s="159"/>
      <c r="B18" s="160"/>
      <c r="C18" s="139"/>
      <c r="D18" s="139"/>
      <c r="E18" s="139"/>
      <c r="F18" s="139"/>
      <c r="G18" s="139"/>
      <c r="H18" s="158"/>
      <c r="I18" s="158"/>
      <c r="J18" s="158"/>
      <c r="K18" s="158"/>
      <c r="L18" s="158"/>
      <c r="M18" s="158"/>
      <c r="N18" s="158"/>
      <c r="O18" s="158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6"/>
      <c r="AE18" s="41"/>
    </row>
    <row r="19" spans="1:31" ht="11.25">
      <c r="A19" s="159"/>
      <c r="B19" s="160"/>
      <c r="C19" s="163"/>
      <c r="D19" s="163"/>
      <c r="E19" s="163"/>
      <c r="F19" s="163"/>
      <c r="G19" s="163"/>
      <c r="H19" s="161"/>
      <c r="I19" s="161"/>
      <c r="J19" s="161"/>
      <c r="K19" s="161"/>
      <c r="L19" s="161"/>
      <c r="M19" s="161"/>
      <c r="N19" s="161"/>
      <c r="O19" s="161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8"/>
      <c r="AE19" s="41"/>
    </row>
    <row r="20" spans="1:31" ht="11.25">
      <c r="A20" s="162" t="s">
        <v>162</v>
      </c>
      <c r="B20" s="162"/>
      <c r="C20" s="157" t="s">
        <v>163</v>
      </c>
      <c r="D20" s="157"/>
      <c r="E20" s="157"/>
      <c r="F20" s="157"/>
      <c r="G20" s="157"/>
      <c r="H20" s="152"/>
      <c r="I20" s="152"/>
      <c r="J20" s="152">
        <v>10000</v>
      </c>
      <c r="K20" s="152"/>
      <c r="L20" s="152">
        <v>0.5</v>
      </c>
      <c r="M20" s="152"/>
      <c r="N20" s="152"/>
      <c r="O20" s="15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1"/>
    </row>
    <row r="21" spans="1:31" ht="11.25">
      <c r="A21" s="159"/>
      <c r="B21" s="160"/>
      <c r="C21" s="139"/>
      <c r="D21" s="139"/>
      <c r="E21" s="139"/>
      <c r="F21" s="139"/>
      <c r="G21" s="139"/>
      <c r="H21" s="158"/>
      <c r="I21" s="158"/>
      <c r="J21" s="158"/>
      <c r="K21" s="158"/>
      <c r="L21" s="158"/>
      <c r="M21" s="158"/>
      <c r="N21" s="158"/>
      <c r="O21" s="158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41"/>
    </row>
    <row r="22" spans="1:31" ht="11.25">
      <c r="A22" s="159"/>
      <c r="B22" s="160"/>
      <c r="C22" s="139"/>
      <c r="D22" s="139"/>
      <c r="E22" s="139"/>
      <c r="F22" s="139"/>
      <c r="G22" s="139"/>
      <c r="H22" s="158"/>
      <c r="I22" s="158"/>
      <c r="J22" s="158"/>
      <c r="K22" s="158"/>
      <c r="L22" s="158"/>
      <c r="M22" s="158"/>
      <c r="N22" s="158"/>
      <c r="O22" s="158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  <c r="AE22" s="41"/>
    </row>
    <row r="23" spans="1:31" ht="11.25">
      <c r="A23" s="159"/>
      <c r="B23" s="160"/>
      <c r="C23" s="139"/>
      <c r="D23" s="139"/>
      <c r="E23" s="139"/>
      <c r="F23" s="139"/>
      <c r="G23" s="139"/>
      <c r="H23" s="158"/>
      <c r="I23" s="158"/>
      <c r="J23" s="158"/>
      <c r="K23" s="158"/>
      <c r="L23" s="158"/>
      <c r="M23" s="158"/>
      <c r="N23" s="158"/>
      <c r="O23" s="158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6"/>
      <c r="AE23" s="41"/>
    </row>
    <row r="24" spans="1:31" ht="11.25">
      <c r="A24" s="159"/>
      <c r="B24" s="160"/>
      <c r="C24" s="139"/>
      <c r="D24" s="139"/>
      <c r="E24" s="139"/>
      <c r="F24" s="139"/>
      <c r="G24" s="139"/>
      <c r="H24" s="158"/>
      <c r="I24" s="158"/>
      <c r="J24" s="158"/>
      <c r="K24" s="158"/>
      <c r="L24" s="158"/>
      <c r="M24" s="158"/>
      <c r="N24" s="158"/>
      <c r="O24" s="158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41"/>
    </row>
    <row r="25" spans="1:31" ht="11.25">
      <c r="A25" s="159"/>
      <c r="B25" s="160"/>
      <c r="C25" s="163"/>
      <c r="D25" s="163"/>
      <c r="E25" s="163"/>
      <c r="F25" s="163"/>
      <c r="G25" s="163"/>
      <c r="H25" s="161"/>
      <c r="I25" s="161"/>
      <c r="J25" s="161"/>
      <c r="K25" s="161"/>
      <c r="L25" s="161"/>
      <c r="M25" s="161"/>
      <c r="N25" s="161"/>
      <c r="O25" s="161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41"/>
    </row>
    <row r="26" spans="1:31" ht="11.25">
      <c r="A26" s="162" t="s">
        <v>164</v>
      </c>
      <c r="B26" s="162"/>
      <c r="C26" s="157" t="s">
        <v>165</v>
      </c>
      <c r="D26" s="157"/>
      <c r="E26" s="157"/>
      <c r="F26" s="157"/>
      <c r="G26" s="157"/>
      <c r="H26" s="152"/>
      <c r="I26" s="152"/>
      <c r="J26" s="152">
        <v>25000</v>
      </c>
      <c r="K26" s="152"/>
      <c r="L26" s="152"/>
      <c r="M26" s="152"/>
      <c r="N26" s="152">
        <v>0.2</v>
      </c>
      <c r="O26" s="15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1"/>
    </row>
    <row r="27" spans="1:31" ht="11.25">
      <c r="A27" s="159"/>
      <c r="B27" s="160"/>
      <c r="C27" s="139"/>
      <c r="D27" s="139"/>
      <c r="E27" s="139"/>
      <c r="F27" s="139"/>
      <c r="G27" s="139"/>
      <c r="H27" s="158"/>
      <c r="I27" s="158"/>
      <c r="J27" s="158"/>
      <c r="K27" s="158"/>
      <c r="L27" s="158"/>
      <c r="M27" s="158"/>
      <c r="N27" s="158"/>
      <c r="O27" s="158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41"/>
    </row>
    <row r="28" spans="1:31" ht="11.25">
      <c r="A28" s="159"/>
      <c r="B28" s="160"/>
      <c r="C28" s="139"/>
      <c r="D28" s="139"/>
      <c r="E28" s="139"/>
      <c r="F28" s="139"/>
      <c r="G28" s="139"/>
      <c r="H28" s="158"/>
      <c r="I28" s="158"/>
      <c r="J28" s="158"/>
      <c r="K28" s="158"/>
      <c r="L28" s="158"/>
      <c r="M28" s="158"/>
      <c r="N28" s="158"/>
      <c r="O28" s="158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  <c r="AE28" s="41"/>
    </row>
    <row r="29" spans="1:31" ht="11.25">
      <c r="A29" s="159"/>
      <c r="B29" s="160"/>
      <c r="C29" s="139"/>
      <c r="D29" s="139"/>
      <c r="E29" s="139"/>
      <c r="F29" s="139"/>
      <c r="G29" s="139"/>
      <c r="H29" s="158"/>
      <c r="I29" s="158"/>
      <c r="J29" s="158"/>
      <c r="K29" s="158"/>
      <c r="L29" s="158"/>
      <c r="M29" s="158"/>
      <c r="N29" s="158"/>
      <c r="O29" s="158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41"/>
    </row>
    <row r="30" spans="1:31" ht="11.25">
      <c r="A30" s="159"/>
      <c r="B30" s="160"/>
      <c r="C30" s="139"/>
      <c r="D30" s="139"/>
      <c r="E30" s="139"/>
      <c r="F30" s="139"/>
      <c r="G30" s="139"/>
      <c r="H30" s="158"/>
      <c r="I30" s="158"/>
      <c r="J30" s="158"/>
      <c r="K30" s="158"/>
      <c r="L30" s="158"/>
      <c r="M30" s="158"/>
      <c r="N30" s="158"/>
      <c r="O30" s="158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  <c r="AE30" s="41"/>
    </row>
    <row r="31" spans="1:31" ht="11.25">
      <c r="A31" s="159"/>
      <c r="B31" s="160"/>
      <c r="C31" s="163"/>
      <c r="D31" s="163"/>
      <c r="E31" s="163"/>
      <c r="F31" s="163"/>
      <c r="G31" s="163"/>
      <c r="H31" s="161"/>
      <c r="I31" s="161"/>
      <c r="J31" s="161"/>
      <c r="K31" s="161"/>
      <c r="L31" s="161"/>
      <c r="M31" s="161"/>
      <c r="N31" s="161"/>
      <c r="O31" s="161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8"/>
      <c r="AE31" s="41"/>
    </row>
    <row r="32" spans="1:31" ht="11.25">
      <c r="A32" s="162" t="s">
        <v>166</v>
      </c>
      <c r="B32" s="162"/>
      <c r="C32" s="157"/>
      <c r="D32" s="157"/>
      <c r="E32" s="157"/>
      <c r="F32" s="157"/>
      <c r="G32" s="157"/>
      <c r="H32" s="152"/>
      <c r="I32" s="152"/>
      <c r="J32" s="152"/>
      <c r="K32" s="152"/>
      <c r="L32" s="152"/>
      <c r="M32" s="152"/>
      <c r="N32" s="152"/>
      <c r="O32" s="15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4"/>
      <c r="AE32" s="41"/>
    </row>
    <row r="33" spans="1:31" ht="11.25">
      <c r="A33" s="159"/>
      <c r="B33" s="160"/>
      <c r="C33" s="139"/>
      <c r="D33" s="139"/>
      <c r="E33" s="139"/>
      <c r="F33" s="139"/>
      <c r="G33" s="139"/>
      <c r="H33" s="158"/>
      <c r="I33" s="158"/>
      <c r="J33" s="158"/>
      <c r="K33" s="158"/>
      <c r="L33" s="158"/>
      <c r="M33" s="158"/>
      <c r="N33" s="158"/>
      <c r="O33" s="158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6"/>
      <c r="AE33" s="41"/>
    </row>
    <row r="34" spans="1:31" ht="11.25">
      <c r="A34" s="159"/>
      <c r="B34" s="160"/>
      <c r="C34" s="139"/>
      <c r="D34" s="139"/>
      <c r="E34" s="139"/>
      <c r="F34" s="139"/>
      <c r="G34" s="139"/>
      <c r="H34" s="158"/>
      <c r="I34" s="158"/>
      <c r="J34" s="158"/>
      <c r="K34" s="158"/>
      <c r="L34" s="158"/>
      <c r="M34" s="158"/>
      <c r="N34" s="158"/>
      <c r="O34" s="158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6"/>
      <c r="AE34" s="41"/>
    </row>
    <row r="35" spans="1:31" ht="11.25">
      <c r="A35" s="159"/>
      <c r="B35" s="160"/>
      <c r="C35" s="139"/>
      <c r="D35" s="139"/>
      <c r="E35" s="139"/>
      <c r="F35" s="139"/>
      <c r="G35" s="139"/>
      <c r="H35" s="158"/>
      <c r="I35" s="158"/>
      <c r="J35" s="158"/>
      <c r="K35" s="158"/>
      <c r="L35" s="158"/>
      <c r="M35" s="158"/>
      <c r="N35" s="158"/>
      <c r="O35" s="158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6"/>
      <c r="AE35" s="41"/>
    </row>
    <row r="36" spans="1:31" ht="11.25">
      <c r="A36" s="159"/>
      <c r="B36" s="160"/>
      <c r="C36" s="139"/>
      <c r="D36" s="139"/>
      <c r="E36" s="139"/>
      <c r="F36" s="139"/>
      <c r="G36" s="139"/>
      <c r="H36" s="158"/>
      <c r="I36" s="158"/>
      <c r="J36" s="158"/>
      <c r="K36" s="158"/>
      <c r="L36" s="158"/>
      <c r="M36" s="158"/>
      <c r="N36" s="158"/>
      <c r="O36" s="158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6"/>
      <c r="AE36" s="41"/>
    </row>
    <row r="37" spans="1:31" ht="11.25">
      <c r="A37" s="159"/>
      <c r="B37" s="160"/>
      <c r="C37" s="163"/>
      <c r="D37" s="163"/>
      <c r="E37" s="163"/>
      <c r="F37" s="163"/>
      <c r="G37" s="163"/>
      <c r="H37" s="161"/>
      <c r="I37" s="161"/>
      <c r="J37" s="161"/>
      <c r="K37" s="161"/>
      <c r="L37" s="161"/>
      <c r="M37" s="161"/>
      <c r="N37" s="161"/>
      <c r="O37" s="161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41"/>
    </row>
    <row r="38" spans="1:31" ht="11.25">
      <c r="A38" s="162" t="s">
        <v>167</v>
      </c>
      <c r="B38" s="162"/>
      <c r="C38" s="157"/>
      <c r="D38" s="157"/>
      <c r="E38" s="157"/>
      <c r="F38" s="157"/>
      <c r="G38" s="157"/>
      <c r="H38" s="152"/>
      <c r="I38" s="152"/>
      <c r="J38" s="152"/>
      <c r="K38" s="152"/>
      <c r="L38" s="152"/>
      <c r="M38" s="152"/>
      <c r="N38" s="152"/>
      <c r="O38" s="15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4"/>
      <c r="AE38" s="41"/>
    </row>
    <row r="39" spans="1:31" ht="11.25">
      <c r="A39" s="159"/>
      <c r="B39" s="160"/>
      <c r="C39" s="139"/>
      <c r="D39" s="139"/>
      <c r="E39" s="139"/>
      <c r="F39" s="139"/>
      <c r="G39" s="139"/>
      <c r="H39" s="158"/>
      <c r="I39" s="158"/>
      <c r="J39" s="158"/>
      <c r="K39" s="158"/>
      <c r="L39" s="158"/>
      <c r="M39" s="158"/>
      <c r="N39" s="158"/>
      <c r="O39" s="158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6"/>
      <c r="AE39" s="41"/>
    </row>
    <row r="40" spans="1:31" ht="11.25">
      <c r="A40" s="159"/>
      <c r="B40" s="160"/>
      <c r="C40" s="139"/>
      <c r="D40" s="139"/>
      <c r="E40" s="139"/>
      <c r="F40" s="139"/>
      <c r="G40" s="139"/>
      <c r="H40" s="158"/>
      <c r="I40" s="158"/>
      <c r="J40" s="158"/>
      <c r="K40" s="158"/>
      <c r="L40" s="158"/>
      <c r="M40" s="158"/>
      <c r="N40" s="158"/>
      <c r="O40" s="158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1"/>
    </row>
    <row r="41" spans="1:31" ht="11.25">
      <c r="A41" s="159"/>
      <c r="B41" s="160"/>
      <c r="C41" s="139"/>
      <c r="D41" s="139"/>
      <c r="E41" s="139"/>
      <c r="F41" s="139"/>
      <c r="G41" s="139"/>
      <c r="H41" s="158"/>
      <c r="I41" s="158"/>
      <c r="J41" s="158"/>
      <c r="K41" s="158"/>
      <c r="L41" s="158"/>
      <c r="M41" s="158"/>
      <c r="N41" s="158"/>
      <c r="O41" s="158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  <c r="AE41" s="41"/>
    </row>
    <row r="42" spans="1:31" ht="11.25">
      <c r="A42" s="159"/>
      <c r="B42" s="160"/>
      <c r="C42" s="139"/>
      <c r="D42" s="139"/>
      <c r="E42" s="139"/>
      <c r="F42" s="139"/>
      <c r="G42" s="139"/>
      <c r="H42" s="158"/>
      <c r="I42" s="158"/>
      <c r="J42" s="158"/>
      <c r="K42" s="158"/>
      <c r="L42" s="158"/>
      <c r="M42" s="158"/>
      <c r="N42" s="158"/>
      <c r="O42" s="158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/>
      <c r="AE42" s="41"/>
    </row>
    <row r="43" spans="1:31" ht="11.25">
      <c r="A43" s="159"/>
      <c r="B43" s="160"/>
      <c r="C43" s="163"/>
      <c r="D43" s="163"/>
      <c r="E43" s="163"/>
      <c r="F43" s="163"/>
      <c r="G43" s="163"/>
      <c r="H43" s="161"/>
      <c r="I43" s="161"/>
      <c r="J43" s="161"/>
      <c r="K43" s="161"/>
      <c r="L43" s="161"/>
      <c r="M43" s="161"/>
      <c r="N43" s="161"/>
      <c r="O43" s="161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  <c r="AE43" s="41"/>
    </row>
    <row r="44" spans="1:31" ht="11.25">
      <c r="A44" s="162" t="s">
        <v>168</v>
      </c>
      <c r="B44" s="162"/>
      <c r="C44" s="157"/>
      <c r="D44" s="157"/>
      <c r="E44" s="157"/>
      <c r="F44" s="157"/>
      <c r="G44" s="157"/>
      <c r="H44" s="152"/>
      <c r="I44" s="152"/>
      <c r="J44" s="152"/>
      <c r="K44" s="152"/>
      <c r="L44" s="152"/>
      <c r="M44" s="152"/>
      <c r="N44" s="152"/>
      <c r="O44" s="15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  <c r="AE44" s="41"/>
    </row>
    <row r="45" spans="1:31" ht="11.25">
      <c r="A45" s="159"/>
      <c r="B45" s="160"/>
      <c r="C45" s="139"/>
      <c r="D45" s="139"/>
      <c r="E45" s="139"/>
      <c r="F45" s="139"/>
      <c r="G45" s="139"/>
      <c r="H45" s="158"/>
      <c r="I45" s="158"/>
      <c r="J45" s="158"/>
      <c r="K45" s="158"/>
      <c r="L45" s="158"/>
      <c r="M45" s="158"/>
      <c r="N45" s="158"/>
      <c r="O45" s="15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6"/>
      <c r="AE45" s="41"/>
    </row>
    <row r="46" spans="1:31" ht="11.25">
      <c r="A46" s="159"/>
      <c r="B46" s="160"/>
      <c r="C46" s="139"/>
      <c r="D46" s="139"/>
      <c r="E46" s="139"/>
      <c r="F46" s="139"/>
      <c r="G46" s="139"/>
      <c r="H46" s="158"/>
      <c r="I46" s="158"/>
      <c r="J46" s="158"/>
      <c r="K46" s="158"/>
      <c r="L46" s="158"/>
      <c r="M46" s="158"/>
      <c r="N46" s="158"/>
      <c r="O46" s="15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/>
      <c r="AE46" s="41"/>
    </row>
    <row r="47" spans="1:31" ht="11.25">
      <c r="A47" s="159"/>
      <c r="B47" s="160"/>
      <c r="C47" s="139"/>
      <c r="D47" s="139"/>
      <c r="E47" s="139"/>
      <c r="F47" s="139"/>
      <c r="G47" s="139"/>
      <c r="H47" s="158"/>
      <c r="I47" s="158"/>
      <c r="J47" s="158"/>
      <c r="K47" s="158"/>
      <c r="L47" s="158"/>
      <c r="M47" s="158"/>
      <c r="N47" s="158"/>
      <c r="O47" s="158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6"/>
      <c r="AE47" s="41"/>
    </row>
    <row r="48" spans="1:31" ht="11.25">
      <c r="A48" s="159"/>
      <c r="B48" s="160"/>
      <c r="C48" s="139"/>
      <c r="D48" s="139"/>
      <c r="E48" s="139"/>
      <c r="F48" s="139"/>
      <c r="G48" s="139"/>
      <c r="H48" s="158"/>
      <c r="I48" s="158"/>
      <c r="J48" s="158"/>
      <c r="K48" s="158"/>
      <c r="L48" s="158"/>
      <c r="M48" s="158"/>
      <c r="N48" s="158"/>
      <c r="O48" s="158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6"/>
      <c r="AE48" s="41"/>
    </row>
    <row r="49" spans="1:31" ht="11.25">
      <c r="A49" s="159"/>
      <c r="B49" s="160"/>
      <c r="C49" s="163"/>
      <c r="D49" s="163"/>
      <c r="E49" s="163"/>
      <c r="F49" s="163"/>
      <c r="G49" s="163"/>
      <c r="H49" s="161"/>
      <c r="I49" s="161"/>
      <c r="J49" s="161"/>
      <c r="K49" s="161"/>
      <c r="L49" s="161"/>
      <c r="M49" s="161"/>
      <c r="N49" s="161"/>
      <c r="O49" s="161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8"/>
      <c r="AE49" s="41"/>
    </row>
    <row r="50" spans="1:31" ht="11.25">
      <c r="A50" s="162" t="s">
        <v>169</v>
      </c>
      <c r="B50" s="162"/>
      <c r="C50" s="157"/>
      <c r="D50" s="157"/>
      <c r="E50" s="157"/>
      <c r="F50" s="157"/>
      <c r="G50" s="157"/>
      <c r="H50" s="152"/>
      <c r="I50" s="152"/>
      <c r="J50" s="152"/>
      <c r="K50" s="152"/>
      <c r="L50" s="152"/>
      <c r="M50" s="152"/>
      <c r="N50" s="152"/>
      <c r="O50" s="15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41"/>
    </row>
    <row r="51" spans="1:31" ht="11.25">
      <c r="A51" s="159"/>
      <c r="B51" s="160"/>
      <c r="C51" s="139"/>
      <c r="D51" s="139"/>
      <c r="E51" s="139"/>
      <c r="F51" s="139"/>
      <c r="G51" s="139"/>
      <c r="H51" s="158"/>
      <c r="I51" s="158"/>
      <c r="J51" s="158"/>
      <c r="K51" s="158"/>
      <c r="L51" s="158"/>
      <c r="M51" s="158"/>
      <c r="N51" s="158"/>
      <c r="O51" s="158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41"/>
    </row>
    <row r="52" spans="1:31" ht="11.25">
      <c r="A52" s="159"/>
      <c r="B52" s="160"/>
      <c r="C52" s="139"/>
      <c r="D52" s="139"/>
      <c r="E52" s="139"/>
      <c r="F52" s="139"/>
      <c r="G52" s="139"/>
      <c r="H52" s="158"/>
      <c r="I52" s="158"/>
      <c r="J52" s="158"/>
      <c r="K52" s="158"/>
      <c r="L52" s="158"/>
      <c r="M52" s="158"/>
      <c r="N52" s="158"/>
      <c r="O52" s="158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6"/>
      <c r="AE52" s="41"/>
    </row>
    <row r="53" spans="1:31" ht="11.25">
      <c r="A53" s="159"/>
      <c r="B53" s="160"/>
      <c r="C53" s="139"/>
      <c r="D53" s="139"/>
      <c r="E53" s="139"/>
      <c r="F53" s="139"/>
      <c r="G53" s="139"/>
      <c r="H53" s="158"/>
      <c r="I53" s="158"/>
      <c r="J53" s="158"/>
      <c r="K53" s="158"/>
      <c r="L53" s="158"/>
      <c r="M53" s="158"/>
      <c r="N53" s="158"/>
      <c r="O53" s="158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/>
      <c r="AE53" s="41"/>
    </row>
    <row r="54" spans="1:31" ht="11.25">
      <c r="A54" s="159"/>
      <c r="B54" s="160"/>
      <c r="C54" s="139"/>
      <c r="D54" s="139"/>
      <c r="E54" s="139"/>
      <c r="F54" s="139"/>
      <c r="G54" s="139"/>
      <c r="H54" s="158"/>
      <c r="I54" s="158"/>
      <c r="J54" s="158"/>
      <c r="K54" s="158"/>
      <c r="L54" s="158"/>
      <c r="M54" s="158"/>
      <c r="N54" s="158"/>
      <c r="O54" s="158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/>
      <c r="AE54" s="41"/>
    </row>
    <row r="55" spans="1:31" s="38" customFormat="1" ht="11.25">
      <c r="A55" s="159"/>
      <c r="B55" s="160"/>
      <c r="C55" s="163"/>
      <c r="D55" s="163"/>
      <c r="E55" s="163"/>
      <c r="F55" s="163"/>
      <c r="G55" s="163"/>
      <c r="H55" s="161"/>
      <c r="I55" s="161"/>
      <c r="J55" s="161"/>
      <c r="K55" s="161"/>
      <c r="L55" s="161"/>
      <c r="M55" s="161"/>
      <c r="N55" s="161"/>
      <c r="O55" s="161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8"/>
      <c r="AE55" s="49"/>
    </row>
    <row r="56" spans="1:31" ht="11.25" customHeight="1">
      <c r="A56" s="50"/>
      <c r="B56" s="51"/>
      <c r="C56" s="164"/>
      <c r="D56" s="164"/>
      <c r="E56" s="164"/>
      <c r="F56" s="164"/>
      <c r="G56" s="164"/>
      <c r="H56" s="165" t="s">
        <v>36</v>
      </c>
      <c r="I56" s="165"/>
      <c r="J56" s="151" t="s">
        <v>152</v>
      </c>
      <c r="K56" s="151"/>
      <c r="L56" s="166" t="s">
        <v>145</v>
      </c>
      <c r="M56" s="166"/>
      <c r="N56" s="166" t="s">
        <v>149</v>
      </c>
      <c r="O56" s="166"/>
      <c r="P56" s="52" t="s">
        <v>154</v>
      </c>
      <c r="Q56" s="53" t="s">
        <v>122</v>
      </c>
      <c r="R56" s="53" t="s">
        <v>123</v>
      </c>
      <c r="S56" s="53" t="s">
        <v>124</v>
      </c>
      <c r="T56" s="53" t="s">
        <v>49</v>
      </c>
      <c r="U56" s="53" t="s">
        <v>51</v>
      </c>
      <c r="V56" s="53" t="s">
        <v>125</v>
      </c>
      <c r="W56" s="53" t="s">
        <v>126</v>
      </c>
      <c r="X56" s="53" t="s">
        <v>127</v>
      </c>
      <c r="Y56" s="53" t="s">
        <v>56</v>
      </c>
      <c r="Z56" s="53" t="s">
        <v>147</v>
      </c>
      <c r="AA56" s="53" t="s">
        <v>128</v>
      </c>
      <c r="AB56" s="53" t="s">
        <v>170</v>
      </c>
      <c r="AC56" s="52" t="s">
        <v>150</v>
      </c>
      <c r="AD56" s="52" t="s">
        <v>151</v>
      </c>
      <c r="AE56" s="41"/>
    </row>
    <row r="57" spans="1:31" ht="11.25">
      <c r="A57" s="54"/>
      <c r="B57" s="55"/>
      <c r="C57" s="168"/>
      <c r="D57" s="168"/>
      <c r="E57" s="168"/>
      <c r="F57" s="168"/>
      <c r="G57" s="168"/>
      <c r="H57" s="167"/>
      <c r="I57" s="167"/>
      <c r="J57" s="167">
        <f>SUM(J8:K55)</f>
        <v>39500</v>
      </c>
      <c r="K57" s="167"/>
      <c r="L57" s="167">
        <f>SUM(L8:M55)</f>
        <v>0.8</v>
      </c>
      <c r="M57" s="167"/>
      <c r="N57" s="167">
        <f>SUM(N8:O55)</f>
        <v>0.2</v>
      </c>
      <c r="O57" s="167"/>
      <c r="P57" s="26"/>
      <c r="Q57" s="7">
        <f aca="true" t="shared" si="0" ref="Q57:AD57">SUM(Q8:Q55)</f>
        <v>0</v>
      </c>
      <c r="R57" s="7">
        <f t="shared" si="0"/>
        <v>0</v>
      </c>
      <c r="S57" s="7">
        <f t="shared" si="0"/>
        <v>0</v>
      </c>
      <c r="T57" s="7">
        <f t="shared" si="0"/>
        <v>0</v>
      </c>
      <c r="U57" s="7">
        <f t="shared" si="0"/>
        <v>0</v>
      </c>
      <c r="V57" s="7">
        <f t="shared" si="0"/>
        <v>0</v>
      </c>
      <c r="W57" s="7">
        <f t="shared" si="0"/>
        <v>0</v>
      </c>
      <c r="X57" s="7">
        <f t="shared" si="0"/>
        <v>0</v>
      </c>
      <c r="Y57" s="7">
        <f t="shared" si="0"/>
        <v>0</v>
      </c>
      <c r="Z57" s="7">
        <f t="shared" si="0"/>
        <v>0</v>
      </c>
      <c r="AA57" s="7">
        <f t="shared" si="0"/>
        <v>0</v>
      </c>
      <c r="AB57" s="7">
        <f t="shared" si="0"/>
        <v>0</v>
      </c>
      <c r="AC57" s="7">
        <f t="shared" si="0"/>
        <v>0</v>
      </c>
      <c r="AD57" s="7">
        <f t="shared" si="0"/>
        <v>0</v>
      </c>
      <c r="AE57" s="41"/>
    </row>
    <row r="58" spans="1:30" ht="11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</sheetData>
  <mergeCells count="303">
    <mergeCell ref="N57:O57"/>
    <mergeCell ref="C57:G57"/>
    <mergeCell ref="H57:I57"/>
    <mergeCell ref="J57:K57"/>
    <mergeCell ref="L57:M57"/>
    <mergeCell ref="J55:K55"/>
    <mergeCell ref="L55:M55"/>
    <mergeCell ref="N55:O55"/>
    <mergeCell ref="C56:G56"/>
    <mergeCell ref="H56:I56"/>
    <mergeCell ref="J56:K56"/>
    <mergeCell ref="L56:M56"/>
    <mergeCell ref="N56:O56"/>
    <mergeCell ref="J53:K53"/>
    <mergeCell ref="L53:M53"/>
    <mergeCell ref="N53:O53"/>
    <mergeCell ref="C54:G54"/>
    <mergeCell ref="H54:I54"/>
    <mergeCell ref="J54:K54"/>
    <mergeCell ref="L54:M54"/>
    <mergeCell ref="N54:O54"/>
    <mergeCell ref="J51:K51"/>
    <mergeCell ref="L51:M51"/>
    <mergeCell ref="N51:O51"/>
    <mergeCell ref="C52:G52"/>
    <mergeCell ref="H52:I52"/>
    <mergeCell ref="J52:K52"/>
    <mergeCell ref="L52:M52"/>
    <mergeCell ref="N52:O52"/>
    <mergeCell ref="A51:A55"/>
    <mergeCell ref="B51:B55"/>
    <mergeCell ref="C51:G51"/>
    <mergeCell ref="H51:I51"/>
    <mergeCell ref="C53:G53"/>
    <mergeCell ref="H53:I53"/>
    <mergeCell ref="C55:G55"/>
    <mergeCell ref="H55:I55"/>
    <mergeCell ref="J49:K49"/>
    <mergeCell ref="L49:M49"/>
    <mergeCell ref="N49:O49"/>
    <mergeCell ref="A50:B50"/>
    <mergeCell ref="C50:G50"/>
    <mergeCell ref="H50:I50"/>
    <mergeCell ref="J50:K50"/>
    <mergeCell ref="L50:M50"/>
    <mergeCell ref="N50:O50"/>
    <mergeCell ref="A45:A49"/>
    <mergeCell ref="J47:K47"/>
    <mergeCell ref="L47:M47"/>
    <mergeCell ref="N47:O47"/>
    <mergeCell ref="C48:G48"/>
    <mergeCell ref="H48:I48"/>
    <mergeCell ref="J48:K48"/>
    <mergeCell ref="L48:M48"/>
    <mergeCell ref="N48:O48"/>
    <mergeCell ref="J45:K45"/>
    <mergeCell ref="L45:M45"/>
    <mergeCell ref="N45:O45"/>
    <mergeCell ref="C46:G46"/>
    <mergeCell ref="H46:I46"/>
    <mergeCell ref="J46:K46"/>
    <mergeCell ref="L46:M46"/>
    <mergeCell ref="N46:O46"/>
    <mergeCell ref="B45:B49"/>
    <mergeCell ref="C45:G45"/>
    <mergeCell ref="H45:I45"/>
    <mergeCell ref="C47:G47"/>
    <mergeCell ref="H47:I47"/>
    <mergeCell ref="C49:G49"/>
    <mergeCell ref="H49:I49"/>
    <mergeCell ref="J43:K43"/>
    <mergeCell ref="L43:M43"/>
    <mergeCell ref="N43:O43"/>
    <mergeCell ref="A44:B44"/>
    <mergeCell ref="C44:G44"/>
    <mergeCell ref="H44:I44"/>
    <mergeCell ref="J44:K44"/>
    <mergeCell ref="L44:M44"/>
    <mergeCell ref="N44:O44"/>
    <mergeCell ref="A39:A43"/>
    <mergeCell ref="J41:K41"/>
    <mergeCell ref="L41:M41"/>
    <mergeCell ref="N41:O41"/>
    <mergeCell ref="C42:G42"/>
    <mergeCell ref="H42:I42"/>
    <mergeCell ref="J42:K42"/>
    <mergeCell ref="L42:M42"/>
    <mergeCell ref="N42:O42"/>
    <mergeCell ref="J39:K39"/>
    <mergeCell ref="L39:M39"/>
    <mergeCell ref="N39:O39"/>
    <mergeCell ref="C40:G40"/>
    <mergeCell ref="H40:I40"/>
    <mergeCell ref="J40:K40"/>
    <mergeCell ref="L40:M40"/>
    <mergeCell ref="N40:O40"/>
    <mergeCell ref="B39:B43"/>
    <mergeCell ref="C39:G39"/>
    <mergeCell ref="H39:I39"/>
    <mergeCell ref="C41:G41"/>
    <mergeCell ref="H41:I41"/>
    <mergeCell ref="C43:G43"/>
    <mergeCell ref="H43:I43"/>
    <mergeCell ref="J37:K37"/>
    <mergeCell ref="L37:M37"/>
    <mergeCell ref="N37:O37"/>
    <mergeCell ref="A38:B38"/>
    <mergeCell ref="C38:G38"/>
    <mergeCell ref="H38:I38"/>
    <mergeCell ref="J38:K38"/>
    <mergeCell ref="L38:M38"/>
    <mergeCell ref="N38:O38"/>
    <mergeCell ref="A33:A37"/>
    <mergeCell ref="J35:K35"/>
    <mergeCell ref="L35:M35"/>
    <mergeCell ref="N35:O35"/>
    <mergeCell ref="C36:G36"/>
    <mergeCell ref="H36:I36"/>
    <mergeCell ref="J36:K36"/>
    <mergeCell ref="L36:M36"/>
    <mergeCell ref="N36:O36"/>
    <mergeCell ref="J33:K33"/>
    <mergeCell ref="L33:M33"/>
    <mergeCell ref="N33:O33"/>
    <mergeCell ref="C34:G34"/>
    <mergeCell ref="H34:I34"/>
    <mergeCell ref="J34:K34"/>
    <mergeCell ref="L34:M34"/>
    <mergeCell ref="N34:O34"/>
    <mergeCell ref="B33:B37"/>
    <mergeCell ref="C33:G33"/>
    <mergeCell ref="H33:I33"/>
    <mergeCell ref="C35:G35"/>
    <mergeCell ref="H35:I35"/>
    <mergeCell ref="C37:G37"/>
    <mergeCell ref="H37:I37"/>
    <mergeCell ref="J31:K31"/>
    <mergeCell ref="L31:M31"/>
    <mergeCell ref="N31:O31"/>
    <mergeCell ref="A32:B32"/>
    <mergeCell ref="C32:G32"/>
    <mergeCell ref="H32:I32"/>
    <mergeCell ref="J32:K32"/>
    <mergeCell ref="L32:M32"/>
    <mergeCell ref="N32:O32"/>
    <mergeCell ref="A27:A31"/>
    <mergeCell ref="J29:K29"/>
    <mergeCell ref="L29:M29"/>
    <mergeCell ref="N29:O29"/>
    <mergeCell ref="C30:G30"/>
    <mergeCell ref="H30:I30"/>
    <mergeCell ref="J30:K30"/>
    <mergeCell ref="L30:M30"/>
    <mergeCell ref="N30:O30"/>
    <mergeCell ref="J27:K27"/>
    <mergeCell ref="L27:M27"/>
    <mergeCell ref="N27:O27"/>
    <mergeCell ref="C28:G28"/>
    <mergeCell ref="H28:I28"/>
    <mergeCell ref="J28:K28"/>
    <mergeCell ref="L28:M28"/>
    <mergeCell ref="N28:O28"/>
    <mergeCell ref="B27:B31"/>
    <mergeCell ref="C27:G27"/>
    <mergeCell ref="H27:I27"/>
    <mergeCell ref="C29:G29"/>
    <mergeCell ref="H29:I29"/>
    <mergeCell ref="C31:G31"/>
    <mergeCell ref="H31:I31"/>
    <mergeCell ref="J25:K25"/>
    <mergeCell ref="L25:M25"/>
    <mergeCell ref="N25:O25"/>
    <mergeCell ref="A26:B26"/>
    <mergeCell ref="C26:G26"/>
    <mergeCell ref="H26:I26"/>
    <mergeCell ref="J26:K26"/>
    <mergeCell ref="L26:M26"/>
    <mergeCell ref="N26:O26"/>
    <mergeCell ref="A21:A25"/>
    <mergeCell ref="J23:K23"/>
    <mergeCell ref="L23:M23"/>
    <mergeCell ref="N23:O23"/>
    <mergeCell ref="C24:G24"/>
    <mergeCell ref="H24:I24"/>
    <mergeCell ref="J24:K24"/>
    <mergeCell ref="L24:M24"/>
    <mergeCell ref="N24:O24"/>
    <mergeCell ref="J21:K21"/>
    <mergeCell ref="L21:M21"/>
    <mergeCell ref="N21:O21"/>
    <mergeCell ref="C22:G22"/>
    <mergeCell ref="H22:I22"/>
    <mergeCell ref="J22:K22"/>
    <mergeCell ref="L22:M22"/>
    <mergeCell ref="N22:O22"/>
    <mergeCell ref="B21:B25"/>
    <mergeCell ref="C21:G21"/>
    <mergeCell ref="H21:I21"/>
    <mergeCell ref="C23:G23"/>
    <mergeCell ref="H23:I23"/>
    <mergeCell ref="C25:G25"/>
    <mergeCell ref="H25:I25"/>
    <mergeCell ref="J19:K19"/>
    <mergeCell ref="L19:M19"/>
    <mergeCell ref="N19:O19"/>
    <mergeCell ref="A20:B20"/>
    <mergeCell ref="C20:G20"/>
    <mergeCell ref="H20:I20"/>
    <mergeCell ref="J20:K20"/>
    <mergeCell ref="L20:M20"/>
    <mergeCell ref="N20:O20"/>
    <mergeCell ref="A15:A19"/>
    <mergeCell ref="J17:K17"/>
    <mergeCell ref="L17:M17"/>
    <mergeCell ref="N17:O17"/>
    <mergeCell ref="C18:G18"/>
    <mergeCell ref="H18:I18"/>
    <mergeCell ref="J18:K18"/>
    <mergeCell ref="L18:M18"/>
    <mergeCell ref="N18:O18"/>
    <mergeCell ref="J15:K15"/>
    <mergeCell ref="L15:M15"/>
    <mergeCell ref="N15:O15"/>
    <mergeCell ref="C16:G16"/>
    <mergeCell ref="H16:I16"/>
    <mergeCell ref="J16:K16"/>
    <mergeCell ref="L16:M16"/>
    <mergeCell ref="N16:O16"/>
    <mergeCell ref="B15:B19"/>
    <mergeCell ref="C15:G15"/>
    <mergeCell ref="H15:I15"/>
    <mergeCell ref="C17:G17"/>
    <mergeCell ref="H17:I17"/>
    <mergeCell ref="C19:G19"/>
    <mergeCell ref="H19:I19"/>
    <mergeCell ref="N13:O13"/>
    <mergeCell ref="A14:B14"/>
    <mergeCell ref="C14:G14"/>
    <mergeCell ref="H14:I14"/>
    <mergeCell ref="J14:K14"/>
    <mergeCell ref="L14:M14"/>
    <mergeCell ref="N14:O14"/>
    <mergeCell ref="C13:G13"/>
    <mergeCell ref="H13:I13"/>
    <mergeCell ref="J13:K13"/>
    <mergeCell ref="L13:M13"/>
    <mergeCell ref="N11:O11"/>
    <mergeCell ref="C12:G12"/>
    <mergeCell ref="H12:I12"/>
    <mergeCell ref="J12:K12"/>
    <mergeCell ref="L12:M12"/>
    <mergeCell ref="N12:O12"/>
    <mergeCell ref="C11:G11"/>
    <mergeCell ref="H11:I11"/>
    <mergeCell ref="J11:K11"/>
    <mergeCell ref="L11:M11"/>
    <mergeCell ref="H10:I10"/>
    <mergeCell ref="J10:K10"/>
    <mergeCell ref="L10:M10"/>
    <mergeCell ref="N10:O10"/>
    <mergeCell ref="L8:M8"/>
    <mergeCell ref="N8:O8"/>
    <mergeCell ref="A9:A13"/>
    <mergeCell ref="B9:B13"/>
    <mergeCell ref="C9:G9"/>
    <mergeCell ref="H9:I9"/>
    <mergeCell ref="J9:K9"/>
    <mergeCell ref="L9:M9"/>
    <mergeCell ref="N9:O9"/>
    <mergeCell ref="C10:G10"/>
    <mergeCell ref="A8:B8"/>
    <mergeCell ref="C8:G8"/>
    <mergeCell ref="H8:I8"/>
    <mergeCell ref="J8:K8"/>
    <mergeCell ref="AA4:AA7"/>
    <mergeCell ref="AB4:AB7"/>
    <mergeCell ref="AC4:AD5"/>
    <mergeCell ref="AC6:AC7"/>
    <mergeCell ref="AD6:AD7"/>
    <mergeCell ref="Z4:Z7"/>
    <mergeCell ref="Q4:Q7"/>
    <mergeCell ref="R4:R7"/>
    <mergeCell ref="N7:O7"/>
    <mergeCell ref="N4:O5"/>
    <mergeCell ref="P4:P6"/>
    <mergeCell ref="H6:I6"/>
    <mergeCell ref="J6:K6"/>
    <mergeCell ref="L6:M6"/>
    <mergeCell ref="N6:O6"/>
    <mergeCell ref="W4:W7"/>
    <mergeCell ref="X4:X7"/>
    <mergeCell ref="Y4:Y7"/>
    <mergeCell ref="S4:S7"/>
    <mergeCell ref="T4:T7"/>
    <mergeCell ref="U4:U7"/>
    <mergeCell ref="V4:V7"/>
    <mergeCell ref="A4:G7"/>
    <mergeCell ref="H4:I5"/>
    <mergeCell ref="J4:K5"/>
    <mergeCell ref="L4:M5"/>
    <mergeCell ref="J7:K7"/>
    <mergeCell ref="L7:M7"/>
    <mergeCell ref="H7:I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89"/>
  <sheetViews>
    <sheetView tabSelected="1" workbookViewId="0" topLeftCell="A10">
      <selection activeCell="U25" sqref="U25"/>
    </sheetView>
  </sheetViews>
  <sheetFormatPr defaultColWidth="9.33203125" defaultRowHeight="11.25"/>
  <cols>
    <col min="1" max="23" width="4.83203125" style="0" customWidth="1"/>
    <col min="26" max="44" width="7" style="0" customWidth="1"/>
  </cols>
  <sheetData>
    <row r="1" ht="17.25">
      <c r="A1" s="6" t="s">
        <v>171</v>
      </c>
    </row>
    <row r="3" spans="1:19" ht="11.25">
      <c r="A3" s="56" t="s">
        <v>171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20" t="s">
        <v>120</v>
      </c>
      <c r="M3" s="120"/>
      <c r="N3" s="120" t="s">
        <v>172</v>
      </c>
      <c r="O3" s="120"/>
      <c r="P3" s="120" t="s">
        <v>36</v>
      </c>
      <c r="Q3" s="120"/>
      <c r="R3" s="121" t="s">
        <v>173</v>
      </c>
      <c r="S3" s="121"/>
    </row>
    <row r="4" spans="1:19" ht="11.25">
      <c r="A4" s="175" t="s">
        <v>571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7">
        <v>22700</v>
      </c>
      <c r="M4" s="177"/>
      <c r="N4" s="178">
        <v>1</v>
      </c>
      <c r="O4" s="178"/>
      <c r="P4" s="178"/>
      <c r="Q4" s="178"/>
      <c r="R4" s="169">
        <f aca="true" t="shared" si="0" ref="R4:R35">IF(N4="","",L4*N4)</f>
        <v>22700</v>
      </c>
      <c r="S4" s="169"/>
    </row>
    <row r="5" spans="1:19" ht="11.25">
      <c r="A5" s="170" t="s">
        <v>574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>
        <v>4000</v>
      </c>
      <c r="M5" s="172"/>
      <c r="N5" s="173">
        <v>2</v>
      </c>
      <c r="O5" s="173"/>
      <c r="P5" s="173"/>
      <c r="Q5" s="173"/>
      <c r="R5" s="174">
        <f t="shared" si="0"/>
        <v>8000</v>
      </c>
      <c r="S5" s="174"/>
    </row>
    <row r="6" spans="1:19" ht="11.25">
      <c r="A6" s="170" t="s">
        <v>572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>
        <v>4000</v>
      </c>
      <c r="M6" s="172"/>
      <c r="N6" s="173">
        <v>1</v>
      </c>
      <c r="O6" s="173"/>
      <c r="P6" s="173"/>
      <c r="Q6" s="173"/>
      <c r="R6" s="174">
        <f t="shared" si="0"/>
        <v>4000</v>
      </c>
      <c r="S6" s="174"/>
    </row>
    <row r="7" spans="1:19" ht="11.25">
      <c r="A7" s="170" t="s">
        <v>573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2">
        <v>2500</v>
      </c>
      <c r="M7" s="172"/>
      <c r="N7" s="173">
        <v>1</v>
      </c>
      <c r="O7" s="173"/>
      <c r="P7" s="173"/>
      <c r="Q7" s="173"/>
      <c r="R7" s="174">
        <f t="shared" si="0"/>
        <v>2500</v>
      </c>
      <c r="S7" s="174"/>
    </row>
    <row r="8" spans="1:19" ht="11.25">
      <c r="A8" s="180" t="s">
        <v>578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2">
        <v>2500</v>
      </c>
      <c r="M8" s="182"/>
      <c r="N8" s="183">
        <v>3</v>
      </c>
      <c r="O8" s="183"/>
      <c r="P8" s="183"/>
      <c r="Q8" s="183"/>
      <c r="R8" s="179">
        <f t="shared" si="0"/>
        <v>7500</v>
      </c>
      <c r="S8" s="179"/>
    </row>
    <row r="9" spans="1:19" ht="11.25">
      <c r="A9" s="306" t="s">
        <v>584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177">
        <v>2000</v>
      </c>
      <c r="M9" s="177"/>
      <c r="N9" s="178">
        <v>1</v>
      </c>
      <c r="O9" s="178"/>
      <c r="P9" s="178"/>
      <c r="Q9" s="178"/>
      <c r="R9" s="169">
        <f t="shared" si="0"/>
        <v>2000</v>
      </c>
      <c r="S9" s="169"/>
    </row>
    <row r="10" spans="1:19" ht="11.25">
      <c r="A10" s="308" t="s">
        <v>585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172">
        <v>2000</v>
      </c>
      <c r="M10" s="172"/>
      <c r="N10" s="173">
        <v>1</v>
      </c>
      <c r="O10" s="173"/>
      <c r="P10" s="173"/>
      <c r="Q10" s="173"/>
      <c r="R10" s="174">
        <f t="shared" si="0"/>
        <v>2000</v>
      </c>
      <c r="S10" s="174"/>
    </row>
    <row r="11" spans="1:21" ht="11.25">
      <c r="A11" s="309" t="s">
        <v>589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172">
        <v>2000</v>
      </c>
      <c r="M11" s="172"/>
      <c r="N11" s="173">
        <v>1</v>
      </c>
      <c r="O11" s="173"/>
      <c r="P11" s="173"/>
      <c r="Q11" s="173"/>
      <c r="R11" s="174">
        <f t="shared" si="0"/>
        <v>2000</v>
      </c>
      <c r="S11" s="174"/>
      <c r="U11" t="s">
        <v>601</v>
      </c>
    </row>
    <row r="12" spans="1:19" ht="11.25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2"/>
      <c r="M12" s="172"/>
      <c r="N12" s="173"/>
      <c r="O12" s="173"/>
      <c r="P12" s="173"/>
      <c r="Q12" s="173"/>
      <c r="R12" s="174">
        <f t="shared" si="0"/>
      </c>
      <c r="S12" s="174"/>
    </row>
    <row r="13" spans="1:21" ht="11.25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182"/>
      <c r="N13" s="183"/>
      <c r="O13" s="183"/>
      <c r="P13" s="183"/>
      <c r="Q13" s="183"/>
      <c r="R13" s="179">
        <f t="shared" si="0"/>
      </c>
      <c r="S13" s="179"/>
      <c r="U13" t="s">
        <v>602</v>
      </c>
    </row>
    <row r="14" spans="1:19" ht="11.25">
      <c r="A14" s="184" t="s">
        <v>594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72">
        <v>35000</v>
      </c>
      <c r="M14" s="172"/>
      <c r="N14" s="173">
        <v>1</v>
      </c>
      <c r="O14" s="173"/>
      <c r="P14" s="178"/>
      <c r="Q14" s="178"/>
      <c r="R14" s="169">
        <f t="shared" si="0"/>
        <v>35000</v>
      </c>
      <c r="S14" s="169"/>
    </row>
    <row r="15" spans="1:21" ht="11.25">
      <c r="A15" s="184" t="s">
        <v>598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72">
        <v>2500</v>
      </c>
      <c r="M15" s="172"/>
      <c r="N15" s="173">
        <v>1</v>
      </c>
      <c r="O15" s="173"/>
      <c r="P15" s="173"/>
      <c r="Q15" s="173"/>
      <c r="R15" s="174">
        <f t="shared" si="0"/>
        <v>2500</v>
      </c>
      <c r="S15" s="174"/>
      <c r="U15" t="s">
        <v>603</v>
      </c>
    </row>
    <row r="16" spans="1:21" ht="11.25">
      <c r="A16" s="308" t="s">
        <v>585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172">
        <v>2000</v>
      </c>
      <c r="M16" s="172"/>
      <c r="N16" s="173">
        <v>1</v>
      </c>
      <c r="O16" s="173"/>
      <c r="P16" s="173"/>
      <c r="Q16" s="173"/>
      <c r="R16" s="174">
        <f t="shared" si="0"/>
        <v>2000</v>
      </c>
      <c r="S16" s="174"/>
      <c r="U16" t="s">
        <v>604</v>
      </c>
    </row>
    <row r="17" spans="1:21" ht="11.25">
      <c r="A17" s="308" t="s">
        <v>584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172">
        <v>2000</v>
      </c>
      <c r="M17" s="172"/>
      <c r="N17" s="173">
        <v>1</v>
      </c>
      <c r="O17" s="173"/>
      <c r="P17" s="173"/>
      <c r="Q17" s="173"/>
      <c r="R17" s="174">
        <f t="shared" si="0"/>
        <v>2000</v>
      </c>
      <c r="S17" s="174"/>
      <c r="U17" t="s">
        <v>620</v>
      </c>
    </row>
    <row r="18" spans="1:19" ht="11.2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2"/>
      <c r="M18" s="182"/>
      <c r="N18" s="183"/>
      <c r="O18" s="183"/>
      <c r="P18" s="183"/>
      <c r="Q18" s="183"/>
      <c r="R18" s="179">
        <f t="shared" si="0"/>
      </c>
      <c r="S18" s="179"/>
    </row>
    <row r="19" spans="1:44" ht="11.25">
      <c r="A19" s="185" t="s">
        <v>586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77">
        <v>2000</v>
      </c>
      <c r="M19" s="177"/>
      <c r="N19" s="178">
        <v>1</v>
      </c>
      <c r="O19" s="178"/>
      <c r="P19" s="178"/>
      <c r="Q19" s="178"/>
      <c r="R19" s="169">
        <f t="shared" si="0"/>
        <v>2000</v>
      </c>
      <c r="S19" s="169"/>
      <c r="U19" t="s">
        <v>600</v>
      </c>
      <c r="Z19" s="56" t="s">
        <v>171</v>
      </c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120" t="s">
        <v>120</v>
      </c>
      <c r="AL19" s="120"/>
      <c r="AM19" s="120" t="s">
        <v>172</v>
      </c>
      <c r="AN19" s="120"/>
      <c r="AO19" s="120" t="s">
        <v>36</v>
      </c>
      <c r="AP19" s="120"/>
      <c r="AQ19" s="121" t="s">
        <v>173</v>
      </c>
      <c r="AR19" s="121"/>
    </row>
    <row r="20" spans="1:44" ht="11.25">
      <c r="A20" s="308" t="s">
        <v>590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172">
        <v>2000</v>
      </c>
      <c r="M20" s="172"/>
      <c r="N20" s="173">
        <v>1</v>
      </c>
      <c r="O20" s="173"/>
      <c r="P20" s="173"/>
      <c r="Q20" s="173"/>
      <c r="R20" s="174">
        <f t="shared" si="0"/>
        <v>2000</v>
      </c>
      <c r="S20" s="174"/>
      <c r="Z20" s="306" t="s">
        <v>571</v>
      </c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177">
        <v>22700</v>
      </c>
      <c r="AL20" s="177"/>
      <c r="AM20" s="178">
        <v>1</v>
      </c>
      <c r="AN20" s="178"/>
      <c r="AO20" s="178"/>
      <c r="AP20" s="178"/>
      <c r="AQ20" s="169">
        <f>IF(AM20="","",AK20*AM20)</f>
        <v>22700</v>
      </c>
      <c r="AR20" s="169"/>
    </row>
    <row r="21" spans="1:44" ht="11.25">
      <c r="A21" s="308" t="s">
        <v>599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172">
        <v>15000</v>
      </c>
      <c r="M21" s="172"/>
      <c r="N21" s="173">
        <v>1</v>
      </c>
      <c r="O21" s="173"/>
      <c r="P21" s="173"/>
      <c r="Q21" s="173"/>
      <c r="R21" s="174">
        <f t="shared" si="0"/>
        <v>15000</v>
      </c>
      <c r="S21" s="174"/>
      <c r="Z21" s="309" t="s">
        <v>574</v>
      </c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172">
        <v>4000</v>
      </c>
      <c r="AL21" s="172"/>
      <c r="AM21" s="173">
        <v>2</v>
      </c>
      <c r="AN21" s="173"/>
      <c r="AO21" s="173"/>
      <c r="AP21" s="173"/>
      <c r="AQ21" s="174">
        <f>IF(AM21="","",AK21*AM21)</f>
        <v>8000</v>
      </c>
      <c r="AR21" s="174"/>
    </row>
    <row r="22" spans="1:44" ht="11.25">
      <c r="A22" s="308" t="s">
        <v>585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172">
        <v>2000</v>
      </c>
      <c r="M22" s="172"/>
      <c r="N22" s="173">
        <v>1</v>
      </c>
      <c r="O22" s="173"/>
      <c r="P22" s="173"/>
      <c r="Q22" s="173"/>
      <c r="R22" s="174">
        <f t="shared" si="0"/>
        <v>2000</v>
      </c>
      <c r="S22" s="174"/>
      <c r="Z22" s="309" t="s">
        <v>572</v>
      </c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172">
        <v>4000</v>
      </c>
      <c r="AL22" s="172"/>
      <c r="AM22" s="173">
        <v>1</v>
      </c>
      <c r="AN22" s="173"/>
      <c r="AO22" s="173"/>
      <c r="AP22" s="173"/>
      <c r="AQ22" s="174">
        <f>IF(AM22="","",AK22*AM22)</f>
        <v>4000</v>
      </c>
      <c r="AR22" s="174"/>
    </row>
    <row r="23" spans="1:44" ht="11.25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2"/>
      <c r="M23" s="182"/>
      <c r="N23" s="183"/>
      <c r="O23" s="183"/>
      <c r="P23" s="183"/>
      <c r="Q23" s="183"/>
      <c r="R23" s="179">
        <f t="shared" si="0"/>
      </c>
      <c r="S23" s="179"/>
      <c r="Z23" s="309" t="s">
        <v>573</v>
      </c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172">
        <v>2500</v>
      </c>
      <c r="AL23" s="172"/>
      <c r="AM23" s="173">
        <v>1</v>
      </c>
      <c r="AN23" s="173"/>
      <c r="AO23" s="173"/>
      <c r="AP23" s="173"/>
      <c r="AQ23" s="174">
        <f>IF(AM23="","",AK23*AM23)</f>
        <v>2500</v>
      </c>
      <c r="AR23" s="174"/>
    </row>
    <row r="24" spans="1:44" ht="11.25">
      <c r="A24" s="185" t="s">
        <v>587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77">
        <v>3000</v>
      </c>
      <c r="M24" s="177"/>
      <c r="N24" s="178">
        <v>1</v>
      </c>
      <c r="O24" s="178"/>
      <c r="P24" s="178"/>
      <c r="Q24" s="178"/>
      <c r="R24" s="169">
        <f t="shared" si="0"/>
        <v>3000</v>
      </c>
      <c r="S24" s="169"/>
      <c r="Z24" s="311" t="s">
        <v>578</v>
      </c>
      <c r="AA24" s="312"/>
      <c r="AB24" s="312"/>
      <c r="AC24" s="312"/>
      <c r="AD24" s="312"/>
      <c r="AE24" s="312"/>
      <c r="AF24" s="312"/>
      <c r="AG24" s="312"/>
      <c r="AH24" s="312"/>
      <c r="AI24" s="312"/>
      <c r="AJ24" s="313"/>
      <c r="AK24" s="172">
        <v>2500</v>
      </c>
      <c r="AL24" s="172"/>
      <c r="AM24" s="173">
        <v>3</v>
      </c>
      <c r="AN24" s="173"/>
      <c r="AO24" s="197"/>
      <c r="AP24" s="198"/>
      <c r="AQ24" s="174">
        <f>IF(AM24="","",AK24*AM24)</f>
        <v>7500</v>
      </c>
      <c r="AR24" s="174"/>
    </row>
    <row r="25" spans="1:44" ht="11.25">
      <c r="A25" s="308" t="s">
        <v>588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172">
        <v>15000</v>
      </c>
      <c r="M25" s="172"/>
      <c r="N25" s="173">
        <v>1</v>
      </c>
      <c r="O25" s="173"/>
      <c r="P25" s="173"/>
      <c r="Q25" s="173"/>
      <c r="R25" s="174">
        <f t="shared" si="0"/>
        <v>15000</v>
      </c>
      <c r="S25" s="174"/>
      <c r="Z25" s="311" t="s">
        <v>609</v>
      </c>
      <c r="AA25" s="312"/>
      <c r="AB25" s="312"/>
      <c r="AC25" s="312"/>
      <c r="AD25" s="312"/>
      <c r="AE25" s="312"/>
      <c r="AF25" s="312"/>
      <c r="AG25" s="312"/>
      <c r="AH25" s="312"/>
      <c r="AI25" s="312"/>
      <c r="AJ25" s="313"/>
      <c r="AK25" s="172">
        <v>2000</v>
      </c>
      <c r="AL25" s="172"/>
      <c r="AM25" s="173">
        <v>1</v>
      </c>
      <c r="AN25" s="173"/>
      <c r="AO25" s="197"/>
      <c r="AP25" s="198"/>
      <c r="AQ25" s="174">
        <f>IF(AM25="","",AK25*AM25)</f>
        <v>2000</v>
      </c>
      <c r="AR25" s="174"/>
    </row>
    <row r="26" spans="1:44" ht="11.25">
      <c r="A26" s="308" t="s">
        <v>589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172">
        <v>2000</v>
      </c>
      <c r="M26" s="172"/>
      <c r="N26" s="173">
        <v>1</v>
      </c>
      <c r="O26" s="173"/>
      <c r="P26" s="173"/>
      <c r="Q26" s="173"/>
      <c r="R26" s="174">
        <f t="shared" si="0"/>
        <v>2000</v>
      </c>
      <c r="S26" s="174"/>
      <c r="Z26" s="311" t="s">
        <v>608</v>
      </c>
      <c r="AA26" s="312"/>
      <c r="AB26" s="312"/>
      <c r="AC26" s="312"/>
      <c r="AD26" s="312"/>
      <c r="AE26" s="312"/>
      <c r="AF26" s="312"/>
      <c r="AG26" s="312"/>
      <c r="AH26" s="312"/>
      <c r="AI26" s="312"/>
      <c r="AJ26" s="313"/>
      <c r="AK26" s="172">
        <v>10000</v>
      </c>
      <c r="AL26" s="172"/>
      <c r="AM26" s="173">
        <v>1</v>
      </c>
      <c r="AN26" s="173"/>
      <c r="AO26" s="197"/>
      <c r="AP26" s="198"/>
      <c r="AQ26" s="174">
        <f>IF(AM26="","",AK26*AM26)</f>
        <v>10000</v>
      </c>
      <c r="AR26" s="174"/>
    </row>
    <row r="27" spans="1:44" ht="11.25">
      <c r="A27" s="308" t="s">
        <v>591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172">
        <v>2000</v>
      </c>
      <c r="M27" s="172"/>
      <c r="N27" s="173">
        <v>1</v>
      </c>
      <c r="O27" s="173"/>
      <c r="P27" s="173"/>
      <c r="Q27" s="173"/>
      <c r="R27" s="174">
        <f t="shared" si="0"/>
        <v>2000</v>
      </c>
      <c r="S27" s="174"/>
      <c r="Z27" s="311"/>
      <c r="AA27" s="312"/>
      <c r="AB27" s="312"/>
      <c r="AC27" s="312"/>
      <c r="AD27" s="312"/>
      <c r="AE27" s="312"/>
      <c r="AF27" s="312"/>
      <c r="AG27" s="312"/>
      <c r="AH27" s="312"/>
      <c r="AI27" s="312"/>
      <c r="AJ27" s="313"/>
      <c r="AK27" s="172"/>
      <c r="AL27" s="172"/>
      <c r="AM27" s="173"/>
      <c r="AN27" s="173"/>
      <c r="AO27" s="197"/>
      <c r="AP27" s="198"/>
      <c r="AQ27" s="174">
        <f>IF(AM27="","",AK27*AM27)</f>
      </c>
      <c r="AR27" s="174"/>
    </row>
    <row r="28" spans="1:44" ht="11.25">
      <c r="A28" s="170" t="s">
        <v>574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82">
        <v>4000</v>
      </c>
      <c r="M28" s="182"/>
      <c r="N28" s="183">
        <v>1</v>
      </c>
      <c r="O28" s="183"/>
      <c r="P28" s="183"/>
      <c r="Q28" s="183"/>
      <c r="R28" s="179">
        <f t="shared" si="0"/>
        <v>4000</v>
      </c>
      <c r="S28" s="179"/>
      <c r="Z28" s="311" t="s">
        <v>607</v>
      </c>
      <c r="AA28" s="312"/>
      <c r="AB28" s="312"/>
      <c r="AC28" s="312"/>
      <c r="AD28" s="312"/>
      <c r="AE28" s="312"/>
      <c r="AF28" s="312"/>
      <c r="AG28" s="312"/>
      <c r="AH28" s="312"/>
      <c r="AI28" s="312"/>
      <c r="AJ28" s="313"/>
      <c r="AK28" s="172">
        <v>35000</v>
      </c>
      <c r="AL28" s="172"/>
      <c r="AM28" s="173">
        <v>1</v>
      </c>
      <c r="AN28" s="173"/>
      <c r="AO28" s="197"/>
      <c r="AP28" s="198"/>
      <c r="AQ28" s="174">
        <f>IF(AM28="","",AK28*AM28)</f>
        <v>35000</v>
      </c>
      <c r="AR28" s="174"/>
    </row>
    <row r="29" spans="1:44" ht="11.25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7"/>
      <c r="M29" s="177"/>
      <c r="N29" s="178"/>
      <c r="O29" s="178"/>
      <c r="P29" s="178"/>
      <c r="Q29" s="178"/>
      <c r="R29" s="169">
        <f t="shared" si="0"/>
      </c>
      <c r="S29" s="169"/>
      <c r="Z29" s="311" t="s">
        <v>598</v>
      </c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172">
        <v>2500</v>
      </c>
      <c r="AL29" s="172"/>
      <c r="AM29" s="173">
        <v>1</v>
      </c>
      <c r="AN29" s="173"/>
      <c r="AO29" s="173"/>
      <c r="AP29" s="173"/>
      <c r="AQ29" s="174">
        <f>IF(AM29="","",AK29*AM29)</f>
        <v>2500</v>
      </c>
      <c r="AR29" s="174"/>
    </row>
    <row r="30" spans="1:44" ht="11.2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72"/>
      <c r="M30" s="172"/>
      <c r="N30" s="173"/>
      <c r="O30" s="173"/>
      <c r="P30" s="173"/>
      <c r="Q30" s="173"/>
      <c r="R30" s="174">
        <f t="shared" si="0"/>
      </c>
      <c r="S30" s="174"/>
      <c r="Z30" s="311" t="s">
        <v>609</v>
      </c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172">
        <v>2000</v>
      </c>
      <c r="AL30" s="172"/>
      <c r="AM30" s="173">
        <v>1</v>
      </c>
      <c r="AN30" s="173"/>
      <c r="AO30" s="173"/>
      <c r="AP30" s="173"/>
      <c r="AQ30" s="174">
        <f aca="true" t="shared" si="1" ref="AQ30:AQ78">IF(AM30="","",AK30*AM30)</f>
        <v>2000</v>
      </c>
      <c r="AR30" s="174"/>
    </row>
    <row r="31" spans="1:44" ht="11.2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72"/>
      <c r="M31" s="172"/>
      <c r="N31" s="173"/>
      <c r="O31" s="173"/>
      <c r="P31" s="173"/>
      <c r="Q31" s="173"/>
      <c r="R31" s="174">
        <f t="shared" si="0"/>
      </c>
      <c r="S31" s="174"/>
      <c r="Z31" s="309" t="s">
        <v>606</v>
      </c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172">
        <v>10000</v>
      </c>
      <c r="AL31" s="172"/>
      <c r="AM31" s="173">
        <v>1</v>
      </c>
      <c r="AN31" s="173"/>
      <c r="AO31" s="173"/>
      <c r="AP31" s="173"/>
      <c r="AQ31" s="174">
        <f t="shared" si="1"/>
        <v>10000</v>
      </c>
      <c r="AR31" s="174"/>
    </row>
    <row r="32" spans="1:44" ht="11.2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72"/>
      <c r="M32" s="172"/>
      <c r="N32" s="173"/>
      <c r="O32" s="173"/>
      <c r="P32" s="173"/>
      <c r="Q32" s="173"/>
      <c r="R32" s="174">
        <f t="shared" si="0"/>
      </c>
      <c r="S32" s="174"/>
      <c r="Z32" s="309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172"/>
      <c r="AL32" s="172"/>
      <c r="AM32" s="173"/>
      <c r="AN32" s="173"/>
      <c r="AO32" s="173"/>
      <c r="AP32" s="173"/>
      <c r="AQ32" s="174">
        <f t="shared" si="1"/>
      </c>
      <c r="AR32" s="174"/>
    </row>
    <row r="33" spans="1:44" ht="11.2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82"/>
      <c r="N33" s="183"/>
      <c r="O33" s="183"/>
      <c r="P33" s="183"/>
      <c r="Q33" s="183"/>
      <c r="R33" s="179">
        <f t="shared" si="0"/>
      </c>
      <c r="S33" s="179"/>
      <c r="Z33" s="309" t="s">
        <v>586</v>
      </c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172">
        <v>2000</v>
      </c>
      <c r="AL33" s="172"/>
      <c r="AM33" s="173">
        <v>1</v>
      </c>
      <c r="AN33" s="173"/>
      <c r="AO33" s="173"/>
      <c r="AP33" s="173"/>
      <c r="AQ33" s="174">
        <f t="shared" si="1"/>
        <v>2000</v>
      </c>
      <c r="AR33" s="174"/>
    </row>
    <row r="34" spans="1:44" ht="11.25">
      <c r="A34" s="175" t="s">
        <v>575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7">
        <v>1300</v>
      </c>
      <c r="M34" s="177"/>
      <c r="N34" s="178">
        <v>1</v>
      </c>
      <c r="O34" s="178"/>
      <c r="P34" s="178"/>
      <c r="Q34" s="178"/>
      <c r="R34" s="169">
        <f t="shared" si="0"/>
        <v>1300</v>
      </c>
      <c r="S34" s="169"/>
      <c r="Z34" s="309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172"/>
      <c r="AL34" s="172"/>
      <c r="AM34" s="173"/>
      <c r="AN34" s="173"/>
      <c r="AO34" s="173"/>
      <c r="AP34" s="173"/>
      <c r="AQ34" s="174">
        <f t="shared" si="1"/>
      </c>
      <c r="AR34" s="174"/>
    </row>
    <row r="35" spans="1:44" ht="11.25">
      <c r="A35" s="170" t="s">
        <v>576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2">
        <v>2200</v>
      </c>
      <c r="M35" s="172"/>
      <c r="N35" s="173">
        <v>1</v>
      </c>
      <c r="O35" s="173"/>
      <c r="P35" s="173"/>
      <c r="Q35" s="173"/>
      <c r="R35" s="174">
        <f t="shared" si="0"/>
        <v>2200</v>
      </c>
      <c r="S35" s="174"/>
      <c r="Z35" s="309" t="s">
        <v>587</v>
      </c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172">
        <v>3000</v>
      </c>
      <c r="AL35" s="172"/>
      <c r="AM35" s="173">
        <v>1</v>
      </c>
      <c r="AN35" s="173"/>
      <c r="AO35" s="173"/>
      <c r="AP35" s="173"/>
      <c r="AQ35" s="174">
        <f t="shared" si="1"/>
        <v>3000</v>
      </c>
      <c r="AR35" s="174"/>
    </row>
    <row r="36" spans="1:44" ht="11.25">
      <c r="A36" s="171" t="s">
        <v>174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2">
        <v>20</v>
      </c>
      <c r="M36" s="172"/>
      <c r="N36" s="173">
        <v>150</v>
      </c>
      <c r="O36" s="173"/>
      <c r="P36" s="173"/>
      <c r="Q36" s="173"/>
      <c r="R36" s="174">
        <f aca="true" t="shared" si="2" ref="R36:R63">IF(N36="","",L36*N36)</f>
        <v>3000</v>
      </c>
      <c r="S36" s="174"/>
      <c r="Z36" s="309" t="s">
        <v>574</v>
      </c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172">
        <v>4000</v>
      </c>
      <c r="AL36" s="172"/>
      <c r="AM36" s="173">
        <v>1</v>
      </c>
      <c r="AN36" s="173"/>
      <c r="AO36" s="173"/>
      <c r="AP36" s="173"/>
      <c r="AQ36" s="174">
        <f t="shared" si="1"/>
        <v>4000</v>
      </c>
      <c r="AR36" s="174"/>
    </row>
    <row r="37" spans="1:44" ht="11.25">
      <c r="A37" s="170" t="s">
        <v>577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2">
        <v>35</v>
      </c>
      <c r="M37" s="172"/>
      <c r="N37" s="173">
        <v>10</v>
      </c>
      <c r="O37" s="173"/>
      <c r="P37" s="173"/>
      <c r="Q37" s="173"/>
      <c r="R37" s="174">
        <f t="shared" si="2"/>
        <v>350</v>
      </c>
      <c r="S37" s="174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172"/>
      <c r="AL37" s="172"/>
      <c r="AM37" s="173"/>
      <c r="AN37" s="173"/>
      <c r="AO37" s="173"/>
      <c r="AP37" s="173"/>
      <c r="AQ37" s="174">
        <f t="shared" si="1"/>
      </c>
      <c r="AR37" s="174"/>
    </row>
    <row r="38" spans="1:44" ht="11.2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2"/>
      <c r="N38" s="183"/>
      <c r="O38" s="183"/>
      <c r="P38" s="183"/>
      <c r="Q38" s="183"/>
      <c r="R38" s="179">
        <f t="shared" si="2"/>
      </c>
      <c r="S38" s="179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172"/>
      <c r="AL38" s="172"/>
      <c r="AM38" s="173"/>
      <c r="AN38" s="173"/>
      <c r="AO38" s="173"/>
      <c r="AP38" s="173"/>
      <c r="AQ38" s="174">
        <f t="shared" si="1"/>
      </c>
      <c r="AR38" s="174"/>
    </row>
    <row r="39" spans="1:44" ht="11.25">
      <c r="A39" s="176" t="s">
        <v>175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7">
        <v>900</v>
      </c>
      <c r="M39" s="177"/>
      <c r="N39" s="178">
        <v>1</v>
      </c>
      <c r="O39" s="178"/>
      <c r="P39" s="178"/>
      <c r="Q39" s="178"/>
      <c r="R39" s="169">
        <f t="shared" si="2"/>
        <v>900</v>
      </c>
      <c r="S39" s="169"/>
      <c r="Z39" s="308" t="s">
        <v>605</v>
      </c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172"/>
      <c r="AL39" s="172"/>
      <c r="AM39" s="173"/>
      <c r="AN39" s="173"/>
      <c r="AO39" s="173"/>
      <c r="AP39" s="173"/>
      <c r="AQ39" s="174">
        <f t="shared" si="1"/>
      </c>
      <c r="AR39" s="174"/>
    </row>
    <row r="40" spans="1:44" ht="11.2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2"/>
      <c r="M40" s="172"/>
      <c r="N40" s="173"/>
      <c r="O40" s="173"/>
      <c r="P40" s="173"/>
      <c r="Q40" s="173"/>
      <c r="R40" s="174">
        <f t="shared" si="2"/>
      </c>
      <c r="S40" s="174"/>
      <c r="Z40" s="308" t="s">
        <v>611</v>
      </c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172"/>
      <c r="AL40" s="172"/>
      <c r="AM40" s="173"/>
      <c r="AN40" s="173"/>
      <c r="AO40" s="173"/>
      <c r="AP40" s="173"/>
      <c r="AQ40" s="174">
        <f t="shared" si="1"/>
      </c>
      <c r="AR40" s="174"/>
    </row>
    <row r="41" spans="1:44" ht="11.2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2"/>
      <c r="M41" s="172"/>
      <c r="N41" s="173"/>
      <c r="O41" s="173"/>
      <c r="P41" s="173"/>
      <c r="Q41" s="173"/>
      <c r="R41" s="174">
        <f t="shared" si="2"/>
      </c>
      <c r="S41" s="174"/>
      <c r="Z41" s="308" t="s">
        <v>612</v>
      </c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172">
        <v>2000</v>
      </c>
      <c r="AL41" s="172"/>
      <c r="AM41" s="173">
        <v>8</v>
      </c>
      <c r="AN41" s="173"/>
      <c r="AO41" s="173"/>
      <c r="AP41" s="173"/>
      <c r="AQ41" s="174">
        <f t="shared" si="1"/>
        <v>16000</v>
      </c>
      <c r="AR41" s="174"/>
    </row>
    <row r="42" spans="1:44" ht="11.2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2"/>
      <c r="M42" s="172"/>
      <c r="N42" s="173"/>
      <c r="O42" s="173"/>
      <c r="P42" s="173"/>
      <c r="Q42" s="173"/>
      <c r="R42" s="174">
        <f t="shared" si="2"/>
      </c>
      <c r="S42" s="174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172"/>
      <c r="AL42" s="172"/>
      <c r="AM42" s="173"/>
      <c r="AN42" s="173"/>
      <c r="AO42" s="173"/>
      <c r="AP42" s="173"/>
      <c r="AQ42" s="174">
        <f t="shared" si="1"/>
      </c>
      <c r="AR42" s="174"/>
    </row>
    <row r="43" spans="1:44" ht="11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2"/>
      <c r="M43" s="182"/>
      <c r="N43" s="183"/>
      <c r="O43" s="183"/>
      <c r="P43" s="183"/>
      <c r="Q43" s="183"/>
      <c r="R43" s="179">
        <f t="shared" si="2"/>
      </c>
      <c r="S43" s="179"/>
      <c r="Z43" s="308" t="s">
        <v>613</v>
      </c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172"/>
      <c r="AL43" s="172"/>
      <c r="AM43" s="173"/>
      <c r="AN43" s="173"/>
      <c r="AO43" s="173"/>
      <c r="AP43" s="173"/>
      <c r="AQ43" s="174">
        <f t="shared" si="1"/>
      </c>
      <c r="AR43" s="174"/>
    </row>
    <row r="44" spans="1:44" ht="11.25">
      <c r="A44" s="176" t="s">
        <v>176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7">
        <v>1000</v>
      </c>
      <c r="M44" s="177"/>
      <c r="N44" s="178">
        <v>1</v>
      </c>
      <c r="O44" s="178"/>
      <c r="P44" s="189"/>
      <c r="Q44" s="189"/>
      <c r="R44" s="187">
        <f t="shared" si="2"/>
        <v>1000</v>
      </c>
      <c r="S44" s="169"/>
      <c r="Z44" s="308" t="s">
        <v>614</v>
      </c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172">
        <v>500</v>
      </c>
      <c r="AL44" s="172"/>
      <c r="AM44" s="173">
        <v>2</v>
      </c>
      <c r="AN44" s="173"/>
      <c r="AO44" s="173"/>
      <c r="AP44" s="173"/>
      <c r="AQ44" s="174">
        <f t="shared" si="1"/>
        <v>1000</v>
      </c>
      <c r="AR44" s="174"/>
    </row>
    <row r="45" spans="1:44" ht="11.25">
      <c r="A45" s="171" t="s">
        <v>177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2">
        <v>1500</v>
      </c>
      <c r="M45" s="172"/>
      <c r="N45" s="173">
        <v>1</v>
      </c>
      <c r="O45" s="173"/>
      <c r="P45" s="173"/>
      <c r="Q45" s="173"/>
      <c r="R45" s="188">
        <f t="shared" si="2"/>
        <v>1500</v>
      </c>
      <c r="S45" s="174"/>
      <c r="Z45" s="308" t="s">
        <v>616</v>
      </c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172"/>
      <c r="AL45" s="172"/>
      <c r="AM45" s="173"/>
      <c r="AN45" s="173"/>
      <c r="AO45" s="173"/>
      <c r="AP45" s="173"/>
      <c r="AQ45" s="174">
        <f t="shared" si="1"/>
      </c>
      <c r="AR45" s="174"/>
    </row>
    <row r="46" spans="1:44" ht="11.25">
      <c r="A46" s="171" t="s">
        <v>178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2">
        <v>100</v>
      </c>
      <c r="M46" s="172"/>
      <c r="N46" s="173">
        <v>1</v>
      </c>
      <c r="O46" s="173"/>
      <c r="P46" s="173"/>
      <c r="Q46" s="173"/>
      <c r="R46" s="188">
        <f t="shared" si="2"/>
        <v>100</v>
      </c>
      <c r="S46" s="174"/>
      <c r="Z46" s="308" t="s">
        <v>615</v>
      </c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172">
        <v>5000</v>
      </c>
      <c r="AL46" s="172"/>
      <c r="AM46" s="173">
        <v>1</v>
      </c>
      <c r="AN46" s="173"/>
      <c r="AO46" s="173"/>
      <c r="AP46" s="173"/>
      <c r="AQ46" s="174">
        <f t="shared" si="1"/>
        <v>5000</v>
      </c>
      <c r="AR46" s="174"/>
    </row>
    <row r="47" spans="1:44" ht="11.25">
      <c r="A47" s="171" t="s">
        <v>179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2">
        <v>250</v>
      </c>
      <c r="M47" s="172"/>
      <c r="N47" s="173">
        <v>1</v>
      </c>
      <c r="O47" s="173"/>
      <c r="P47" s="173"/>
      <c r="Q47" s="173"/>
      <c r="R47" s="188">
        <f t="shared" si="2"/>
        <v>250</v>
      </c>
      <c r="S47" s="174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172"/>
      <c r="AL47" s="172"/>
      <c r="AM47" s="173"/>
      <c r="AN47" s="173"/>
      <c r="AO47" s="173"/>
      <c r="AP47" s="173"/>
      <c r="AQ47" s="174">
        <f t="shared" si="1"/>
      </c>
      <c r="AR47" s="174"/>
    </row>
    <row r="48" spans="1:44" ht="11.25">
      <c r="A48" s="181" t="s">
        <v>180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>
        <v>50</v>
      </c>
      <c r="M48" s="182"/>
      <c r="N48" s="183">
        <v>1</v>
      </c>
      <c r="O48" s="183"/>
      <c r="P48" s="191"/>
      <c r="Q48" s="191"/>
      <c r="R48" s="190">
        <f t="shared" si="2"/>
        <v>50</v>
      </c>
      <c r="S48" s="179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172"/>
      <c r="AL48" s="172"/>
      <c r="AM48" s="173"/>
      <c r="AN48" s="173"/>
      <c r="AO48" s="173"/>
      <c r="AP48" s="173"/>
      <c r="AQ48" s="174">
        <f t="shared" si="1"/>
      </c>
      <c r="AR48" s="174"/>
    </row>
    <row r="49" spans="1:44" ht="11.25">
      <c r="A49" s="175" t="s">
        <v>579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7">
        <v>2000</v>
      </c>
      <c r="M49" s="177"/>
      <c r="N49" s="178">
        <v>1</v>
      </c>
      <c r="O49" s="178"/>
      <c r="P49" s="178"/>
      <c r="Q49" s="178"/>
      <c r="R49" s="169">
        <f t="shared" si="2"/>
        <v>2000</v>
      </c>
      <c r="S49" s="169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172"/>
      <c r="AL49" s="172"/>
      <c r="AM49" s="173"/>
      <c r="AN49" s="173"/>
      <c r="AO49" s="173"/>
      <c r="AP49" s="173"/>
      <c r="AQ49" s="174">
        <f t="shared" si="1"/>
      </c>
      <c r="AR49" s="174"/>
    </row>
    <row r="50" spans="1:44" ht="11.25">
      <c r="A50" s="170" t="s">
        <v>579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2">
        <v>2000</v>
      </c>
      <c r="M50" s="172"/>
      <c r="N50" s="173">
        <v>1</v>
      </c>
      <c r="O50" s="173"/>
      <c r="P50" s="173"/>
      <c r="Q50" s="173"/>
      <c r="R50" s="174">
        <f t="shared" si="2"/>
        <v>2000</v>
      </c>
      <c r="S50" s="174"/>
      <c r="Z50" s="175" t="s">
        <v>575</v>
      </c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2">
        <v>1300</v>
      </c>
      <c r="AL50" s="172"/>
      <c r="AM50" s="173">
        <v>1</v>
      </c>
      <c r="AN50" s="173"/>
      <c r="AO50" s="173"/>
      <c r="AP50" s="173"/>
      <c r="AQ50" s="174">
        <f t="shared" si="1"/>
        <v>1300</v>
      </c>
      <c r="AR50" s="174"/>
    </row>
    <row r="51" spans="1:44" ht="11.25">
      <c r="A51" s="192" t="s">
        <v>596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4"/>
      <c r="L51" s="195">
        <v>4000</v>
      </c>
      <c r="M51" s="196"/>
      <c r="N51" s="197">
        <v>1</v>
      </c>
      <c r="O51" s="198"/>
      <c r="P51" s="173"/>
      <c r="Q51" s="173"/>
      <c r="R51" s="174">
        <f t="shared" si="2"/>
        <v>4000</v>
      </c>
      <c r="S51" s="174"/>
      <c r="Z51" s="170" t="s">
        <v>576</v>
      </c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2">
        <v>2200</v>
      </c>
      <c r="AL51" s="172"/>
      <c r="AM51" s="173">
        <v>1</v>
      </c>
      <c r="AN51" s="173"/>
      <c r="AO51" s="173"/>
      <c r="AP51" s="173"/>
      <c r="AQ51" s="174">
        <f t="shared" si="1"/>
        <v>2200</v>
      </c>
      <c r="AR51" s="174"/>
    </row>
    <row r="52" spans="1:44" ht="11.25">
      <c r="A52" s="192" t="s">
        <v>595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4"/>
      <c r="L52" s="195">
        <v>400</v>
      </c>
      <c r="M52" s="196"/>
      <c r="N52" s="197">
        <v>1</v>
      </c>
      <c r="O52" s="198"/>
      <c r="P52" s="173"/>
      <c r="Q52" s="173"/>
      <c r="R52" s="174">
        <f t="shared" si="2"/>
        <v>400</v>
      </c>
      <c r="S52" s="174"/>
      <c r="Z52" s="171" t="s">
        <v>174</v>
      </c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2">
        <v>20</v>
      </c>
      <c r="AL52" s="172"/>
      <c r="AM52" s="173">
        <v>150</v>
      </c>
      <c r="AN52" s="173"/>
      <c r="AO52" s="173"/>
      <c r="AP52" s="173"/>
      <c r="AQ52" s="174">
        <f t="shared" si="1"/>
        <v>3000</v>
      </c>
      <c r="AR52" s="174"/>
    </row>
    <row r="53" spans="1:44" ht="11.25">
      <c r="A53" s="303" t="s">
        <v>597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5"/>
      <c r="L53" s="199">
        <v>600</v>
      </c>
      <c r="M53" s="200"/>
      <c r="N53" s="201">
        <v>1</v>
      </c>
      <c r="O53" s="202"/>
      <c r="P53" s="183"/>
      <c r="Q53" s="183"/>
      <c r="R53" s="179">
        <f t="shared" si="2"/>
        <v>600</v>
      </c>
      <c r="S53" s="179"/>
      <c r="Z53" s="170" t="s">
        <v>577</v>
      </c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2">
        <v>35</v>
      </c>
      <c r="AL53" s="172"/>
      <c r="AM53" s="173">
        <v>10</v>
      </c>
      <c r="AN53" s="173"/>
      <c r="AO53" s="173"/>
      <c r="AP53" s="173"/>
      <c r="AQ53" s="174">
        <f t="shared" si="1"/>
        <v>350</v>
      </c>
      <c r="AR53" s="174"/>
    </row>
    <row r="54" spans="1:44" ht="11.25">
      <c r="A54" s="176" t="s">
        <v>181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7">
        <v>5000</v>
      </c>
      <c r="M54" s="177"/>
      <c r="N54" s="178">
        <v>1</v>
      </c>
      <c r="O54" s="178"/>
      <c r="P54" s="178"/>
      <c r="Q54" s="178"/>
      <c r="R54" s="169">
        <f t="shared" si="2"/>
        <v>5000</v>
      </c>
      <c r="S54" s="169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72"/>
      <c r="AL54" s="172"/>
      <c r="AM54" s="173"/>
      <c r="AN54" s="173"/>
      <c r="AO54" s="173"/>
      <c r="AP54" s="173"/>
      <c r="AQ54" s="174">
        <f t="shared" si="1"/>
      </c>
      <c r="AR54" s="174"/>
    </row>
    <row r="55" spans="1:44" ht="11.25">
      <c r="A55" s="171" t="s">
        <v>182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2">
        <v>500</v>
      </c>
      <c r="M55" s="172"/>
      <c r="N55" s="173">
        <v>1</v>
      </c>
      <c r="O55" s="173"/>
      <c r="P55" s="173"/>
      <c r="Q55" s="173"/>
      <c r="R55" s="174">
        <f t="shared" si="2"/>
        <v>500</v>
      </c>
      <c r="S55" s="174"/>
      <c r="Z55" s="176" t="s">
        <v>175</v>
      </c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2">
        <v>900</v>
      </c>
      <c r="AL55" s="172"/>
      <c r="AM55" s="173">
        <v>1</v>
      </c>
      <c r="AN55" s="173"/>
      <c r="AO55" s="173"/>
      <c r="AP55" s="173"/>
      <c r="AQ55" s="174">
        <f t="shared" si="1"/>
        <v>900</v>
      </c>
      <c r="AR55" s="174"/>
    </row>
    <row r="56" spans="1:44" ht="11.25">
      <c r="A56" s="171" t="s">
        <v>183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2">
        <v>100</v>
      </c>
      <c r="M56" s="172"/>
      <c r="N56" s="173">
        <v>1</v>
      </c>
      <c r="O56" s="173"/>
      <c r="P56" s="173"/>
      <c r="Q56" s="173"/>
      <c r="R56" s="174">
        <f t="shared" si="2"/>
        <v>100</v>
      </c>
      <c r="S56" s="174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2"/>
      <c r="AL56" s="172"/>
      <c r="AM56" s="173"/>
      <c r="AN56" s="173"/>
      <c r="AO56" s="173"/>
      <c r="AP56" s="173"/>
      <c r="AQ56" s="174">
        <f t="shared" si="1"/>
      </c>
      <c r="AR56" s="174"/>
    </row>
    <row r="57" spans="1:44" ht="11.25">
      <c r="A57" s="171" t="s">
        <v>184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2">
        <v>50</v>
      </c>
      <c r="M57" s="172"/>
      <c r="N57" s="173">
        <v>1</v>
      </c>
      <c r="O57" s="173"/>
      <c r="P57" s="173"/>
      <c r="Q57" s="173"/>
      <c r="R57" s="174">
        <f t="shared" si="2"/>
        <v>50</v>
      </c>
      <c r="S57" s="174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2"/>
      <c r="AL57" s="172"/>
      <c r="AM57" s="173"/>
      <c r="AN57" s="173"/>
      <c r="AO57" s="173"/>
      <c r="AP57" s="173"/>
      <c r="AQ57" s="174">
        <f t="shared" si="1"/>
      </c>
      <c r="AR57" s="174"/>
    </row>
    <row r="58" spans="1:44" ht="11.2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2"/>
      <c r="M58" s="182"/>
      <c r="N58" s="183"/>
      <c r="O58" s="183"/>
      <c r="P58" s="183"/>
      <c r="Q58" s="183"/>
      <c r="R58" s="179">
        <f t="shared" si="2"/>
      </c>
      <c r="S58" s="179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2"/>
      <c r="AL58" s="172"/>
      <c r="AM58" s="173"/>
      <c r="AN58" s="173"/>
      <c r="AO58" s="173"/>
      <c r="AP58" s="173"/>
      <c r="AQ58" s="174">
        <f t="shared" si="1"/>
      </c>
      <c r="AR58" s="174"/>
    </row>
    <row r="59" spans="1:44" ht="11.25">
      <c r="A59" s="205" t="s">
        <v>185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6">
        <v>5000</v>
      </c>
      <c r="M59" s="206"/>
      <c r="N59" s="189">
        <v>1</v>
      </c>
      <c r="O59" s="189"/>
      <c r="P59" s="189"/>
      <c r="Q59" s="189"/>
      <c r="R59" s="169">
        <f t="shared" si="2"/>
        <v>5000</v>
      </c>
      <c r="S59" s="169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72"/>
      <c r="AL59" s="172"/>
      <c r="AM59" s="173"/>
      <c r="AN59" s="173"/>
      <c r="AO59" s="173"/>
      <c r="AP59" s="173"/>
      <c r="AQ59" s="174">
        <f t="shared" si="1"/>
      </c>
      <c r="AR59" s="174"/>
    </row>
    <row r="60" spans="1:44" ht="11.25">
      <c r="A60" s="207" t="s">
        <v>186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172">
        <v>50</v>
      </c>
      <c r="M60" s="172"/>
      <c r="N60" s="173">
        <v>2</v>
      </c>
      <c r="O60" s="173"/>
      <c r="P60" s="173"/>
      <c r="Q60" s="173"/>
      <c r="R60" s="174">
        <f t="shared" si="2"/>
        <v>100</v>
      </c>
      <c r="S60" s="174"/>
      <c r="Z60" s="306" t="s">
        <v>617</v>
      </c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172">
        <v>3000</v>
      </c>
      <c r="AL60" s="172"/>
      <c r="AM60" s="173">
        <v>1</v>
      </c>
      <c r="AN60" s="173"/>
      <c r="AO60" s="173"/>
      <c r="AP60" s="173"/>
      <c r="AQ60" s="174">
        <f t="shared" si="1"/>
        <v>3000</v>
      </c>
      <c r="AR60" s="174"/>
    </row>
    <row r="61" spans="1:44" ht="11.2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172"/>
      <c r="M61" s="172"/>
      <c r="N61" s="173"/>
      <c r="O61" s="173"/>
      <c r="P61" s="173"/>
      <c r="Q61" s="173"/>
      <c r="R61" s="174">
        <f t="shared" si="2"/>
      </c>
      <c r="S61" s="174"/>
      <c r="Z61" s="309" t="s">
        <v>618</v>
      </c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172">
        <v>500</v>
      </c>
      <c r="AL61" s="172"/>
      <c r="AM61" s="173">
        <v>1</v>
      </c>
      <c r="AN61" s="173"/>
      <c r="AO61" s="173"/>
      <c r="AP61" s="173"/>
      <c r="AQ61" s="174">
        <f t="shared" si="1"/>
        <v>500</v>
      </c>
      <c r="AR61" s="174"/>
    </row>
    <row r="62" spans="1:44" ht="11.25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172"/>
      <c r="M62" s="172"/>
      <c r="N62" s="173"/>
      <c r="O62" s="173"/>
      <c r="P62" s="173"/>
      <c r="Q62" s="173"/>
      <c r="R62" s="174">
        <f t="shared" si="2"/>
      </c>
      <c r="S62" s="174"/>
      <c r="Z62" s="170" t="s">
        <v>619</v>
      </c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2">
        <v>1500</v>
      </c>
      <c r="AL62" s="172"/>
      <c r="AM62" s="173">
        <v>1</v>
      </c>
      <c r="AN62" s="173"/>
      <c r="AO62" s="173"/>
      <c r="AP62" s="173"/>
      <c r="AQ62" s="174">
        <f t="shared" si="1"/>
        <v>1500</v>
      </c>
      <c r="AR62" s="174"/>
    </row>
    <row r="63" spans="1:44" ht="11.2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9"/>
      <c r="M63" s="209"/>
      <c r="N63" s="191"/>
      <c r="O63" s="191"/>
      <c r="P63" s="191"/>
      <c r="Q63" s="191"/>
      <c r="R63" s="179">
        <f t="shared" si="2"/>
      </c>
      <c r="S63" s="179"/>
      <c r="Z63" s="171" t="s">
        <v>178</v>
      </c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2">
        <v>100</v>
      </c>
      <c r="AL63" s="172"/>
      <c r="AM63" s="173">
        <v>1</v>
      </c>
      <c r="AN63" s="173"/>
      <c r="AO63" s="173"/>
      <c r="AP63" s="173"/>
      <c r="AQ63" s="174">
        <f t="shared" si="1"/>
        <v>100</v>
      </c>
      <c r="AR63" s="174"/>
    </row>
    <row r="64" spans="1:44" ht="11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 t="s">
        <v>173</v>
      </c>
      <c r="Q64" s="131"/>
      <c r="R64" s="211">
        <f>SUM(R4:S63)</f>
        <v>169600</v>
      </c>
      <c r="S64" s="211"/>
      <c r="Z64" s="171" t="s">
        <v>179</v>
      </c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2">
        <v>250</v>
      </c>
      <c r="AL64" s="172"/>
      <c r="AM64" s="173">
        <v>1</v>
      </c>
      <c r="AN64" s="173"/>
      <c r="AO64" s="173"/>
      <c r="AP64" s="173"/>
      <c r="AQ64" s="174">
        <f t="shared" si="1"/>
        <v>250</v>
      </c>
      <c r="AR64" s="174"/>
    </row>
    <row r="65" spans="26:44" ht="11.25">
      <c r="Z65" s="181" t="s">
        <v>180</v>
      </c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72">
        <v>50</v>
      </c>
      <c r="AL65" s="172"/>
      <c r="AM65" s="173">
        <v>1</v>
      </c>
      <c r="AN65" s="173"/>
      <c r="AO65" s="173"/>
      <c r="AP65" s="173"/>
      <c r="AQ65" s="174">
        <f t="shared" si="1"/>
        <v>50</v>
      </c>
      <c r="AR65" s="174"/>
    </row>
    <row r="66" spans="26:44" ht="11.25">
      <c r="Z66" s="175" t="s">
        <v>579</v>
      </c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2">
        <v>2000</v>
      </c>
      <c r="AL66" s="172"/>
      <c r="AM66" s="173">
        <v>1</v>
      </c>
      <c r="AN66" s="173"/>
      <c r="AO66" s="173"/>
      <c r="AP66" s="173"/>
      <c r="AQ66" s="174">
        <f t="shared" si="1"/>
        <v>2000</v>
      </c>
      <c r="AR66" s="174"/>
    </row>
    <row r="67" spans="12:44" ht="11.25">
      <c r="L67" s="100" t="s">
        <v>145</v>
      </c>
      <c r="M67" s="100"/>
      <c r="N67" s="100"/>
      <c r="O67" s="100"/>
      <c r="P67" s="210">
        <f>サイバーウェア!J57</f>
        <v>39500</v>
      </c>
      <c r="Q67" s="210"/>
      <c r="R67" s="210"/>
      <c r="S67" s="210"/>
      <c r="Z67" s="170" t="s">
        <v>579</v>
      </c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2">
        <v>2000</v>
      </c>
      <c r="AL67" s="172"/>
      <c r="AM67" s="173">
        <v>1</v>
      </c>
      <c r="AN67" s="173"/>
      <c r="AO67" s="173"/>
      <c r="AP67" s="173"/>
      <c r="AQ67" s="174">
        <f t="shared" si="1"/>
        <v>2000</v>
      </c>
      <c r="AR67" s="174"/>
    </row>
    <row r="68" spans="12:44" ht="11.25">
      <c r="L68" s="100"/>
      <c r="M68" s="100"/>
      <c r="N68" s="100"/>
      <c r="O68" s="100"/>
      <c r="P68" s="210"/>
      <c r="Q68" s="210"/>
      <c r="R68" s="210"/>
      <c r="S68" s="210"/>
      <c r="Z68" s="192" t="s">
        <v>596</v>
      </c>
      <c r="AA68" s="193"/>
      <c r="AB68" s="193"/>
      <c r="AC68" s="193"/>
      <c r="AD68" s="193"/>
      <c r="AE68" s="193"/>
      <c r="AF68" s="193"/>
      <c r="AG68" s="193"/>
      <c r="AH68" s="193"/>
      <c r="AI68" s="193"/>
      <c r="AJ68" s="194"/>
      <c r="AK68" s="172">
        <v>4000</v>
      </c>
      <c r="AL68" s="172"/>
      <c r="AM68" s="173">
        <v>1</v>
      </c>
      <c r="AN68" s="173"/>
      <c r="AO68" s="173"/>
      <c r="AP68" s="173"/>
      <c r="AQ68" s="174">
        <f t="shared" si="1"/>
        <v>4000</v>
      </c>
      <c r="AR68" s="174"/>
    </row>
    <row r="69" spans="12:44" ht="11.25">
      <c r="L69" s="100" t="s">
        <v>171</v>
      </c>
      <c r="M69" s="100"/>
      <c r="N69" s="100"/>
      <c r="O69" s="100"/>
      <c r="P69" s="210">
        <f>SUM(R4:S63)</f>
        <v>169600</v>
      </c>
      <c r="Q69" s="210"/>
      <c r="R69" s="210"/>
      <c r="S69" s="210"/>
      <c r="Z69" s="192" t="s">
        <v>595</v>
      </c>
      <c r="AA69" s="203"/>
      <c r="AB69" s="203"/>
      <c r="AC69" s="203"/>
      <c r="AD69" s="203"/>
      <c r="AE69" s="203"/>
      <c r="AF69" s="203"/>
      <c r="AG69" s="203"/>
      <c r="AH69" s="203"/>
      <c r="AI69" s="203"/>
      <c r="AJ69" s="204"/>
      <c r="AK69" s="172">
        <v>400</v>
      </c>
      <c r="AL69" s="172"/>
      <c r="AM69" s="173">
        <v>1</v>
      </c>
      <c r="AN69" s="173"/>
      <c r="AO69" s="173"/>
      <c r="AP69" s="173"/>
      <c r="AQ69" s="174">
        <f t="shared" si="1"/>
        <v>400</v>
      </c>
      <c r="AR69" s="174"/>
    </row>
    <row r="70" spans="12:44" ht="11.25">
      <c r="L70" s="100"/>
      <c r="M70" s="100"/>
      <c r="N70" s="100"/>
      <c r="O70" s="100"/>
      <c r="P70" s="210"/>
      <c r="Q70" s="210"/>
      <c r="R70" s="210"/>
      <c r="S70" s="210"/>
      <c r="Z70" s="303" t="s">
        <v>610</v>
      </c>
      <c r="AA70" s="304"/>
      <c r="AB70" s="304"/>
      <c r="AC70" s="304"/>
      <c r="AD70" s="304"/>
      <c r="AE70" s="304"/>
      <c r="AF70" s="304"/>
      <c r="AG70" s="304"/>
      <c r="AH70" s="304"/>
      <c r="AI70" s="304"/>
      <c r="AJ70" s="305"/>
      <c r="AK70" s="172">
        <v>400</v>
      </c>
      <c r="AL70" s="172"/>
      <c r="AM70" s="173">
        <v>1</v>
      </c>
      <c r="AN70" s="173"/>
      <c r="AO70" s="173"/>
      <c r="AP70" s="173"/>
      <c r="AQ70" s="174">
        <f t="shared" si="1"/>
        <v>400</v>
      </c>
      <c r="AR70" s="174"/>
    </row>
    <row r="71" spans="12:44" ht="11.25">
      <c r="L71" s="100" t="s">
        <v>187</v>
      </c>
      <c r="M71" s="100"/>
      <c r="N71" s="100"/>
      <c r="O71" s="100"/>
      <c r="P71" s="210">
        <f>Main!K14-P67-P69</f>
        <v>900</v>
      </c>
      <c r="Q71" s="210"/>
      <c r="R71" s="210"/>
      <c r="S71" s="210"/>
      <c r="Z71" s="176" t="s">
        <v>181</v>
      </c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2">
        <v>5000</v>
      </c>
      <c r="AL71" s="172"/>
      <c r="AM71" s="173">
        <v>1</v>
      </c>
      <c r="AN71" s="173"/>
      <c r="AO71" s="173"/>
      <c r="AP71" s="173"/>
      <c r="AQ71" s="174">
        <f t="shared" si="1"/>
        <v>5000</v>
      </c>
      <c r="AR71" s="174"/>
    </row>
    <row r="72" spans="12:44" ht="11.25">
      <c r="L72" s="100"/>
      <c r="M72" s="100"/>
      <c r="N72" s="100"/>
      <c r="O72" s="100"/>
      <c r="P72" s="210"/>
      <c r="Q72" s="210"/>
      <c r="R72" s="210"/>
      <c r="S72" s="210"/>
      <c r="Z72" s="171" t="s">
        <v>182</v>
      </c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2">
        <v>500</v>
      </c>
      <c r="AL72" s="172"/>
      <c r="AM72" s="173">
        <v>1</v>
      </c>
      <c r="AN72" s="173"/>
      <c r="AO72" s="173"/>
      <c r="AP72" s="173"/>
      <c r="AQ72" s="174">
        <f t="shared" si="1"/>
        <v>500</v>
      </c>
      <c r="AR72" s="174"/>
    </row>
    <row r="73" spans="26:44" ht="11.25">
      <c r="Z73" s="171" t="s">
        <v>183</v>
      </c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2">
        <v>100</v>
      </c>
      <c r="AL73" s="172"/>
      <c r="AM73" s="173">
        <v>1</v>
      </c>
      <c r="AN73" s="173"/>
      <c r="AO73" s="173"/>
      <c r="AP73" s="173"/>
      <c r="AQ73" s="174">
        <f t="shared" si="1"/>
        <v>100</v>
      </c>
      <c r="AR73" s="174"/>
    </row>
    <row r="74" spans="26:44" ht="11.25">
      <c r="Z74" s="171" t="s">
        <v>184</v>
      </c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2">
        <v>50</v>
      </c>
      <c r="AL74" s="172"/>
      <c r="AM74" s="173">
        <v>1</v>
      </c>
      <c r="AN74" s="173"/>
      <c r="AO74" s="173"/>
      <c r="AP74" s="173"/>
      <c r="AQ74" s="174">
        <f t="shared" si="1"/>
        <v>50</v>
      </c>
      <c r="AR74" s="174"/>
    </row>
    <row r="75" spans="26:44" ht="11.25"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2"/>
      <c r="AL75" s="172"/>
      <c r="AM75" s="173"/>
      <c r="AN75" s="173"/>
      <c r="AO75" s="173"/>
      <c r="AP75" s="173"/>
      <c r="AQ75" s="174">
        <f t="shared" si="1"/>
      </c>
      <c r="AR75" s="174"/>
    </row>
    <row r="76" spans="26:44" ht="11.25">
      <c r="Z76" s="171" t="s">
        <v>185</v>
      </c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2">
        <v>5000</v>
      </c>
      <c r="AL76" s="172"/>
      <c r="AM76" s="173">
        <v>1</v>
      </c>
      <c r="AN76" s="173"/>
      <c r="AO76" s="173"/>
      <c r="AP76" s="173"/>
      <c r="AQ76" s="174">
        <f t="shared" si="1"/>
        <v>5000</v>
      </c>
      <c r="AR76" s="174"/>
    </row>
    <row r="77" spans="26:44" ht="11.25">
      <c r="Z77" s="171" t="s">
        <v>186</v>
      </c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2">
        <v>50</v>
      </c>
      <c r="AL77" s="172"/>
      <c r="AM77" s="173">
        <v>2</v>
      </c>
      <c r="AN77" s="173"/>
      <c r="AO77" s="173"/>
      <c r="AP77" s="173"/>
      <c r="AQ77" s="174">
        <f t="shared" si="1"/>
        <v>100</v>
      </c>
      <c r="AR77" s="174"/>
    </row>
    <row r="78" spans="26:44" ht="11.25"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2"/>
      <c r="AL78" s="172"/>
      <c r="AM78" s="173"/>
      <c r="AN78" s="173"/>
      <c r="AO78" s="173"/>
      <c r="AP78" s="173"/>
      <c r="AQ78" s="174">
        <f t="shared" si="1"/>
      </c>
      <c r="AR78" s="174"/>
    </row>
    <row r="79" spans="26:44" ht="11.25"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2"/>
      <c r="AL79" s="172"/>
      <c r="AM79" s="173"/>
      <c r="AN79" s="173"/>
      <c r="AO79" s="173"/>
      <c r="AP79" s="173"/>
      <c r="AQ79" s="174">
        <f>IF(AM79="","",AK79*AM79)</f>
      </c>
      <c r="AR79" s="174"/>
    </row>
    <row r="80" spans="26:44" ht="11.25"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209"/>
      <c r="AL80" s="209"/>
      <c r="AM80" s="191"/>
      <c r="AN80" s="191"/>
      <c r="AO80" s="191"/>
      <c r="AP80" s="191"/>
      <c r="AQ80" s="179">
        <f>IF(AM80="","",AK80*AM80)</f>
      </c>
      <c r="AR80" s="179"/>
    </row>
    <row r="81" spans="26:44" ht="11.25"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 t="s">
        <v>173</v>
      </c>
      <c r="AP81" s="131"/>
      <c r="AQ81" s="211">
        <f>SUM(AQ20:AR80)</f>
        <v>169900</v>
      </c>
      <c r="AR81" s="211"/>
    </row>
    <row r="84" spans="37:44" ht="11.25">
      <c r="AK84" s="100" t="s">
        <v>145</v>
      </c>
      <c r="AL84" s="100"/>
      <c r="AM84" s="100"/>
      <c r="AN84" s="100"/>
      <c r="AO84" s="210">
        <v>39500</v>
      </c>
      <c r="AP84" s="210"/>
      <c r="AQ84" s="210"/>
      <c r="AR84" s="210"/>
    </row>
    <row r="85" spans="37:44" ht="11.25">
      <c r="AK85" s="100"/>
      <c r="AL85" s="100"/>
      <c r="AM85" s="100"/>
      <c r="AN85" s="100"/>
      <c r="AO85" s="210"/>
      <c r="AP85" s="210"/>
      <c r="AQ85" s="210"/>
      <c r="AR85" s="210"/>
    </row>
    <row r="86" spans="37:44" ht="11.25">
      <c r="AK86" s="100" t="s">
        <v>171</v>
      </c>
      <c r="AL86" s="100"/>
      <c r="AM86" s="100"/>
      <c r="AN86" s="100"/>
      <c r="AO86" s="210">
        <f>SUM(AQ20:AR80)</f>
        <v>169900</v>
      </c>
      <c r="AP86" s="210"/>
      <c r="AQ86" s="210"/>
      <c r="AR86" s="210"/>
    </row>
    <row r="87" spans="37:44" ht="11.25">
      <c r="AK87" s="100"/>
      <c r="AL87" s="100"/>
      <c r="AM87" s="100"/>
      <c r="AN87" s="100"/>
      <c r="AO87" s="210"/>
      <c r="AP87" s="210"/>
      <c r="AQ87" s="210"/>
      <c r="AR87" s="210"/>
    </row>
    <row r="88" spans="37:44" ht="11.25">
      <c r="AK88" s="100" t="s">
        <v>187</v>
      </c>
      <c r="AL88" s="100"/>
      <c r="AM88" s="100"/>
      <c r="AN88" s="100"/>
      <c r="AO88" s="210">
        <f>210000-AO84-AO86</f>
        <v>600</v>
      </c>
      <c r="AP88" s="210"/>
      <c r="AQ88" s="210"/>
      <c r="AR88" s="210"/>
    </row>
    <row r="89" spans="37:44" ht="17.25">
      <c r="AK89" s="100"/>
      <c r="AL89" s="100"/>
      <c r="AM89" s="100"/>
      <c r="AN89" s="100"/>
      <c r="AO89" s="210"/>
      <c r="AP89" s="210"/>
      <c r="AQ89" s="210"/>
      <c r="AR89" s="210"/>
    </row>
  </sheetData>
  <mergeCells count="635">
    <mergeCell ref="Z31:AJ31"/>
    <mergeCell ref="Z61:AJ61"/>
    <mergeCell ref="AK61:AL61"/>
    <mergeCell ref="AM61:AN61"/>
    <mergeCell ref="AQ44:AR44"/>
    <mergeCell ref="AQ45:AR45"/>
    <mergeCell ref="Z37:AJ37"/>
    <mergeCell ref="AK37:AL37"/>
    <mergeCell ref="AM37:AN37"/>
    <mergeCell ref="AO37:AP37"/>
    <mergeCell ref="AQ37:AR37"/>
    <mergeCell ref="AK88:AN89"/>
    <mergeCell ref="AO88:AR89"/>
    <mergeCell ref="Z43:AJ43"/>
    <mergeCell ref="Z44:AJ44"/>
    <mergeCell ref="Z45:AJ45"/>
    <mergeCell ref="AK43:AL43"/>
    <mergeCell ref="AK44:AL44"/>
    <mergeCell ref="AK45:AL45"/>
    <mergeCell ref="AM43:AN43"/>
    <mergeCell ref="AM44:AN44"/>
    <mergeCell ref="AQ81:AR81"/>
    <mergeCell ref="AK84:AN85"/>
    <mergeCell ref="AO84:AR85"/>
    <mergeCell ref="AK86:AN87"/>
    <mergeCell ref="AO86:AR87"/>
    <mergeCell ref="Z81:AJ81"/>
    <mergeCell ref="AK81:AL81"/>
    <mergeCell ref="AM81:AN81"/>
    <mergeCell ref="AO81:AP81"/>
    <mergeCell ref="AQ79:AR79"/>
    <mergeCell ref="Z80:AJ80"/>
    <mergeCell ref="AK80:AL80"/>
    <mergeCell ref="AM80:AN80"/>
    <mergeCell ref="AO80:AP80"/>
    <mergeCell ref="AQ80:AR80"/>
    <mergeCell ref="Z79:AJ79"/>
    <mergeCell ref="AK79:AL79"/>
    <mergeCell ref="AM79:AN79"/>
    <mergeCell ref="AO79:AP79"/>
    <mergeCell ref="AQ77:AR77"/>
    <mergeCell ref="Z78:AJ78"/>
    <mergeCell ref="AK78:AL78"/>
    <mergeCell ref="AM78:AN78"/>
    <mergeCell ref="AO78:AP78"/>
    <mergeCell ref="AQ78:AR78"/>
    <mergeCell ref="Z77:AJ77"/>
    <mergeCell ref="AK77:AL77"/>
    <mergeCell ref="AM77:AN77"/>
    <mergeCell ref="AO77:AP77"/>
    <mergeCell ref="AQ75:AR75"/>
    <mergeCell ref="Z76:AJ76"/>
    <mergeCell ref="AK76:AL76"/>
    <mergeCell ref="AM76:AN76"/>
    <mergeCell ref="AO76:AP76"/>
    <mergeCell ref="AQ76:AR76"/>
    <mergeCell ref="Z75:AJ75"/>
    <mergeCell ref="AK75:AL75"/>
    <mergeCell ref="AM75:AN75"/>
    <mergeCell ref="AO75:AP75"/>
    <mergeCell ref="AQ73:AR73"/>
    <mergeCell ref="Z74:AJ74"/>
    <mergeCell ref="AK74:AL74"/>
    <mergeCell ref="AM74:AN74"/>
    <mergeCell ref="AO74:AP74"/>
    <mergeCell ref="AQ74:AR74"/>
    <mergeCell ref="Z73:AJ73"/>
    <mergeCell ref="AK73:AL73"/>
    <mergeCell ref="AM73:AN73"/>
    <mergeCell ref="AO73:AP73"/>
    <mergeCell ref="AQ71:AR71"/>
    <mergeCell ref="Z72:AJ72"/>
    <mergeCell ref="AK72:AL72"/>
    <mergeCell ref="AM72:AN72"/>
    <mergeCell ref="AO72:AP72"/>
    <mergeCell ref="AQ72:AR72"/>
    <mergeCell ref="Z71:AJ71"/>
    <mergeCell ref="AK71:AL71"/>
    <mergeCell ref="AM71:AN71"/>
    <mergeCell ref="AO71:AP71"/>
    <mergeCell ref="AQ69:AR69"/>
    <mergeCell ref="Z70:AJ70"/>
    <mergeCell ref="AK70:AL70"/>
    <mergeCell ref="AM70:AN70"/>
    <mergeCell ref="AO70:AP70"/>
    <mergeCell ref="AQ70:AR70"/>
    <mergeCell ref="Z69:AJ69"/>
    <mergeCell ref="AK69:AL69"/>
    <mergeCell ref="AM69:AN69"/>
    <mergeCell ref="AO69:AP69"/>
    <mergeCell ref="AQ67:AR67"/>
    <mergeCell ref="Z68:AJ68"/>
    <mergeCell ref="AK68:AL68"/>
    <mergeCell ref="AM68:AN68"/>
    <mergeCell ref="AO68:AP68"/>
    <mergeCell ref="AQ68:AR68"/>
    <mergeCell ref="Z67:AJ67"/>
    <mergeCell ref="AK67:AL67"/>
    <mergeCell ref="AM67:AN67"/>
    <mergeCell ref="AO67:AP67"/>
    <mergeCell ref="AQ65:AR65"/>
    <mergeCell ref="Z66:AJ66"/>
    <mergeCell ref="AK66:AL66"/>
    <mergeCell ref="AM66:AN66"/>
    <mergeCell ref="AO66:AP66"/>
    <mergeCell ref="AQ66:AR66"/>
    <mergeCell ref="Z65:AJ65"/>
    <mergeCell ref="AK65:AL65"/>
    <mergeCell ref="AM65:AN65"/>
    <mergeCell ref="AO65:AP65"/>
    <mergeCell ref="AQ63:AR63"/>
    <mergeCell ref="Z64:AJ64"/>
    <mergeCell ref="AK64:AL64"/>
    <mergeCell ref="AM64:AN64"/>
    <mergeCell ref="AO64:AP64"/>
    <mergeCell ref="AQ64:AR64"/>
    <mergeCell ref="Z63:AJ63"/>
    <mergeCell ref="AK63:AL63"/>
    <mergeCell ref="AM63:AN63"/>
    <mergeCell ref="AO63:AP63"/>
    <mergeCell ref="AQ60:AR60"/>
    <mergeCell ref="Z62:AJ62"/>
    <mergeCell ref="AK62:AL62"/>
    <mergeCell ref="AM62:AN62"/>
    <mergeCell ref="AO62:AP62"/>
    <mergeCell ref="AQ62:AR62"/>
    <mergeCell ref="AO61:AP61"/>
    <mergeCell ref="AQ61:AR61"/>
    <mergeCell ref="Z60:AJ60"/>
    <mergeCell ref="AK60:AL60"/>
    <mergeCell ref="AM60:AN60"/>
    <mergeCell ref="AO60:AP60"/>
    <mergeCell ref="AQ58:AR58"/>
    <mergeCell ref="Z59:AJ59"/>
    <mergeCell ref="AK59:AL59"/>
    <mergeCell ref="AM59:AN59"/>
    <mergeCell ref="AO59:AP59"/>
    <mergeCell ref="AQ59:AR59"/>
    <mergeCell ref="Z58:AJ58"/>
    <mergeCell ref="AK58:AL58"/>
    <mergeCell ref="AM58:AN58"/>
    <mergeCell ref="AO58:AP58"/>
    <mergeCell ref="AQ56:AR56"/>
    <mergeCell ref="Z57:AJ57"/>
    <mergeCell ref="AK57:AL57"/>
    <mergeCell ref="AM57:AN57"/>
    <mergeCell ref="AO57:AP57"/>
    <mergeCell ref="AQ57:AR57"/>
    <mergeCell ref="Z56:AJ56"/>
    <mergeCell ref="AK56:AL56"/>
    <mergeCell ref="AM56:AN56"/>
    <mergeCell ref="AO56:AP56"/>
    <mergeCell ref="AQ54:AR54"/>
    <mergeCell ref="Z55:AJ55"/>
    <mergeCell ref="AK55:AL55"/>
    <mergeCell ref="AM55:AN55"/>
    <mergeCell ref="AO55:AP55"/>
    <mergeCell ref="AQ55:AR55"/>
    <mergeCell ref="Z54:AJ54"/>
    <mergeCell ref="AK54:AL54"/>
    <mergeCell ref="AM54:AN54"/>
    <mergeCell ref="AO54:AP54"/>
    <mergeCell ref="AQ52:AR52"/>
    <mergeCell ref="Z53:AJ53"/>
    <mergeCell ref="AK53:AL53"/>
    <mergeCell ref="AM53:AN53"/>
    <mergeCell ref="AO53:AP53"/>
    <mergeCell ref="AQ53:AR53"/>
    <mergeCell ref="Z52:AJ52"/>
    <mergeCell ref="AK52:AL52"/>
    <mergeCell ref="AM52:AN52"/>
    <mergeCell ref="AO52:AP52"/>
    <mergeCell ref="AQ50:AR50"/>
    <mergeCell ref="Z51:AJ51"/>
    <mergeCell ref="AK51:AL51"/>
    <mergeCell ref="AM51:AN51"/>
    <mergeCell ref="AO51:AP51"/>
    <mergeCell ref="AQ51:AR51"/>
    <mergeCell ref="Z50:AJ50"/>
    <mergeCell ref="AK50:AL50"/>
    <mergeCell ref="AM50:AN50"/>
    <mergeCell ref="AO50:AP50"/>
    <mergeCell ref="AQ48:AR48"/>
    <mergeCell ref="Z49:AJ49"/>
    <mergeCell ref="AK49:AL49"/>
    <mergeCell ref="AM49:AN49"/>
    <mergeCell ref="AO49:AP49"/>
    <mergeCell ref="AQ49:AR49"/>
    <mergeCell ref="Z48:AJ48"/>
    <mergeCell ref="AK48:AL48"/>
    <mergeCell ref="AM48:AN48"/>
    <mergeCell ref="AO48:AP48"/>
    <mergeCell ref="AQ39:AR39"/>
    <mergeCell ref="Z47:AJ47"/>
    <mergeCell ref="AK47:AL47"/>
    <mergeCell ref="AM47:AN47"/>
    <mergeCell ref="AO47:AP47"/>
    <mergeCell ref="AQ47:AR47"/>
    <mergeCell ref="AM45:AN45"/>
    <mergeCell ref="AO43:AP43"/>
    <mergeCell ref="AO44:AP44"/>
    <mergeCell ref="AO45:AP45"/>
    <mergeCell ref="Z39:AJ39"/>
    <mergeCell ref="AK39:AL39"/>
    <mergeCell ref="AM39:AN39"/>
    <mergeCell ref="AO39:AP39"/>
    <mergeCell ref="AQ36:AR36"/>
    <mergeCell ref="Z38:AJ38"/>
    <mergeCell ref="AK38:AL38"/>
    <mergeCell ref="AM38:AN38"/>
    <mergeCell ref="AO38:AP38"/>
    <mergeCell ref="AQ38:AR38"/>
    <mergeCell ref="Z36:AJ36"/>
    <mergeCell ref="AK36:AL36"/>
    <mergeCell ref="AM36:AN36"/>
    <mergeCell ref="AO36:AP36"/>
    <mergeCell ref="AQ46:AR46"/>
    <mergeCell ref="Z46:AJ46"/>
    <mergeCell ref="AK46:AL46"/>
    <mergeCell ref="AM46:AN46"/>
    <mergeCell ref="AO46:AP46"/>
    <mergeCell ref="AQ35:AR35"/>
    <mergeCell ref="Z35:AJ35"/>
    <mergeCell ref="AK35:AL35"/>
    <mergeCell ref="AM35:AN35"/>
    <mergeCell ref="AO35:AP35"/>
    <mergeCell ref="AQ42:AR42"/>
    <mergeCell ref="Z34:AJ34"/>
    <mergeCell ref="AK34:AL34"/>
    <mergeCell ref="AM34:AN34"/>
    <mergeCell ref="AO34:AP34"/>
    <mergeCell ref="AQ34:AR34"/>
    <mergeCell ref="AQ43:AR43"/>
    <mergeCell ref="Z42:AJ42"/>
    <mergeCell ref="AK42:AL42"/>
    <mergeCell ref="AM42:AN42"/>
    <mergeCell ref="AO42:AP42"/>
    <mergeCell ref="AQ40:AR40"/>
    <mergeCell ref="Z41:AJ41"/>
    <mergeCell ref="AK41:AL41"/>
    <mergeCell ref="AM41:AN41"/>
    <mergeCell ref="AO41:AP41"/>
    <mergeCell ref="AQ41:AR41"/>
    <mergeCell ref="Z40:AJ40"/>
    <mergeCell ref="AK40:AL40"/>
    <mergeCell ref="AM40:AN40"/>
    <mergeCell ref="AO40:AP40"/>
    <mergeCell ref="AQ30:AR30"/>
    <mergeCell ref="Z33:AJ33"/>
    <mergeCell ref="AK33:AL33"/>
    <mergeCell ref="AM33:AN33"/>
    <mergeCell ref="AO33:AP33"/>
    <mergeCell ref="AQ33:AR33"/>
    <mergeCell ref="AK31:AL31"/>
    <mergeCell ref="AM31:AN31"/>
    <mergeCell ref="AO31:AP31"/>
    <mergeCell ref="AQ31:AR31"/>
    <mergeCell ref="Z30:AJ30"/>
    <mergeCell ref="AK30:AL30"/>
    <mergeCell ref="AM30:AN30"/>
    <mergeCell ref="AO30:AP30"/>
    <mergeCell ref="AQ32:AR32"/>
    <mergeCell ref="Z32:AJ32"/>
    <mergeCell ref="AK32:AL32"/>
    <mergeCell ref="AM32:AN32"/>
    <mergeCell ref="AO32:AP32"/>
    <mergeCell ref="AQ28:AR28"/>
    <mergeCell ref="Z29:AJ29"/>
    <mergeCell ref="AK29:AL29"/>
    <mergeCell ref="AM29:AN29"/>
    <mergeCell ref="AO29:AP29"/>
    <mergeCell ref="AQ29:AR29"/>
    <mergeCell ref="AO28:AP28"/>
    <mergeCell ref="Z28:AJ28"/>
    <mergeCell ref="AK28:AL28"/>
    <mergeCell ref="AM28:AN28"/>
    <mergeCell ref="AQ25:AR25"/>
    <mergeCell ref="Z26:AJ26"/>
    <mergeCell ref="AK26:AL26"/>
    <mergeCell ref="AM26:AN26"/>
    <mergeCell ref="AO26:AP26"/>
    <mergeCell ref="AQ26:AR26"/>
    <mergeCell ref="Z25:AJ25"/>
    <mergeCell ref="AK25:AL25"/>
    <mergeCell ref="AM25:AN25"/>
    <mergeCell ref="AO25:AP25"/>
    <mergeCell ref="Z27:AJ27"/>
    <mergeCell ref="AK27:AL27"/>
    <mergeCell ref="AM27:AN27"/>
    <mergeCell ref="AO27:AP27"/>
    <mergeCell ref="AQ27:AR27"/>
    <mergeCell ref="AQ24:AR24"/>
    <mergeCell ref="Z24:AJ24"/>
    <mergeCell ref="AK24:AL24"/>
    <mergeCell ref="AM24:AN24"/>
    <mergeCell ref="AO24:AP24"/>
    <mergeCell ref="AQ22:AR22"/>
    <mergeCell ref="Z23:AJ23"/>
    <mergeCell ref="AK23:AL23"/>
    <mergeCell ref="AM23:AN23"/>
    <mergeCell ref="AO23:AP23"/>
    <mergeCell ref="AQ23:AR23"/>
    <mergeCell ref="Z22:AJ22"/>
    <mergeCell ref="AK22:AL22"/>
    <mergeCell ref="AM22:AN22"/>
    <mergeCell ref="AO22:AP22"/>
    <mergeCell ref="AQ20:AR20"/>
    <mergeCell ref="Z21:AJ21"/>
    <mergeCell ref="AK21:AL21"/>
    <mergeCell ref="AM21:AN21"/>
    <mergeCell ref="AO21:AP21"/>
    <mergeCell ref="AQ21:AR21"/>
    <mergeCell ref="Z20:AJ20"/>
    <mergeCell ref="AK20:AL20"/>
    <mergeCell ref="AM20:AN20"/>
    <mergeCell ref="AO20:AP20"/>
    <mergeCell ref="AK19:AL19"/>
    <mergeCell ref="AM19:AN19"/>
    <mergeCell ref="AO19:AP19"/>
    <mergeCell ref="AQ19:AR19"/>
    <mergeCell ref="L71:O72"/>
    <mergeCell ref="P71:S72"/>
    <mergeCell ref="R64:S64"/>
    <mergeCell ref="L67:O68"/>
    <mergeCell ref="P67:S68"/>
    <mergeCell ref="L69:O70"/>
    <mergeCell ref="P69:S70"/>
    <mergeCell ref="A64:K64"/>
    <mergeCell ref="L64:M64"/>
    <mergeCell ref="N64:O64"/>
    <mergeCell ref="P64:Q64"/>
    <mergeCell ref="R62:S62"/>
    <mergeCell ref="A63:K63"/>
    <mergeCell ref="L63:M63"/>
    <mergeCell ref="N63:O63"/>
    <mergeCell ref="P63:Q63"/>
    <mergeCell ref="R63:S63"/>
    <mergeCell ref="A62:K62"/>
    <mergeCell ref="L62:M62"/>
    <mergeCell ref="N62:O62"/>
    <mergeCell ref="P62:Q62"/>
    <mergeCell ref="R60:S60"/>
    <mergeCell ref="A61:K61"/>
    <mergeCell ref="L61:M61"/>
    <mergeCell ref="N61:O61"/>
    <mergeCell ref="P61:Q61"/>
    <mergeCell ref="R61:S61"/>
    <mergeCell ref="A60:K60"/>
    <mergeCell ref="L60:M60"/>
    <mergeCell ref="N60:O60"/>
    <mergeCell ref="P60:Q60"/>
    <mergeCell ref="R58:S58"/>
    <mergeCell ref="A59:K59"/>
    <mergeCell ref="L59:M59"/>
    <mergeCell ref="N59:O59"/>
    <mergeCell ref="P59:Q59"/>
    <mergeCell ref="R59:S59"/>
    <mergeCell ref="A58:K58"/>
    <mergeCell ref="L58:M58"/>
    <mergeCell ref="N58:O58"/>
    <mergeCell ref="P58:Q58"/>
    <mergeCell ref="R56:S56"/>
    <mergeCell ref="A57:K57"/>
    <mergeCell ref="L57:M57"/>
    <mergeCell ref="N57:O57"/>
    <mergeCell ref="P57:Q57"/>
    <mergeCell ref="R57:S57"/>
    <mergeCell ref="A56:K56"/>
    <mergeCell ref="L56:M56"/>
    <mergeCell ref="N56:O56"/>
    <mergeCell ref="P56:Q56"/>
    <mergeCell ref="R54:S54"/>
    <mergeCell ref="A55:K55"/>
    <mergeCell ref="L55:M55"/>
    <mergeCell ref="N55:O55"/>
    <mergeCell ref="P55:Q55"/>
    <mergeCell ref="R55:S55"/>
    <mergeCell ref="A54:K54"/>
    <mergeCell ref="L54:M54"/>
    <mergeCell ref="N54:O54"/>
    <mergeCell ref="P54:Q54"/>
    <mergeCell ref="R52:S52"/>
    <mergeCell ref="A53:K53"/>
    <mergeCell ref="L53:M53"/>
    <mergeCell ref="N53:O53"/>
    <mergeCell ref="P53:Q53"/>
    <mergeCell ref="R53:S53"/>
    <mergeCell ref="A52:K52"/>
    <mergeCell ref="L52:M52"/>
    <mergeCell ref="N52:O52"/>
    <mergeCell ref="P52:Q52"/>
    <mergeCell ref="R50:S50"/>
    <mergeCell ref="A51:K51"/>
    <mergeCell ref="L51:M51"/>
    <mergeCell ref="N51:O51"/>
    <mergeCell ref="P51:Q51"/>
    <mergeCell ref="R51:S51"/>
    <mergeCell ref="A50:K50"/>
    <mergeCell ref="L50:M50"/>
    <mergeCell ref="N50:O50"/>
    <mergeCell ref="P50:Q50"/>
    <mergeCell ref="R48:S48"/>
    <mergeCell ref="A49:K49"/>
    <mergeCell ref="L49:M49"/>
    <mergeCell ref="N49:O49"/>
    <mergeCell ref="P49:Q49"/>
    <mergeCell ref="R49:S49"/>
    <mergeCell ref="A48:K48"/>
    <mergeCell ref="L48:M48"/>
    <mergeCell ref="N48:O48"/>
    <mergeCell ref="P48:Q48"/>
    <mergeCell ref="R46:S46"/>
    <mergeCell ref="A47:K47"/>
    <mergeCell ref="L47:M47"/>
    <mergeCell ref="N47:O47"/>
    <mergeCell ref="P47:Q47"/>
    <mergeCell ref="R47:S47"/>
    <mergeCell ref="A46:K46"/>
    <mergeCell ref="L46:M46"/>
    <mergeCell ref="N46:O46"/>
    <mergeCell ref="P46:Q46"/>
    <mergeCell ref="R44:S44"/>
    <mergeCell ref="A45:K45"/>
    <mergeCell ref="L45:M45"/>
    <mergeCell ref="N45:O45"/>
    <mergeCell ref="P45:Q45"/>
    <mergeCell ref="R45:S45"/>
    <mergeCell ref="A44:K44"/>
    <mergeCell ref="L44:M44"/>
    <mergeCell ref="N44:O44"/>
    <mergeCell ref="P44:Q44"/>
    <mergeCell ref="R42:S42"/>
    <mergeCell ref="A43:K43"/>
    <mergeCell ref="L43:M43"/>
    <mergeCell ref="N43:O43"/>
    <mergeCell ref="P43:Q43"/>
    <mergeCell ref="R43:S43"/>
    <mergeCell ref="A42:K42"/>
    <mergeCell ref="L42:M42"/>
    <mergeCell ref="N42:O42"/>
    <mergeCell ref="P42:Q42"/>
    <mergeCell ref="R40:S40"/>
    <mergeCell ref="A41:K41"/>
    <mergeCell ref="L41:M41"/>
    <mergeCell ref="N41:O41"/>
    <mergeCell ref="P41:Q41"/>
    <mergeCell ref="R41:S41"/>
    <mergeCell ref="A40:K40"/>
    <mergeCell ref="L40:M40"/>
    <mergeCell ref="N40:O40"/>
    <mergeCell ref="P40:Q40"/>
    <mergeCell ref="R38:S38"/>
    <mergeCell ref="A39:K39"/>
    <mergeCell ref="L39:M39"/>
    <mergeCell ref="N39:O39"/>
    <mergeCell ref="P39:Q39"/>
    <mergeCell ref="R39:S39"/>
    <mergeCell ref="A38:K38"/>
    <mergeCell ref="L38:M38"/>
    <mergeCell ref="N38:O38"/>
    <mergeCell ref="P38:Q38"/>
    <mergeCell ref="R36:S36"/>
    <mergeCell ref="A37:K37"/>
    <mergeCell ref="L37:M37"/>
    <mergeCell ref="N37:O37"/>
    <mergeCell ref="P37:Q37"/>
    <mergeCell ref="R37:S37"/>
    <mergeCell ref="A36:K36"/>
    <mergeCell ref="L36:M36"/>
    <mergeCell ref="N36:O36"/>
    <mergeCell ref="P36:Q36"/>
    <mergeCell ref="R34:S34"/>
    <mergeCell ref="A35:K35"/>
    <mergeCell ref="L35:M35"/>
    <mergeCell ref="N35:O35"/>
    <mergeCell ref="P35:Q35"/>
    <mergeCell ref="R35:S35"/>
    <mergeCell ref="A34:K34"/>
    <mergeCell ref="L34:M34"/>
    <mergeCell ref="N34:O34"/>
    <mergeCell ref="P34:Q34"/>
    <mergeCell ref="R32:S32"/>
    <mergeCell ref="A33:K33"/>
    <mergeCell ref="L33:M33"/>
    <mergeCell ref="N33:O33"/>
    <mergeCell ref="P33:Q33"/>
    <mergeCell ref="R33:S33"/>
    <mergeCell ref="A32:K32"/>
    <mergeCell ref="L32:M32"/>
    <mergeCell ref="N32:O32"/>
    <mergeCell ref="P32:Q32"/>
    <mergeCell ref="R30:S30"/>
    <mergeCell ref="A31:K31"/>
    <mergeCell ref="L31:M31"/>
    <mergeCell ref="N31:O31"/>
    <mergeCell ref="P31:Q31"/>
    <mergeCell ref="R31:S31"/>
    <mergeCell ref="A30:K30"/>
    <mergeCell ref="L30:M30"/>
    <mergeCell ref="N30:O30"/>
    <mergeCell ref="P30:Q30"/>
    <mergeCell ref="R28:S28"/>
    <mergeCell ref="A29:K29"/>
    <mergeCell ref="L29:M29"/>
    <mergeCell ref="N29:O29"/>
    <mergeCell ref="P29:Q29"/>
    <mergeCell ref="R29:S29"/>
    <mergeCell ref="A28:K28"/>
    <mergeCell ref="L28:M28"/>
    <mergeCell ref="N28:O28"/>
    <mergeCell ref="P28:Q28"/>
    <mergeCell ref="R26:S26"/>
    <mergeCell ref="A27:K27"/>
    <mergeCell ref="L27:M27"/>
    <mergeCell ref="N27:O27"/>
    <mergeCell ref="P27:Q27"/>
    <mergeCell ref="R27:S27"/>
    <mergeCell ref="A26:K26"/>
    <mergeCell ref="L26:M26"/>
    <mergeCell ref="N26:O26"/>
    <mergeCell ref="P26:Q26"/>
    <mergeCell ref="R24:S24"/>
    <mergeCell ref="A25:K25"/>
    <mergeCell ref="L25:M25"/>
    <mergeCell ref="N25:O25"/>
    <mergeCell ref="P25:Q25"/>
    <mergeCell ref="R25:S25"/>
    <mergeCell ref="A24:K24"/>
    <mergeCell ref="L24:M24"/>
    <mergeCell ref="N24:O24"/>
    <mergeCell ref="P24:Q24"/>
    <mergeCell ref="R22:S22"/>
    <mergeCell ref="A23:K23"/>
    <mergeCell ref="L23:M23"/>
    <mergeCell ref="N23:O23"/>
    <mergeCell ref="P23:Q23"/>
    <mergeCell ref="R23:S23"/>
    <mergeCell ref="A22:K22"/>
    <mergeCell ref="L22:M22"/>
    <mergeCell ref="N22:O22"/>
    <mergeCell ref="P22:Q22"/>
    <mergeCell ref="R20:S20"/>
    <mergeCell ref="A21:K21"/>
    <mergeCell ref="L21:M21"/>
    <mergeCell ref="N21:O21"/>
    <mergeCell ref="P21:Q21"/>
    <mergeCell ref="R21:S21"/>
    <mergeCell ref="A20:K20"/>
    <mergeCell ref="L20:M20"/>
    <mergeCell ref="N20:O20"/>
    <mergeCell ref="P20:Q20"/>
    <mergeCell ref="R18:S18"/>
    <mergeCell ref="A19:K19"/>
    <mergeCell ref="L19:M19"/>
    <mergeCell ref="N19:O19"/>
    <mergeCell ref="P19:Q19"/>
    <mergeCell ref="R19:S19"/>
    <mergeCell ref="A18:K18"/>
    <mergeCell ref="L18:M18"/>
    <mergeCell ref="N18:O18"/>
    <mergeCell ref="P18:Q18"/>
    <mergeCell ref="R16:S16"/>
    <mergeCell ref="A17:K17"/>
    <mergeCell ref="L17:M17"/>
    <mergeCell ref="N17:O17"/>
    <mergeCell ref="P17:Q17"/>
    <mergeCell ref="R17:S17"/>
    <mergeCell ref="A16:K16"/>
    <mergeCell ref="L16:M16"/>
    <mergeCell ref="N16:O16"/>
    <mergeCell ref="P16:Q16"/>
    <mergeCell ref="R14:S14"/>
    <mergeCell ref="A15:K15"/>
    <mergeCell ref="L15:M15"/>
    <mergeCell ref="N15:O15"/>
    <mergeCell ref="P15:Q15"/>
    <mergeCell ref="R15:S15"/>
    <mergeCell ref="A14:K14"/>
    <mergeCell ref="L14:M14"/>
    <mergeCell ref="N14:O14"/>
    <mergeCell ref="P14:Q14"/>
    <mergeCell ref="R12:S12"/>
    <mergeCell ref="A13:K13"/>
    <mergeCell ref="L13:M13"/>
    <mergeCell ref="N13:O13"/>
    <mergeCell ref="P13:Q13"/>
    <mergeCell ref="R13:S13"/>
    <mergeCell ref="A12:K12"/>
    <mergeCell ref="L12:M12"/>
    <mergeCell ref="N12:O12"/>
    <mergeCell ref="P12:Q12"/>
    <mergeCell ref="R10:S10"/>
    <mergeCell ref="A11:K11"/>
    <mergeCell ref="L11:M11"/>
    <mergeCell ref="N11:O11"/>
    <mergeCell ref="P11:Q11"/>
    <mergeCell ref="R11:S11"/>
    <mergeCell ref="A10:K10"/>
    <mergeCell ref="L10:M10"/>
    <mergeCell ref="N10:O10"/>
    <mergeCell ref="P10:Q10"/>
    <mergeCell ref="R8:S8"/>
    <mergeCell ref="A9:K9"/>
    <mergeCell ref="L9:M9"/>
    <mergeCell ref="N9:O9"/>
    <mergeCell ref="P9:Q9"/>
    <mergeCell ref="R9:S9"/>
    <mergeCell ref="A8:K8"/>
    <mergeCell ref="L8:M8"/>
    <mergeCell ref="N8:O8"/>
    <mergeCell ref="P8:Q8"/>
    <mergeCell ref="R6:S6"/>
    <mergeCell ref="A7:K7"/>
    <mergeCell ref="L7:M7"/>
    <mergeCell ref="N7:O7"/>
    <mergeCell ref="P7:Q7"/>
    <mergeCell ref="R7:S7"/>
    <mergeCell ref="A6:K6"/>
    <mergeCell ref="L6:M6"/>
    <mergeCell ref="N6:O6"/>
    <mergeCell ref="P6:Q6"/>
    <mergeCell ref="R4:S4"/>
    <mergeCell ref="A5:K5"/>
    <mergeCell ref="L5:M5"/>
    <mergeCell ref="N5:O5"/>
    <mergeCell ref="P5:Q5"/>
    <mergeCell ref="R5:S5"/>
    <mergeCell ref="A4:K4"/>
    <mergeCell ref="L4:M4"/>
    <mergeCell ref="N4:O4"/>
    <mergeCell ref="P4:Q4"/>
    <mergeCell ref="L3:M3"/>
    <mergeCell ref="N3:O3"/>
    <mergeCell ref="P3:Q3"/>
    <mergeCell ref="R3:S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33"/>
  <sheetViews>
    <sheetView workbookViewId="0" topLeftCell="A22">
      <selection activeCell="BF49" sqref="BF49:BK51"/>
    </sheetView>
  </sheetViews>
  <sheetFormatPr defaultColWidth="2.16015625" defaultRowHeight="6.75" customHeight="1"/>
  <cols>
    <col min="1" max="16384" width="2.16015625" style="58" customWidth="1"/>
  </cols>
  <sheetData>
    <row r="1" spans="1:63" ht="6.75" customHeight="1">
      <c r="A1" s="212" t="s">
        <v>188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 t="s">
        <v>189</v>
      </c>
      <c r="AA1" s="213"/>
      <c r="AB1" s="213"/>
      <c r="AC1" s="213"/>
      <c r="AD1" s="213"/>
      <c r="AE1" s="214">
        <f>IF(Main!K18=0,"",Main!K18)</f>
        <v>40259</v>
      </c>
      <c r="AF1" s="214"/>
      <c r="AG1" s="214"/>
      <c r="AH1" s="214"/>
      <c r="AI1" s="214"/>
      <c r="AJ1" s="214"/>
      <c r="AK1" s="214"/>
      <c r="AL1" s="214"/>
      <c r="AM1" s="214"/>
      <c r="AN1" s="214"/>
      <c r="AO1" s="59"/>
      <c r="AP1" s="215" t="str">
        <f>"プレイヤー名　：　"&amp;IF(Main!K17=0,"",Main!K17)</f>
        <v>プレイヤー名　：　xeno</v>
      </c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</row>
    <row r="2" spans="1:63" ht="6.7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3"/>
      <c r="AA2" s="213"/>
      <c r="AB2" s="213"/>
      <c r="AC2" s="213"/>
      <c r="AD2" s="213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61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</row>
    <row r="3" spans="1:63" ht="6.75" customHeight="1">
      <c r="A3" s="216" t="s">
        <v>190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</row>
    <row r="4" spans="1:63" ht="6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</row>
    <row r="5" spans="1:63" ht="6.75" customHeight="1">
      <c r="A5" s="62"/>
      <c r="B5" s="217" t="s">
        <v>191</v>
      </c>
      <c r="C5" s="217"/>
      <c r="D5" s="217"/>
      <c r="E5" s="217"/>
      <c r="F5" s="217"/>
      <c r="G5" s="217"/>
      <c r="H5" s="218" t="str">
        <f>IF(Main!K3="","",Main!K3)</f>
        <v>ルード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63"/>
      <c r="AJ5" s="219" t="s">
        <v>6</v>
      </c>
      <c r="AK5" s="219"/>
      <c r="AL5" s="219"/>
      <c r="AM5" s="220" t="str">
        <f>Main!K4</f>
        <v>ヒューマン</v>
      </c>
      <c r="AN5" s="220"/>
      <c r="AO5" s="220"/>
      <c r="AP5" s="220"/>
      <c r="AQ5" s="220"/>
      <c r="AR5" s="220"/>
      <c r="AS5" s="220"/>
      <c r="AT5" s="220"/>
      <c r="AU5" s="220"/>
      <c r="AV5" s="63"/>
      <c r="AW5" s="219" t="s">
        <v>9</v>
      </c>
      <c r="AX5" s="219"/>
      <c r="AY5" s="219"/>
      <c r="AZ5" s="220" t="str">
        <f>Main!K5</f>
        <v>男</v>
      </c>
      <c r="BA5" s="220"/>
      <c r="BB5" s="220"/>
      <c r="BC5" s="63"/>
      <c r="BD5" s="219" t="s">
        <v>11</v>
      </c>
      <c r="BE5" s="219"/>
      <c r="BF5" s="219"/>
      <c r="BG5" s="220">
        <f>IF(Main!K6="","",Main!K6&amp;"歳")</f>
      </c>
      <c r="BH5" s="220"/>
      <c r="BI5" s="220"/>
      <c r="BJ5" s="220"/>
      <c r="BK5" s="64"/>
    </row>
    <row r="6" spans="1:63" ht="6.75" customHeight="1">
      <c r="A6" s="62"/>
      <c r="B6" s="217"/>
      <c r="C6" s="217"/>
      <c r="D6" s="217"/>
      <c r="E6" s="217"/>
      <c r="F6" s="217"/>
      <c r="G6" s="217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63"/>
      <c r="AJ6" s="219"/>
      <c r="AK6" s="219"/>
      <c r="AL6" s="219"/>
      <c r="AM6" s="220"/>
      <c r="AN6" s="220"/>
      <c r="AO6" s="220"/>
      <c r="AP6" s="220"/>
      <c r="AQ6" s="220"/>
      <c r="AR6" s="220"/>
      <c r="AS6" s="220"/>
      <c r="AT6" s="220"/>
      <c r="AU6" s="220"/>
      <c r="AV6" s="63"/>
      <c r="AW6" s="219"/>
      <c r="AX6" s="219"/>
      <c r="AY6" s="219"/>
      <c r="AZ6" s="220"/>
      <c r="BA6" s="220"/>
      <c r="BB6" s="220"/>
      <c r="BC6" s="63"/>
      <c r="BD6" s="219"/>
      <c r="BE6" s="219"/>
      <c r="BF6" s="219"/>
      <c r="BG6" s="220"/>
      <c r="BH6" s="220"/>
      <c r="BI6" s="220"/>
      <c r="BJ6" s="220"/>
      <c r="BK6" s="64"/>
    </row>
    <row r="7" spans="1:63" ht="6.75" customHeight="1">
      <c r="A7" s="62"/>
      <c r="B7" s="217"/>
      <c r="C7" s="217"/>
      <c r="D7" s="217"/>
      <c r="E7" s="217"/>
      <c r="F7" s="217"/>
      <c r="G7" s="217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63"/>
      <c r="AJ7" s="219"/>
      <c r="AK7" s="219"/>
      <c r="AL7" s="219"/>
      <c r="AM7" s="220"/>
      <c r="AN7" s="220"/>
      <c r="AO7" s="220"/>
      <c r="AP7" s="220"/>
      <c r="AQ7" s="220"/>
      <c r="AR7" s="220"/>
      <c r="AS7" s="220"/>
      <c r="AT7" s="220"/>
      <c r="AU7" s="220"/>
      <c r="AV7" s="63"/>
      <c r="AW7" s="219"/>
      <c r="AX7" s="219"/>
      <c r="AY7" s="219"/>
      <c r="AZ7" s="220"/>
      <c r="BA7" s="220"/>
      <c r="BB7" s="220"/>
      <c r="BC7" s="63"/>
      <c r="BD7" s="219"/>
      <c r="BE7" s="219"/>
      <c r="BF7" s="219"/>
      <c r="BG7" s="220"/>
      <c r="BH7" s="220"/>
      <c r="BI7" s="220"/>
      <c r="BJ7" s="220"/>
      <c r="BK7" s="64"/>
    </row>
    <row r="8" spans="1:63" ht="6.75" customHeight="1">
      <c r="A8" s="62"/>
      <c r="B8" s="219" t="s">
        <v>192</v>
      </c>
      <c r="C8" s="219"/>
      <c r="D8" s="219"/>
      <c r="E8" s="221" t="s">
        <v>193</v>
      </c>
      <c r="F8" s="221"/>
      <c r="G8" s="221"/>
      <c r="H8" s="63"/>
      <c r="I8" s="219" t="s">
        <v>194</v>
      </c>
      <c r="J8" s="219"/>
      <c r="K8" s="219"/>
      <c r="L8" s="221" t="s">
        <v>193</v>
      </c>
      <c r="M8" s="221"/>
      <c r="N8" s="221"/>
      <c r="O8" s="63"/>
      <c r="P8" s="219" t="s">
        <v>195</v>
      </c>
      <c r="Q8" s="219"/>
      <c r="R8" s="219"/>
      <c r="S8" s="221" t="s">
        <v>193</v>
      </c>
      <c r="T8" s="221"/>
      <c r="U8" s="221"/>
      <c r="V8" s="63"/>
      <c r="W8" s="219" t="s">
        <v>196</v>
      </c>
      <c r="X8" s="219"/>
      <c r="Y8" s="219"/>
      <c r="Z8" s="219"/>
      <c r="AA8" s="219"/>
      <c r="AB8" s="219"/>
      <c r="AC8" s="219"/>
      <c r="AD8" s="220" t="str">
        <f>Main!K13</f>
        <v>下流</v>
      </c>
      <c r="AE8" s="220"/>
      <c r="AF8" s="220"/>
      <c r="AG8" s="220"/>
      <c r="AH8" s="220"/>
      <c r="AI8" s="220"/>
      <c r="AJ8" s="63"/>
      <c r="AK8" s="219" t="s">
        <v>197</v>
      </c>
      <c r="AL8" s="219"/>
      <c r="AM8" s="219"/>
      <c r="AN8" s="219"/>
      <c r="AO8" s="220" t="s">
        <v>198</v>
      </c>
      <c r="AP8" s="220"/>
      <c r="AQ8" s="220"/>
      <c r="AR8" s="63"/>
      <c r="AS8" s="219" t="s">
        <v>199</v>
      </c>
      <c r="AT8" s="219"/>
      <c r="AU8" s="219"/>
      <c r="AV8" s="219"/>
      <c r="AW8" s="222">
        <f>Main!K15</f>
        <v>2000</v>
      </c>
      <c r="AX8" s="222"/>
      <c r="AY8" s="222"/>
      <c r="AZ8" s="222"/>
      <c r="BA8" s="220"/>
      <c r="BB8" s="63"/>
      <c r="BC8" s="219" t="s">
        <v>200</v>
      </c>
      <c r="BD8" s="219"/>
      <c r="BE8" s="219"/>
      <c r="BF8" s="219"/>
      <c r="BG8" s="221" t="s">
        <v>201</v>
      </c>
      <c r="BH8" s="221"/>
      <c r="BI8" s="221"/>
      <c r="BJ8" s="221"/>
      <c r="BK8" s="65"/>
    </row>
    <row r="9" spans="1:63" ht="6.75" customHeight="1">
      <c r="A9" s="62"/>
      <c r="B9" s="219"/>
      <c r="C9" s="219"/>
      <c r="D9" s="219"/>
      <c r="E9" s="221"/>
      <c r="F9" s="221"/>
      <c r="G9" s="221"/>
      <c r="H9" s="63"/>
      <c r="I9" s="219"/>
      <c r="J9" s="219"/>
      <c r="K9" s="219"/>
      <c r="L9" s="221"/>
      <c r="M9" s="221"/>
      <c r="N9" s="221"/>
      <c r="O9" s="63"/>
      <c r="P9" s="219"/>
      <c r="Q9" s="219"/>
      <c r="R9" s="219"/>
      <c r="S9" s="221"/>
      <c r="T9" s="221"/>
      <c r="U9" s="221"/>
      <c r="V9" s="63"/>
      <c r="W9" s="219"/>
      <c r="X9" s="219"/>
      <c r="Y9" s="219"/>
      <c r="Z9" s="219"/>
      <c r="AA9" s="219"/>
      <c r="AB9" s="219"/>
      <c r="AC9" s="219"/>
      <c r="AD9" s="220"/>
      <c r="AE9" s="220"/>
      <c r="AF9" s="220"/>
      <c r="AG9" s="220"/>
      <c r="AH9" s="220"/>
      <c r="AI9" s="220"/>
      <c r="AJ9" s="63"/>
      <c r="AK9" s="219"/>
      <c r="AL9" s="219"/>
      <c r="AM9" s="219"/>
      <c r="AN9" s="219"/>
      <c r="AO9" s="220"/>
      <c r="AP9" s="220"/>
      <c r="AQ9" s="220"/>
      <c r="AR9" s="63"/>
      <c r="AS9" s="219"/>
      <c r="AT9" s="219"/>
      <c r="AU9" s="219"/>
      <c r="AV9" s="219"/>
      <c r="AW9" s="222"/>
      <c r="AX9" s="222"/>
      <c r="AY9" s="222"/>
      <c r="AZ9" s="222"/>
      <c r="BA9" s="220"/>
      <c r="BB9" s="63"/>
      <c r="BC9" s="219"/>
      <c r="BD9" s="219"/>
      <c r="BE9" s="219"/>
      <c r="BF9" s="219"/>
      <c r="BG9" s="221"/>
      <c r="BH9" s="221"/>
      <c r="BI9" s="221"/>
      <c r="BJ9" s="221"/>
      <c r="BK9" s="65"/>
    </row>
    <row r="10" spans="1:63" ht="6.75" customHeight="1">
      <c r="A10" s="62"/>
      <c r="B10" s="219"/>
      <c r="C10" s="219"/>
      <c r="D10" s="219"/>
      <c r="E10" s="221"/>
      <c r="F10" s="221"/>
      <c r="G10" s="221"/>
      <c r="H10" s="63"/>
      <c r="I10" s="219"/>
      <c r="J10" s="219"/>
      <c r="K10" s="219"/>
      <c r="L10" s="221"/>
      <c r="M10" s="221"/>
      <c r="N10" s="221"/>
      <c r="O10" s="63"/>
      <c r="P10" s="219"/>
      <c r="Q10" s="219"/>
      <c r="R10" s="219"/>
      <c r="S10" s="221"/>
      <c r="T10" s="221"/>
      <c r="U10" s="221"/>
      <c r="V10" s="63"/>
      <c r="W10" s="219"/>
      <c r="X10" s="219"/>
      <c r="Y10" s="219"/>
      <c r="Z10" s="219"/>
      <c r="AA10" s="219"/>
      <c r="AB10" s="219"/>
      <c r="AC10" s="219"/>
      <c r="AD10" s="220"/>
      <c r="AE10" s="220"/>
      <c r="AF10" s="220"/>
      <c r="AG10" s="220"/>
      <c r="AH10" s="220"/>
      <c r="AI10" s="220"/>
      <c r="AJ10" s="63"/>
      <c r="AK10" s="219"/>
      <c r="AL10" s="219"/>
      <c r="AM10" s="219"/>
      <c r="AN10" s="219"/>
      <c r="AO10" s="220"/>
      <c r="AP10" s="220"/>
      <c r="AQ10" s="220"/>
      <c r="AR10" s="63"/>
      <c r="AS10" s="219"/>
      <c r="AT10" s="219"/>
      <c r="AU10" s="219"/>
      <c r="AV10" s="219"/>
      <c r="AW10" s="222"/>
      <c r="AX10" s="222"/>
      <c r="AY10" s="222"/>
      <c r="AZ10" s="222"/>
      <c r="BA10" s="220"/>
      <c r="BB10" s="63"/>
      <c r="BC10" s="219"/>
      <c r="BD10" s="219"/>
      <c r="BE10" s="219"/>
      <c r="BF10" s="219"/>
      <c r="BG10" s="221"/>
      <c r="BH10" s="221"/>
      <c r="BI10" s="221"/>
      <c r="BJ10" s="221"/>
      <c r="BK10" s="65"/>
    </row>
    <row r="11" spans="1:63" ht="6.75" customHeight="1">
      <c r="A11" s="62"/>
      <c r="B11" s="219" t="s">
        <v>202</v>
      </c>
      <c r="C11" s="219"/>
      <c r="D11" s="219"/>
      <c r="E11" s="220">
        <f>IF(Main!K7=0,"",Main!K7)</f>
      </c>
      <c r="F11" s="220"/>
      <c r="G11" s="220"/>
      <c r="H11" s="63"/>
      <c r="I11" s="219" t="s">
        <v>14</v>
      </c>
      <c r="J11" s="219"/>
      <c r="K11" s="219"/>
      <c r="L11" s="220">
        <f>IF(Main!K8=0,"",Main!K8)</f>
      </c>
      <c r="M11" s="220"/>
      <c r="N11" s="220"/>
      <c r="O11" s="63"/>
      <c r="P11" s="219" t="s">
        <v>16</v>
      </c>
      <c r="Q11" s="219"/>
      <c r="R11" s="219"/>
      <c r="S11" s="219"/>
      <c r="T11" s="219"/>
      <c r="U11" s="219"/>
      <c r="V11" s="220">
        <f>IF(Main!K9=0,"",Main!K9)</f>
      </c>
      <c r="W11" s="220"/>
      <c r="X11" s="220"/>
      <c r="Y11" s="63"/>
      <c r="Z11" s="219" t="s">
        <v>203</v>
      </c>
      <c r="AA11" s="219"/>
      <c r="AB11" s="219"/>
      <c r="AC11" s="219"/>
      <c r="AD11" s="219"/>
      <c r="AE11" s="219"/>
      <c r="AF11" s="220">
        <f>IF(Main!K10=0,"",Main!K10)</f>
      </c>
      <c r="AG11" s="220"/>
      <c r="AH11" s="220"/>
      <c r="AI11" s="63"/>
      <c r="AJ11" s="219" t="s">
        <v>17</v>
      </c>
      <c r="AK11" s="219"/>
      <c r="AL11" s="219"/>
      <c r="AM11" s="219"/>
      <c r="AN11" s="219"/>
      <c r="AO11" s="219"/>
      <c r="AP11" s="220">
        <f>IF(Main!K11=0,"",Main!K11)</f>
      </c>
      <c r="AQ11" s="220"/>
      <c r="AR11" s="220"/>
      <c r="AS11" s="63"/>
      <c r="AT11" s="219" t="s">
        <v>204</v>
      </c>
      <c r="AU11" s="219"/>
      <c r="AV11" s="219"/>
      <c r="AW11" s="219"/>
      <c r="AX11" s="223" t="s">
        <v>205</v>
      </c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65"/>
    </row>
    <row r="12" spans="1:63" ht="6.75" customHeight="1">
      <c r="A12" s="62"/>
      <c r="B12" s="219"/>
      <c r="C12" s="219"/>
      <c r="D12" s="219"/>
      <c r="E12" s="220"/>
      <c r="F12" s="220"/>
      <c r="G12" s="220"/>
      <c r="H12" s="63"/>
      <c r="I12" s="219"/>
      <c r="J12" s="219"/>
      <c r="K12" s="219"/>
      <c r="L12" s="220"/>
      <c r="M12" s="220"/>
      <c r="N12" s="220"/>
      <c r="O12" s="63"/>
      <c r="P12" s="219"/>
      <c r="Q12" s="219"/>
      <c r="R12" s="219"/>
      <c r="S12" s="219"/>
      <c r="T12" s="219"/>
      <c r="U12" s="219"/>
      <c r="V12" s="220"/>
      <c r="W12" s="220"/>
      <c r="X12" s="220"/>
      <c r="Y12" s="63"/>
      <c r="Z12" s="219"/>
      <c r="AA12" s="219"/>
      <c r="AB12" s="219"/>
      <c r="AC12" s="219"/>
      <c r="AD12" s="219"/>
      <c r="AE12" s="219"/>
      <c r="AF12" s="220"/>
      <c r="AG12" s="220"/>
      <c r="AH12" s="220"/>
      <c r="AI12" s="63"/>
      <c r="AJ12" s="219"/>
      <c r="AK12" s="219"/>
      <c r="AL12" s="219"/>
      <c r="AM12" s="219"/>
      <c r="AN12" s="219"/>
      <c r="AO12" s="219"/>
      <c r="AP12" s="220"/>
      <c r="AQ12" s="220"/>
      <c r="AR12" s="220"/>
      <c r="AS12" s="63"/>
      <c r="AT12" s="219"/>
      <c r="AU12" s="219"/>
      <c r="AV12" s="219"/>
      <c r="AW12" s="219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65"/>
    </row>
    <row r="13" spans="1:63" ht="6.75" customHeight="1">
      <c r="A13" s="62"/>
      <c r="B13" s="219"/>
      <c r="C13" s="219"/>
      <c r="D13" s="219"/>
      <c r="E13" s="220"/>
      <c r="F13" s="220"/>
      <c r="G13" s="220"/>
      <c r="H13" s="63"/>
      <c r="I13" s="219"/>
      <c r="J13" s="219"/>
      <c r="K13" s="219"/>
      <c r="L13" s="220"/>
      <c r="M13" s="220"/>
      <c r="N13" s="220"/>
      <c r="O13" s="63"/>
      <c r="P13" s="219"/>
      <c r="Q13" s="219"/>
      <c r="R13" s="219"/>
      <c r="S13" s="219"/>
      <c r="T13" s="219"/>
      <c r="U13" s="219"/>
      <c r="V13" s="220"/>
      <c r="W13" s="220"/>
      <c r="X13" s="220"/>
      <c r="Y13" s="63"/>
      <c r="Z13" s="219"/>
      <c r="AA13" s="219"/>
      <c r="AB13" s="219"/>
      <c r="AC13" s="219"/>
      <c r="AD13" s="219"/>
      <c r="AE13" s="219"/>
      <c r="AF13" s="220"/>
      <c r="AG13" s="220"/>
      <c r="AH13" s="220"/>
      <c r="AI13" s="63"/>
      <c r="AJ13" s="219"/>
      <c r="AK13" s="219"/>
      <c r="AL13" s="219"/>
      <c r="AM13" s="219"/>
      <c r="AN13" s="219"/>
      <c r="AO13" s="219"/>
      <c r="AP13" s="220"/>
      <c r="AQ13" s="220"/>
      <c r="AR13" s="220"/>
      <c r="AS13" s="63"/>
      <c r="AT13" s="219"/>
      <c r="AU13" s="219"/>
      <c r="AV13" s="219"/>
      <c r="AW13" s="219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65"/>
    </row>
    <row r="14" spans="1:63" ht="6.75" customHeigh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8"/>
    </row>
    <row r="15" spans="1:63" ht="6.7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</row>
    <row r="16" spans="1:63" ht="6.75" customHeight="1">
      <c r="A16" s="224" t="s">
        <v>206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Z16" s="225" t="s">
        <v>207</v>
      </c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</row>
    <row r="17" spans="1:63" ht="6.7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</row>
    <row r="18" spans="1:63" ht="6.75" customHeight="1">
      <c r="A18" s="226" t="s">
        <v>208</v>
      </c>
      <c r="B18" s="226"/>
      <c r="C18" s="226"/>
      <c r="D18" s="226"/>
      <c r="E18" s="226"/>
      <c r="F18" s="226"/>
      <c r="G18" s="226"/>
      <c r="H18" s="226"/>
      <c r="I18" s="217" t="s">
        <v>209</v>
      </c>
      <c r="J18" s="217"/>
      <c r="K18" s="217"/>
      <c r="L18" s="217"/>
      <c r="M18" s="217"/>
      <c r="N18" s="217"/>
      <c r="O18" s="217"/>
      <c r="P18" s="217"/>
      <c r="Q18" s="227" t="s">
        <v>210</v>
      </c>
      <c r="R18" s="227"/>
      <c r="S18" s="227"/>
      <c r="T18" s="227"/>
      <c r="U18" s="227"/>
      <c r="V18" s="227"/>
      <c r="W18" s="227"/>
      <c r="X18" s="227"/>
      <c r="Z18" s="228" t="s">
        <v>211</v>
      </c>
      <c r="AA18" s="228"/>
      <c r="AB18" s="228"/>
      <c r="AC18" s="228"/>
      <c r="AD18" s="228"/>
      <c r="AE18" s="228"/>
      <c r="AF18" s="228"/>
      <c r="AG18" s="228"/>
      <c r="AH18" s="228"/>
      <c r="AI18" s="229" t="s">
        <v>212</v>
      </c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</row>
    <row r="19" spans="1:63" ht="6.75" customHeight="1">
      <c r="A19" s="226"/>
      <c r="B19" s="226"/>
      <c r="C19" s="226"/>
      <c r="D19" s="226"/>
      <c r="E19" s="226"/>
      <c r="F19" s="226"/>
      <c r="G19" s="226"/>
      <c r="H19" s="226"/>
      <c r="I19" s="217"/>
      <c r="J19" s="217"/>
      <c r="K19" s="217"/>
      <c r="L19" s="217"/>
      <c r="M19" s="217"/>
      <c r="N19" s="217"/>
      <c r="O19" s="217"/>
      <c r="P19" s="217"/>
      <c r="Q19" s="227"/>
      <c r="R19" s="227"/>
      <c r="S19" s="227"/>
      <c r="T19" s="227"/>
      <c r="U19" s="227"/>
      <c r="V19" s="227"/>
      <c r="W19" s="227"/>
      <c r="X19" s="227"/>
      <c r="Z19" s="228"/>
      <c r="AA19" s="228"/>
      <c r="AB19" s="228"/>
      <c r="AC19" s="228"/>
      <c r="AD19" s="228"/>
      <c r="AE19" s="228"/>
      <c r="AF19" s="228"/>
      <c r="AG19" s="228"/>
      <c r="AH19" s="228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</row>
    <row r="20" spans="1:63" ht="6.75" customHeight="1">
      <c r="A20" s="226"/>
      <c r="B20" s="226"/>
      <c r="C20" s="226"/>
      <c r="D20" s="226"/>
      <c r="E20" s="226"/>
      <c r="F20" s="226"/>
      <c r="G20" s="226"/>
      <c r="H20" s="226"/>
      <c r="I20" s="217"/>
      <c r="J20" s="217"/>
      <c r="K20" s="217"/>
      <c r="L20" s="217"/>
      <c r="M20" s="217"/>
      <c r="N20" s="217"/>
      <c r="O20" s="217"/>
      <c r="P20" s="217"/>
      <c r="Q20" s="227"/>
      <c r="R20" s="227"/>
      <c r="S20" s="227"/>
      <c r="T20" s="227"/>
      <c r="U20" s="227"/>
      <c r="V20" s="227"/>
      <c r="W20" s="227"/>
      <c r="X20" s="227"/>
      <c r="Z20" s="230" t="str">
        <f>IF(Main!S4=0,"",Main!S4)</f>
        <v>ミスティック・アデプト</v>
      </c>
      <c r="AA20" s="230"/>
      <c r="AB20" s="230"/>
      <c r="AC20" s="230"/>
      <c r="AD20" s="230"/>
      <c r="AE20" s="230"/>
      <c r="AF20" s="230"/>
      <c r="AG20" s="230"/>
      <c r="AH20" s="230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</row>
    <row r="21" spans="1:63" ht="6.75" customHeight="1">
      <c r="A21" s="226"/>
      <c r="B21" s="226"/>
      <c r="C21" s="226"/>
      <c r="D21" s="226"/>
      <c r="E21" s="226"/>
      <c r="F21" s="226"/>
      <c r="G21" s="226"/>
      <c r="H21" s="226"/>
      <c r="I21" s="217"/>
      <c r="J21" s="217"/>
      <c r="K21" s="217"/>
      <c r="L21" s="217"/>
      <c r="M21" s="217"/>
      <c r="N21" s="217"/>
      <c r="O21" s="217"/>
      <c r="P21" s="217"/>
      <c r="Q21" s="227"/>
      <c r="R21" s="227"/>
      <c r="S21" s="227"/>
      <c r="T21" s="227"/>
      <c r="U21" s="227"/>
      <c r="V21" s="227"/>
      <c r="W21" s="227"/>
      <c r="X21" s="227"/>
      <c r="Z21" s="230"/>
      <c r="AA21" s="230"/>
      <c r="AB21" s="230"/>
      <c r="AC21" s="230"/>
      <c r="AD21" s="230"/>
      <c r="AE21" s="230"/>
      <c r="AF21" s="230"/>
      <c r="AG21" s="230"/>
      <c r="AH21" s="230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</row>
    <row r="22" spans="1:63" ht="6.75" customHeight="1">
      <c r="A22" s="62"/>
      <c r="B22" s="232"/>
      <c r="C22" s="232"/>
      <c r="D22" s="233"/>
      <c r="E22" s="233"/>
      <c r="F22" s="234"/>
      <c r="G22" s="234"/>
      <c r="H22" s="63"/>
      <c r="I22" s="63"/>
      <c r="J22" s="232"/>
      <c r="K22" s="232"/>
      <c r="L22" s="233"/>
      <c r="M22" s="233"/>
      <c r="N22" s="234"/>
      <c r="O22" s="234"/>
      <c r="P22" s="63"/>
      <c r="Q22" s="63"/>
      <c r="R22" s="235"/>
      <c r="S22" s="235"/>
      <c r="T22" s="236"/>
      <c r="U22" s="236"/>
      <c r="V22" s="237"/>
      <c r="W22" s="237"/>
      <c r="X22" s="65"/>
      <c r="Z22" s="238">
        <f>IF(Main!S5=0,"",Main!S5)</f>
      </c>
      <c r="AA22" s="238"/>
      <c r="AB22" s="238"/>
      <c r="AC22" s="238"/>
      <c r="AD22" s="238"/>
      <c r="AE22" s="238"/>
      <c r="AF22" s="238"/>
      <c r="AG22" s="238"/>
      <c r="AH22" s="238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</row>
    <row r="23" spans="1:63" ht="6.75" customHeight="1">
      <c r="A23" s="62"/>
      <c r="B23" s="232"/>
      <c r="C23" s="232"/>
      <c r="D23" s="233"/>
      <c r="E23" s="233"/>
      <c r="F23" s="234"/>
      <c r="G23" s="234"/>
      <c r="H23" s="63"/>
      <c r="I23" s="63"/>
      <c r="J23" s="232"/>
      <c r="K23" s="232"/>
      <c r="L23" s="233"/>
      <c r="M23" s="233"/>
      <c r="N23" s="234"/>
      <c r="O23" s="234"/>
      <c r="P23" s="63"/>
      <c r="Q23" s="63"/>
      <c r="R23" s="235"/>
      <c r="S23" s="235"/>
      <c r="T23" s="236"/>
      <c r="U23" s="236"/>
      <c r="V23" s="237"/>
      <c r="W23" s="237"/>
      <c r="X23" s="65"/>
      <c r="Z23" s="238"/>
      <c r="AA23" s="238"/>
      <c r="AB23" s="238"/>
      <c r="AC23" s="238"/>
      <c r="AD23" s="238"/>
      <c r="AE23" s="238"/>
      <c r="AF23" s="238"/>
      <c r="AG23" s="238"/>
      <c r="AH23" s="238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</row>
    <row r="24" spans="1:63" ht="6.75" customHeight="1">
      <c r="A24" s="62"/>
      <c r="B24" s="240"/>
      <c r="C24" s="240"/>
      <c r="D24" s="241"/>
      <c r="E24" s="241"/>
      <c r="F24" s="242" t="s">
        <v>213</v>
      </c>
      <c r="G24" s="242"/>
      <c r="H24" s="63"/>
      <c r="I24" s="63"/>
      <c r="J24" s="240"/>
      <c r="K24" s="240"/>
      <c r="L24" s="241"/>
      <c r="M24" s="241"/>
      <c r="N24" s="242" t="s">
        <v>213</v>
      </c>
      <c r="O24" s="242"/>
      <c r="P24" s="63"/>
      <c r="Q24" s="63"/>
      <c r="R24" s="243"/>
      <c r="S24" s="243"/>
      <c r="T24" s="244"/>
      <c r="U24" s="244"/>
      <c r="V24" s="245"/>
      <c r="W24" s="245"/>
      <c r="X24" s="65"/>
      <c r="Z24" s="238">
        <f>IF(Main!S6=0,"",Main!S6)</f>
      </c>
      <c r="AA24" s="238"/>
      <c r="AB24" s="238"/>
      <c r="AC24" s="238"/>
      <c r="AD24" s="238"/>
      <c r="AE24" s="238"/>
      <c r="AF24" s="238"/>
      <c r="AG24" s="238"/>
      <c r="AH24" s="238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</row>
    <row r="25" spans="1:63" ht="6.75" customHeight="1">
      <c r="A25" s="62"/>
      <c r="B25" s="240"/>
      <c r="C25" s="240"/>
      <c r="D25" s="241"/>
      <c r="E25" s="241"/>
      <c r="F25" s="242"/>
      <c r="G25" s="242"/>
      <c r="H25" s="63"/>
      <c r="I25" s="63"/>
      <c r="J25" s="240"/>
      <c r="K25" s="240"/>
      <c r="L25" s="241"/>
      <c r="M25" s="241"/>
      <c r="N25" s="242"/>
      <c r="O25" s="242"/>
      <c r="P25" s="63"/>
      <c r="Q25" s="63"/>
      <c r="R25" s="243"/>
      <c r="S25" s="243"/>
      <c r="T25" s="244"/>
      <c r="U25" s="244"/>
      <c r="V25" s="245"/>
      <c r="W25" s="245"/>
      <c r="X25" s="65"/>
      <c r="Z25" s="238"/>
      <c r="AA25" s="238"/>
      <c r="AB25" s="238"/>
      <c r="AC25" s="238"/>
      <c r="AD25" s="238"/>
      <c r="AE25" s="238"/>
      <c r="AF25" s="238"/>
      <c r="AG25" s="238"/>
      <c r="AH25" s="238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</row>
    <row r="26" spans="1:63" ht="6.75" customHeight="1">
      <c r="A26" s="62"/>
      <c r="B26" s="243"/>
      <c r="C26" s="243"/>
      <c r="D26" s="244"/>
      <c r="E26" s="244"/>
      <c r="F26" s="245" t="s">
        <v>214</v>
      </c>
      <c r="G26" s="245"/>
      <c r="H26" s="63"/>
      <c r="I26" s="63"/>
      <c r="J26" s="243"/>
      <c r="K26" s="243"/>
      <c r="L26" s="244"/>
      <c r="M26" s="244"/>
      <c r="N26" s="245" t="s">
        <v>214</v>
      </c>
      <c r="O26" s="245"/>
      <c r="P26" s="63"/>
      <c r="Q26" s="63"/>
      <c r="R26" s="243"/>
      <c r="S26" s="243"/>
      <c r="T26" s="244"/>
      <c r="U26" s="244"/>
      <c r="V26" s="245"/>
      <c r="W26" s="245"/>
      <c r="X26" s="65"/>
      <c r="Z26" s="238">
        <f>IF(Main!S7=0,"",Main!S7)</f>
      </c>
      <c r="AA26" s="238"/>
      <c r="AB26" s="238"/>
      <c r="AC26" s="238"/>
      <c r="AD26" s="238"/>
      <c r="AE26" s="238"/>
      <c r="AF26" s="238"/>
      <c r="AG26" s="238"/>
      <c r="AH26" s="238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</row>
    <row r="27" spans="1:63" ht="6.75" customHeight="1">
      <c r="A27" s="62"/>
      <c r="B27" s="243"/>
      <c r="C27" s="243"/>
      <c r="D27" s="244"/>
      <c r="E27" s="244"/>
      <c r="F27" s="245"/>
      <c r="G27" s="245"/>
      <c r="H27" s="63"/>
      <c r="I27" s="63"/>
      <c r="J27" s="243"/>
      <c r="K27" s="243"/>
      <c r="L27" s="244"/>
      <c r="M27" s="244"/>
      <c r="N27" s="245"/>
      <c r="O27" s="245"/>
      <c r="P27" s="63"/>
      <c r="Q27" s="63"/>
      <c r="R27" s="243"/>
      <c r="S27" s="243"/>
      <c r="T27" s="244"/>
      <c r="U27" s="244"/>
      <c r="V27" s="245"/>
      <c r="W27" s="245"/>
      <c r="X27" s="65"/>
      <c r="Z27" s="238"/>
      <c r="AA27" s="238"/>
      <c r="AB27" s="238"/>
      <c r="AC27" s="238"/>
      <c r="AD27" s="238"/>
      <c r="AE27" s="238"/>
      <c r="AF27" s="238"/>
      <c r="AG27" s="238"/>
      <c r="AH27" s="238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</row>
    <row r="28" spans="1:63" ht="6.75" customHeight="1">
      <c r="A28" s="62"/>
      <c r="B28" s="243"/>
      <c r="C28" s="243"/>
      <c r="D28" s="244"/>
      <c r="E28" s="244"/>
      <c r="F28" s="245" t="s">
        <v>215</v>
      </c>
      <c r="G28" s="245"/>
      <c r="H28" s="63"/>
      <c r="I28" s="63"/>
      <c r="J28" s="243"/>
      <c r="K28" s="243"/>
      <c r="L28" s="244"/>
      <c r="M28" s="244"/>
      <c r="N28" s="245" t="s">
        <v>215</v>
      </c>
      <c r="O28" s="245"/>
      <c r="P28" s="63"/>
      <c r="Q28" s="63"/>
      <c r="R28" s="243"/>
      <c r="S28" s="243"/>
      <c r="T28" s="244"/>
      <c r="U28" s="244"/>
      <c r="V28" s="245"/>
      <c r="W28" s="245"/>
      <c r="X28" s="65"/>
      <c r="Z28" s="238">
        <f>IF(Main!S8=0,"",Main!S8)</f>
      </c>
      <c r="AA28" s="238"/>
      <c r="AB28" s="238"/>
      <c r="AC28" s="238"/>
      <c r="AD28" s="238"/>
      <c r="AE28" s="238"/>
      <c r="AF28" s="238"/>
      <c r="AG28" s="238"/>
      <c r="AH28" s="238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</row>
    <row r="29" spans="1:63" ht="6.75" customHeight="1">
      <c r="A29" s="62"/>
      <c r="B29" s="243"/>
      <c r="C29" s="243"/>
      <c r="D29" s="244"/>
      <c r="E29" s="244"/>
      <c r="F29" s="245"/>
      <c r="G29" s="245"/>
      <c r="H29" s="63"/>
      <c r="I29" s="63"/>
      <c r="J29" s="243"/>
      <c r="K29" s="243"/>
      <c r="L29" s="244"/>
      <c r="M29" s="244"/>
      <c r="N29" s="245"/>
      <c r="O29" s="245"/>
      <c r="P29" s="63"/>
      <c r="Q29" s="63"/>
      <c r="R29" s="243"/>
      <c r="S29" s="243"/>
      <c r="T29" s="244"/>
      <c r="U29" s="244"/>
      <c r="V29" s="245"/>
      <c r="W29" s="245"/>
      <c r="X29" s="65"/>
      <c r="Z29" s="238"/>
      <c r="AA29" s="238"/>
      <c r="AB29" s="238"/>
      <c r="AC29" s="238"/>
      <c r="AD29" s="238"/>
      <c r="AE29" s="238"/>
      <c r="AF29" s="238"/>
      <c r="AG29" s="238"/>
      <c r="AH29" s="238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</row>
    <row r="30" spans="1:63" ht="6.75" customHeight="1">
      <c r="A30" s="62"/>
      <c r="B30" s="243"/>
      <c r="C30" s="243"/>
      <c r="D30" s="244"/>
      <c r="E30" s="244"/>
      <c r="F30" s="245" t="s">
        <v>216</v>
      </c>
      <c r="G30" s="245"/>
      <c r="H30" s="63"/>
      <c r="I30" s="63"/>
      <c r="J30" s="243"/>
      <c r="K30" s="243"/>
      <c r="L30" s="244"/>
      <c r="M30" s="244"/>
      <c r="N30" s="245" t="s">
        <v>216</v>
      </c>
      <c r="O30" s="245"/>
      <c r="P30" s="63"/>
      <c r="Q30" s="63"/>
      <c r="R30" s="243"/>
      <c r="S30" s="243"/>
      <c r="T30" s="244"/>
      <c r="U30" s="244"/>
      <c r="V30" s="245"/>
      <c r="W30" s="245"/>
      <c r="X30" s="65"/>
      <c r="Z30" s="238">
        <f>IF(Main!S9=0,"",Main!S9)</f>
      </c>
      <c r="AA30" s="238"/>
      <c r="AB30" s="238"/>
      <c r="AC30" s="238"/>
      <c r="AD30" s="238"/>
      <c r="AE30" s="238"/>
      <c r="AF30" s="238"/>
      <c r="AG30" s="238"/>
      <c r="AH30" s="238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</row>
    <row r="31" spans="1:63" ht="6.75" customHeight="1">
      <c r="A31" s="62"/>
      <c r="B31" s="243"/>
      <c r="C31" s="243"/>
      <c r="D31" s="244"/>
      <c r="E31" s="244"/>
      <c r="F31" s="245"/>
      <c r="G31" s="245"/>
      <c r="H31" s="63"/>
      <c r="I31" s="63"/>
      <c r="J31" s="243"/>
      <c r="K31" s="243"/>
      <c r="L31" s="244"/>
      <c r="M31" s="244"/>
      <c r="N31" s="245"/>
      <c r="O31" s="245"/>
      <c r="P31" s="63"/>
      <c r="Q31" s="63"/>
      <c r="R31" s="243"/>
      <c r="S31" s="243"/>
      <c r="T31" s="244"/>
      <c r="U31" s="244"/>
      <c r="V31" s="245"/>
      <c r="W31" s="245"/>
      <c r="X31" s="65"/>
      <c r="Z31" s="238"/>
      <c r="AA31" s="238"/>
      <c r="AB31" s="238"/>
      <c r="AC31" s="238"/>
      <c r="AD31" s="238"/>
      <c r="AE31" s="238"/>
      <c r="AF31" s="238"/>
      <c r="AG31" s="238"/>
      <c r="AH31" s="238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</row>
    <row r="32" spans="1:63" ht="6.75" customHeight="1">
      <c r="A32" s="62"/>
      <c r="B32" s="246"/>
      <c r="C32" s="246"/>
      <c r="D32" s="247"/>
      <c r="E32" s="247"/>
      <c r="F32" s="248" t="s">
        <v>217</v>
      </c>
      <c r="G32" s="248"/>
      <c r="H32" s="69"/>
      <c r="I32" s="69"/>
      <c r="J32" s="243"/>
      <c r="K32" s="243"/>
      <c r="L32" s="244"/>
      <c r="M32" s="244"/>
      <c r="N32" s="245" t="s">
        <v>217</v>
      </c>
      <c r="O32" s="245"/>
      <c r="P32" s="63"/>
      <c r="Q32" s="63"/>
      <c r="R32" s="246"/>
      <c r="S32" s="246"/>
      <c r="T32" s="247"/>
      <c r="U32" s="247"/>
      <c r="V32" s="248"/>
      <c r="W32" s="248"/>
      <c r="X32" s="65"/>
      <c r="Z32" s="238">
        <f>IF(Main!S10=0,"",Main!S10)</f>
      </c>
      <c r="AA32" s="238"/>
      <c r="AB32" s="238"/>
      <c r="AC32" s="238"/>
      <c r="AD32" s="238"/>
      <c r="AE32" s="238"/>
      <c r="AF32" s="238"/>
      <c r="AG32" s="238"/>
      <c r="AH32" s="238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</row>
    <row r="33" spans="1:63" ht="6.75" customHeight="1">
      <c r="A33" s="62"/>
      <c r="B33" s="246"/>
      <c r="C33" s="246"/>
      <c r="D33" s="247"/>
      <c r="E33" s="247"/>
      <c r="F33" s="248"/>
      <c r="G33" s="248"/>
      <c r="H33" s="63"/>
      <c r="I33" s="63"/>
      <c r="J33" s="243"/>
      <c r="K33" s="243"/>
      <c r="L33" s="244"/>
      <c r="M33" s="244"/>
      <c r="N33" s="245"/>
      <c r="O33" s="245"/>
      <c r="P33" s="63"/>
      <c r="Q33" s="63"/>
      <c r="R33" s="246"/>
      <c r="S33" s="246"/>
      <c r="T33" s="247"/>
      <c r="U33" s="247"/>
      <c r="V33" s="248"/>
      <c r="W33" s="248"/>
      <c r="X33" s="65"/>
      <c r="Z33" s="238"/>
      <c r="AA33" s="238"/>
      <c r="AB33" s="238"/>
      <c r="AC33" s="238"/>
      <c r="AD33" s="238"/>
      <c r="AE33" s="238"/>
      <c r="AF33" s="238"/>
      <c r="AG33" s="238"/>
      <c r="AH33" s="238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</row>
    <row r="34" spans="1:63" ht="6.75" customHeight="1">
      <c r="A34" s="249" t="s">
        <v>218</v>
      </c>
      <c r="B34" s="249"/>
      <c r="C34" s="249"/>
      <c r="D34" s="249"/>
      <c r="E34" s="249"/>
      <c r="F34" s="249"/>
      <c r="G34" s="249"/>
      <c r="H34" s="249"/>
      <c r="I34" s="249"/>
      <c r="J34" s="243"/>
      <c r="K34" s="243"/>
      <c r="L34" s="244"/>
      <c r="M34" s="244"/>
      <c r="N34" s="245" t="s">
        <v>219</v>
      </c>
      <c r="O34" s="245"/>
      <c r="P34" s="63"/>
      <c r="Q34" s="250" t="s">
        <v>220</v>
      </c>
      <c r="R34" s="250"/>
      <c r="S34" s="250"/>
      <c r="T34" s="250"/>
      <c r="U34" s="250"/>
      <c r="V34" s="250"/>
      <c r="W34" s="250"/>
      <c r="X34" s="250"/>
      <c r="Z34" s="251">
        <f>IF(Main!S11=0,"",Main!S11)</f>
      </c>
      <c r="AA34" s="251"/>
      <c r="AB34" s="251"/>
      <c r="AC34" s="251"/>
      <c r="AD34" s="251"/>
      <c r="AE34" s="251"/>
      <c r="AF34" s="251"/>
      <c r="AG34" s="251"/>
      <c r="AH34" s="251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</row>
    <row r="35" spans="1:63" s="70" customFormat="1" ht="6.7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43"/>
      <c r="K35" s="243"/>
      <c r="L35" s="244"/>
      <c r="M35" s="244"/>
      <c r="N35" s="245"/>
      <c r="O35" s="245"/>
      <c r="P35" s="69"/>
      <c r="Q35" s="250"/>
      <c r="R35" s="250"/>
      <c r="S35" s="250"/>
      <c r="T35" s="250"/>
      <c r="U35" s="250"/>
      <c r="V35" s="250"/>
      <c r="W35" s="250"/>
      <c r="X35" s="250"/>
      <c r="Z35" s="251"/>
      <c r="AA35" s="251"/>
      <c r="AB35" s="251"/>
      <c r="AC35" s="251"/>
      <c r="AD35" s="251"/>
      <c r="AE35" s="251"/>
      <c r="AF35" s="251"/>
      <c r="AG35" s="251"/>
      <c r="AH35" s="251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</row>
    <row r="36" spans="1:63" ht="6.75" customHeight="1">
      <c r="A36" s="249"/>
      <c r="B36" s="249"/>
      <c r="C36" s="249"/>
      <c r="D36" s="249"/>
      <c r="E36" s="249"/>
      <c r="F36" s="249"/>
      <c r="G36" s="249"/>
      <c r="H36" s="249"/>
      <c r="I36" s="249"/>
      <c r="J36" s="246"/>
      <c r="K36" s="246"/>
      <c r="L36" s="247"/>
      <c r="M36" s="247"/>
      <c r="N36" s="248" t="s">
        <v>221</v>
      </c>
      <c r="O36" s="248"/>
      <c r="P36" s="63"/>
      <c r="Q36" s="250"/>
      <c r="R36" s="250"/>
      <c r="S36" s="250"/>
      <c r="T36" s="250"/>
      <c r="U36" s="250"/>
      <c r="V36" s="250"/>
      <c r="W36" s="250"/>
      <c r="X36" s="250"/>
      <c r="Z36" s="253" t="str">
        <f>IF(Main!S12=0,"",Main!S12)</f>
        <v>SIN持ち(前科あり)</v>
      </c>
      <c r="AA36" s="253"/>
      <c r="AB36" s="253"/>
      <c r="AC36" s="253"/>
      <c r="AD36" s="253"/>
      <c r="AE36" s="253"/>
      <c r="AF36" s="253"/>
      <c r="AG36" s="253"/>
      <c r="AH36" s="253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</row>
    <row r="37" spans="1:63" ht="6.75" customHeight="1">
      <c r="A37" s="249"/>
      <c r="B37" s="249"/>
      <c r="C37" s="249"/>
      <c r="D37" s="249"/>
      <c r="E37" s="249"/>
      <c r="F37" s="249"/>
      <c r="G37" s="249"/>
      <c r="H37" s="249"/>
      <c r="I37" s="249"/>
      <c r="J37" s="246"/>
      <c r="K37" s="246"/>
      <c r="L37" s="247"/>
      <c r="M37" s="247"/>
      <c r="N37" s="248"/>
      <c r="O37" s="248"/>
      <c r="P37" s="63"/>
      <c r="Q37" s="250"/>
      <c r="R37" s="250"/>
      <c r="S37" s="250"/>
      <c r="T37" s="250"/>
      <c r="U37" s="250"/>
      <c r="V37" s="250"/>
      <c r="W37" s="250"/>
      <c r="X37" s="250"/>
      <c r="Z37" s="253"/>
      <c r="AA37" s="253"/>
      <c r="AB37" s="253"/>
      <c r="AC37" s="253"/>
      <c r="AD37" s="253"/>
      <c r="AE37" s="253"/>
      <c r="AF37" s="253"/>
      <c r="AG37" s="253"/>
      <c r="AH37" s="253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</row>
    <row r="38" spans="1:24" ht="6.75" customHeigh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</row>
    <row r="39" spans="1:63" ht="6.75" customHeight="1">
      <c r="A39" s="257" t="s">
        <v>222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</row>
    <row r="40" spans="1:63" ht="6.75" customHeight="1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</row>
    <row r="41" spans="1:63" ht="6.75" customHeight="1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</row>
    <row r="42" spans="1:63" ht="6.75" customHeight="1">
      <c r="A42" s="258" t="s">
        <v>223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9" t="str">
        <f>Main!F23&amp;IF(Main!M23=Main!F23,"","("&amp;Main!M23&amp;")")</f>
        <v>3</v>
      </c>
      <c r="Q42" s="259"/>
      <c r="R42" s="259"/>
      <c r="S42" s="259"/>
      <c r="T42" s="259"/>
      <c r="U42" s="71"/>
      <c r="V42" s="258" t="s">
        <v>51</v>
      </c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9" t="str">
        <f>Main!F27&amp;IF(Main!M27=Main!F27,"","("&amp;Main!M27&amp;")")</f>
        <v>2</v>
      </c>
      <c r="AL42" s="259"/>
      <c r="AM42" s="259"/>
      <c r="AN42" s="259"/>
      <c r="AO42" s="259"/>
      <c r="AP42" s="71"/>
      <c r="AQ42" s="258" t="s">
        <v>54</v>
      </c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60" t="str">
        <f>Main!F30&amp;IF(Main!M30=Main!F30,"","("&amp;Main!M30&amp;")")</f>
        <v>2</v>
      </c>
      <c r="BG42" s="260"/>
      <c r="BH42" s="260"/>
      <c r="BI42" s="260"/>
      <c r="BJ42" s="260"/>
      <c r="BK42" s="260"/>
    </row>
    <row r="43" spans="1:63" ht="6.7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9"/>
      <c r="Q43" s="259"/>
      <c r="R43" s="259"/>
      <c r="S43" s="259"/>
      <c r="T43" s="259"/>
      <c r="U43" s="71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9"/>
      <c r="AL43" s="259"/>
      <c r="AM43" s="259"/>
      <c r="AN43" s="259"/>
      <c r="AO43" s="259"/>
      <c r="AP43" s="71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60"/>
      <c r="BG43" s="260"/>
      <c r="BH43" s="260"/>
      <c r="BI43" s="260"/>
      <c r="BJ43" s="260"/>
      <c r="BK43" s="260"/>
    </row>
    <row r="44" spans="1:63" ht="6.75" customHeight="1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9"/>
      <c r="Q44" s="259"/>
      <c r="R44" s="259"/>
      <c r="S44" s="259"/>
      <c r="T44" s="259"/>
      <c r="U44" s="71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9"/>
      <c r="AL44" s="259"/>
      <c r="AM44" s="259"/>
      <c r="AN44" s="259"/>
      <c r="AO44" s="259"/>
      <c r="AP44" s="71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60"/>
      <c r="BG44" s="260"/>
      <c r="BH44" s="260"/>
      <c r="BI44" s="260"/>
      <c r="BJ44" s="260"/>
      <c r="BK44" s="260"/>
    </row>
    <row r="45" spans="1:63" ht="6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60"/>
      <c r="Q45" s="60"/>
      <c r="R45" s="60"/>
      <c r="S45" s="60"/>
      <c r="T45" s="60"/>
      <c r="U45" s="71"/>
      <c r="V45" s="265" t="s">
        <v>224</v>
      </c>
      <c r="W45" s="265"/>
      <c r="X45" s="265"/>
      <c r="Y45" s="266" t="s">
        <v>88</v>
      </c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73"/>
      <c r="AL45" s="261">
        <f>IF('技能'!D12="","",'技能'!D12)</f>
      </c>
      <c r="AM45" s="261"/>
      <c r="AN45" s="261"/>
      <c r="AO45" s="26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3"/>
      <c r="BG45" s="73"/>
      <c r="BH45" s="73"/>
      <c r="BI45" s="73"/>
      <c r="BJ45" s="73"/>
      <c r="BK45" s="74"/>
    </row>
    <row r="46" spans="1:63" ht="6.75" customHeight="1">
      <c r="A46" s="255" t="s">
        <v>225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>
        <f ca="1">IF(ISERROR(MATCH(A46,'技能'!$H$4:$H$31,0)),"",IF(INDIRECT(ADDRESS(3+MATCH(A46,'技能'!$H$4:$H$31,0),15,4,TRUE,"技能"))="","","("&amp;INDIRECT(ADDRESS(3+MATCH(A46,'技能'!$H$4:$H$31,0),15,4,TRUE,"技能"))&amp;")"))</f>
      </c>
      <c r="L46" s="255"/>
      <c r="M46" s="255"/>
      <c r="N46" s="255"/>
      <c r="O46" s="255"/>
      <c r="P46" s="71"/>
      <c r="Q46" s="256">
        <f ca="1">IF(ISERROR(MATCH(A46,'技能'!$H$4:$H$31,0)),"",INDIRECT(ADDRESS(3+MATCH(A46,'技能'!$H$4:$H$31,0),13,4,TRUE,"技能"))&amp;IF(ISERROR(MATCH(A46,'技能'!$H$4:$H$31,0)),"",IF(INDIRECT(ADDRESS(3+MATCH(A46,'技能'!$H$4:$H$31,0),15,4,TRUE,"技能"))="","","(+2)")))</f>
      </c>
      <c r="R46" s="256"/>
      <c r="S46" s="256"/>
      <c r="T46" s="256"/>
      <c r="U46" s="71"/>
      <c r="V46" s="265"/>
      <c r="W46" s="265"/>
      <c r="X46" s="265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73"/>
      <c r="AL46" s="261"/>
      <c r="AM46" s="261"/>
      <c r="AN46" s="261"/>
      <c r="AO46" s="261"/>
      <c r="AP46" s="71"/>
      <c r="AQ46" s="255" t="s">
        <v>226</v>
      </c>
      <c r="AR46" s="255"/>
      <c r="AS46" s="255"/>
      <c r="AT46" s="255"/>
      <c r="AU46" s="255"/>
      <c r="AV46" s="255"/>
      <c r="AW46" s="255"/>
      <c r="AX46" s="255"/>
      <c r="AY46" s="255"/>
      <c r="AZ46" s="255"/>
      <c r="BA46" s="255">
        <f ca="1">IF(ISERROR(MATCH(AQ46,'技能'!$H$4:$H$31,0)),"",IF(INDIRECT(ADDRESS(3+MATCH(AQ46,'技能'!$H$4:$H$31,0),15,4,TRUE,"技能"))="","","("&amp;INDIRECT(ADDRESS(3+MATCH(AQ46,'技能'!$H$4:$H$31,0),15,4,TRUE,"技能"))&amp;")"))</f>
      </c>
      <c r="BB46" s="255"/>
      <c r="BC46" s="255"/>
      <c r="BD46" s="255"/>
      <c r="BE46" s="255"/>
      <c r="BF46" s="73"/>
      <c r="BG46" s="261">
        <f ca="1">IF(ISERROR(MATCH(AQ46,'技能'!$H$4:$H$31,0)),"",INDIRECT(ADDRESS(3+MATCH(AQ46,'技能'!$H$4:$H$31,0),13,4,TRUE,"技能"))&amp;IF(ISERROR(MATCH(AQ46,'技能'!$H$4:$H$31,0)),"",IF(INDIRECT(ADDRESS(3+MATCH(AQ46,'技能'!$H$4:$H$31,0),15,4,TRUE,"技能"))="","","(+2)")))</f>
      </c>
      <c r="BH46" s="261"/>
      <c r="BI46" s="261"/>
      <c r="BJ46" s="261"/>
      <c r="BK46" s="73"/>
    </row>
    <row r="47" spans="1:63" ht="6.75" customHeight="1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71"/>
      <c r="Q47" s="256"/>
      <c r="R47" s="256"/>
      <c r="S47" s="256"/>
      <c r="T47" s="256"/>
      <c r="U47" s="71"/>
      <c r="V47" s="262"/>
      <c r="W47" s="263" t="s">
        <v>227</v>
      </c>
      <c r="X47" s="263"/>
      <c r="Y47" s="263"/>
      <c r="Z47" s="263"/>
      <c r="AA47" s="263"/>
      <c r="AB47" s="263"/>
      <c r="AC47" s="263"/>
      <c r="AD47" s="263"/>
      <c r="AE47" s="263"/>
      <c r="AF47" s="255">
        <f ca="1">IF(ISERROR(MATCH(W47,'技能'!$H$4:$H$31,0)),"",IF(INDIRECT(ADDRESS(3+MATCH(W47,'技能'!$H$4:$H$31,0),15,4,TRUE,"技能"))="","","("&amp;INDIRECT(ADDRESS(3+MATCH(W47,'技能'!$H$4:$H$31,0),15,4,TRUE,"技能"))&amp;")"))</f>
      </c>
      <c r="AG47" s="255"/>
      <c r="AH47" s="255"/>
      <c r="AI47" s="255"/>
      <c r="AJ47" s="255"/>
      <c r="AK47" s="73"/>
      <c r="AL47" s="264">
        <f ca="1">IF(ISERROR(MATCH(W47,'技能'!$H$4:$H$31,0)),"",INDIRECT(ADDRESS(3+MATCH(W47,'技能'!$H$4:$H$31,0),13,4,TRUE,"技能"))&amp;IF(ISERROR(MATCH(W47,'技能'!$H$4:$H$31,0)),"",IF(INDIRECT(ADDRESS(3+MATCH(W47,'技能'!$H$4:$H$31,0),15,4,TRUE,"技能"))="","","(+2)")))</f>
      </c>
      <c r="AM47" s="264"/>
      <c r="AN47" s="264"/>
      <c r="AO47" s="264"/>
      <c r="AP47" s="71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73"/>
      <c r="BG47" s="261"/>
      <c r="BH47" s="261"/>
      <c r="BI47" s="261"/>
      <c r="BJ47" s="261"/>
      <c r="BK47" s="73"/>
    </row>
    <row r="48" spans="1:63" ht="6.75" customHeight="1">
      <c r="A48" s="255" t="s">
        <v>228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>
        <f ca="1">IF(ISERROR(MATCH(B48,'技能'!$H$4:$H$31,0)),"",IF(INDIRECT(ADDRESS(3+MATCH(B48,'技能'!$H$4:$H$31,0),15,4,TRUE,"技能"))="","","("&amp;INDIRECT(ADDRESS(3+MATCH(B48,'技能'!$H$4:$H$31,0),15,4,TRUE,"技能"))&amp;")"))</f>
      </c>
      <c r="L48" s="255"/>
      <c r="M48" s="255"/>
      <c r="N48" s="255"/>
      <c r="O48" s="255"/>
      <c r="P48" s="71"/>
      <c r="Q48" s="261">
        <f ca="1">IF(ISERROR(MATCH(A48,'技能'!$H$4:$H$31,0)),"",INDIRECT(ADDRESS(3+MATCH(A48,'技能'!$H$4:$H$31,0),13,4,TRUE,"技能"))&amp;IF(ISERROR(MATCH(A48,'技能'!$H$4:$H$31,0)),"",IF(INDIRECT(ADDRESS(3+MATCH(A48,'技能'!$H$4:$H$31,0),15,4,TRUE,"技能"))="","","(+2)")))</f>
      </c>
      <c r="R48" s="261"/>
      <c r="S48" s="261"/>
      <c r="T48" s="261"/>
      <c r="U48" s="71"/>
      <c r="V48" s="262"/>
      <c r="W48" s="263"/>
      <c r="X48" s="263"/>
      <c r="Y48" s="263"/>
      <c r="Z48" s="263"/>
      <c r="AA48" s="263"/>
      <c r="AB48" s="263"/>
      <c r="AC48" s="263"/>
      <c r="AD48" s="263"/>
      <c r="AE48" s="263"/>
      <c r="AF48" s="255"/>
      <c r="AG48" s="255"/>
      <c r="AH48" s="255"/>
      <c r="AI48" s="255"/>
      <c r="AJ48" s="255"/>
      <c r="AK48" s="73"/>
      <c r="AL48" s="264"/>
      <c r="AM48" s="264"/>
      <c r="AN48" s="264"/>
      <c r="AO48" s="264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3"/>
      <c r="BG48" s="73"/>
      <c r="BH48" s="73"/>
      <c r="BI48" s="73"/>
      <c r="BJ48" s="73"/>
      <c r="BK48" s="73"/>
    </row>
    <row r="49" spans="1:63" ht="6.75" customHeight="1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71"/>
      <c r="Q49" s="261"/>
      <c r="R49" s="261"/>
      <c r="S49" s="261"/>
      <c r="T49" s="261"/>
      <c r="U49" s="71"/>
      <c r="V49" s="267"/>
      <c r="W49" s="255" t="s">
        <v>229</v>
      </c>
      <c r="X49" s="255"/>
      <c r="Y49" s="255"/>
      <c r="Z49" s="255"/>
      <c r="AA49" s="255"/>
      <c r="AB49" s="255"/>
      <c r="AC49" s="255"/>
      <c r="AD49" s="255"/>
      <c r="AE49" s="255"/>
      <c r="AF49" s="255">
        <f ca="1">IF(ISERROR(MATCH(W49,'技能'!$H$4:$H$31,0)),"",IF(INDIRECT(ADDRESS(3+MATCH(W49,'技能'!$H$4:$H$31,0),15,4,TRUE,"技能"))="","","("&amp;INDIRECT(ADDRESS(3+MATCH(W49,'技能'!$H$4:$H$31,0),15,4,TRUE,"技能"))&amp;")"))</f>
      </c>
      <c r="AG49" s="255"/>
      <c r="AH49" s="255"/>
      <c r="AI49" s="255"/>
      <c r="AJ49" s="255"/>
      <c r="AK49" s="73"/>
      <c r="AL49" s="256">
        <f ca="1">IF(ISERROR(MATCH(W49,'技能'!$H$4:$H$31,0)),"",INDIRECT(ADDRESS(3+MATCH(W49,'技能'!$H$4:$H$31,0),13,4,TRUE,"技能"))&amp;IF(ISERROR(MATCH(W49,'技能'!$H$4:$H$31,0)),"",IF(INDIRECT(ADDRESS(3+MATCH(W49,'技能'!$H$4:$H$31,0),15,4,TRUE,"技能"))="","","(+2)")))</f>
      </c>
      <c r="AM49" s="256"/>
      <c r="AN49" s="256"/>
      <c r="AO49" s="256"/>
      <c r="AP49" s="71"/>
      <c r="AQ49" s="258" t="s">
        <v>57</v>
      </c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60" t="str">
        <f>Main!F32&amp;IF(Main!M32=Main!F32,"","("&amp;Main!M32&amp;")")</f>
        <v>5(4)</v>
      </c>
      <c r="BG49" s="260"/>
      <c r="BH49" s="260"/>
      <c r="BI49" s="260"/>
      <c r="BJ49" s="260"/>
      <c r="BK49" s="260"/>
    </row>
    <row r="50" spans="1:63" ht="6.75" customHeight="1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1"/>
      <c r="Q50" s="60"/>
      <c r="R50" s="60"/>
      <c r="S50" s="60"/>
      <c r="T50" s="60"/>
      <c r="U50" s="71"/>
      <c r="V50" s="267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73"/>
      <c r="AL50" s="256"/>
      <c r="AM50" s="256"/>
      <c r="AN50" s="256"/>
      <c r="AO50" s="256"/>
      <c r="AP50" s="71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60"/>
      <c r="BG50" s="260"/>
      <c r="BH50" s="260"/>
      <c r="BI50" s="260"/>
      <c r="BJ50" s="260"/>
      <c r="BK50" s="260"/>
    </row>
    <row r="51" spans="1:63" ht="6.75" customHeight="1">
      <c r="A51" s="268" t="s">
        <v>230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59" t="str">
        <f>Main!F24&amp;IF(Main!M24=Main!F24,"","("&amp;Main!M24&amp;")")</f>
        <v>4</v>
      </c>
      <c r="Q51" s="259"/>
      <c r="R51" s="259"/>
      <c r="S51" s="259"/>
      <c r="T51" s="259"/>
      <c r="U51" s="71"/>
      <c r="V51" s="267"/>
      <c r="W51" s="255" t="s">
        <v>231</v>
      </c>
      <c r="X51" s="255"/>
      <c r="Y51" s="255"/>
      <c r="Z51" s="255"/>
      <c r="AA51" s="255"/>
      <c r="AB51" s="255"/>
      <c r="AC51" s="255"/>
      <c r="AD51" s="255"/>
      <c r="AE51" s="255"/>
      <c r="AF51" s="255">
        <f ca="1">IF(ISERROR(MATCH(W51,'技能'!$H$4:$H$31,0)),"",IF(INDIRECT(ADDRESS(3+MATCH(W51,'技能'!$H$4:$H$31,0),15,4,TRUE,"技能"))="","","("&amp;INDIRECT(ADDRESS(3+MATCH(W51,'技能'!$H$4:$H$31,0),15,4,TRUE,"技能"))&amp;")"))</f>
      </c>
      <c r="AG51" s="255"/>
      <c r="AH51" s="255"/>
      <c r="AI51" s="255"/>
      <c r="AJ51" s="255"/>
      <c r="AK51" s="73"/>
      <c r="AL51" s="256">
        <f ca="1">IF(ISERROR(MATCH(W51,'技能'!$H$4:$H$31,0)),"",INDIRECT(ADDRESS(3+MATCH(W51,'技能'!$H$4:$H$31,0),13,4,TRUE,"技能"))&amp;IF(ISERROR(MATCH(W51,'技能'!$H$4:$H$31,0)),"",IF(INDIRECT(ADDRESS(3+MATCH(W51,'技能'!$H$4:$H$31,0),15,4,TRUE,"技能"))="","","(+2)")))</f>
      </c>
      <c r="AM51" s="256"/>
      <c r="AN51" s="256"/>
      <c r="AO51" s="256"/>
      <c r="AP51" s="71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60"/>
      <c r="BG51" s="260"/>
      <c r="BH51" s="260"/>
      <c r="BI51" s="260"/>
      <c r="BJ51" s="260"/>
      <c r="BK51" s="260"/>
    </row>
    <row r="52" spans="1:63" ht="6.7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59"/>
      <c r="Q52" s="259"/>
      <c r="R52" s="259"/>
      <c r="S52" s="259"/>
      <c r="T52" s="259"/>
      <c r="U52" s="71"/>
      <c r="V52" s="267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73"/>
      <c r="AL52" s="256"/>
      <c r="AM52" s="256"/>
      <c r="AN52" s="256"/>
      <c r="AO52" s="256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3"/>
      <c r="BG52" s="73"/>
      <c r="BH52" s="73"/>
      <c r="BI52" s="73"/>
      <c r="BJ52" s="73"/>
      <c r="BK52" s="73"/>
    </row>
    <row r="53" spans="1:63" ht="6.75" customHeight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59"/>
      <c r="Q53" s="259"/>
      <c r="R53" s="259"/>
      <c r="S53" s="259"/>
      <c r="T53" s="259"/>
      <c r="U53" s="71"/>
      <c r="V53" s="269"/>
      <c r="W53" s="255" t="s">
        <v>232</v>
      </c>
      <c r="X53" s="255"/>
      <c r="Y53" s="255"/>
      <c r="Z53" s="255"/>
      <c r="AA53" s="255"/>
      <c r="AB53" s="255"/>
      <c r="AC53" s="255"/>
      <c r="AD53" s="255"/>
      <c r="AE53" s="255"/>
      <c r="AF53" s="255">
        <f ca="1">IF(ISERROR(MATCH(W53,'技能'!$H$4:$H$31,0)),"",IF(INDIRECT(ADDRESS(3+MATCH(W53,'技能'!$H$4:$H$31,0),15,4,TRUE,"技能"))="","","("&amp;INDIRECT(ADDRESS(3+MATCH(W53,'技能'!$H$4:$H$31,0),15,4,TRUE,"技能"))&amp;")"))</f>
      </c>
      <c r="AG53" s="255"/>
      <c r="AH53" s="255"/>
      <c r="AI53" s="255"/>
      <c r="AJ53" s="255"/>
      <c r="AK53" s="73"/>
      <c r="AL53" s="256">
        <f ca="1">IF(ISERROR(MATCH(W53,'技能'!$H$4:$H$31,0)),"",INDIRECT(ADDRESS(3+MATCH(W53,'技能'!$H$4:$H$31,0),13,4,TRUE,"技能"))&amp;IF(ISERROR(MATCH(W53,'技能'!$H$4:$H$31,0)),"",IF(INDIRECT(ADDRESS(3+MATCH(W53,'技能'!$H$4:$H$31,0),15,4,TRUE,"技能"))="","","(+2)")))</f>
      </c>
      <c r="AM53" s="256"/>
      <c r="AN53" s="256"/>
      <c r="AO53" s="256"/>
      <c r="AP53" s="71"/>
      <c r="AQ53" s="265" t="s">
        <v>224</v>
      </c>
      <c r="AR53" s="265"/>
      <c r="AS53" s="265"/>
      <c r="AT53" s="266" t="s">
        <v>233</v>
      </c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73"/>
      <c r="BG53" s="261">
        <f>IF('技能'!D11="","",'技能'!D11)</f>
      </c>
      <c r="BH53" s="261"/>
      <c r="BI53" s="261"/>
      <c r="BJ53" s="261"/>
      <c r="BK53" s="73"/>
    </row>
    <row r="54" spans="1:63" ht="6.7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60"/>
      <c r="Q54" s="60"/>
      <c r="R54" s="60"/>
      <c r="S54" s="60"/>
      <c r="T54" s="60"/>
      <c r="U54" s="71"/>
      <c r="V54" s="269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73"/>
      <c r="AL54" s="256"/>
      <c r="AM54" s="256"/>
      <c r="AN54" s="256"/>
      <c r="AO54" s="256"/>
      <c r="AP54" s="71"/>
      <c r="AQ54" s="265"/>
      <c r="AR54" s="265"/>
      <c r="AS54" s="265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73"/>
      <c r="BG54" s="261"/>
      <c r="BH54" s="261"/>
      <c r="BI54" s="261"/>
      <c r="BJ54" s="261"/>
      <c r="BK54" s="73"/>
    </row>
    <row r="55" spans="1:63" ht="6.75" customHeight="1">
      <c r="A55" s="265" t="s">
        <v>224</v>
      </c>
      <c r="B55" s="265"/>
      <c r="C55" s="265"/>
      <c r="D55" s="266" t="s">
        <v>79</v>
      </c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73"/>
      <c r="Q55" s="261">
        <f>IF('技能'!D8="","",'技能'!D8)</f>
      </c>
      <c r="R55" s="261"/>
      <c r="S55" s="261"/>
      <c r="T55" s="261"/>
      <c r="U55" s="71"/>
      <c r="V55" s="270" t="s">
        <v>234</v>
      </c>
      <c r="W55" s="270"/>
      <c r="X55" s="270"/>
      <c r="Y55" s="270"/>
      <c r="Z55" s="270"/>
      <c r="AA55" s="270"/>
      <c r="AB55" s="270"/>
      <c r="AC55" s="270"/>
      <c r="AD55" s="270"/>
      <c r="AE55" s="270"/>
      <c r="AF55" s="255">
        <f ca="1">IF(ISERROR(MATCH(V55,'技能'!$H$4:$H$31,0)),"",IF(INDIRECT(ADDRESS(3+MATCH(V55,'技能'!$H$4:$H$31,0),15,4,TRUE,"技能"))="","","("&amp;INDIRECT(ADDRESS(3+MATCH(V55,'技能'!$H$4:$H$31,0),15,4,TRUE,"技能"))&amp;")"))</f>
      </c>
      <c r="AG55" s="255"/>
      <c r="AH55" s="255"/>
      <c r="AI55" s="255"/>
      <c r="AJ55" s="255"/>
      <c r="AK55" s="73"/>
      <c r="AL55" s="256">
        <f ca="1">IF(ISERROR(MATCH(V55,'技能'!$H$4:$H$31,0)),"",INDIRECT(ADDRESS(3+MATCH(V55,'技能'!$H$4:$H$31,0),13,4,TRUE,"技能"))&amp;IF(ISERROR(MATCH(V55,'技能'!$H$4:$H$31,0)),"",IF(INDIRECT(ADDRESS(3+MATCH(V55,'技能'!$H$4:$H$31,0),15,4,TRUE,"技能"))="","","(+2)")))</f>
      </c>
      <c r="AM55" s="256"/>
      <c r="AN55" s="256"/>
      <c r="AO55" s="256"/>
      <c r="AP55" s="71"/>
      <c r="AQ55" s="271"/>
      <c r="AR55" s="263" t="s">
        <v>235</v>
      </c>
      <c r="AS55" s="263"/>
      <c r="AT55" s="263"/>
      <c r="AU55" s="263"/>
      <c r="AV55" s="263"/>
      <c r="AW55" s="263"/>
      <c r="AX55" s="263"/>
      <c r="AY55" s="263"/>
      <c r="AZ55" s="263"/>
      <c r="BA55" s="255">
        <f ca="1">IF(ISERROR(MATCH(AR55,'技能'!$H$4:$H$31,0)),"",IF(INDIRECT(ADDRESS(3+MATCH(AR55,'技能'!$H$4:$H$31,0),15,4,TRUE,"技能"))="","","("&amp;INDIRECT(ADDRESS(3+MATCH(AR55,'技能'!$H$4:$H$31,0),15,4,TRUE,"技能"))&amp;")"))</f>
      </c>
      <c r="BB55" s="255"/>
      <c r="BC55" s="255"/>
      <c r="BD55" s="255"/>
      <c r="BE55" s="255"/>
      <c r="BF55" s="73"/>
      <c r="BG55" s="261">
        <f ca="1">IF(ISERROR(MATCH(AR55,'技能'!$H$4:$H$31,0)),"",INDIRECT(ADDRESS(3+MATCH(AR55,'技能'!$H$4:$H$31,0),13,4,TRUE,"技能"))&amp;IF(ISERROR(MATCH(AR55,'技能'!$H$4:$H$31,0)),"",IF(INDIRECT(ADDRESS(3+MATCH(AR55,'技能'!$H$4:$H$31,0),15,4,TRUE,"技能"))="","","(+2)")))</f>
      </c>
      <c r="BH55" s="261"/>
      <c r="BI55" s="261"/>
      <c r="BJ55" s="261"/>
      <c r="BK55" s="73"/>
    </row>
    <row r="56" spans="1:63" ht="6.75" customHeight="1">
      <c r="A56" s="265"/>
      <c r="B56" s="265"/>
      <c r="C56" s="265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73"/>
      <c r="Q56" s="261"/>
      <c r="R56" s="261"/>
      <c r="S56" s="261"/>
      <c r="T56" s="261"/>
      <c r="U56" s="71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55"/>
      <c r="AG56" s="255"/>
      <c r="AH56" s="255"/>
      <c r="AI56" s="255"/>
      <c r="AJ56" s="255"/>
      <c r="AK56" s="73"/>
      <c r="AL56" s="256"/>
      <c r="AM56" s="256"/>
      <c r="AN56" s="256"/>
      <c r="AO56" s="256"/>
      <c r="AP56" s="71"/>
      <c r="AQ56" s="271"/>
      <c r="AR56" s="263"/>
      <c r="AS56" s="263"/>
      <c r="AT56" s="263"/>
      <c r="AU56" s="263"/>
      <c r="AV56" s="263"/>
      <c r="AW56" s="263"/>
      <c r="AX56" s="263"/>
      <c r="AY56" s="263"/>
      <c r="AZ56" s="263"/>
      <c r="BA56" s="255"/>
      <c r="BB56" s="255"/>
      <c r="BC56" s="255"/>
      <c r="BD56" s="255"/>
      <c r="BE56" s="255"/>
      <c r="BF56" s="73"/>
      <c r="BG56" s="261"/>
      <c r="BH56" s="261"/>
      <c r="BI56" s="261"/>
      <c r="BJ56" s="261"/>
      <c r="BK56" s="73"/>
    </row>
    <row r="57" spans="1:63" ht="6.75" customHeight="1">
      <c r="A57" s="262"/>
      <c r="B57" s="263" t="s">
        <v>236</v>
      </c>
      <c r="C57" s="263"/>
      <c r="D57" s="263"/>
      <c r="E57" s="263"/>
      <c r="F57" s="263"/>
      <c r="G57" s="263"/>
      <c r="H57" s="263"/>
      <c r="I57" s="263"/>
      <c r="J57" s="263"/>
      <c r="K57" s="255">
        <f ca="1">IF(ISERROR(MATCH(B57,'技能'!$H$4:$H$31,0)),"",IF(INDIRECT(ADDRESS(3+MATCH(B57,'技能'!$H$4:$H$31,0),15,4,TRUE,"技能"))="","","("&amp;INDIRECT(ADDRESS(3+MATCH(B57,'技能'!$H$4:$H$31,0),15,4,TRUE,"技能"))&amp;")"))</f>
      </c>
      <c r="L57" s="255"/>
      <c r="M57" s="255"/>
      <c r="N57" s="255"/>
      <c r="O57" s="255"/>
      <c r="P57" s="73"/>
      <c r="Q57" s="256">
        <f ca="1">IF(ISERROR(MATCH(B57,'技能'!$H$4:$H$31,0)),"",INDIRECT(ADDRESS(3+MATCH(B57,'技能'!$H$4:$H$31,0),13,4,TRUE,"技能"))&amp;IF(ISERROR(MATCH(B57,'技能'!$H$4:$H$31,0)),"",IF(INDIRECT(ADDRESS(3+MATCH(B57,'技能'!$H$4:$H$31,0),15,4,TRUE,"技能"))="","","(+2)")))</f>
      </c>
      <c r="R57" s="256"/>
      <c r="S57" s="256"/>
      <c r="T57" s="256"/>
      <c r="U57" s="71"/>
      <c r="V57" s="270" t="s">
        <v>237</v>
      </c>
      <c r="W57" s="270"/>
      <c r="X57" s="270"/>
      <c r="Y57" s="270"/>
      <c r="Z57" s="270"/>
      <c r="AA57" s="270"/>
      <c r="AB57" s="270"/>
      <c r="AC57" s="270"/>
      <c r="AD57" s="270"/>
      <c r="AE57" s="270"/>
      <c r="AF57" s="255">
        <f ca="1">IF(ISERROR(MATCH(V57,'技能'!$H$4:$H$31,0)),"",IF(INDIRECT(ADDRESS(3+MATCH(V57,'技能'!$H$4:$H$31,0),15,4,TRUE,"技能"))="","","("&amp;INDIRECT(ADDRESS(3+MATCH(V57,'技能'!$H$4:$H$31,0),15,4,TRUE,"技能"))&amp;")"))</f>
      </c>
      <c r="AG57" s="255"/>
      <c r="AH57" s="255"/>
      <c r="AI57" s="255"/>
      <c r="AJ57" s="255"/>
      <c r="AK57" s="73"/>
      <c r="AL57" s="256">
        <f ca="1">IF(ISERROR(MATCH(V57,'技能'!$H$4:$H$31,0)),"",INDIRECT(ADDRESS(3+MATCH(V57,'技能'!$H$4:$H$31,0),13,4,TRUE,"技能"))&amp;IF(ISERROR(MATCH(V57,'技能'!$H$4:$H$31,0)),"",IF(INDIRECT(ADDRESS(3+MATCH(V57,'技能'!$H$4:$H$31,0),15,4,TRUE,"技能"))="","","(+2)")))</f>
      </c>
      <c r="AM57" s="256"/>
      <c r="AN57" s="256"/>
      <c r="AO57" s="256"/>
      <c r="AP57" s="71"/>
      <c r="AQ57" s="262"/>
      <c r="AR57" s="255" t="s">
        <v>238</v>
      </c>
      <c r="AS57" s="255"/>
      <c r="AT57" s="255"/>
      <c r="AU57" s="255"/>
      <c r="AV57" s="255"/>
      <c r="AW57" s="255"/>
      <c r="AX57" s="255"/>
      <c r="AY57" s="255"/>
      <c r="AZ57" s="255"/>
      <c r="BA57" s="255">
        <f ca="1">IF(ISERROR(MATCH(AR57,'技能'!$H$4:$H$31,0)),"",IF(INDIRECT(ADDRESS(3+MATCH(AR57,'技能'!$H$4:$H$31,0),15,4,TRUE,"技能"))="","","("&amp;INDIRECT(ADDRESS(3+MATCH(AR57,'技能'!$H$4:$H$31,0),15,4,TRUE,"技能"))&amp;")"))</f>
      </c>
      <c r="BB57" s="255"/>
      <c r="BC57" s="255"/>
      <c r="BD57" s="255"/>
      <c r="BE57" s="255"/>
      <c r="BF57" s="73"/>
      <c r="BG57" s="261">
        <f ca="1">IF(ISERROR(MATCH(AR57,'技能'!$H$4:$H$31,0)),"",INDIRECT(ADDRESS(3+MATCH(AR57,'技能'!$H$4:$H$31,0),13,4,TRUE,"技能"))&amp;IF(ISERROR(MATCH(AR57,'技能'!$H$4:$H$31,0)),"",IF(INDIRECT(ADDRESS(3+MATCH(AR57,'技能'!$H$4:$H$31,0),15,4,TRUE,"技能"))="","","(+2)")))</f>
      </c>
      <c r="BH57" s="261"/>
      <c r="BI57" s="261"/>
      <c r="BJ57" s="261"/>
      <c r="BK57" s="73"/>
    </row>
    <row r="58" spans="1:63" ht="6.75" customHeight="1">
      <c r="A58" s="262"/>
      <c r="B58" s="263"/>
      <c r="C58" s="263"/>
      <c r="D58" s="263"/>
      <c r="E58" s="263"/>
      <c r="F58" s="263"/>
      <c r="G58" s="263"/>
      <c r="H58" s="263"/>
      <c r="I58" s="263"/>
      <c r="J58" s="263"/>
      <c r="K58" s="255"/>
      <c r="L58" s="255"/>
      <c r="M58" s="255"/>
      <c r="N58" s="255"/>
      <c r="O58" s="255"/>
      <c r="P58" s="73"/>
      <c r="Q58" s="256"/>
      <c r="R58" s="256"/>
      <c r="S58" s="256"/>
      <c r="T58" s="256"/>
      <c r="U58" s="71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55"/>
      <c r="AG58" s="255"/>
      <c r="AH58" s="255"/>
      <c r="AI58" s="255"/>
      <c r="AJ58" s="255"/>
      <c r="AK58" s="73"/>
      <c r="AL58" s="256"/>
      <c r="AM58" s="256"/>
      <c r="AN58" s="256"/>
      <c r="AO58" s="256"/>
      <c r="AP58" s="71"/>
      <c r="AQ58" s="262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73"/>
      <c r="BG58" s="261"/>
      <c r="BH58" s="261"/>
      <c r="BI58" s="261"/>
      <c r="BJ58" s="261"/>
      <c r="BK58" s="73"/>
    </row>
    <row r="59" spans="1:63" ht="6.75" customHeight="1">
      <c r="A59" s="271"/>
      <c r="B59" s="255" t="s">
        <v>239</v>
      </c>
      <c r="C59" s="255"/>
      <c r="D59" s="255"/>
      <c r="E59" s="255"/>
      <c r="F59" s="255"/>
      <c r="G59" s="255"/>
      <c r="H59" s="255"/>
      <c r="I59" s="255"/>
      <c r="J59" s="255"/>
      <c r="K59" s="255">
        <f ca="1">IF(ISERROR(MATCH(B59,'技能'!$H$4:$H$31,0)),"",IF(INDIRECT(ADDRESS(3+MATCH(B59,'技能'!$H$4:$H$31,0),15,4,TRUE,"技能"))="","","("&amp;INDIRECT(ADDRESS(3+MATCH(B59,'技能'!$H$4:$H$31,0),15,4,TRUE,"技能"))&amp;")"))</f>
      </c>
      <c r="L59" s="255"/>
      <c r="M59" s="255"/>
      <c r="N59" s="255"/>
      <c r="O59" s="255"/>
      <c r="P59" s="73"/>
      <c r="Q59" s="256">
        <f ca="1">IF(ISERROR(MATCH(B59,'技能'!$H$4:$H$31,0)),"",INDIRECT(ADDRESS(3+MATCH(B59,'技能'!$H$4:$H$31,0),13,4,TRUE,"技能"))&amp;IF(ISERROR(MATCH(B59,'技能'!$H$4:$H$31,0)),"",IF(INDIRECT(ADDRESS(3+MATCH(B59,'技能'!$H$4:$H$31,0),15,4,TRUE,"技能"))="","","(+2)")))</f>
      </c>
      <c r="R59" s="256"/>
      <c r="S59" s="256"/>
      <c r="T59" s="25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3"/>
      <c r="AL59" s="73"/>
      <c r="AM59" s="73"/>
      <c r="AN59" s="73"/>
      <c r="AO59" s="73"/>
      <c r="AP59" s="71"/>
      <c r="AQ59" s="262"/>
      <c r="AR59" s="255" t="s">
        <v>240</v>
      </c>
      <c r="AS59" s="255"/>
      <c r="AT59" s="255"/>
      <c r="AU59" s="255"/>
      <c r="AV59" s="255"/>
      <c r="AW59" s="255"/>
      <c r="AX59" s="255"/>
      <c r="AY59" s="255"/>
      <c r="AZ59" s="255"/>
      <c r="BA59" s="255">
        <f ca="1">IF(ISERROR(MATCH(AR59,'技能'!$H$4:$H$31,0)),"",IF(INDIRECT(ADDRESS(3+MATCH(AR59,'技能'!$H$4:$H$31,0),15,4,TRUE,"技能"))="","","("&amp;INDIRECT(ADDRESS(3+MATCH(AR59,'技能'!$H$4:$H$31,0),15,4,TRUE,"技能"))&amp;")"))</f>
      </c>
      <c r="BB59" s="255"/>
      <c r="BC59" s="255"/>
      <c r="BD59" s="255"/>
      <c r="BE59" s="255"/>
      <c r="BF59" s="73"/>
      <c r="BG59" s="261">
        <f ca="1">IF(ISERROR(MATCH(AR59,'技能'!$H$4:$H$31,0)),"",INDIRECT(ADDRESS(3+MATCH(AR59,'技能'!$H$4:$H$31,0),13,4,TRUE,"技能"))&amp;IF(ISERROR(MATCH(AR59,'技能'!$H$4:$H$31,0)),"",IF(INDIRECT(ADDRESS(3+MATCH(AR59,'技能'!$H$4:$H$31,0),15,4,TRUE,"技能"))="","","(+2)")))</f>
      </c>
      <c r="BH59" s="261"/>
      <c r="BI59" s="261"/>
      <c r="BJ59" s="261"/>
      <c r="BK59" s="73"/>
    </row>
    <row r="60" spans="1:63" ht="6.75" customHeight="1">
      <c r="A60" s="271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73"/>
      <c r="Q60" s="256"/>
      <c r="R60" s="256"/>
      <c r="S60" s="256"/>
      <c r="T60" s="256"/>
      <c r="U60" s="71"/>
      <c r="V60" s="258" t="s">
        <v>52</v>
      </c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9" t="str">
        <f>Main!F28&amp;IF(Main!M28=Main!F28,"","("&amp;Main!M28&amp;")")</f>
        <v>4</v>
      </c>
      <c r="AL60" s="259"/>
      <c r="AM60" s="259"/>
      <c r="AN60" s="259"/>
      <c r="AO60" s="259"/>
      <c r="AP60" s="71"/>
      <c r="AQ60" s="262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73"/>
      <c r="BG60" s="261"/>
      <c r="BH60" s="261"/>
      <c r="BI60" s="261"/>
      <c r="BJ60" s="261"/>
      <c r="BK60" s="73"/>
    </row>
    <row r="61" spans="1:63" ht="6.75" customHeight="1">
      <c r="A61" s="262"/>
      <c r="B61" s="255" t="s">
        <v>241</v>
      </c>
      <c r="C61" s="255"/>
      <c r="D61" s="255"/>
      <c r="E61" s="255"/>
      <c r="F61" s="255"/>
      <c r="G61" s="255"/>
      <c r="H61" s="255"/>
      <c r="I61" s="255"/>
      <c r="J61" s="255"/>
      <c r="K61" s="255">
        <f ca="1">IF(ISERROR(MATCH(B61,'技能'!$H$4:$H$31,0)),"",IF(INDIRECT(ADDRESS(3+MATCH(B61,'技能'!$H$4:$H$31,0),15,4,TRUE,"技能"))="","","("&amp;INDIRECT(ADDRESS(3+MATCH(B61,'技能'!$H$4:$H$31,0),15,4,TRUE,"技能"))&amp;")"))</f>
      </c>
      <c r="L61" s="255"/>
      <c r="M61" s="255"/>
      <c r="N61" s="255"/>
      <c r="O61" s="255"/>
      <c r="P61" s="73"/>
      <c r="Q61" s="256">
        <f ca="1">IF(ISERROR(MATCH(B61,'技能'!$H$4:$H$31,0)),"",INDIRECT(ADDRESS(3+MATCH(B61,'技能'!$H$4:$H$31,0),13,4,TRUE,"技能"))&amp;IF(ISERROR(MATCH(B61,'技能'!$H$4:$H$31,0)),"",IF(INDIRECT(ADDRESS(3+MATCH(B61,'技能'!$H$4:$H$31,0),15,4,TRUE,"技能"))="","","(+2)")))</f>
      </c>
      <c r="R61" s="256"/>
      <c r="S61" s="256"/>
      <c r="T61" s="256"/>
      <c r="U61" s="71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9"/>
      <c r="AL61" s="259"/>
      <c r="AM61" s="259"/>
      <c r="AN61" s="259"/>
      <c r="AO61" s="259"/>
      <c r="AP61" s="71"/>
      <c r="AQ61" s="265" t="s">
        <v>224</v>
      </c>
      <c r="AR61" s="265"/>
      <c r="AS61" s="265"/>
      <c r="AT61" s="272" t="s">
        <v>242</v>
      </c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73"/>
      <c r="BG61" s="264">
        <f>IF('技能'!D15="","",'技能'!D15)</f>
      </c>
      <c r="BH61" s="264"/>
      <c r="BI61" s="264"/>
      <c r="BJ61" s="264"/>
      <c r="BK61" s="73"/>
    </row>
    <row r="62" spans="1:63" ht="6.75" customHeight="1">
      <c r="A62" s="262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73"/>
      <c r="Q62" s="256"/>
      <c r="R62" s="256"/>
      <c r="S62" s="256"/>
      <c r="T62" s="256"/>
      <c r="U62" s="71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9"/>
      <c r="AL62" s="259"/>
      <c r="AM62" s="259"/>
      <c r="AN62" s="259"/>
      <c r="AO62" s="259"/>
      <c r="AP62" s="71"/>
      <c r="AQ62" s="265"/>
      <c r="AR62" s="265"/>
      <c r="AS62" s="265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73"/>
      <c r="BG62" s="264"/>
      <c r="BH62" s="264"/>
      <c r="BI62" s="264"/>
      <c r="BJ62" s="264"/>
      <c r="BK62" s="73"/>
    </row>
    <row r="63" spans="1:63" ht="6.75" customHeight="1">
      <c r="A63" s="265" t="s">
        <v>224</v>
      </c>
      <c r="B63" s="265"/>
      <c r="C63" s="265"/>
      <c r="D63" s="273" t="s">
        <v>84</v>
      </c>
      <c r="E63" s="273"/>
      <c r="F63" s="273"/>
      <c r="G63" s="273"/>
      <c r="H63" s="273"/>
      <c r="I63" s="273"/>
      <c r="J63" s="273"/>
      <c r="K63" s="255"/>
      <c r="L63" s="255"/>
      <c r="M63" s="255"/>
      <c r="N63" s="255"/>
      <c r="O63" s="255"/>
      <c r="P63" s="73"/>
      <c r="Q63" s="264">
        <f>IF('技能'!D10="","",'技能'!D10)</f>
      </c>
      <c r="R63" s="264"/>
      <c r="S63" s="264"/>
      <c r="T63" s="264"/>
      <c r="U63" s="71"/>
      <c r="V63" s="265" t="s">
        <v>224</v>
      </c>
      <c r="W63" s="265"/>
      <c r="X63" s="265"/>
      <c r="Y63" s="266" t="s">
        <v>73</v>
      </c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73"/>
      <c r="AL63" s="261">
        <f>IF('技能'!D6="","",'技能'!D6)</f>
      </c>
      <c r="AM63" s="261"/>
      <c r="AN63" s="261"/>
      <c r="AO63" s="261"/>
      <c r="AP63" s="71"/>
      <c r="AQ63" s="274"/>
      <c r="AR63" s="263" t="s">
        <v>243</v>
      </c>
      <c r="AS63" s="263"/>
      <c r="AT63" s="263"/>
      <c r="AU63" s="263"/>
      <c r="AV63" s="263"/>
      <c r="AW63" s="263"/>
      <c r="AX63" s="263"/>
      <c r="AY63" s="263"/>
      <c r="AZ63" s="263"/>
      <c r="BA63" s="255">
        <f ca="1">IF(ISERROR(MATCH(AR63,'技能'!$H$4:$H$31,0)),"",IF(INDIRECT(ADDRESS(3+MATCH(AR63,'技能'!$H$4:$H$31,0),15,4,TRUE,"技能"))="","","("&amp;INDIRECT(ADDRESS(3+MATCH(AR63,'技能'!$H$4:$H$31,0),15,4,TRUE,"技能"))&amp;")"))</f>
      </c>
      <c r="BB63" s="255"/>
      <c r="BC63" s="255"/>
      <c r="BD63" s="255"/>
      <c r="BE63" s="255"/>
      <c r="BF63" s="73"/>
      <c r="BG63" s="256">
        <f ca="1">IF(ISERROR(MATCH(AR63,'技能'!$H$4:$H$31,0)),"",INDIRECT(ADDRESS(3+MATCH(AR63,'技能'!$H$4:$H$31,0),13,4,TRUE,"技能"))&amp;IF(ISERROR(MATCH(AR63,'技能'!$H$4:$H$31,0)),"",IF(INDIRECT(ADDRESS(3+MATCH(AR63,'技能'!$H$4:$H$31,0),15,4,TRUE,"技能"))="","","(+2)")))</f>
      </c>
      <c r="BH63" s="256"/>
      <c r="BI63" s="256"/>
      <c r="BJ63" s="256"/>
      <c r="BK63" s="73"/>
    </row>
    <row r="64" spans="1:63" ht="6.75" customHeight="1">
      <c r="A64" s="265"/>
      <c r="B64" s="265"/>
      <c r="C64" s="265"/>
      <c r="D64" s="273"/>
      <c r="E64" s="273"/>
      <c r="F64" s="273"/>
      <c r="G64" s="273"/>
      <c r="H64" s="273"/>
      <c r="I64" s="273"/>
      <c r="J64" s="273"/>
      <c r="K64" s="255"/>
      <c r="L64" s="255"/>
      <c r="M64" s="255"/>
      <c r="N64" s="255"/>
      <c r="O64" s="255"/>
      <c r="P64" s="73"/>
      <c r="Q64" s="264"/>
      <c r="R64" s="264"/>
      <c r="S64" s="264"/>
      <c r="T64" s="264"/>
      <c r="U64" s="71"/>
      <c r="V64" s="265"/>
      <c r="W64" s="265"/>
      <c r="X64" s="265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73"/>
      <c r="AL64" s="261"/>
      <c r="AM64" s="261"/>
      <c r="AN64" s="261"/>
      <c r="AO64" s="261"/>
      <c r="AP64" s="71"/>
      <c r="AQ64" s="274"/>
      <c r="AR64" s="263"/>
      <c r="AS64" s="263"/>
      <c r="AT64" s="263"/>
      <c r="AU64" s="263"/>
      <c r="AV64" s="263"/>
      <c r="AW64" s="263"/>
      <c r="AX64" s="263"/>
      <c r="AY64" s="263"/>
      <c r="AZ64" s="263"/>
      <c r="BA64" s="255"/>
      <c r="BB64" s="255"/>
      <c r="BC64" s="255"/>
      <c r="BD64" s="255"/>
      <c r="BE64" s="255"/>
      <c r="BF64" s="73"/>
      <c r="BG64" s="256"/>
      <c r="BH64" s="256"/>
      <c r="BI64" s="256"/>
      <c r="BJ64" s="256"/>
      <c r="BK64" s="73"/>
    </row>
    <row r="65" spans="1:63" ht="6.75" customHeight="1">
      <c r="A65" s="269"/>
      <c r="B65" s="275" t="s">
        <v>87</v>
      </c>
      <c r="C65" s="275"/>
      <c r="D65" s="275"/>
      <c r="E65" s="275"/>
      <c r="F65" s="275"/>
      <c r="G65" s="275"/>
      <c r="H65" s="275"/>
      <c r="I65" s="275"/>
      <c r="J65" s="275"/>
      <c r="K65" s="255">
        <f ca="1">IF(ISERROR(MATCH(B65,'技能'!$H$4:$H$31,0)),"",IF(INDIRECT(ADDRESS(3+MATCH(B65,'技能'!$H$4:$H$31,0),15,4,TRUE,"技能"))="","","("&amp;INDIRECT(ADDRESS(3+MATCH(B65,'技能'!$H$4:$H$31,0),15,4,TRUE,"技能"))&amp;")"))</f>
      </c>
      <c r="L65" s="255"/>
      <c r="M65" s="255"/>
      <c r="N65" s="255"/>
      <c r="O65" s="255"/>
      <c r="P65" s="73"/>
      <c r="Q65" s="276" t="str">
        <f ca="1">IF(ISERROR(MATCH(B65,'技能'!$H$4:$H$31,0)),"",INDIRECT(ADDRESS(3+MATCH(B65,'技能'!$H$4:$H$31,0),13,4,TRUE,"技能"))&amp;IF(ISERROR(MATCH(B65,'技能'!$H$4:$H$31,0)),"",IF(INDIRECT(ADDRESS(3+MATCH(B65,'技能'!$H$4:$H$31,0),15,4,TRUE,"技能"))="","","(+2)")))</f>
        <v>4</v>
      </c>
      <c r="R65" s="276"/>
      <c r="S65" s="276"/>
      <c r="T65" s="276"/>
      <c r="U65" s="71"/>
      <c r="V65" s="269"/>
      <c r="W65" s="263" t="s">
        <v>244</v>
      </c>
      <c r="X65" s="263"/>
      <c r="Y65" s="263"/>
      <c r="Z65" s="263"/>
      <c r="AA65" s="263"/>
      <c r="AB65" s="263"/>
      <c r="AC65" s="263"/>
      <c r="AD65" s="263"/>
      <c r="AE65" s="263"/>
      <c r="AF65" s="255">
        <f ca="1">IF(ISERROR(MATCH("潜入",'技能'!$H$4:$H$31,0)),"",IF(INDIRECT(ADDRESS(3+MATCH("潜入",'技能'!$H$4:$H$31,0),15,4,TRUE,"技能"))="","","("&amp;INDIRECT(ADDRESS(3+MATCH("潜入",'技能'!$H$4:$H$31,0),15,4,TRUE,"技能"))&amp;")"))</f>
      </c>
      <c r="AG65" s="255"/>
      <c r="AH65" s="255"/>
      <c r="AI65" s="255"/>
      <c r="AJ65" s="255"/>
      <c r="AK65" s="73"/>
      <c r="AL65" s="261">
        <f ca="1">IF(ISERROR(MATCH("潜入",'技能'!$H$4:$H$31,0)),"",INDIRECT(ADDRESS(3+MATCH("潜入",'技能'!$H$4:$H$31,0),13,4,TRUE,"技能"))&amp;IF(ISERROR(MATCH("潜入",'技能'!$H$4:$H$31,0)),"",IF(INDIRECT(ADDRESS(3+MATCH("潜入",'技能'!$H$4:$H$31,0),15,4,TRUE,"技能"))="","","(+2)")))</f>
      </c>
      <c r="AM65" s="261"/>
      <c r="AN65" s="261"/>
      <c r="AO65" s="261"/>
      <c r="AP65" s="71"/>
      <c r="AQ65" s="277"/>
      <c r="AR65" s="255" t="s">
        <v>85</v>
      </c>
      <c r="AS65" s="255"/>
      <c r="AT65" s="255"/>
      <c r="AU65" s="255"/>
      <c r="AV65" s="255"/>
      <c r="AW65" s="255"/>
      <c r="AX65" s="255"/>
      <c r="AY65" s="255"/>
      <c r="AZ65" s="255"/>
      <c r="BA65" s="255">
        <f ca="1">IF(ISERROR(MATCH(AR65,'技能'!$H$4:$H$31,0)),"",IF(INDIRECT(ADDRESS(3+MATCH(AR65,'技能'!$H$4:$H$31,0),15,4,TRUE,"技能"))="","","("&amp;INDIRECT(ADDRESS(3+MATCH(AR65,'技能'!$H$4:$H$31,0),15,4,TRUE,"技能"))&amp;")"))</f>
      </c>
      <c r="BB65" s="255"/>
      <c r="BC65" s="255"/>
      <c r="BD65" s="255"/>
      <c r="BE65" s="255"/>
      <c r="BF65" s="73"/>
      <c r="BG65" s="256" t="str">
        <f ca="1">IF(ISERROR(MATCH(AR65,'技能'!$H$4:$H$31,0)),"",INDIRECT(ADDRESS(3+MATCH(AR65,'技能'!$H$4:$H$31,0),13,4,TRUE,"技能"))&amp;IF(ISERROR(MATCH(AR65,'技能'!$H$4:$H$31,0)),"",IF(INDIRECT(ADDRESS(3+MATCH(AR65,'技能'!$H$4:$H$31,0),15,4,TRUE,"技能"))="","","(+2)")))</f>
        <v>3</v>
      </c>
      <c r="BH65" s="256"/>
      <c r="BI65" s="256"/>
      <c r="BJ65" s="256"/>
      <c r="BK65" s="73"/>
    </row>
    <row r="66" spans="1:63" ht="6.75" customHeight="1">
      <c r="A66" s="269"/>
      <c r="B66" s="275"/>
      <c r="C66" s="275"/>
      <c r="D66" s="275"/>
      <c r="E66" s="275"/>
      <c r="F66" s="275"/>
      <c r="G66" s="275"/>
      <c r="H66" s="275"/>
      <c r="I66" s="275"/>
      <c r="J66" s="275"/>
      <c r="K66" s="255"/>
      <c r="L66" s="255"/>
      <c r="M66" s="255"/>
      <c r="N66" s="255"/>
      <c r="O66" s="255"/>
      <c r="P66" s="73"/>
      <c r="Q66" s="276"/>
      <c r="R66" s="276"/>
      <c r="S66" s="276"/>
      <c r="T66" s="276"/>
      <c r="U66" s="71"/>
      <c r="V66" s="269"/>
      <c r="W66" s="263"/>
      <c r="X66" s="263"/>
      <c r="Y66" s="263"/>
      <c r="Z66" s="263"/>
      <c r="AA66" s="263"/>
      <c r="AB66" s="263"/>
      <c r="AC66" s="263"/>
      <c r="AD66" s="263"/>
      <c r="AE66" s="263"/>
      <c r="AF66" s="255"/>
      <c r="AG66" s="255"/>
      <c r="AH66" s="255"/>
      <c r="AI66" s="255"/>
      <c r="AJ66" s="255"/>
      <c r="AK66" s="73"/>
      <c r="AL66" s="261"/>
      <c r="AM66" s="261"/>
      <c r="AN66" s="261"/>
      <c r="AO66" s="261"/>
      <c r="AP66" s="71"/>
      <c r="AQ66" s="277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73"/>
      <c r="BG66" s="256"/>
      <c r="BH66" s="256"/>
      <c r="BI66" s="256"/>
      <c r="BJ66" s="256"/>
      <c r="BK66" s="73"/>
    </row>
    <row r="67" spans="1:63" ht="6.75" customHeight="1">
      <c r="A67" s="267"/>
      <c r="B67" s="270" t="s">
        <v>245</v>
      </c>
      <c r="C67" s="270"/>
      <c r="D67" s="270"/>
      <c r="E67" s="270"/>
      <c r="F67" s="270"/>
      <c r="G67" s="270"/>
      <c r="H67" s="270"/>
      <c r="I67" s="270"/>
      <c r="J67" s="270"/>
      <c r="K67" s="255">
        <f ca="1">IF(ISERROR(MATCH(B67,'技能'!$H$4:$H$31,0)),"",IF(INDIRECT(ADDRESS(3+MATCH(B67,'技能'!$H$4:$H$31,0),15,4,TRUE,"技能"))="","","("&amp;INDIRECT(ADDRESS(3+MATCH(B67,'技能'!$H$4:$H$31,0),15,4,TRUE,"技能"))&amp;")"))</f>
      </c>
      <c r="L67" s="255"/>
      <c r="M67" s="255"/>
      <c r="N67" s="255"/>
      <c r="O67" s="255"/>
      <c r="P67" s="73"/>
      <c r="Q67" s="276">
        <f ca="1">IF(ISERROR(MATCH(B67,'技能'!$H$4:$H$31,0)),"",INDIRECT(ADDRESS(3+MATCH(B67,'技能'!$H$4:$H$31,0),13,4,TRUE,"技能"))&amp;IF(ISERROR(MATCH(B67,'技能'!$H$4:$H$31,0)),"",IF(INDIRECT(ADDRESS(3+MATCH(B67,'技能'!$H$4:$H$31,0),15,4,TRUE,"技能"))="","","(+2)")))</f>
      </c>
      <c r="R67" s="276"/>
      <c r="S67" s="276"/>
      <c r="T67" s="276"/>
      <c r="U67" s="71"/>
      <c r="V67" s="267"/>
      <c r="W67" s="255" t="s">
        <v>246</v>
      </c>
      <c r="X67" s="255"/>
      <c r="Y67" s="255"/>
      <c r="Z67" s="255"/>
      <c r="AA67" s="255"/>
      <c r="AB67" s="255"/>
      <c r="AC67" s="255"/>
      <c r="AD67" s="255"/>
      <c r="AE67" s="255"/>
      <c r="AF67" s="255">
        <f ca="1">IF(ISERROR(MATCH("パーミング",'技能'!$H$4:$H$31,0)),"",IF(INDIRECT(ADDRESS(3+MATCH("パーミング",'技能'!$H$4:$H$31,0),15,4,TRUE,"技能"))="","","("&amp;INDIRECT(ADDRESS(3+MATCH("パーミング",'技能'!$H$4:$H$31,0),15,4,TRUE,"技能"))&amp;")"))</f>
      </c>
      <c r="AG67" s="255"/>
      <c r="AH67" s="255"/>
      <c r="AI67" s="255"/>
      <c r="AJ67" s="255"/>
      <c r="AK67" s="73"/>
      <c r="AL67" s="261">
        <f ca="1">IF(ISERROR(MATCH("パーミング",'技能'!$H$4:$H$31,0)),"",INDIRECT(ADDRESS(3+MATCH("パーミング",'技能'!$H$4:$H$31,0),13,4,TRUE,"技能"))&amp;IF(ISERROR(MATCH("パーミング",'技能'!$H$4:$H$31,0)),"",IF(INDIRECT(ADDRESS(3+MATCH("パーミング",'技能'!$H$4:$H$31,0),15,4,TRUE,"技能"))="","","(+2)")))</f>
      </c>
      <c r="AM67" s="261"/>
      <c r="AN67" s="261"/>
      <c r="AO67" s="261"/>
      <c r="AP67" s="71"/>
      <c r="AQ67" s="277"/>
      <c r="AR67" s="255" t="s">
        <v>94</v>
      </c>
      <c r="AS67" s="255"/>
      <c r="AT67" s="255"/>
      <c r="AU67" s="255"/>
      <c r="AV67" s="255"/>
      <c r="AW67" s="255"/>
      <c r="AX67" s="255"/>
      <c r="AY67" s="255"/>
      <c r="AZ67" s="255"/>
      <c r="BA67" s="255">
        <f ca="1">IF(ISERROR(MATCH(AR67,'技能'!$H$4:$H$31,0)),"",IF(INDIRECT(ADDRESS(3+MATCH(AR67,'技能'!$H$4:$H$31,0),15,4,TRUE,"技能"))="","","("&amp;INDIRECT(ADDRESS(3+MATCH(AR67,'技能'!$H$4:$H$31,0),15,4,TRUE,"技能"))&amp;")"))</f>
      </c>
      <c r="BB67" s="255"/>
      <c r="BC67" s="255"/>
      <c r="BD67" s="255"/>
      <c r="BE67" s="255"/>
      <c r="BF67" s="73"/>
      <c r="BG67" s="256" t="str">
        <f ca="1">IF(ISERROR(MATCH(AR67,'技能'!$H$4:$H$31,0)),"",INDIRECT(ADDRESS(3+MATCH(AR67,'技能'!$H$4:$H$31,0),13,4,TRUE,"技能"))&amp;IF(ISERROR(MATCH(AR67,'技能'!$H$4:$H$31,0)),"",IF(INDIRECT(ADDRESS(3+MATCH(AR67,'技能'!$H$4:$H$31,0),15,4,TRUE,"技能"))="","","(+2)")))</f>
        <v>3</v>
      </c>
      <c r="BH67" s="256"/>
      <c r="BI67" s="256"/>
      <c r="BJ67" s="256"/>
      <c r="BK67" s="73"/>
    </row>
    <row r="68" spans="1:63" ht="6.75" customHeight="1">
      <c r="A68" s="267"/>
      <c r="B68" s="270"/>
      <c r="C68" s="270"/>
      <c r="D68" s="270"/>
      <c r="E68" s="270"/>
      <c r="F68" s="270"/>
      <c r="G68" s="270"/>
      <c r="H68" s="270"/>
      <c r="I68" s="270"/>
      <c r="J68" s="270"/>
      <c r="K68" s="255"/>
      <c r="L68" s="255"/>
      <c r="M68" s="255"/>
      <c r="N68" s="255"/>
      <c r="O68" s="255"/>
      <c r="P68" s="73"/>
      <c r="Q68" s="276"/>
      <c r="R68" s="276"/>
      <c r="S68" s="276"/>
      <c r="T68" s="276"/>
      <c r="U68" s="71"/>
      <c r="V68" s="267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73"/>
      <c r="AL68" s="261"/>
      <c r="AM68" s="261"/>
      <c r="AN68" s="261"/>
      <c r="AO68" s="261"/>
      <c r="AP68" s="71"/>
      <c r="AQ68" s="277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73"/>
      <c r="BG68" s="256"/>
      <c r="BH68" s="256"/>
      <c r="BI68" s="256"/>
      <c r="BJ68" s="256"/>
      <c r="BK68" s="73"/>
    </row>
    <row r="69" spans="1:63" ht="6.75" customHeight="1">
      <c r="A69" s="267"/>
      <c r="B69" s="270" t="s">
        <v>247</v>
      </c>
      <c r="C69" s="270"/>
      <c r="D69" s="270"/>
      <c r="E69" s="270"/>
      <c r="F69" s="270"/>
      <c r="G69" s="270"/>
      <c r="H69" s="270"/>
      <c r="I69" s="270"/>
      <c r="J69" s="270"/>
      <c r="K69" s="255">
        <f ca="1">IF(ISERROR(MATCH(B69,'技能'!$H$4:$H$31,0)),"",IF(INDIRECT(ADDRESS(3+MATCH(B69,'技能'!$H$4:$H$31,0),15,4,TRUE,"技能"))="","","("&amp;INDIRECT(ADDRESS(3+MATCH(B69,'技能'!$H$4:$H$31,0),15,4,TRUE,"技能"))&amp;")"))</f>
      </c>
      <c r="L69" s="255"/>
      <c r="M69" s="255"/>
      <c r="N69" s="255"/>
      <c r="O69" s="255"/>
      <c r="P69" s="73"/>
      <c r="Q69" s="276">
        <f ca="1">IF(ISERROR(MATCH(B69,'技能'!$H$4:$H$31,0)),"",INDIRECT(ADDRESS(3+MATCH(B69,'技能'!$H$4:$H$31,0),13,4,TRUE,"技能"))&amp;IF(ISERROR(MATCH(B69,'技能'!$H$4:$H$31,0)),"",IF(INDIRECT(ADDRESS(3+MATCH(B69,'技能'!$H$4:$H$31,0),15,4,TRUE,"技能"))="","","(+2)")))</f>
      </c>
      <c r="R69" s="276"/>
      <c r="S69" s="276"/>
      <c r="T69" s="276"/>
      <c r="U69" s="71"/>
      <c r="V69" s="278"/>
      <c r="W69" s="270" t="s">
        <v>248</v>
      </c>
      <c r="X69" s="270"/>
      <c r="Y69" s="270"/>
      <c r="Z69" s="270"/>
      <c r="AA69" s="270"/>
      <c r="AB69" s="270"/>
      <c r="AC69" s="270"/>
      <c r="AD69" s="270"/>
      <c r="AE69" s="270"/>
      <c r="AF69" s="255">
        <f ca="1">IF(ISERROR(MATCH(W69,'技能'!$H$4:$H$31,0)),"",IF(INDIRECT(ADDRESS(3+MATCH(W69,'技能'!$H$4:$H$31,0),15,4,TRUE,"技能"))="","","("&amp;INDIRECT(ADDRESS(3+MATCH(W69,'技能'!$H$4:$H$31,0),15,4,TRUE,"技能"))&amp;")"))</f>
      </c>
      <c r="AG69" s="255"/>
      <c r="AH69" s="255"/>
      <c r="AI69" s="255"/>
      <c r="AJ69" s="255"/>
      <c r="AK69" s="73"/>
      <c r="AL69" s="261">
        <f ca="1">IF(ISERROR(MATCH(W69,'技能'!$H$4:$H$31,0)),"",INDIRECT(ADDRESS(3+MATCH(W69,'技能'!$H$4:$H$31,0),13,4,TRUE,"技能"))&amp;IF(ISERROR(MATCH(W69,'技能'!$H$4:$H$31,0)),"",IF(INDIRECT(ADDRESS(3+MATCH(W69,'技能'!$H$4:$H$31,0),15,4,TRUE,"技能"))="","","(+2)")))</f>
      </c>
      <c r="AM69" s="261"/>
      <c r="AN69" s="261"/>
      <c r="AO69" s="261"/>
      <c r="AP69" s="71"/>
      <c r="AQ69" s="255" t="s">
        <v>249</v>
      </c>
      <c r="AR69" s="255"/>
      <c r="AS69" s="255"/>
      <c r="AT69" s="255"/>
      <c r="AU69" s="255"/>
      <c r="AV69" s="255"/>
      <c r="AW69" s="255"/>
      <c r="AX69" s="255"/>
      <c r="AY69" s="255"/>
      <c r="AZ69" s="255"/>
      <c r="BA69" s="255">
        <f ca="1">IF(ISERROR(MATCH(AQ69,'技能'!$H$4:$H$31,0)),"",IF(INDIRECT(ADDRESS(3+MATCH(AQ69,'技能'!$H$4:$H$31,0),15,4,TRUE,"技能"))="","","("&amp;INDIRECT(ADDRESS(3+MATCH(AQ69,'技能'!$H$4:$H$31,0),15,4,TRUE,"技能"))&amp;")"))</f>
      </c>
      <c r="BB69" s="255"/>
      <c r="BC69" s="255"/>
      <c r="BD69" s="255"/>
      <c r="BE69" s="255"/>
      <c r="BF69" s="73"/>
      <c r="BG69" s="261">
        <f ca="1">IF(ISERROR(MATCH(AQ69,'技能'!$H$4:$H$31,0)),"",INDIRECT(ADDRESS(3+MATCH(AQ69,'技能'!$H$4:$H$31,0),13,4,TRUE,"技能"))&amp;IF(ISERROR(MATCH(AQ69,'技能'!$H$4:$H$31,0)),"",IF(INDIRECT(ADDRESS(3+MATCH(AQ69,'技能'!$H$4:$H$31,0),15,4,TRUE,"技能"))="","","(+2)")))</f>
      </c>
      <c r="BH69" s="261"/>
      <c r="BI69" s="261"/>
      <c r="BJ69" s="261"/>
      <c r="BK69" s="73"/>
    </row>
    <row r="70" spans="1:63" ht="6.75" customHeight="1">
      <c r="A70" s="267"/>
      <c r="B70" s="270"/>
      <c r="C70" s="270"/>
      <c r="D70" s="270"/>
      <c r="E70" s="270"/>
      <c r="F70" s="270"/>
      <c r="G70" s="270"/>
      <c r="H70" s="270"/>
      <c r="I70" s="270"/>
      <c r="J70" s="270"/>
      <c r="K70" s="255"/>
      <c r="L70" s="255"/>
      <c r="M70" s="255"/>
      <c r="N70" s="255"/>
      <c r="O70" s="255"/>
      <c r="P70" s="73"/>
      <c r="Q70" s="276"/>
      <c r="R70" s="276"/>
      <c r="S70" s="276"/>
      <c r="T70" s="276"/>
      <c r="U70" s="71"/>
      <c r="V70" s="278"/>
      <c r="W70" s="270"/>
      <c r="X70" s="270"/>
      <c r="Y70" s="270"/>
      <c r="Z70" s="270"/>
      <c r="AA70" s="270"/>
      <c r="AB70" s="270"/>
      <c r="AC70" s="270"/>
      <c r="AD70" s="270"/>
      <c r="AE70" s="270"/>
      <c r="AF70" s="255"/>
      <c r="AG70" s="255"/>
      <c r="AH70" s="255"/>
      <c r="AI70" s="255"/>
      <c r="AJ70" s="255"/>
      <c r="AK70" s="73"/>
      <c r="AL70" s="261"/>
      <c r="AM70" s="261"/>
      <c r="AN70" s="261"/>
      <c r="AO70" s="261"/>
      <c r="AP70" s="71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73"/>
      <c r="BG70" s="261"/>
      <c r="BH70" s="261"/>
      <c r="BI70" s="261"/>
      <c r="BJ70" s="261"/>
      <c r="BK70" s="73"/>
    </row>
    <row r="71" spans="1:63" ht="6.75" customHeight="1">
      <c r="A71" s="270" t="s">
        <v>250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55">
        <f ca="1">IF(ISERROR(MATCH(A71,'技能'!$H$4:$H$31,0)),"",IF(INDIRECT(ADDRESS(3+MATCH(A71,'技能'!$H$4:$H$31,0),15,4,TRUE,"技能"))="","","("&amp;INDIRECT(ADDRESS(3+MATCH(A71,'技能'!$H$4:$H$31,0),15,4,TRUE,"技能"))&amp;")"))</f>
      </c>
      <c r="L71" s="255"/>
      <c r="M71" s="255"/>
      <c r="N71" s="255"/>
      <c r="O71" s="255"/>
      <c r="P71" s="73"/>
      <c r="Q71" s="256">
        <f ca="1">IF(ISERROR(MATCH(A71,'技能'!$H$4:$H$31,0)),"",INDIRECT(ADDRESS(3+MATCH(A71,'技能'!$H$4:$H$31,0),13,4,TRUE,"技能"))&amp;IF(ISERROR(MATCH(A71,'技能'!$H$4:$H$31,0)),"",IF(INDIRECT(ADDRESS(3+MATCH(A71,'技能'!$H$4:$H$31,0),15,4,TRUE,"技能"))="","","(+2)")))</f>
      </c>
      <c r="R71" s="256"/>
      <c r="S71" s="256"/>
      <c r="T71" s="256"/>
      <c r="U71" s="71"/>
      <c r="V71" s="267"/>
      <c r="W71" s="255" t="s">
        <v>251</v>
      </c>
      <c r="X71" s="255"/>
      <c r="Y71" s="255"/>
      <c r="Z71" s="255"/>
      <c r="AA71" s="255"/>
      <c r="AB71" s="255"/>
      <c r="AC71" s="255"/>
      <c r="AD71" s="255"/>
      <c r="AE71" s="255"/>
      <c r="AF71" s="255">
        <f ca="1">IF(ISERROR(MATCH(W71,'技能'!$H$4:$H$31,0)),"",IF(INDIRECT(ADDRESS(3+MATCH(W71,'技能'!$H$4:$H$31,0),15,4,TRUE,"技能"))="","","("&amp;INDIRECT(ADDRESS(3+MATCH(W71,'技能'!$H$4:$H$31,0),15,4,TRUE,"技能"))&amp;")"))</f>
      </c>
      <c r="AG71" s="255"/>
      <c r="AH71" s="255"/>
      <c r="AI71" s="255"/>
      <c r="AJ71" s="255"/>
      <c r="AK71" s="73"/>
      <c r="AL71" s="261">
        <f ca="1">IF(ISERROR(MATCH(W71,'技能'!$H$4:$H$31,0)),"",INDIRECT(ADDRESS(3+MATCH(W71,'技能'!$H$4:$H$31,0),13,4,TRUE,"技能"))&amp;IF(ISERROR(MATCH(W71,'技能'!$H$4:$H$31,0)),"",IF(INDIRECT(ADDRESS(3+MATCH(W71,'技能'!$H$4:$H$31,0),15,4,TRUE,"技能"))="","","(+2)")))</f>
      </c>
      <c r="AM71" s="261"/>
      <c r="AN71" s="261"/>
      <c r="AO71" s="261"/>
      <c r="AP71" s="71"/>
      <c r="AQ71" s="265" t="s">
        <v>224</v>
      </c>
      <c r="AR71" s="265"/>
      <c r="AS71" s="265"/>
      <c r="AT71" s="266" t="s">
        <v>252</v>
      </c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73"/>
      <c r="BG71" s="264">
        <f>IF('技能'!D13="","",'技能'!D13)</f>
      </c>
      <c r="BH71" s="264"/>
      <c r="BI71" s="264"/>
      <c r="BJ71" s="264"/>
      <c r="BK71" s="73"/>
    </row>
    <row r="72" spans="1:63" ht="6.75" customHeight="1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55"/>
      <c r="L72" s="255"/>
      <c r="M72" s="255"/>
      <c r="N72" s="255"/>
      <c r="O72" s="255"/>
      <c r="P72" s="73"/>
      <c r="Q72" s="256"/>
      <c r="R72" s="256"/>
      <c r="S72" s="256"/>
      <c r="T72" s="256"/>
      <c r="U72" s="71"/>
      <c r="V72" s="267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73"/>
      <c r="AL72" s="261"/>
      <c r="AM72" s="261"/>
      <c r="AN72" s="261"/>
      <c r="AO72" s="261"/>
      <c r="AP72" s="71"/>
      <c r="AQ72" s="265"/>
      <c r="AR72" s="265"/>
      <c r="AS72" s="265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73"/>
      <c r="BG72" s="264"/>
      <c r="BH72" s="264"/>
      <c r="BI72" s="264"/>
      <c r="BJ72" s="264"/>
      <c r="BK72" s="73"/>
    </row>
    <row r="73" spans="1:63" ht="6.75" customHeight="1">
      <c r="A73" s="270" t="s">
        <v>253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55">
        <f ca="1">IF(ISERROR(MATCH(A73,'技能'!$H$4:$H$31,0)),"",IF(INDIRECT(ADDRESS(3+MATCH(A73,'技能'!$H$4:$H$31,0),15,4,TRUE,"技能"))="","","("&amp;INDIRECT(ADDRESS(3+MATCH(A73,'技能'!$H$4:$H$31,0),15,4,TRUE,"技能"))&amp;")"))</f>
      </c>
      <c r="L73" s="255"/>
      <c r="M73" s="255"/>
      <c r="N73" s="255"/>
      <c r="O73" s="255"/>
      <c r="P73" s="73"/>
      <c r="Q73" s="256">
        <f ca="1">IF(ISERROR(MATCH(A73,'技能'!$H$4:$H$31,0)),"",INDIRECT(ADDRESS(3+MATCH(A73,'技能'!$H$4:$H$31,0),13,4,TRUE,"技能"))&amp;IF(ISERROR(MATCH(A73,'技能'!$H$4:$H$31,0)),"",IF(INDIRECT(ADDRESS(3+MATCH(A73,'技能'!$H$4:$H$31,0),15,4,TRUE,"技能"))="","","(+2)")))</f>
      </c>
      <c r="R73" s="256"/>
      <c r="S73" s="256"/>
      <c r="T73" s="256"/>
      <c r="U73" s="71"/>
      <c r="V73" s="265" t="s">
        <v>224</v>
      </c>
      <c r="W73" s="265"/>
      <c r="X73" s="265"/>
      <c r="Y73" s="266" t="s">
        <v>95</v>
      </c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73"/>
      <c r="AL73" s="256">
        <f>IF('技能'!D16="","",'技能'!D16)</f>
      </c>
      <c r="AM73" s="256"/>
      <c r="AN73" s="256"/>
      <c r="AO73" s="256"/>
      <c r="AP73" s="71"/>
      <c r="AQ73" s="267"/>
      <c r="AR73" s="263" t="s">
        <v>254</v>
      </c>
      <c r="AS73" s="263"/>
      <c r="AT73" s="263"/>
      <c r="AU73" s="263"/>
      <c r="AV73" s="263"/>
      <c r="AW73" s="263"/>
      <c r="AX73" s="263"/>
      <c r="AY73" s="263"/>
      <c r="AZ73" s="263"/>
      <c r="BA73" s="255">
        <f ca="1">IF(ISERROR(MATCH(AR73,'技能'!$H$4:$H$31,0)),"",IF(INDIRECT(ADDRESS(3+MATCH(AR73,'技能'!$H$4:$H$31,0),15,4,TRUE,"技能"))="","","("&amp;INDIRECT(ADDRESS(3+MATCH(AR73,'技能'!$H$4:$H$31,0),15,4,TRUE,"技能"))&amp;")"))</f>
      </c>
      <c r="BB73" s="255"/>
      <c r="BC73" s="255"/>
      <c r="BD73" s="255"/>
      <c r="BE73" s="255"/>
      <c r="BF73" s="73"/>
      <c r="BG73" s="256">
        <f ca="1">IF(ISERROR(MATCH(AR73,'技能'!$H$4:$H$31,0)),"",INDIRECT(ADDRESS(3+MATCH(AR73,'技能'!$H$4:$H$31,0),13,4,TRUE,"技能"))&amp;IF(ISERROR(MATCH(AR73,'技能'!$H$4:$H$31,0)),"",IF(INDIRECT(ADDRESS(3+MATCH(AR73,'技能'!$H$4:$H$31,0),15,4,TRUE,"技能"))="","","(+2)")))</f>
      </c>
      <c r="BH73" s="256"/>
      <c r="BI73" s="256"/>
      <c r="BJ73" s="256"/>
      <c r="BK73" s="73"/>
    </row>
    <row r="74" spans="1:63" ht="6.75" customHeight="1">
      <c r="A74" s="270"/>
      <c r="B74" s="270"/>
      <c r="C74" s="270"/>
      <c r="D74" s="270"/>
      <c r="E74" s="270"/>
      <c r="F74" s="270"/>
      <c r="G74" s="270"/>
      <c r="H74" s="270"/>
      <c r="I74" s="270"/>
      <c r="J74" s="270"/>
      <c r="K74" s="255"/>
      <c r="L74" s="255"/>
      <c r="M74" s="255"/>
      <c r="N74" s="255"/>
      <c r="O74" s="255"/>
      <c r="P74" s="73"/>
      <c r="Q74" s="256"/>
      <c r="R74" s="256"/>
      <c r="S74" s="256"/>
      <c r="T74" s="256"/>
      <c r="U74" s="71"/>
      <c r="V74" s="265"/>
      <c r="W74" s="265"/>
      <c r="X74" s="265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73"/>
      <c r="AL74" s="256"/>
      <c r="AM74" s="256"/>
      <c r="AN74" s="256"/>
      <c r="AO74" s="256"/>
      <c r="AP74" s="71"/>
      <c r="AQ74" s="267"/>
      <c r="AR74" s="263"/>
      <c r="AS74" s="263"/>
      <c r="AT74" s="263"/>
      <c r="AU74" s="263"/>
      <c r="AV74" s="263"/>
      <c r="AW74" s="263"/>
      <c r="AX74" s="263"/>
      <c r="AY74" s="263"/>
      <c r="AZ74" s="263"/>
      <c r="BA74" s="255"/>
      <c r="BB74" s="255"/>
      <c r="BC74" s="255"/>
      <c r="BD74" s="255"/>
      <c r="BE74" s="255"/>
      <c r="BF74" s="73"/>
      <c r="BG74" s="256"/>
      <c r="BH74" s="256"/>
      <c r="BI74" s="256"/>
      <c r="BJ74" s="256"/>
      <c r="BK74" s="73"/>
    </row>
    <row r="75" spans="1:63" ht="6.75" customHeight="1">
      <c r="A75" s="270" t="s">
        <v>255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55">
        <f ca="1">IF(ISERROR(MATCH(A75,'技能'!$H$4:$H$31,0)),"",IF(INDIRECT(ADDRESS(3+MATCH(A75,'技能'!$H$4:$H$31,0),15,4,TRUE,"技能"))="","","("&amp;INDIRECT(ADDRESS(3+MATCH(A75,'技能'!$H$4:$H$31,0),15,4,TRUE,"技能"))&amp;")"))</f>
      </c>
      <c r="L75" s="255"/>
      <c r="M75" s="255"/>
      <c r="N75" s="255"/>
      <c r="O75" s="255"/>
      <c r="P75" s="73"/>
      <c r="Q75" s="256">
        <f ca="1">IF(ISERROR(MATCH(A75,'技能'!$H$4:$H$31,0)),"",INDIRECT(ADDRESS(3+MATCH(A75,'技能'!$H$4:$H$31,0),13,4,TRUE,"技能"))&amp;IF(ISERROR(MATCH(A75,'技能'!$H$4:$H$31,0)),"",IF(INDIRECT(ADDRESS(3+MATCH(A75,'技能'!$H$4:$H$31,0),15,4,TRUE,"技能"))="","","(+2)")))</f>
      </c>
      <c r="R75" s="256"/>
      <c r="S75" s="256"/>
      <c r="T75" s="256"/>
      <c r="U75" s="71"/>
      <c r="V75" s="277"/>
      <c r="W75" s="263" t="s">
        <v>89</v>
      </c>
      <c r="X75" s="263"/>
      <c r="Y75" s="263"/>
      <c r="Z75" s="263"/>
      <c r="AA75" s="263"/>
      <c r="AB75" s="263"/>
      <c r="AC75" s="263"/>
      <c r="AD75" s="263"/>
      <c r="AE75" s="263"/>
      <c r="AF75" s="255">
        <f ca="1">IF(ISERROR(MATCH(W75,'技能'!$H$4:$H$31,0)),"",IF(INDIRECT(ADDRESS(3+MATCH(W75,'技能'!$H$4:$H$31,0),15,4,TRUE,"技能"))="","","("&amp;INDIRECT(ADDRESS(3+MATCH(W75,'技能'!$H$4:$H$31,0),15,4,TRUE,"技能"))&amp;")"))</f>
      </c>
      <c r="AG75" s="255"/>
      <c r="AH75" s="255"/>
      <c r="AI75" s="255"/>
      <c r="AJ75" s="255"/>
      <c r="AK75" s="73"/>
      <c r="AL75" s="264" t="str">
        <f ca="1">IF(ISERROR(MATCH(W75,'技能'!$H$4:$H$31,0)),"",INDIRECT(ADDRESS(3+MATCH(W75,'技能'!$H$4:$H$31,0),13,4,TRUE,"技能"))&amp;IF(ISERROR(MATCH(W75,'技能'!$H$4:$H$31,0)),"",IF(INDIRECT(ADDRESS(3+MATCH(W75,'技能'!$H$4:$H$31,0),15,4,TRUE,"技能"))="","","(+2)")))</f>
        <v>2</v>
      </c>
      <c r="AM75" s="264"/>
      <c r="AN75" s="264"/>
      <c r="AO75" s="264"/>
      <c r="AP75" s="71"/>
      <c r="AQ75" s="269"/>
      <c r="AR75" s="255" t="s">
        <v>256</v>
      </c>
      <c r="AS75" s="255"/>
      <c r="AT75" s="255"/>
      <c r="AU75" s="255"/>
      <c r="AV75" s="255"/>
      <c r="AW75" s="255"/>
      <c r="AX75" s="255"/>
      <c r="AY75" s="255"/>
      <c r="AZ75" s="255"/>
      <c r="BA75" s="255">
        <f ca="1">IF(ISERROR(MATCH(AR75,'技能'!$H$4:$H$31,0)),"",IF(INDIRECT(ADDRESS(3+MATCH(AR75,'技能'!$H$4:$H$31,0),15,4,TRUE,"技能"))="","","("&amp;INDIRECT(ADDRESS(3+MATCH(AR75,'技能'!$H$4:$H$31,0),15,4,TRUE,"技能"))&amp;")"))</f>
      </c>
      <c r="BB75" s="255"/>
      <c r="BC75" s="255"/>
      <c r="BD75" s="255"/>
      <c r="BE75" s="255"/>
      <c r="BF75" s="73"/>
      <c r="BG75" s="256">
        <f ca="1">IF(ISERROR(MATCH(AR73,'技能'!$H$4:$H$31,0)),"",INDIRECT(ADDRESS(3+MATCH(AR73,'技能'!$H$4:$H$31,0),13,4,TRUE,"技能"))&amp;IF(ISERROR(MATCH(AR73,'技能'!$H$4:$H$31,0)),"",IF(INDIRECT(ADDRESS(3+MATCH(AR73,'技能'!$H$4:$H$31,0),15,4,TRUE,"技能"))="","","(+2)")))</f>
      </c>
      <c r="BH75" s="256"/>
      <c r="BI75" s="256"/>
      <c r="BJ75" s="256"/>
      <c r="BK75" s="73"/>
    </row>
    <row r="76" spans="1:63" ht="6.75" customHeight="1">
      <c r="A76" s="270"/>
      <c r="B76" s="270"/>
      <c r="C76" s="270"/>
      <c r="D76" s="270"/>
      <c r="E76" s="270"/>
      <c r="F76" s="270"/>
      <c r="G76" s="270"/>
      <c r="H76" s="270"/>
      <c r="I76" s="270"/>
      <c r="J76" s="270"/>
      <c r="K76" s="255"/>
      <c r="L76" s="255"/>
      <c r="M76" s="255"/>
      <c r="N76" s="255"/>
      <c r="O76" s="255"/>
      <c r="P76" s="73"/>
      <c r="Q76" s="256"/>
      <c r="R76" s="256"/>
      <c r="S76" s="256"/>
      <c r="T76" s="256"/>
      <c r="U76" s="71"/>
      <c r="V76" s="277"/>
      <c r="W76" s="263"/>
      <c r="X76" s="263"/>
      <c r="Y76" s="263"/>
      <c r="Z76" s="263"/>
      <c r="AA76" s="263"/>
      <c r="AB76" s="263"/>
      <c r="AC76" s="263"/>
      <c r="AD76" s="263"/>
      <c r="AE76" s="263"/>
      <c r="AF76" s="255"/>
      <c r="AG76" s="255"/>
      <c r="AH76" s="255"/>
      <c r="AI76" s="255"/>
      <c r="AJ76" s="255"/>
      <c r="AK76" s="73"/>
      <c r="AL76" s="264"/>
      <c r="AM76" s="264"/>
      <c r="AN76" s="264"/>
      <c r="AO76" s="264"/>
      <c r="AP76" s="71"/>
      <c r="AQ76" s="269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73"/>
      <c r="BG76" s="256"/>
      <c r="BH76" s="256"/>
      <c r="BI76" s="256"/>
      <c r="BJ76" s="256"/>
      <c r="BK76" s="73"/>
    </row>
    <row r="77" spans="1:63" ht="6.75" customHeight="1">
      <c r="A77" s="270" t="s">
        <v>257</v>
      </c>
      <c r="B77" s="270"/>
      <c r="C77" s="270"/>
      <c r="D77" s="270"/>
      <c r="E77" s="270"/>
      <c r="F77" s="270"/>
      <c r="G77" s="270"/>
      <c r="H77" s="270"/>
      <c r="I77" s="270"/>
      <c r="J77" s="270"/>
      <c r="K77" s="255">
        <f ca="1">IF(ISERROR(MATCH(A77,'技能'!$H$4:$H$31,0)),"",IF(INDIRECT(ADDRESS(3+MATCH(A77,'技能'!$H$4:$H$31,0),15,4,TRUE,"技能"))="","","("&amp;INDIRECT(ADDRESS(3+MATCH(A77,'技能'!$H$4:$H$31,0),15,4,TRUE,"技能"))&amp;")"))</f>
      </c>
      <c r="L77" s="255"/>
      <c r="M77" s="255"/>
      <c r="N77" s="255"/>
      <c r="O77" s="255"/>
      <c r="P77" s="73"/>
      <c r="Q77" s="256">
        <f ca="1">IF(ISERROR(MATCH(A77,'技能'!$H$4:$H$31,0)),"",INDIRECT(ADDRESS(3+MATCH(A77,'技能'!$H$4:$H$31,0),13,4,TRUE,"技能"))&amp;IF(ISERROR(MATCH(A77,'技能'!$H$4:$H$31,0)),"",IF(INDIRECT(ADDRESS(3+MATCH(A77,'技能'!$H$4:$H$31,0),15,4,TRUE,"技能"))="","","(+2)")))</f>
      </c>
      <c r="R77" s="256"/>
      <c r="S77" s="256"/>
      <c r="T77" s="256"/>
      <c r="U77" s="71"/>
      <c r="V77" s="274"/>
      <c r="W77" s="255" t="s">
        <v>258</v>
      </c>
      <c r="X77" s="255"/>
      <c r="Y77" s="255"/>
      <c r="Z77" s="255"/>
      <c r="AA77" s="255"/>
      <c r="AB77" s="255"/>
      <c r="AC77" s="255"/>
      <c r="AD77" s="255"/>
      <c r="AE77" s="255"/>
      <c r="AF77" s="255">
        <f ca="1">IF(ISERROR(MATCH("サバイバル",'技能'!$H$4:$H$31,0)),"",IF(INDIRECT(ADDRESS(3+MATCH("サバイバル",'技能'!$H$4:$H$31,0),15,4,TRUE,"技能"))="","","("&amp;INDIRECT(ADDRESS(3+MATCH("サバイバル",'技能'!$H$4:$H$31,0),15,4,TRUE,"技能"))&amp;")"))</f>
      </c>
      <c r="AG77" s="255"/>
      <c r="AH77" s="255"/>
      <c r="AI77" s="255"/>
      <c r="AJ77" s="255"/>
      <c r="AK77" s="73"/>
      <c r="AL77" s="256">
        <f ca="1">IF(ISERROR(MATCH("サバイバル",'技能'!$H$4:$H$31,0)),"",INDIRECT(ADDRESS(3+MATCH("サバイバル",'技能'!$H$4:$H$31,0),13,4,TRUE,"技能"))&amp;IF(ISERROR(MATCH("サバイバル",'技能'!$H$4:$H$31,0)),"",IF(INDIRECT(ADDRESS(3+MATCH("サバイバル",'技能'!$H$4:$H$31,0),15,4,TRUE,"技能"))="","","(+2)")))</f>
      </c>
      <c r="AM77" s="256"/>
      <c r="AN77" s="256"/>
      <c r="AO77" s="256"/>
      <c r="AP77" s="71"/>
      <c r="AQ77" s="267"/>
      <c r="AR77" s="255" t="s">
        <v>259</v>
      </c>
      <c r="AS77" s="255"/>
      <c r="AT77" s="255"/>
      <c r="AU77" s="255"/>
      <c r="AV77" s="255"/>
      <c r="AW77" s="255"/>
      <c r="AX77" s="255"/>
      <c r="AY77" s="255"/>
      <c r="AZ77" s="255"/>
      <c r="BA77" s="255">
        <f ca="1">IF(ISERROR(MATCH(AR77,'技能'!$H$4:$H$31,0)),"",IF(INDIRECT(ADDRESS(3+MATCH(AR77,'技能'!$H$4:$H$31,0),15,4,TRUE,"技能"))="","","("&amp;INDIRECT(ADDRESS(3+MATCH(AR77,'技能'!$H$4:$H$31,0),15,4,TRUE,"技能"))&amp;")"))</f>
      </c>
      <c r="BB77" s="255"/>
      <c r="BC77" s="255"/>
      <c r="BD77" s="255"/>
      <c r="BE77" s="255"/>
      <c r="BF77" s="73"/>
      <c r="BG77" s="256">
        <f ca="1">IF(ISERROR(MATCH(AR73,'技能'!$H$4:$H$31,0)),"",INDIRECT(ADDRESS(3+MATCH(AR73,'技能'!$H$4:$H$31,0),13,4,TRUE,"技能"))&amp;IF(ISERROR(MATCH(AR73,'技能'!$H$4:$H$31,0)),"",IF(INDIRECT(ADDRESS(3+MATCH(AR73,'技能'!$H$4:$H$31,0),15,4,TRUE,"技能"))="","","(+2)")))</f>
      </c>
      <c r="BH77" s="256"/>
      <c r="BI77" s="256"/>
      <c r="BJ77" s="256"/>
      <c r="BK77" s="73"/>
    </row>
    <row r="78" spans="1:63" ht="6.75" customHeight="1">
      <c r="A78" s="270"/>
      <c r="B78" s="270"/>
      <c r="C78" s="270"/>
      <c r="D78" s="270"/>
      <c r="E78" s="270"/>
      <c r="F78" s="270"/>
      <c r="G78" s="270"/>
      <c r="H78" s="270"/>
      <c r="I78" s="270"/>
      <c r="J78" s="270"/>
      <c r="K78" s="255"/>
      <c r="L78" s="255"/>
      <c r="M78" s="255"/>
      <c r="N78" s="255"/>
      <c r="O78" s="255"/>
      <c r="P78" s="73"/>
      <c r="Q78" s="256"/>
      <c r="R78" s="256"/>
      <c r="S78" s="256"/>
      <c r="T78" s="256"/>
      <c r="U78" s="71"/>
      <c r="V78" s="274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73"/>
      <c r="AL78" s="256"/>
      <c r="AM78" s="256"/>
      <c r="AN78" s="256"/>
      <c r="AO78" s="256"/>
      <c r="AP78" s="71"/>
      <c r="AQ78" s="267"/>
      <c r="AR78" s="255"/>
      <c r="AS78" s="255"/>
      <c r="AT78" s="255"/>
      <c r="AU78" s="255"/>
      <c r="AV78" s="255"/>
      <c r="AW78" s="255"/>
      <c r="AX78" s="255"/>
      <c r="AY78" s="255"/>
      <c r="AZ78" s="255"/>
      <c r="BA78" s="255"/>
      <c r="BB78" s="255"/>
      <c r="BC78" s="255"/>
      <c r="BD78" s="255"/>
      <c r="BE78" s="255"/>
      <c r="BF78" s="73"/>
      <c r="BG78" s="256"/>
      <c r="BH78" s="256"/>
      <c r="BI78" s="256"/>
      <c r="BJ78" s="256"/>
      <c r="BK78" s="73"/>
    </row>
    <row r="79" spans="1:63" ht="6.75" customHeight="1">
      <c r="A79" s="270" t="s">
        <v>260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55">
        <f ca="1">IF(ISERROR(MATCH(A79,'技能'!$H$4:$H$31,0)),"",IF(INDIRECT(ADDRESS(3+MATCH(A79,'技能'!$H$4:$H$31,0),15,4,TRUE,"技能"))="","","("&amp;INDIRECT(ADDRESS(3+MATCH(A79,'技能'!$H$4:$H$31,0),15,4,TRUE,"技能"))&amp;")"))</f>
      </c>
      <c r="L79" s="255"/>
      <c r="M79" s="255"/>
      <c r="N79" s="255"/>
      <c r="O79" s="255"/>
      <c r="P79" s="73"/>
      <c r="Q79" s="256">
        <f ca="1">IF(ISERROR(MATCH(A79,'技能'!$H$4:$H$31,0)),"",INDIRECT(ADDRESS(3+MATCH(A79,'技能'!$H$4:$H$31,0),13,4,TRUE,"技能"))&amp;IF(ISERROR(MATCH(A79,'技能'!$H$4:$H$31,0)),"",IF(INDIRECT(ADDRESS(3+MATCH(A79,'技能'!$H$4:$H$31,0),15,4,TRUE,"技能"))="","","(+2)")))</f>
      </c>
      <c r="R79" s="256"/>
      <c r="S79" s="256"/>
      <c r="T79" s="256"/>
      <c r="U79" s="71"/>
      <c r="V79" s="277"/>
      <c r="W79" s="255" t="s">
        <v>261</v>
      </c>
      <c r="X79" s="255"/>
      <c r="Y79" s="255"/>
      <c r="Z79" s="255"/>
      <c r="AA79" s="255"/>
      <c r="AB79" s="255"/>
      <c r="AC79" s="255"/>
      <c r="AD79" s="255"/>
      <c r="AE79" s="255"/>
      <c r="AF79" s="255">
        <f ca="1">IF(ISERROR(MATCH(W79,'技能'!$H$4:$H$31,0)),"",IF(INDIRECT(ADDRESS(3+MATCH(W79,'技能'!$H$4:$H$31,0),15,4,TRUE,"技能"))="","","("&amp;INDIRECT(ADDRESS(3+MATCH(W79,'技能'!$H$4:$H$31,0),15,4,TRUE,"技能"))&amp;")"))</f>
      </c>
      <c r="AG79" s="255"/>
      <c r="AH79" s="255"/>
      <c r="AI79" s="255"/>
      <c r="AJ79" s="255"/>
      <c r="AK79" s="73"/>
      <c r="AL79" s="261">
        <f ca="1">IF(ISERROR(MATCH(W79,'技能'!$H$4:$H$31,0)),"",INDIRECT(ADDRESS(3+MATCH(W79,'技能'!$H$4:$H$31,0),13,4,TRUE,"技能"))&amp;IF(ISERROR(MATCH(W79,'技能'!$H$4:$H$31,0)),"",IF(INDIRECT(ADDRESS(3+MATCH(W79,'技能'!$H$4:$H$31,0),15,4,TRUE,"技能"))="","","(+2)")))</f>
      </c>
      <c r="AM79" s="261"/>
      <c r="AN79" s="261"/>
      <c r="AO79" s="26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3"/>
      <c r="BG79" s="73"/>
      <c r="BH79" s="73"/>
      <c r="BI79" s="73"/>
      <c r="BJ79" s="73"/>
      <c r="BK79" s="73"/>
    </row>
    <row r="80" spans="1:63" ht="6.75" customHeight="1">
      <c r="A80" s="270"/>
      <c r="B80" s="270"/>
      <c r="C80" s="270"/>
      <c r="D80" s="270"/>
      <c r="E80" s="270"/>
      <c r="F80" s="270"/>
      <c r="G80" s="270"/>
      <c r="H80" s="270"/>
      <c r="I80" s="270"/>
      <c r="J80" s="270"/>
      <c r="K80" s="255"/>
      <c r="L80" s="255"/>
      <c r="M80" s="255"/>
      <c r="N80" s="255"/>
      <c r="O80" s="255"/>
      <c r="P80" s="73"/>
      <c r="Q80" s="256"/>
      <c r="R80" s="256"/>
      <c r="S80" s="256"/>
      <c r="T80" s="256"/>
      <c r="U80" s="71"/>
      <c r="V80" s="277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73"/>
      <c r="AL80" s="261"/>
      <c r="AM80" s="261"/>
      <c r="AN80" s="261"/>
      <c r="AO80" s="261"/>
      <c r="AP80" s="71"/>
      <c r="AQ80" s="279" t="s">
        <v>262</v>
      </c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</row>
    <row r="81" spans="1:63" ht="6.75" customHeight="1">
      <c r="A81" s="270" t="s">
        <v>263</v>
      </c>
      <c r="B81" s="270"/>
      <c r="C81" s="270"/>
      <c r="D81" s="270"/>
      <c r="E81" s="270"/>
      <c r="F81" s="270"/>
      <c r="G81" s="270"/>
      <c r="H81" s="270"/>
      <c r="I81" s="270"/>
      <c r="J81" s="270"/>
      <c r="K81" s="255">
        <f ca="1">IF(ISERROR(MATCH(A81,'技能'!$H$4:$H$31,0)),"",IF(INDIRECT(ADDRESS(3+MATCH(A81,'技能'!$H$4:$H$31,0),15,4,TRUE,"技能"))="","","("&amp;INDIRECT(ADDRESS(3+MATCH(A81,'技能'!$H$4:$H$31,0),15,4,TRUE,"技能"))&amp;")"))</f>
      </c>
      <c r="L81" s="255"/>
      <c r="M81" s="255"/>
      <c r="N81" s="255"/>
      <c r="O81" s="255"/>
      <c r="P81" s="73"/>
      <c r="Q81" s="256">
        <f ca="1">IF(ISERROR(MATCH(A81,'技能'!$H$4:$H$31,0)),"",INDIRECT(ADDRESS(3+MATCH(A81,'技能'!$H$4:$H$31,0),13,4,TRUE,"技能"))&amp;IF(ISERROR(MATCH(A81,'技能'!$H$4:$H$31,0)),"",IF(INDIRECT(ADDRESS(3+MATCH(A81,'技能'!$H$4:$H$31,0),15,4,TRUE,"技能"))="","","(+2)")))</f>
      </c>
      <c r="R81" s="256"/>
      <c r="S81" s="256"/>
      <c r="T81" s="256"/>
      <c r="U81" s="71"/>
      <c r="V81" s="270" t="s">
        <v>264</v>
      </c>
      <c r="W81" s="270"/>
      <c r="X81" s="270"/>
      <c r="Y81" s="270"/>
      <c r="Z81" s="270"/>
      <c r="AA81" s="270"/>
      <c r="AB81" s="270"/>
      <c r="AC81" s="270"/>
      <c r="AD81" s="270"/>
      <c r="AE81" s="270"/>
      <c r="AF81" s="255">
        <f ca="1">IF(ISERROR(MATCH(V81,'技能'!$H$4:$H$31,0)),"",IF(INDIRECT(ADDRESS(3+MATCH(V81,'技能'!$H$4:$H$31,0),15,4,TRUE,"技能"))="","","("&amp;INDIRECT(ADDRESS(3+MATCH(V81,'技能'!$H$4:$H$31,0),15,4,TRUE,"技能"))&amp;")"))</f>
      </c>
      <c r="AG81" s="255"/>
      <c r="AH81" s="255"/>
      <c r="AI81" s="255"/>
      <c r="AJ81" s="255"/>
      <c r="AK81" s="73"/>
      <c r="AL81" s="256">
        <f ca="1">IF(ISERROR(MATCH(V81,'技能'!$H$4:$H$31,0)),"",INDIRECT(ADDRESS(3+MATCH(V81,'技能'!$H$4:$H$31,0),13,4,TRUE,"技能"))&amp;IF(ISERROR(MATCH(V81,'技能'!$H$4:$H$31,0)),"",IF(INDIRECT(ADDRESS(3+MATCH(V81,'技能'!$H$4:$H$31,0),15,4,TRUE,"技能"))="","","(+2)")))</f>
      </c>
      <c r="AM81" s="256"/>
      <c r="AN81" s="256"/>
      <c r="AO81" s="256"/>
      <c r="AP81" s="71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</row>
    <row r="82" spans="1:63" ht="6.75" customHeight="1">
      <c r="A82" s="270"/>
      <c r="B82" s="270"/>
      <c r="C82" s="270"/>
      <c r="D82" s="270"/>
      <c r="E82" s="270"/>
      <c r="F82" s="270"/>
      <c r="G82" s="270"/>
      <c r="H82" s="270"/>
      <c r="I82" s="270"/>
      <c r="J82" s="270"/>
      <c r="K82" s="255"/>
      <c r="L82" s="255"/>
      <c r="M82" s="255"/>
      <c r="N82" s="255"/>
      <c r="O82" s="255"/>
      <c r="P82" s="73"/>
      <c r="Q82" s="256"/>
      <c r="R82" s="256"/>
      <c r="S82" s="256"/>
      <c r="T82" s="256"/>
      <c r="U82" s="71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55"/>
      <c r="AG82" s="255"/>
      <c r="AH82" s="255"/>
      <c r="AI82" s="255"/>
      <c r="AJ82" s="255"/>
      <c r="AK82" s="73"/>
      <c r="AL82" s="256"/>
      <c r="AM82" s="256"/>
      <c r="AN82" s="256"/>
      <c r="AO82" s="256"/>
      <c r="AP82" s="71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</row>
    <row r="83" spans="1:63" ht="6.75" customHeight="1">
      <c r="A83" s="270" t="s">
        <v>265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55">
        <f ca="1">IF(ISERROR(MATCH(A83,'技能'!$H$4:$H$31,0)),"",IF(INDIRECT(ADDRESS(3+MATCH(A83,'技能'!$H$4:$H$31,0),15,4,TRUE,"技能"))="","","("&amp;INDIRECT(ADDRESS(3+MATCH(A83,'技能'!$H$4:$H$31,0),15,4,TRUE,"技能"))&amp;")"))</f>
      </c>
      <c r="L83" s="255"/>
      <c r="M83" s="255"/>
      <c r="N83" s="255"/>
      <c r="O83" s="255"/>
      <c r="P83" s="73"/>
      <c r="Q83" s="256">
        <f ca="1">IF(ISERROR(MATCH(A83,'技能'!$H$4:$H$31,0)),"",INDIRECT(ADDRESS(3+MATCH(A83,'技能'!$H$4:$H$31,0),13,4,TRUE,"技能"))&amp;IF(ISERROR(MATCH(A83,'技能'!$H$4:$H$31,0)),"",IF(INDIRECT(ADDRESS(3+MATCH(A83,'技能'!$H$4:$H$31,0),15,4,TRUE,"技能"))="","","(+2)")))</f>
      </c>
      <c r="R83" s="256"/>
      <c r="S83" s="256"/>
      <c r="T83" s="256"/>
      <c r="U83" s="71"/>
      <c r="V83" s="270" t="s">
        <v>74</v>
      </c>
      <c r="W83" s="270"/>
      <c r="X83" s="270"/>
      <c r="Y83" s="270"/>
      <c r="Z83" s="270"/>
      <c r="AA83" s="270"/>
      <c r="AB83" s="270"/>
      <c r="AC83" s="270"/>
      <c r="AD83" s="270"/>
      <c r="AE83" s="270"/>
      <c r="AF83" s="255" t="str">
        <f ca="1">IF(ISERROR(MATCH(V83,'技能'!$H$4:$H$31,0)),"",IF(INDIRECT(ADDRESS(3+MATCH(V83,'技能'!$H$4:$H$31,0),15,4,TRUE,"技能"))="","","("&amp;INDIRECT(ADDRESS(3+MATCH(V83,'技能'!$H$4:$H$31,0),15,4,TRUE,"技能"))&amp;")"))</f>
        <v>(視覚)</v>
      </c>
      <c r="AG83" s="255"/>
      <c r="AH83" s="255"/>
      <c r="AI83" s="255"/>
      <c r="AJ83" s="255"/>
      <c r="AK83" s="73"/>
      <c r="AL83" s="256" t="str">
        <f ca="1">IF(ISERROR(MATCH(V83,'技能'!$H$4:$H$31,0)),"",INDIRECT(ADDRESS(3+MATCH(V83,'技能'!$H$4:$H$31,0),13,4,TRUE,"技能"))&amp;IF(ISERROR(MATCH(V83,'技能'!$H$4:$H$31,0)),"",IF(INDIRECT(ADDRESS(3+MATCH(V83,'技能'!$H$4:$H$31,0),15,4,TRUE,"技能"))="","","(+2)")))</f>
        <v>1(+2)</v>
      </c>
      <c r="AM83" s="256"/>
      <c r="AN83" s="256"/>
      <c r="AO83" s="256"/>
      <c r="AP83" s="71"/>
      <c r="AQ83" s="280" t="s">
        <v>266</v>
      </c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78"/>
      <c r="BC83" s="281" t="s">
        <v>15</v>
      </c>
      <c r="BD83" s="281"/>
      <c r="BE83" s="281"/>
      <c r="BF83" s="281"/>
      <c r="BG83" s="79"/>
      <c r="BH83" s="281" t="s">
        <v>267</v>
      </c>
      <c r="BI83" s="281"/>
      <c r="BJ83" s="281"/>
      <c r="BK83" s="281"/>
    </row>
    <row r="84" spans="1:63" ht="6.75" customHeight="1">
      <c r="A84" s="270"/>
      <c r="B84" s="270"/>
      <c r="C84" s="270"/>
      <c r="D84" s="270"/>
      <c r="E84" s="270"/>
      <c r="F84" s="270"/>
      <c r="G84" s="270"/>
      <c r="H84" s="270"/>
      <c r="I84" s="270"/>
      <c r="J84" s="270"/>
      <c r="K84" s="255"/>
      <c r="L84" s="255"/>
      <c r="M84" s="255"/>
      <c r="N84" s="255"/>
      <c r="O84" s="255"/>
      <c r="P84" s="73"/>
      <c r="Q84" s="256"/>
      <c r="R84" s="256"/>
      <c r="S84" s="256"/>
      <c r="T84" s="256"/>
      <c r="U84" s="71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55"/>
      <c r="AG84" s="255"/>
      <c r="AH84" s="255"/>
      <c r="AI84" s="255"/>
      <c r="AJ84" s="255"/>
      <c r="AK84" s="73"/>
      <c r="AL84" s="256"/>
      <c r="AM84" s="256"/>
      <c r="AN84" s="256"/>
      <c r="AO84" s="256"/>
      <c r="AP84" s="71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78"/>
      <c r="BC84" s="281"/>
      <c r="BD84" s="281"/>
      <c r="BE84" s="281"/>
      <c r="BF84" s="281"/>
      <c r="BG84" s="79"/>
      <c r="BH84" s="281"/>
      <c r="BI84" s="281"/>
      <c r="BJ84" s="281"/>
      <c r="BK84" s="281"/>
    </row>
    <row r="85" spans="1:63" ht="6.75" customHeight="1">
      <c r="A85" s="270" t="s">
        <v>268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55">
        <f ca="1">IF(ISERROR(MATCH(A85,'技能'!$H$4:$H$31,0)),"",IF(INDIRECT(ADDRESS(3+MATCH(A85,'技能'!$H$4:$H$31,0),15,4,TRUE,"技能"))="","","("&amp;INDIRECT(ADDRESS(3+MATCH(A85,'技能'!$H$4:$H$31,0),15,4,TRUE,"技能"))&amp;")"))</f>
      </c>
      <c r="L85" s="255"/>
      <c r="M85" s="255"/>
      <c r="N85" s="255"/>
      <c r="O85" s="255"/>
      <c r="P85" s="73"/>
      <c r="Q85" s="261">
        <f ca="1">IF(ISERROR(MATCH(A85,'技能'!$H$4:$H$31,0)),"",INDIRECT(ADDRESS(3+MATCH(A85,'技能'!$H$4:$H$31,0),13,4,TRUE,"技能"))&amp;IF(ISERROR(MATCH(A85,'技能'!$H$4:$H$31,0)),"",IF(INDIRECT(ADDRESS(3+MATCH(A85,'技能'!$H$4:$H$31,0),15,4,TRUE,"技能"))="","","(+2)")))</f>
      </c>
      <c r="R85" s="261"/>
      <c r="S85" s="261"/>
      <c r="T85" s="261"/>
      <c r="U85" s="71"/>
      <c r="V85" s="270" t="s">
        <v>83</v>
      </c>
      <c r="W85" s="270"/>
      <c r="X85" s="270"/>
      <c r="Y85" s="270"/>
      <c r="Z85" s="270"/>
      <c r="AA85" s="270"/>
      <c r="AB85" s="270"/>
      <c r="AC85" s="270"/>
      <c r="AD85" s="270"/>
      <c r="AE85" s="270"/>
      <c r="AF85" s="255">
        <f ca="1">IF(ISERROR(MATCH(V85,'技能'!$H$4:$H$31,0)),"",IF(INDIRECT(ADDRESS(3+MATCH(V85,'技能'!$H$4:$H$31,0),15,4,TRUE,"技能"))="","","("&amp;INDIRECT(ADDRESS(3+MATCH(V85,'技能'!$H$4:$H$31,0),15,4,TRUE,"技能"))&amp;")"))</f>
      </c>
      <c r="AG85" s="255"/>
      <c r="AH85" s="255"/>
      <c r="AI85" s="255"/>
      <c r="AJ85" s="255"/>
      <c r="AK85" s="73"/>
      <c r="AL85" s="256" t="str">
        <f ca="1">IF(ISERROR(MATCH(V85,'技能'!$H$4:$H$31,0)),"",INDIRECT(ADDRESS(3+MATCH(V85,'技能'!$H$4:$H$31,0),13,4,TRUE,"技能"))&amp;IF(ISERROR(MATCH(V85,'技能'!$H$4:$H$31,0)),"",IF(INDIRECT(ADDRESS(3+MATCH(V85,'技能'!$H$4:$H$31,0),15,4,TRUE,"技能"))="","","(+2)")))</f>
        <v>3</v>
      </c>
      <c r="AM85" s="256"/>
      <c r="AN85" s="256"/>
      <c r="AO85" s="256"/>
      <c r="AP85" s="71"/>
      <c r="AQ85" s="282" t="str">
        <f>IF('技能'!A19="","",'技能'!A19)</f>
        <v>英語</v>
      </c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71"/>
      <c r="BC85" s="261" t="s">
        <v>52</v>
      </c>
      <c r="BD85" s="261"/>
      <c r="BE85" s="261"/>
      <c r="BF85" s="261"/>
      <c r="BG85" s="71"/>
      <c r="BH85" s="261" t="s">
        <v>98</v>
      </c>
      <c r="BI85" s="261"/>
      <c r="BJ85" s="261"/>
      <c r="BK85" s="261"/>
    </row>
    <row r="86" spans="1:63" ht="6.75" customHeight="1">
      <c r="A86" s="270"/>
      <c r="B86" s="270"/>
      <c r="C86" s="270"/>
      <c r="D86" s="270"/>
      <c r="E86" s="270"/>
      <c r="F86" s="270"/>
      <c r="G86" s="270"/>
      <c r="H86" s="270"/>
      <c r="I86" s="270"/>
      <c r="J86" s="270"/>
      <c r="K86" s="255"/>
      <c r="L86" s="255"/>
      <c r="M86" s="255"/>
      <c r="N86" s="255"/>
      <c r="O86" s="255"/>
      <c r="P86" s="73"/>
      <c r="Q86" s="261"/>
      <c r="R86" s="261"/>
      <c r="S86" s="261"/>
      <c r="T86" s="261"/>
      <c r="U86" s="71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55"/>
      <c r="AG86" s="255"/>
      <c r="AH86" s="255"/>
      <c r="AI86" s="255"/>
      <c r="AJ86" s="255"/>
      <c r="AK86" s="73"/>
      <c r="AL86" s="256"/>
      <c r="AM86" s="256"/>
      <c r="AN86" s="256"/>
      <c r="AO86" s="256"/>
      <c r="AP86" s="71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71"/>
      <c r="BC86" s="261"/>
      <c r="BD86" s="261"/>
      <c r="BE86" s="261"/>
      <c r="BF86" s="261"/>
      <c r="BG86" s="71"/>
      <c r="BH86" s="261"/>
      <c r="BI86" s="261"/>
      <c r="BJ86" s="261"/>
      <c r="BK86" s="261"/>
    </row>
    <row r="87" spans="1:63" ht="6.75" customHeight="1">
      <c r="A87" s="270" t="s">
        <v>72</v>
      </c>
      <c r="B87" s="270"/>
      <c r="C87" s="270"/>
      <c r="D87" s="270"/>
      <c r="E87" s="270"/>
      <c r="F87" s="270"/>
      <c r="G87" s="270"/>
      <c r="H87" s="270"/>
      <c r="I87" s="270"/>
      <c r="J87" s="270"/>
      <c r="K87" s="255">
        <f ca="1">IF(ISERROR(MATCH(A87,'技能'!$H$4:$H$31,0)),"",IF(INDIRECT(ADDRESS(3+MATCH(A87,'技能'!$H$4:$H$31,0),15,4,TRUE,"技能"))="","","("&amp;INDIRECT(ADDRESS(3+MATCH(A87,'技能'!$H$4:$H$31,0),15,4,TRUE,"技能"))&amp;")"))</f>
      </c>
      <c r="L87" s="255"/>
      <c r="M87" s="255"/>
      <c r="N87" s="255"/>
      <c r="O87" s="255"/>
      <c r="P87" s="73"/>
      <c r="Q87" s="256" t="str">
        <f ca="1">IF(ISERROR(MATCH(A87,'技能'!$H$4:$H$31,0)),"",INDIRECT(ADDRESS(3+MATCH(A87,'技能'!$H$4:$H$31,0),13,4,TRUE,"技能"))&amp;IF(ISERROR(MATCH(A87,'技能'!$H$4:$H$31,0)),"",IF(INDIRECT(ADDRESS(3+MATCH(A87,'技能'!$H$4:$H$31,0),15,4,TRUE,"技能"))="","","(+2)")))</f>
        <v>3</v>
      </c>
      <c r="R87" s="256"/>
      <c r="S87" s="256"/>
      <c r="T87" s="256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3"/>
      <c r="AL87" s="73"/>
      <c r="AM87" s="73"/>
      <c r="AN87" s="73"/>
      <c r="AO87" s="73"/>
      <c r="AP87" s="71"/>
      <c r="AQ87" s="282">
        <f>IF('技能'!A21="","",'技能'!A20)</f>
      </c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71"/>
      <c r="BC87" s="261" t="s">
        <v>52</v>
      </c>
      <c r="BD87" s="261"/>
      <c r="BE87" s="261"/>
      <c r="BF87" s="261"/>
      <c r="BG87" s="71"/>
      <c r="BH87" s="261">
        <f>IF(AQ87="","",'技能'!D20)</f>
      </c>
      <c r="BI87" s="261"/>
      <c r="BJ87" s="261"/>
      <c r="BK87" s="261"/>
    </row>
    <row r="88" spans="1:63" ht="6.75" customHeight="1">
      <c r="A88" s="270"/>
      <c r="B88" s="270"/>
      <c r="C88" s="270"/>
      <c r="D88" s="270"/>
      <c r="E88" s="270"/>
      <c r="F88" s="270"/>
      <c r="G88" s="270"/>
      <c r="H88" s="270"/>
      <c r="I88" s="270"/>
      <c r="J88" s="270"/>
      <c r="K88" s="255"/>
      <c r="L88" s="255"/>
      <c r="M88" s="255"/>
      <c r="N88" s="255"/>
      <c r="O88" s="255"/>
      <c r="P88" s="73"/>
      <c r="Q88" s="256"/>
      <c r="R88" s="256"/>
      <c r="S88" s="256"/>
      <c r="T88" s="256"/>
      <c r="U88" s="71"/>
      <c r="V88" s="258" t="s">
        <v>53</v>
      </c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9" t="str">
        <f>Main!F29&amp;IF(Main!M29=Main!F29,"","("&amp;Main!M29&amp;")")</f>
        <v>4</v>
      </c>
      <c r="AL88" s="259"/>
      <c r="AM88" s="259"/>
      <c r="AN88" s="259"/>
      <c r="AO88" s="259"/>
      <c r="AP88" s="71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71"/>
      <c r="BC88" s="261"/>
      <c r="BD88" s="261"/>
      <c r="BE88" s="261"/>
      <c r="BF88" s="261"/>
      <c r="BG88" s="71"/>
      <c r="BH88" s="261"/>
      <c r="BI88" s="261"/>
      <c r="BJ88" s="261"/>
      <c r="BK88" s="261"/>
    </row>
    <row r="89" spans="1:63" ht="6.7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3"/>
      <c r="Q89" s="73"/>
      <c r="R89" s="73"/>
      <c r="S89" s="73"/>
      <c r="T89" s="73"/>
      <c r="U89" s="71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9"/>
      <c r="AL89" s="259"/>
      <c r="AM89" s="259"/>
      <c r="AN89" s="259"/>
      <c r="AO89" s="259"/>
      <c r="AP89" s="71"/>
      <c r="AQ89" s="282">
        <f>IF('技能'!A23="","",'技能'!A23)</f>
      </c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71"/>
      <c r="BC89" s="261" t="s">
        <v>52</v>
      </c>
      <c r="BD89" s="261"/>
      <c r="BE89" s="261"/>
      <c r="BF89" s="261"/>
      <c r="BG89" s="71"/>
      <c r="BH89" s="261">
        <f>IF(AQ89="","",'技能'!D21)</f>
      </c>
      <c r="BI89" s="261"/>
      <c r="BJ89" s="261"/>
      <c r="BK89" s="261"/>
    </row>
    <row r="90" spans="1:63" ht="6.75" customHeight="1">
      <c r="A90" s="258" t="s">
        <v>269</v>
      </c>
      <c r="B90" s="258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9" t="str">
        <f>Main!F25&amp;IF(Main!M25=Main!F25,"","("&amp;Main!M25&amp;")")</f>
        <v>4</v>
      </c>
      <c r="Q90" s="259"/>
      <c r="R90" s="259"/>
      <c r="S90" s="259"/>
      <c r="T90" s="259"/>
      <c r="U90" s="71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9"/>
      <c r="AL90" s="259"/>
      <c r="AM90" s="259"/>
      <c r="AN90" s="259"/>
      <c r="AO90" s="259"/>
      <c r="AP90" s="71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71"/>
      <c r="BC90" s="261"/>
      <c r="BD90" s="261"/>
      <c r="BE90" s="261"/>
      <c r="BF90" s="261"/>
      <c r="BG90" s="71"/>
      <c r="BH90" s="261"/>
      <c r="BI90" s="261"/>
      <c r="BJ90" s="261"/>
      <c r="BK90" s="261"/>
    </row>
    <row r="91" spans="1:63" ht="6.75" customHeight="1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9"/>
      <c r="Q91" s="259"/>
      <c r="R91" s="259"/>
      <c r="S91" s="259"/>
      <c r="T91" s="259"/>
      <c r="U91" s="71"/>
      <c r="V91" s="265" t="s">
        <v>224</v>
      </c>
      <c r="W91" s="265"/>
      <c r="X91" s="265"/>
      <c r="Y91" s="266" t="s">
        <v>69</v>
      </c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73"/>
      <c r="AL91" s="261">
        <f>IF('技能'!D4="","",'技能'!D4)</f>
      </c>
      <c r="AM91" s="261"/>
      <c r="AN91" s="261"/>
      <c r="AO91" s="261"/>
      <c r="AP91" s="71"/>
      <c r="AQ91" s="282">
        <f>IF('技能'!A25="","",'技能'!A22)</f>
      </c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71"/>
      <c r="BC91" s="261" t="s">
        <v>52</v>
      </c>
      <c r="BD91" s="261"/>
      <c r="BE91" s="261"/>
      <c r="BF91" s="261"/>
      <c r="BG91" s="71"/>
      <c r="BH91" s="261">
        <f>IF(AQ91="","",'技能'!D22)</f>
      </c>
      <c r="BI91" s="261"/>
      <c r="BJ91" s="261"/>
      <c r="BK91" s="261"/>
    </row>
    <row r="92" spans="1:63" ht="6.75" customHeight="1">
      <c r="A92" s="258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9"/>
      <c r="Q92" s="259"/>
      <c r="R92" s="259"/>
      <c r="S92" s="259"/>
      <c r="T92" s="259"/>
      <c r="U92" s="71"/>
      <c r="V92" s="265"/>
      <c r="W92" s="265"/>
      <c r="X92" s="265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73"/>
      <c r="AL92" s="261"/>
      <c r="AM92" s="261"/>
      <c r="AN92" s="261"/>
      <c r="AO92" s="261"/>
      <c r="AP92" s="71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71"/>
      <c r="BC92" s="261"/>
      <c r="BD92" s="261"/>
      <c r="BE92" s="261"/>
      <c r="BF92" s="261"/>
      <c r="BG92" s="71"/>
      <c r="BH92" s="261"/>
      <c r="BI92" s="261"/>
      <c r="BJ92" s="261"/>
      <c r="BK92" s="261"/>
    </row>
    <row r="93" spans="1:63" ht="6.75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5"/>
      <c r="Q93" s="75"/>
      <c r="R93" s="75"/>
      <c r="S93" s="75"/>
      <c r="T93" s="75"/>
      <c r="U93" s="71"/>
      <c r="V93" s="262"/>
      <c r="W93" s="263" t="s">
        <v>270</v>
      </c>
      <c r="X93" s="263"/>
      <c r="Y93" s="263"/>
      <c r="Z93" s="263"/>
      <c r="AA93" s="263"/>
      <c r="AB93" s="263"/>
      <c r="AC93" s="263"/>
      <c r="AD93" s="263"/>
      <c r="AE93" s="263"/>
      <c r="AF93" s="255">
        <f ca="1">IF(ISERROR(MATCH(W93,'技能'!$H$4:$H$31,0)),"",IF(INDIRECT(ADDRESS(3+MATCH(W93,'技能'!$H$4:$H$31,0),15,4,TRUE,"技能"))="","","("&amp;INDIRECT(ADDRESS(3+MATCH(W93,'技能'!$H$4:$H$31,0),15,4,TRUE,"技能"))&amp;")"))</f>
      </c>
      <c r="AG93" s="255"/>
      <c r="AH93" s="255"/>
      <c r="AI93" s="255"/>
      <c r="AJ93" s="255"/>
      <c r="AK93" s="73"/>
      <c r="AL93" s="256">
        <f ca="1">IF(ISERROR(MATCH(W93,'技能'!$H$4:$H$31,0)),"",INDIRECT(ADDRESS(3+MATCH(W93,'技能'!$H$4:$H$31,0),13,4,TRUE,"技能"))&amp;IF(ISERROR(MATCH(W93,'技能'!$H$4:$H$31,0)),"",IF(INDIRECT(ADDRESS(3+MATCH(W93,'技能'!$H$4:$H$31,0),15,4,TRUE,"技能"))="","","(+2)")))</f>
      </c>
      <c r="AM93" s="256"/>
      <c r="AN93" s="256"/>
      <c r="AO93" s="256"/>
      <c r="AP93" s="71"/>
      <c r="AQ93" s="256" t="str">
        <f>IF('技能'!H34="","",'技能'!H34)</f>
        <v>自動車の構造</v>
      </c>
      <c r="AR93" s="256"/>
      <c r="AS93" s="256"/>
      <c r="AT93" s="256"/>
      <c r="AU93" s="256"/>
      <c r="AV93" s="256"/>
      <c r="AW93" s="256">
        <f>IF('技能'!O34="","",'技能'!O34)</f>
      </c>
      <c r="AX93" s="256"/>
      <c r="AY93" s="256"/>
      <c r="AZ93" s="256"/>
      <c r="BA93" s="256"/>
      <c r="BB93" s="71"/>
      <c r="BC93" s="261" t="e">
        <f>IF('技能'!S34="","",'技能'!S34)</f>
        <v>#N/A</v>
      </c>
      <c r="BD93" s="261"/>
      <c r="BE93" s="261"/>
      <c r="BF93" s="261"/>
      <c r="BG93" s="71"/>
      <c r="BH93" s="261" t="str">
        <f>IF('技能'!M34="","",'技能'!M34)&amp;IF(AW93="","","(+2)")</f>
        <v>3</v>
      </c>
      <c r="BI93" s="261"/>
      <c r="BJ93" s="261"/>
      <c r="BK93" s="261"/>
    </row>
    <row r="94" spans="1:63" ht="6.75" customHeight="1">
      <c r="A94" s="270" t="s">
        <v>271</v>
      </c>
      <c r="B94" s="270"/>
      <c r="C94" s="270"/>
      <c r="D94" s="270"/>
      <c r="E94" s="270"/>
      <c r="F94" s="270"/>
      <c r="G94" s="270"/>
      <c r="H94" s="270"/>
      <c r="I94" s="270"/>
      <c r="J94" s="270"/>
      <c r="K94" s="255">
        <f ca="1">IF(ISERROR(MATCH(A94,'技能'!$H$4:$H$31,0)),"",IF(INDIRECT(ADDRESS(3+MATCH(A94,'技能'!$H$4:$H$31,0),15,4,TRUE,"技能"))="","","("&amp;INDIRECT(ADDRESS(3+MATCH(A94,'技能'!$H$4:$H$31,0),15,4,TRUE,"技能"))&amp;")"))</f>
      </c>
      <c r="L94" s="255"/>
      <c r="M94" s="255"/>
      <c r="N94" s="255"/>
      <c r="O94" s="255"/>
      <c r="P94" s="73"/>
      <c r="Q94" s="261">
        <f ca="1">IF(ISERROR(MATCH(A94,'技能'!$H$4:$H$31,0)),"",INDIRECT(ADDRESS(3+MATCH(A94,'技能'!$H$4:$H$31,0),13,4,TRUE,"技能"))&amp;IF(ISERROR(MATCH(A94,'技能'!$H$4:$H$31,0)),"",IF(INDIRECT(ADDRESS(3+MATCH(A94,'技能'!$H$4:$H$31,0),15,4,TRUE,"技能"))="","","(+2)")))</f>
      </c>
      <c r="R94" s="261"/>
      <c r="S94" s="261"/>
      <c r="T94" s="261"/>
      <c r="U94" s="71"/>
      <c r="V94" s="262"/>
      <c r="W94" s="263"/>
      <c r="X94" s="263"/>
      <c r="Y94" s="263"/>
      <c r="Z94" s="263"/>
      <c r="AA94" s="263"/>
      <c r="AB94" s="263"/>
      <c r="AC94" s="263"/>
      <c r="AD94" s="263"/>
      <c r="AE94" s="263"/>
      <c r="AF94" s="255"/>
      <c r="AG94" s="255"/>
      <c r="AH94" s="255"/>
      <c r="AI94" s="255"/>
      <c r="AJ94" s="255"/>
      <c r="AK94" s="73"/>
      <c r="AL94" s="256"/>
      <c r="AM94" s="256"/>
      <c r="AN94" s="256"/>
      <c r="AO94" s="256"/>
      <c r="AP94" s="71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71"/>
      <c r="BC94" s="261"/>
      <c r="BD94" s="261"/>
      <c r="BE94" s="261"/>
      <c r="BF94" s="261"/>
      <c r="BG94" s="71"/>
      <c r="BH94" s="261"/>
      <c r="BI94" s="261"/>
      <c r="BJ94" s="261"/>
      <c r="BK94" s="261"/>
    </row>
    <row r="95" spans="1:63" ht="6.75" customHeight="1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55"/>
      <c r="L95" s="255"/>
      <c r="M95" s="255"/>
      <c r="N95" s="255"/>
      <c r="O95" s="255"/>
      <c r="P95" s="73"/>
      <c r="Q95" s="261"/>
      <c r="R95" s="261"/>
      <c r="S95" s="261"/>
      <c r="T95" s="261"/>
      <c r="U95" s="71"/>
      <c r="V95" s="269"/>
      <c r="W95" s="255" t="s">
        <v>272</v>
      </c>
      <c r="X95" s="255"/>
      <c r="Y95" s="255"/>
      <c r="Z95" s="255"/>
      <c r="AA95" s="255"/>
      <c r="AB95" s="255"/>
      <c r="AC95" s="255"/>
      <c r="AD95" s="255"/>
      <c r="AE95" s="255"/>
      <c r="AF95" s="255">
        <f ca="1">IF(ISERROR(MATCH(W95,'技能'!$H$4:$H$31,0)),"",IF(INDIRECT(ADDRESS(3+MATCH(W95,'技能'!$H$4:$H$31,0),15,4,TRUE,"技能"))="","","("&amp;INDIRECT(ADDRESS(3+MATCH(W95,'技能'!$H$4:$H$31,0),15,4,TRUE,"技能"))&amp;")"))</f>
      </c>
      <c r="AG95" s="255"/>
      <c r="AH95" s="255"/>
      <c r="AI95" s="255"/>
      <c r="AJ95" s="255"/>
      <c r="AK95" s="73"/>
      <c r="AL95" s="256">
        <f ca="1">IF(ISERROR(MATCH(W95,'技能'!$H$4:$H$31,0)),"",INDIRECT(ADDRESS(3+MATCH(W95,'技能'!$H$4:$H$31,0),13,4,TRUE,"技能"))&amp;IF(ISERROR(MATCH(W95,'技能'!$H$4:$H$31,0)),"",IF(INDIRECT(ADDRESS(3+MATCH(W95,'技能'!$H$4:$H$31,0),15,4,TRUE,"技能"))="","","(+2)")))</f>
      </c>
      <c r="AM95" s="256"/>
      <c r="AN95" s="256"/>
      <c r="AO95" s="256"/>
      <c r="AP95" s="71"/>
      <c r="AQ95" s="256" t="str">
        <f>IF('技能'!H35="","",'技能'!H35)</f>
        <v>工学</v>
      </c>
      <c r="AR95" s="256"/>
      <c r="AS95" s="256"/>
      <c r="AT95" s="256"/>
      <c r="AU95" s="256"/>
      <c r="AV95" s="256"/>
      <c r="AW95" s="256">
        <f>IF('技能'!O35="","",'技能'!O35)</f>
      </c>
      <c r="AX95" s="256"/>
      <c r="AY95" s="256"/>
      <c r="AZ95" s="256"/>
      <c r="BA95" s="256"/>
      <c r="BB95" s="71"/>
      <c r="BC95" s="261" t="e">
        <f>IF('技能'!S35="","",'技能'!S35)</f>
        <v>#N/A</v>
      </c>
      <c r="BD95" s="261"/>
      <c r="BE95" s="261"/>
      <c r="BF95" s="261"/>
      <c r="BG95" s="71"/>
      <c r="BH95" s="261" t="str">
        <f>IF('技能'!M35="","",'技能'!M35)&amp;IF(AW95="","","(+2)")</f>
        <v>3</v>
      </c>
      <c r="BI95" s="261"/>
      <c r="BJ95" s="261"/>
      <c r="BK95" s="261"/>
    </row>
    <row r="96" spans="1:63" ht="6.75" customHeight="1">
      <c r="A96" s="270" t="s">
        <v>93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55">
        <f ca="1">IF(ISERROR(MATCH(A96,'技能'!$H$4:$H$31,0)),"",IF(INDIRECT(ADDRESS(3+MATCH(A96,'技能'!$H$4:$H$31,0),15,4,TRUE,"技能"))="","","("&amp;INDIRECT(ADDRESS(3+MATCH(A96,'技能'!$H$4:$H$31,0),15,4,TRUE,"技能"))&amp;")"))</f>
      </c>
      <c r="L96" s="255"/>
      <c r="M96" s="255"/>
      <c r="N96" s="255"/>
      <c r="O96" s="255"/>
      <c r="P96" s="73"/>
      <c r="Q96" s="261">
        <f ca="1">IF(ISERROR(MATCH(A96,'技能'!$H$4:$H$31,0)),"",INDIRECT(ADDRESS(3+MATCH(A96,'技能'!$H$4:$H$31,0),13,4,TRUE,"技能"))&amp;IF(ISERROR(MATCH(A96,'技能'!$H$4:$H$31,0)),"",IF(INDIRECT(ADDRESS(3+MATCH(A96,'技能'!$H$4:$H$31,0),15,4,TRUE,"技能"))="","","(+2)")))</f>
      </c>
      <c r="R96" s="261"/>
      <c r="S96" s="261"/>
      <c r="T96" s="261"/>
      <c r="U96" s="71"/>
      <c r="V96" s="269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73"/>
      <c r="AL96" s="256"/>
      <c r="AM96" s="256"/>
      <c r="AN96" s="256"/>
      <c r="AO96" s="256"/>
      <c r="AP96" s="71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71"/>
      <c r="BC96" s="261"/>
      <c r="BD96" s="261"/>
      <c r="BE96" s="261"/>
      <c r="BF96" s="261"/>
      <c r="BG96" s="71"/>
      <c r="BH96" s="261"/>
      <c r="BI96" s="261"/>
      <c r="BJ96" s="261"/>
      <c r="BK96" s="261"/>
    </row>
    <row r="97" spans="1:63" ht="6.75" customHeight="1">
      <c r="A97" s="270"/>
      <c r="B97" s="270"/>
      <c r="C97" s="270"/>
      <c r="D97" s="270"/>
      <c r="E97" s="270"/>
      <c r="F97" s="270"/>
      <c r="G97" s="270"/>
      <c r="H97" s="270"/>
      <c r="I97" s="270"/>
      <c r="J97" s="270"/>
      <c r="K97" s="255"/>
      <c r="L97" s="255"/>
      <c r="M97" s="255"/>
      <c r="N97" s="255"/>
      <c r="O97" s="255"/>
      <c r="P97" s="73"/>
      <c r="Q97" s="261"/>
      <c r="R97" s="261"/>
      <c r="S97" s="261"/>
      <c r="T97" s="261"/>
      <c r="U97" s="71"/>
      <c r="V97" s="267"/>
      <c r="W97" s="255" t="s">
        <v>273</v>
      </c>
      <c r="X97" s="255"/>
      <c r="Y97" s="255"/>
      <c r="Z97" s="255"/>
      <c r="AA97" s="255"/>
      <c r="AB97" s="255"/>
      <c r="AC97" s="255"/>
      <c r="AD97" s="255"/>
      <c r="AE97" s="255"/>
      <c r="AF97" s="255">
        <f ca="1">IF(ISERROR(MATCH(W97,'技能'!$H$4:$H$31,0)),"",IF(INDIRECT(ADDRESS(3+MATCH(W97,'技能'!$H$4:$H$31,0),15,4,TRUE,"技能"))="","","("&amp;INDIRECT(ADDRESS(3+MATCH(W97,'技能'!$H$4:$H$31,0),15,4,TRUE,"技能"))&amp;")"))</f>
      </c>
      <c r="AG97" s="255"/>
      <c r="AH97" s="255"/>
      <c r="AI97" s="255"/>
      <c r="AJ97" s="255"/>
      <c r="AK97" s="73"/>
      <c r="AL97" s="256">
        <f ca="1">IF(ISERROR(MATCH(W97,'技能'!$H$4:$H$31,0)),"",INDIRECT(ADDRESS(3+MATCH(W97,'技能'!$H$4:$H$31,0),13,4,TRUE,"技能"))&amp;IF(ISERROR(MATCH(W97,'技能'!$H$4:$H$31,0)),"",IF(INDIRECT(ADDRESS(3+MATCH(W97,'技能'!$H$4:$H$31,0),15,4,TRUE,"技能"))="","","(+2)")))</f>
      </c>
      <c r="AM97" s="256"/>
      <c r="AN97" s="256"/>
      <c r="AO97" s="256"/>
      <c r="AP97" s="71"/>
      <c r="AQ97" s="256" t="str">
        <f>IF('技能'!H36="","",'技能'!H36)</f>
        <v>密輸ルート</v>
      </c>
      <c r="AR97" s="256"/>
      <c r="AS97" s="256"/>
      <c r="AT97" s="256"/>
      <c r="AU97" s="256"/>
      <c r="AV97" s="256"/>
      <c r="AW97" s="256">
        <f>IF('技能'!O36="","",'技能'!O36)</f>
      </c>
      <c r="AX97" s="256"/>
      <c r="AY97" s="256"/>
      <c r="AZ97" s="256"/>
      <c r="BA97" s="256"/>
      <c r="BB97" s="71"/>
      <c r="BC97" s="261" t="e">
        <f>IF('技能'!S36="","",'技能'!S36)</f>
        <v>#N/A</v>
      </c>
      <c r="BD97" s="261"/>
      <c r="BE97" s="261"/>
      <c r="BF97" s="261"/>
      <c r="BG97" s="71"/>
      <c r="BH97" s="261" t="str">
        <f>IF('技能'!M36="","",'技能'!M36)&amp;IF(AW97="","","(+2)")</f>
        <v>4</v>
      </c>
      <c r="BI97" s="261"/>
      <c r="BJ97" s="261"/>
      <c r="BK97" s="261"/>
    </row>
    <row r="98" spans="1:63" ht="6.75" customHeight="1">
      <c r="A98" s="270" t="s">
        <v>80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55" t="str">
        <f ca="1">IF(ISERROR(MATCH(A98,'技能'!$H$4:$H$31,0)),"",IF(INDIRECT(ADDRESS(3+MATCH(A98,'技能'!$H$4:$H$31,0),15,4,TRUE,"技能"))="","","("&amp;INDIRECT(ADDRESS(3+MATCH(A98,'技能'!$H$4:$H$31,0),15,4,TRUE,"技能"))&amp;")"))</f>
        <v>(遠隔操作)</v>
      </c>
      <c r="L98" s="255"/>
      <c r="M98" s="255"/>
      <c r="N98" s="255"/>
      <c r="O98" s="255"/>
      <c r="P98" s="73"/>
      <c r="Q98" s="256" t="str">
        <f ca="1">IF(ISERROR(MATCH(A98,'技能'!$H$4:$H$31,0)),"",INDIRECT(ADDRESS(3+MATCH(A98,'技能'!$H$4:$H$31,0),13,4,TRUE,"技能"))&amp;IF(ISERROR(MATCH(A98,'技能'!$H$4:$H$31,0)),"",IF(INDIRECT(ADDRESS(3+MATCH(A98,'技能'!$H$4:$H$31,0),15,4,TRUE,"技能"))="","","(+2)")))</f>
        <v>1(+2)</v>
      </c>
      <c r="R98" s="256"/>
      <c r="S98" s="256"/>
      <c r="T98" s="256"/>
      <c r="U98" s="71"/>
      <c r="V98" s="267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73"/>
      <c r="AL98" s="256"/>
      <c r="AM98" s="256"/>
      <c r="AN98" s="256"/>
      <c r="AO98" s="256"/>
      <c r="AP98" s="71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71"/>
      <c r="BC98" s="261"/>
      <c r="BD98" s="261"/>
      <c r="BE98" s="261"/>
      <c r="BF98" s="261"/>
      <c r="BG98" s="71"/>
      <c r="BH98" s="261"/>
      <c r="BI98" s="261"/>
      <c r="BJ98" s="261"/>
      <c r="BK98" s="261"/>
    </row>
    <row r="99" spans="1:63" ht="6.75" customHeight="1">
      <c r="A99" s="270"/>
      <c r="B99" s="270"/>
      <c r="C99" s="270"/>
      <c r="D99" s="270"/>
      <c r="E99" s="270"/>
      <c r="F99" s="270"/>
      <c r="G99" s="270"/>
      <c r="H99" s="270"/>
      <c r="I99" s="270"/>
      <c r="J99" s="270"/>
      <c r="K99" s="255"/>
      <c r="L99" s="255"/>
      <c r="M99" s="255"/>
      <c r="N99" s="255"/>
      <c r="O99" s="255"/>
      <c r="P99" s="73"/>
      <c r="Q99" s="256"/>
      <c r="R99" s="256"/>
      <c r="S99" s="256"/>
      <c r="T99" s="256"/>
      <c r="U99" s="71"/>
      <c r="V99" s="265" t="s">
        <v>224</v>
      </c>
      <c r="W99" s="265"/>
      <c r="X99" s="265"/>
      <c r="Y99" s="266" t="s">
        <v>274</v>
      </c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73"/>
      <c r="AL99" s="261">
        <f>IF('技能'!D7="","",'技能'!D7)</f>
      </c>
      <c r="AM99" s="261"/>
      <c r="AN99" s="261"/>
      <c r="AO99" s="261"/>
      <c r="AP99" s="71"/>
      <c r="AQ99" s="256" t="str">
        <f>IF('技能'!H37="","",'技能'!H37)</f>
        <v>地元知識</v>
      </c>
      <c r="AR99" s="256"/>
      <c r="AS99" s="256"/>
      <c r="AT99" s="256"/>
      <c r="AU99" s="256"/>
      <c r="AV99" s="256"/>
      <c r="AW99" s="256">
        <f>IF('技能'!O37="","",'技能'!O37)</f>
      </c>
      <c r="AX99" s="256"/>
      <c r="AY99" s="256"/>
      <c r="AZ99" s="256"/>
      <c r="BA99" s="256"/>
      <c r="BB99" s="71"/>
      <c r="BC99" s="261" t="e">
        <f>IF('技能'!S37="","",'技能'!S37)</f>
        <v>#N/A</v>
      </c>
      <c r="BD99" s="261"/>
      <c r="BE99" s="261"/>
      <c r="BF99" s="261"/>
      <c r="BG99" s="71"/>
      <c r="BH99" s="261" t="str">
        <f>IF('技能'!M37="","",'技能'!M37)&amp;IF(AW99="","","(+2)")</f>
        <v>2</v>
      </c>
      <c r="BI99" s="261"/>
      <c r="BJ99" s="261"/>
      <c r="BK99" s="261"/>
    </row>
    <row r="100" spans="1:63" ht="6.75" customHeight="1">
      <c r="A100" s="270" t="s">
        <v>275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55">
        <f ca="1">IF(ISERROR(MATCH(A100,'技能'!$H$4:$H$31,0)),"",IF(INDIRECT(ADDRESS(3+MATCH(A100,'技能'!$H$4:$H$31,0),15,4,TRUE,"技能"))="","","("&amp;INDIRECT(ADDRESS(3+MATCH(A100,'技能'!$H$4:$H$31,0),15,4,TRUE,"技能"))&amp;")"))</f>
      </c>
      <c r="L100" s="255"/>
      <c r="M100" s="255"/>
      <c r="N100" s="255"/>
      <c r="O100" s="255"/>
      <c r="P100" s="73"/>
      <c r="Q100" s="256">
        <f ca="1">IF(ISERROR(MATCH(A100,'技能'!$H$4:$H$31,0)),"",INDIRECT(ADDRESS(3+MATCH(A100,'技能'!$H$4:$H$31,0),13,4,TRUE,"技能"))&amp;IF(ISERROR(MATCH(A100,'技能'!$H$4:$H$31,0)),"",IF(INDIRECT(ADDRESS(3+MATCH(A100,'技能'!$H$4:$H$31,0),15,4,TRUE,"技能"))="","","(+2)")))</f>
      </c>
      <c r="R100" s="256"/>
      <c r="S100" s="256"/>
      <c r="T100" s="256"/>
      <c r="U100" s="71"/>
      <c r="V100" s="265"/>
      <c r="W100" s="265"/>
      <c r="X100" s="265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73"/>
      <c r="AL100" s="261"/>
      <c r="AM100" s="261"/>
      <c r="AN100" s="261"/>
      <c r="AO100" s="261"/>
      <c r="AP100" s="71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71"/>
      <c r="BC100" s="261"/>
      <c r="BD100" s="261"/>
      <c r="BE100" s="261"/>
      <c r="BF100" s="261"/>
      <c r="BG100" s="71"/>
      <c r="BH100" s="261"/>
      <c r="BI100" s="261"/>
      <c r="BJ100" s="261"/>
      <c r="BK100" s="261"/>
    </row>
    <row r="101" spans="1:63" ht="6.75" customHeight="1">
      <c r="A101" s="270"/>
      <c r="B101" s="270"/>
      <c r="C101" s="270"/>
      <c r="D101" s="270"/>
      <c r="E101" s="270"/>
      <c r="F101" s="270"/>
      <c r="G101" s="270"/>
      <c r="H101" s="270"/>
      <c r="I101" s="270"/>
      <c r="J101" s="270"/>
      <c r="K101" s="255"/>
      <c r="L101" s="255"/>
      <c r="M101" s="255"/>
      <c r="N101" s="255"/>
      <c r="O101" s="255"/>
      <c r="P101" s="73"/>
      <c r="Q101" s="256"/>
      <c r="R101" s="256"/>
      <c r="S101" s="256"/>
      <c r="T101" s="256"/>
      <c r="U101" s="71"/>
      <c r="V101" s="277"/>
      <c r="W101" s="263" t="s">
        <v>276</v>
      </c>
      <c r="X101" s="263"/>
      <c r="Y101" s="263"/>
      <c r="Z101" s="263"/>
      <c r="AA101" s="263"/>
      <c r="AB101" s="263"/>
      <c r="AC101" s="263"/>
      <c r="AD101" s="263"/>
      <c r="AE101" s="263"/>
      <c r="AF101" s="255">
        <f ca="1">IF(ISERROR(MATCH(W101,'技能'!$H$4:$H$31,0)),"",IF(INDIRECT(ADDRESS(3+MATCH(W101,'技能'!$H$4:$H$31,0),15,4,TRUE,"技能"))="","","("&amp;INDIRECT(ADDRESS(3+MATCH(W101,'技能'!$H$4:$H$31,0),15,4,TRUE,"技能"))&amp;")"))</f>
      </c>
      <c r="AG101" s="255"/>
      <c r="AH101" s="255"/>
      <c r="AI101" s="255"/>
      <c r="AJ101" s="255"/>
      <c r="AK101" s="73"/>
      <c r="AL101" s="264">
        <f ca="1">IF(ISERROR(MATCH(W101,'技能'!$H$4:$H$31,0)),"",INDIRECT(ADDRESS(3+MATCH(W101,'技能'!$H$4:$H$31,0),13,4,TRUE,"技能"))&amp;IF(ISERROR(MATCH(W101,'技能'!$H$4:$H$31,0)),"",IF(INDIRECT(ADDRESS(3+MATCH(W101,'技能'!$H$4:$H$31,0),15,4,TRUE,"技能"))="","","(+2)")))</f>
      </c>
      <c r="AM101" s="264"/>
      <c r="AN101" s="264"/>
      <c r="AO101" s="264"/>
      <c r="AP101" s="71"/>
      <c r="AQ101" s="256" t="str">
        <f>IF('技能'!H38="","",'技能'!H38)</f>
        <v>魔法論理</v>
      </c>
      <c r="AR101" s="256"/>
      <c r="AS101" s="256"/>
      <c r="AT101" s="256"/>
      <c r="AU101" s="256"/>
      <c r="AV101" s="256"/>
      <c r="AW101" s="256">
        <f>IF('技能'!O38="","",'技能'!O38)</f>
      </c>
      <c r="AX101" s="256"/>
      <c r="AY101" s="256"/>
      <c r="AZ101" s="256"/>
      <c r="BA101" s="256"/>
      <c r="BB101" s="71"/>
      <c r="BC101" s="261" t="e">
        <f>IF('技能'!S38="","",'技能'!S38)</f>
        <v>#N/A</v>
      </c>
      <c r="BD101" s="261"/>
      <c r="BE101" s="261"/>
      <c r="BF101" s="261"/>
      <c r="BG101" s="71"/>
      <c r="BH101" s="261" t="str">
        <f>IF('技能'!M38="","",'技能'!M38)&amp;IF(AW101="","","(+2)")</f>
        <v>3</v>
      </c>
      <c r="BI101" s="261"/>
      <c r="BJ101" s="261"/>
      <c r="BK101" s="261"/>
    </row>
    <row r="102" spans="1:63" ht="6.75" customHeight="1">
      <c r="A102" s="270" t="s">
        <v>77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55" t="str">
        <f ca="1">IF(ISERROR(MATCH(A102,'技能'!$H$4:$H$31,0)),"",IF(INDIRECT(ADDRESS(3+MATCH(A102,'技能'!$H$4:$H$31,0),15,4,TRUE,"技能"))="","","("&amp;INDIRECT(ADDRESS(3+MATCH(A102,'技能'!$H$4:$H$31,0),15,4,TRUE,"技能"))&amp;")"))</f>
        <v>(車輪型)</v>
      </c>
      <c r="L102" s="255"/>
      <c r="M102" s="255"/>
      <c r="N102" s="255"/>
      <c r="O102" s="255"/>
      <c r="P102" s="73"/>
      <c r="Q102" s="256" t="str">
        <f ca="1">IF(ISERROR(MATCH(A102,'技能'!$H$4:$H$31,0)),"",INDIRECT(ADDRESS(3+MATCH(A102,'技能'!$H$4:$H$31,0),13,4,TRUE,"技能"))&amp;IF(ISERROR(MATCH(A102,'技能'!$H$4:$H$31,0)),"",IF(INDIRECT(ADDRESS(3+MATCH(A102,'技能'!$H$4:$H$31,0),15,4,TRUE,"技能"))="","","(+2)")))</f>
        <v>3(+2)</v>
      </c>
      <c r="R102" s="256"/>
      <c r="S102" s="256"/>
      <c r="T102" s="256"/>
      <c r="U102" s="71"/>
      <c r="V102" s="277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55"/>
      <c r="AG102" s="255"/>
      <c r="AH102" s="255"/>
      <c r="AI102" s="255"/>
      <c r="AJ102" s="255"/>
      <c r="AK102" s="73"/>
      <c r="AL102" s="264"/>
      <c r="AM102" s="264"/>
      <c r="AN102" s="264"/>
      <c r="AO102" s="264"/>
      <c r="AP102" s="71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71"/>
      <c r="BC102" s="261"/>
      <c r="BD102" s="261"/>
      <c r="BE102" s="261"/>
      <c r="BF102" s="261"/>
      <c r="BG102" s="71"/>
      <c r="BH102" s="261"/>
      <c r="BI102" s="261"/>
      <c r="BJ102" s="261"/>
      <c r="BK102" s="261"/>
    </row>
    <row r="103" spans="1:63" ht="6.75" customHeight="1">
      <c r="A103" s="270"/>
      <c r="B103" s="270"/>
      <c r="C103" s="270"/>
      <c r="D103" s="270"/>
      <c r="E103" s="270"/>
      <c r="F103" s="270"/>
      <c r="G103" s="270"/>
      <c r="H103" s="270"/>
      <c r="I103" s="270"/>
      <c r="J103" s="270"/>
      <c r="K103" s="255"/>
      <c r="L103" s="255"/>
      <c r="M103" s="255"/>
      <c r="N103" s="255"/>
      <c r="O103" s="255"/>
      <c r="P103" s="73"/>
      <c r="Q103" s="256"/>
      <c r="R103" s="256"/>
      <c r="S103" s="256"/>
      <c r="T103" s="256"/>
      <c r="U103" s="71"/>
      <c r="V103" s="277"/>
      <c r="W103" s="255" t="s">
        <v>91</v>
      </c>
      <c r="X103" s="255"/>
      <c r="Y103" s="255"/>
      <c r="Z103" s="255"/>
      <c r="AA103" s="255"/>
      <c r="AB103" s="255"/>
      <c r="AC103" s="255"/>
      <c r="AD103" s="255"/>
      <c r="AE103" s="255"/>
      <c r="AF103" s="255">
        <f ca="1">IF(ISERROR(MATCH(W103,'技能'!$H$4:$H$31,0)),"",IF(INDIRECT(ADDRESS(3+MATCH(W103,'技能'!$H$4:$H$31,0),15,4,TRUE,"技能"))="","","("&amp;INDIRECT(ADDRESS(3+MATCH(W103,'技能'!$H$4:$H$31,0),15,4,TRUE,"技能"))&amp;")"))</f>
      </c>
      <c r="AG103" s="255"/>
      <c r="AH103" s="255"/>
      <c r="AI103" s="255"/>
      <c r="AJ103" s="255"/>
      <c r="AK103" s="73"/>
      <c r="AL103" s="256" t="str">
        <f ca="1">IF(ISERROR(MATCH(W103,'技能'!$H$4:$H$31,0)),"",INDIRECT(ADDRESS(3+MATCH(W103,'技能'!$H$4:$H$31,0),13,4,TRUE,"技能"))&amp;IF(ISERROR(MATCH(W103,'技能'!$H$4:$H$31,0)),"",IF(INDIRECT(ADDRESS(3+MATCH(W103,'技能'!$H$4:$H$31,0),15,4,TRUE,"技能"))="","","(+2)")))</f>
        <v>2</v>
      </c>
      <c r="AM103" s="256"/>
      <c r="AN103" s="256"/>
      <c r="AO103" s="256"/>
      <c r="AP103" s="71"/>
      <c r="AQ103" s="256" t="str">
        <f>IF('技能'!H39="","",'技能'!H39)</f>
        <v>運び屋のセーフハウス</v>
      </c>
      <c r="AR103" s="256"/>
      <c r="AS103" s="256"/>
      <c r="AT103" s="256"/>
      <c r="AU103" s="256"/>
      <c r="AV103" s="256"/>
      <c r="AW103" s="256">
        <f>IF('技能'!O39="","",'技能'!O39)</f>
      </c>
      <c r="AX103" s="256"/>
      <c r="AY103" s="256"/>
      <c r="AZ103" s="256"/>
      <c r="BA103" s="256"/>
      <c r="BB103" s="71"/>
      <c r="BC103" s="261" t="e">
        <f>IF('技能'!S39="","",'技能'!S39)</f>
        <v>#N/A</v>
      </c>
      <c r="BD103" s="261"/>
      <c r="BE103" s="261"/>
      <c r="BF103" s="261"/>
      <c r="BG103" s="71"/>
      <c r="BH103" s="261" t="str">
        <f>IF('技能'!M39="","",'技能'!M39)&amp;IF(AW103="","","(+2)")</f>
        <v>4</v>
      </c>
      <c r="BI103" s="261"/>
      <c r="BJ103" s="261"/>
      <c r="BK103" s="261"/>
    </row>
    <row r="104" spans="1:63" ht="6.75" customHeight="1">
      <c r="A104" s="270" t="s">
        <v>277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55">
        <f ca="1">IF(ISERROR(MATCH(A104,'技能'!$H$4:$H$31,0)),"",IF(INDIRECT(ADDRESS(3+MATCH(A104,'技能'!$H$4:$H$31,0),15,4,TRUE,"技能"))="","","("&amp;INDIRECT(ADDRESS(3+MATCH(A104,'技能'!$H$4:$H$31,0),15,4,TRUE,"技能"))&amp;")"))</f>
      </c>
      <c r="L104" s="255"/>
      <c r="M104" s="255"/>
      <c r="N104" s="255"/>
      <c r="O104" s="255"/>
      <c r="P104" s="73"/>
      <c r="Q104" s="256">
        <f ca="1">IF(ISERROR(MATCH(A104,'技能'!$H$4:$H$31,0)),"",INDIRECT(ADDRESS(3+MATCH(A104,'技能'!$H$4:$H$31,0),13,4,TRUE,"技能"))&amp;IF(ISERROR(MATCH(A104,'技能'!$H$4:$H$31,0)),"",IF(INDIRECT(ADDRESS(3+MATCH(A104,'技能'!$H$4:$H$31,0),15,4,TRUE,"技能"))="","","(+2)")))</f>
      </c>
      <c r="R104" s="256"/>
      <c r="S104" s="256"/>
      <c r="T104" s="256"/>
      <c r="U104" s="71"/>
      <c r="V104" s="277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73"/>
      <c r="AL104" s="256"/>
      <c r="AM104" s="256"/>
      <c r="AN104" s="256"/>
      <c r="AO104" s="256"/>
      <c r="AP104" s="71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71"/>
      <c r="BC104" s="261"/>
      <c r="BD104" s="261"/>
      <c r="BE104" s="261"/>
      <c r="BF104" s="261"/>
      <c r="BG104" s="71"/>
      <c r="BH104" s="261"/>
      <c r="BI104" s="261"/>
      <c r="BJ104" s="261"/>
      <c r="BK104" s="261"/>
    </row>
    <row r="105" spans="1:63" ht="6.75" customHeight="1">
      <c r="A105" s="270"/>
      <c r="B105" s="270"/>
      <c r="C105" s="270"/>
      <c r="D105" s="270"/>
      <c r="E105" s="270"/>
      <c r="F105" s="270"/>
      <c r="G105" s="270"/>
      <c r="H105" s="270"/>
      <c r="I105" s="270"/>
      <c r="J105" s="270"/>
      <c r="K105" s="255"/>
      <c r="L105" s="255"/>
      <c r="M105" s="255"/>
      <c r="N105" s="255"/>
      <c r="O105" s="255"/>
      <c r="P105" s="73"/>
      <c r="Q105" s="256"/>
      <c r="R105" s="256"/>
      <c r="S105" s="256"/>
      <c r="T105" s="256"/>
      <c r="U105" s="71"/>
      <c r="V105" s="283"/>
      <c r="W105" s="270" t="s">
        <v>70</v>
      </c>
      <c r="X105" s="270"/>
      <c r="Y105" s="270"/>
      <c r="Z105" s="270"/>
      <c r="AA105" s="270"/>
      <c r="AB105" s="270"/>
      <c r="AC105" s="270"/>
      <c r="AD105" s="270"/>
      <c r="AE105" s="270"/>
      <c r="AF105" s="255">
        <f ca="1">IF(ISERROR(MATCH(W105,'技能'!$H$4:$H$31,0)),"",IF(INDIRECT(ADDRESS(3+MATCH(W105,'技能'!$H$4:$H$31,0),15,4,TRUE,"技能"))="","","("&amp;INDIRECT(ADDRESS(3+MATCH(W105,'技能'!$H$4:$H$31,0),15,4,TRUE,"技能"))&amp;")"))</f>
      </c>
      <c r="AG105" s="255"/>
      <c r="AH105" s="255"/>
      <c r="AI105" s="255"/>
      <c r="AJ105" s="255"/>
      <c r="AK105" s="73"/>
      <c r="AL105" s="261" t="str">
        <f ca="1">IF(ISERROR(MATCH(W105,'技能'!$H$4:$H$31,0)),"",INDIRECT(ADDRESS(3+MATCH(W105,'技能'!$H$4:$H$31,0),13,4,TRUE,"技能"))&amp;IF(ISERROR(MATCH(W105,'技能'!$H$4:$H$31,0)),"",IF(INDIRECT(ADDRESS(3+MATCH(W105,'技能'!$H$4:$H$31,0),15,4,TRUE,"技能"))="","","(+2)")))</f>
        <v>2</v>
      </c>
      <c r="AM105" s="261"/>
      <c r="AN105" s="261"/>
      <c r="AO105" s="261"/>
      <c r="AP105" s="71"/>
      <c r="AQ105" s="256" t="str">
        <f>IF('技能'!H40="","",'技能'!H40)</f>
        <v>地元のジャンク置き場</v>
      </c>
      <c r="AR105" s="256"/>
      <c r="AS105" s="256"/>
      <c r="AT105" s="256"/>
      <c r="AU105" s="256"/>
      <c r="AV105" s="256"/>
      <c r="AW105" s="256">
        <f>IF('技能'!O40="","",'技能'!O40)</f>
      </c>
      <c r="AX105" s="256"/>
      <c r="AY105" s="256"/>
      <c r="AZ105" s="256"/>
      <c r="BA105" s="256"/>
      <c r="BB105" s="71"/>
      <c r="BC105" s="261" t="e">
        <f>IF('技能'!S40="","",'技能'!S40)</f>
        <v>#N/A</v>
      </c>
      <c r="BD105" s="261"/>
      <c r="BE105" s="261"/>
      <c r="BF105" s="261"/>
      <c r="BG105" s="71"/>
      <c r="BH105" s="261" t="str">
        <f>IF('技能'!M40="","",'技能'!M40)&amp;IF(AW105="","","(+2)")</f>
        <v>3</v>
      </c>
      <c r="BI105" s="261"/>
      <c r="BJ105" s="261"/>
      <c r="BK105" s="261"/>
    </row>
    <row r="106" spans="1:63" ht="6.75" customHeight="1">
      <c r="A106" s="270" t="s">
        <v>278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55">
        <f ca="1">IF(ISERROR(MATCH(A106,'技能'!$H$4:$H$31,0)),"",IF(INDIRECT(ADDRESS(3+MATCH(A106,'技能'!$H$4:$H$31,0),15,4,TRUE,"技能"))="","","("&amp;INDIRECT(ADDRESS(3+MATCH(A106,'技能'!$H$4:$H$31,0),15,4,TRUE,"技能"))&amp;")"))</f>
      </c>
      <c r="L106" s="255"/>
      <c r="M106" s="255"/>
      <c r="N106" s="255"/>
      <c r="O106" s="255"/>
      <c r="P106" s="73"/>
      <c r="Q106" s="256">
        <f ca="1">IF(ISERROR(MATCH(A106,'技能'!$H$4:$H$31,0)),"",INDIRECT(ADDRESS(3+MATCH(A106,'技能'!$H$4:$H$31,0),13,4,TRUE,"技能"))&amp;IF(ISERROR(MATCH(A106,'技能'!$H$4:$H$31,0)),"",IF(INDIRECT(ADDRESS(3+MATCH(A106,'技能'!$H$4:$H$31,0),15,4,TRUE,"技能"))="","","(+2)")))</f>
      </c>
      <c r="R106" s="256"/>
      <c r="S106" s="256"/>
      <c r="T106" s="256"/>
      <c r="U106" s="71"/>
      <c r="V106" s="283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55"/>
      <c r="AG106" s="255"/>
      <c r="AH106" s="255"/>
      <c r="AI106" s="255"/>
      <c r="AJ106" s="255"/>
      <c r="AK106" s="73"/>
      <c r="AL106" s="261"/>
      <c r="AM106" s="261"/>
      <c r="AN106" s="261"/>
      <c r="AO106" s="261"/>
      <c r="AP106" s="71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71"/>
      <c r="BC106" s="261"/>
      <c r="BD106" s="261"/>
      <c r="BE106" s="261"/>
      <c r="BF106" s="261"/>
      <c r="BG106" s="71"/>
      <c r="BH106" s="261"/>
      <c r="BI106" s="261"/>
      <c r="BJ106" s="261"/>
      <c r="BK106" s="261"/>
    </row>
    <row r="107" spans="1:63" ht="6.75" customHeight="1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255"/>
      <c r="L107" s="255"/>
      <c r="M107" s="255"/>
      <c r="N107" s="255"/>
      <c r="O107" s="255"/>
      <c r="P107" s="73"/>
      <c r="Q107" s="256"/>
      <c r="R107" s="256"/>
      <c r="S107" s="256"/>
      <c r="T107" s="256"/>
      <c r="U107" s="71"/>
      <c r="V107" s="277"/>
      <c r="W107" s="255" t="s">
        <v>279</v>
      </c>
      <c r="X107" s="255"/>
      <c r="Y107" s="255"/>
      <c r="Z107" s="255"/>
      <c r="AA107" s="255"/>
      <c r="AB107" s="255"/>
      <c r="AC107" s="255"/>
      <c r="AD107" s="255"/>
      <c r="AE107" s="255"/>
      <c r="AF107" s="255">
        <f ca="1">IF(ISERROR(MATCH(W107,'技能'!$H$4:$H$31,0)),"",IF(INDIRECT(ADDRESS(3+MATCH(W107,'技能'!$H$4:$H$31,0),15,4,TRUE,"技能"))="","","("&amp;INDIRECT(ADDRESS(3+MATCH(W107,'技能'!$H$4:$H$31,0),15,4,TRUE,"技能"))&amp;")"))</f>
      </c>
      <c r="AG107" s="255"/>
      <c r="AH107" s="255"/>
      <c r="AI107" s="255"/>
      <c r="AJ107" s="255"/>
      <c r="AK107" s="73"/>
      <c r="AL107" s="264">
        <f ca="1">IF(ISERROR(MATCH(W107,'技能'!$H$4:$H$31,0)),"",INDIRECT(ADDRESS(3+MATCH(W107,'技能'!$H$4:$H$31,0),13,4,TRUE,"技能"))&amp;IF(ISERROR(MATCH(W107,'技能'!$H$4:$H$31,0)),"",IF(INDIRECT(ADDRESS(3+MATCH(W107,'技能'!$H$4:$H$31,0),15,4,TRUE,"技能"))="","","(+2)")))</f>
      </c>
      <c r="AM107" s="264"/>
      <c r="AN107" s="264"/>
      <c r="AO107" s="264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</row>
    <row r="108" spans="1:63" ht="6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3"/>
      <c r="Q108" s="73"/>
      <c r="R108" s="73"/>
      <c r="S108" s="73"/>
      <c r="T108" s="73"/>
      <c r="U108" s="71"/>
      <c r="V108" s="277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73"/>
      <c r="AL108" s="264"/>
      <c r="AM108" s="264"/>
      <c r="AN108" s="264"/>
      <c r="AO108" s="264"/>
      <c r="AP108" s="71"/>
      <c r="AQ108" s="284" t="s">
        <v>280</v>
      </c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</row>
    <row r="109" spans="1:63" ht="6.75" customHeight="1">
      <c r="A109" s="258" t="s">
        <v>281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9" t="str">
        <f>Main!F26&amp;IF(Main!M26=Main!F26,"","("&amp;Main!M26&amp;")")</f>
        <v>2</v>
      </c>
      <c r="Q109" s="259"/>
      <c r="R109" s="259"/>
      <c r="S109" s="259"/>
      <c r="T109" s="259"/>
      <c r="U109" s="71"/>
      <c r="V109" s="285" t="s">
        <v>224</v>
      </c>
      <c r="W109" s="285"/>
      <c r="X109" s="285"/>
      <c r="Y109" s="286" t="s">
        <v>82</v>
      </c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73"/>
      <c r="AL109" s="256">
        <f>IF('技能'!D9="","",'技能'!D9)</f>
      </c>
      <c r="AM109" s="256"/>
      <c r="AN109" s="256"/>
      <c r="AO109" s="256"/>
      <c r="AP109" s="71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</row>
    <row r="110" spans="1:63" ht="6.75" customHeight="1">
      <c r="A110" s="258"/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9"/>
      <c r="Q110" s="259"/>
      <c r="R110" s="259"/>
      <c r="S110" s="259"/>
      <c r="T110" s="259"/>
      <c r="U110" s="71"/>
      <c r="V110" s="285"/>
      <c r="W110" s="285"/>
      <c r="X110" s="285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73"/>
      <c r="AL110" s="256"/>
      <c r="AM110" s="256"/>
      <c r="AN110" s="256"/>
      <c r="AO110" s="256"/>
      <c r="AP110" s="71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</row>
    <row r="111" spans="1:63" ht="6.75" customHeight="1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9"/>
      <c r="Q111" s="259"/>
      <c r="R111" s="259"/>
      <c r="S111" s="259"/>
      <c r="T111" s="259"/>
      <c r="U111" s="71"/>
      <c r="V111" s="274"/>
      <c r="W111" s="263" t="s">
        <v>282</v>
      </c>
      <c r="X111" s="263"/>
      <c r="Y111" s="263"/>
      <c r="Z111" s="263"/>
      <c r="AA111" s="263"/>
      <c r="AB111" s="263"/>
      <c r="AC111" s="263"/>
      <c r="AD111" s="263"/>
      <c r="AE111" s="263"/>
      <c r="AF111" s="255">
        <f ca="1">IF(ISERROR(MATCH(W111,'技能'!$H$4:$H$31,0)),"",IF(INDIRECT(ADDRESS(3+MATCH(W111,'技能'!$H$4:$H$31,0),15,4,TRUE,"技能"))="","","("&amp;INDIRECT(ADDRESS(3+MATCH(W111,'技能'!$H$4:$H$31,0),15,4,TRUE,"技能"))&amp;")"))</f>
      </c>
      <c r="AG111" s="255"/>
      <c r="AH111" s="255"/>
      <c r="AI111" s="255"/>
      <c r="AJ111" s="255"/>
      <c r="AK111" s="73"/>
      <c r="AL111" s="261">
        <f ca="1">IF(ISERROR(MATCH(W111,'技能'!$H$4:$H$31,0)),"",INDIRECT(ADDRESS(3+MATCH(W111,'技能'!$H$4:$H$31,0),13,4,TRUE,"技能"))&amp;IF(ISERROR(MATCH(W111,'技能'!$H$4:$H$31,0)),"",IF(INDIRECT(ADDRESS(3+MATCH(W111,'技能'!$H$4:$H$31,0),15,4,TRUE,"技能"))="","","(+2)")))</f>
      </c>
      <c r="AM111" s="261"/>
      <c r="AN111" s="261"/>
      <c r="AO111" s="261"/>
      <c r="AP111" s="71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</row>
    <row r="112" spans="1:63" ht="6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5"/>
      <c r="Q112" s="75"/>
      <c r="R112" s="75"/>
      <c r="S112" s="75"/>
      <c r="T112" s="75"/>
      <c r="U112" s="71"/>
      <c r="V112" s="274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55"/>
      <c r="AG112" s="255"/>
      <c r="AH112" s="255"/>
      <c r="AI112" s="255"/>
      <c r="AJ112" s="255"/>
      <c r="AK112" s="73"/>
      <c r="AL112" s="261"/>
      <c r="AM112" s="261"/>
      <c r="AN112" s="261"/>
      <c r="AO112" s="26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</row>
    <row r="113" spans="1:63" ht="6.75" customHeight="1">
      <c r="A113" s="265" t="s">
        <v>224</v>
      </c>
      <c r="B113" s="265"/>
      <c r="C113" s="265"/>
      <c r="D113" s="266" t="s">
        <v>71</v>
      </c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73"/>
      <c r="Q113" s="264">
        <f>IF('技能'!D5="","",'技能'!D5)</f>
      </c>
      <c r="R113" s="264"/>
      <c r="S113" s="264"/>
      <c r="T113" s="264"/>
      <c r="U113" s="71"/>
      <c r="V113" s="287"/>
      <c r="W113" s="255" t="s">
        <v>283</v>
      </c>
      <c r="X113" s="255"/>
      <c r="Y113" s="255"/>
      <c r="Z113" s="255"/>
      <c r="AA113" s="255"/>
      <c r="AB113" s="255"/>
      <c r="AC113" s="255"/>
      <c r="AD113" s="255"/>
      <c r="AE113" s="255"/>
      <c r="AF113" s="255">
        <f ca="1">IF(ISERROR(MATCH(W113,'技能'!$H$4:$H$31,0)),"",IF(INDIRECT(ADDRESS(3+MATCH(W113,'技能'!$H$4:$H$31,0),15,4,TRUE,"技能"))="","","("&amp;INDIRECT(ADDRESS(3+MATCH(W113,'技能'!$H$4:$H$31,0),15,4,TRUE,"技能"))&amp;")"))</f>
      </c>
      <c r="AG113" s="255"/>
      <c r="AH113" s="255"/>
      <c r="AI113" s="255"/>
      <c r="AJ113" s="255"/>
      <c r="AK113" s="73"/>
      <c r="AL113" s="256">
        <f ca="1">IF(ISERROR(MATCH(W113,'技能'!$H$4:$H$31,0)),"",INDIRECT(ADDRESS(3+MATCH(W113,'技能'!$H$4:$H$31,0),13,4,TRUE,"技能"))&amp;IF(ISERROR(MATCH(W113,'技能'!$H$4:$H$31,0)),"",IF(INDIRECT(ADDRESS(3+MATCH(W113,'技能'!$H$4:$H$31,0),15,4,TRUE,"技能"))="","","(+2)")))</f>
      </c>
      <c r="AM113" s="256"/>
      <c r="AN113" s="256"/>
      <c r="AO113" s="256"/>
      <c r="AP113" s="71"/>
      <c r="AQ113" s="258" t="s">
        <v>284</v>
      </c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88"/>
      <c r="BG113" s="288"/>
      <c r="BH113" s="289" t="s">
        <v>285</v>
      </c>
      <c r="BI113" s="289"/>
      <c r="BJ113" s="260" t="str">
        <f>Main!F31&amp;IF(Main!M31=Main!F31,"","("&amp;Main!M31&amp;")")</f>
        <v>4</v>
      </c>
      <c r="BK113" s="260"/>
    </row>
    <row r="114" spans="1:63" ht="6.75" customHeight="1">
      <c r="A114" s="265"/>
      <c r="B114" s="265"/>
      <c r="C114" s="265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73"/>
      <c r="Q114" s="264"/>
      <c r="R114" s="264"/>
      <c r="S114" s="264"/>
      <c r="T114" s="264"/>
      <c r="U114" s="71"/>
      <c r="V114" s="287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73"/>
      <c r="AL114" s="256"/>
      <c r="AM114" s="256"/>
      <c r="AN114" s="256"/>
      <c r="AO114" s="256"/>
      <c r="AP114" s="71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88"/>
      <c r="BG114" s="288"/>
      <c r="BH114" s="289"/>
      <c r="BI114" s="289"/>
      <c r="BJ114" s="260"/>
      <c r="BK114" s="260"/>
    </row>
    <row r="115" spans="1:63" ht="6.75" customHeight="1">
      <c r="A115" s="267"/>
      <c r="B115" s="263" t="s">
        <v>195</v>
      </c>
      <c r="C115" s="263"/>
      <c r="D115" s="263"/>
      <c r="E115" s="263"/>
      <c r="F115" s="263"/>
      <c r="G115" s="263"/>
      <c r="H115" s="263"/>
      <c r="I115" s="263"/>
      <c r="J115" s="263"/>
      <c r="K115" s="255">
        <f ca="1">IF(ISERROR(MATCH(B115,'技能'!$H$4:$H$31,0)),"",IF(INDIRECT(ADDRESS(3+MATCH(B115,'技能'!$H$4:$H$31,0),15,4,TRUE,"技能"))="","","("&amp;INDIRECT(ADDRESS(3+MATCH(B115,'技能'!$H$4:$H$31,0),15,4,TRUE,"技能"))&amp;")"))</f>
      </c>
      <c r="L115" s="255"/>
      <c r="M115" s="255"/>
      <c r="N115" s="255"/>
      <c r="O115" s="255"/>
      <c r="P115" s="73"/>
      <c r="Q115" s="256">
        <f ca="1">IF(ISERROR(MATCH(B115,'技能'!$H$4:$H$31,0)),"",INDIRECT(ADDRESS(3+MATCH(B115,'技能'!$H$4:$H$31,0),13,4,TRUE,"技能"))&amp;IF(ISERROR(MATCH(B115,'技能'!$H$4:$H$31,0)),"",IF(INDIRECT(ADDRESS(3+MATCH(B115,'技能'!$H$4:$H$31,0),15,4,TRUE,"技能"))="","","(+2)")))</f>
      </c>
      <c r="R115" s="256"/>
      <c r="S115" s="256"/>
      <c r="T115" s="256"/>
      <c r="U115" s="71"/>
      <c r="V115" s="287"/>
      <c r="W115" s="255" t="s">
        <v>286</v>
      </c>
      <c r="X115" s="255"/>
      <c r="Y115" s="255"/>
      <c r="Z115" s="255"/>
      <c r="AA115" s="255"/>
      <c r="AB115" s="255"/>
      <c r="AC115" s="255"/>
      <c r="AD115" s="255"/>
      <c r="AE115" s="255"/>
      <c r="AF115" s="255">
        <f ca="1">IF(ISERROR(MATCH(W115,'技能'!$H$4:$H$31,0)),"",IF(INDIRECT(ADDRESS(3+MATCH(W115,'技能'!$H$4:$H$31,0),15,4,TRUE,"技能"))="","","("&amp;INDIRECT(ADDRESS(3+MATCH(W115,'技能'!$H$4:$H$31,0),15,4,TRUE,"技能"))&amp;")"))</f>
      </c>
      <c r="AG115" s="255"/>
      <c r="AH115" s="255"/>
      <c r="AI115" s="255"/>
      <c r="AJ115" s="255"/>
      <c r="AK115" s="73"/>
      <c r="AL115" s="256">
        <f ca="1">IF(ISERROR(MATCH(W115,'技能'!$H$4:$H$31,0)),"",INDIRECT(ADDRESS(3+MATCH(W115,'技能'!$H$4:$H$31,0),13,4,TRUE,"技能"))&amp;IF(ISERROR(MATCH(W115,'技能'!$H$4:$H$31,0)),"",IF(INDIRECT(ADDRESS(3+MATCH(W115,'技能'!$H$4:$H$31,0),15,4,TRUE,"技能"))="","","(+2)")))</f>
      </c>
      <c r="AM115" s="256"/>
      <c r="AN115" s="256"/>
      <c r="AO115" s="256"/>
      <c r="AP115" s="71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88"/>
      <c r="BG115" s="288"/>
      <c r="BH115" s="289"/>
      <c r="BI115" s="289"/>
      <c r="BJ115" s="260"/>
      <c r="BK115" s="260"/>
    </row>
    <row r="116" spans="1:63" ht="6.75" customHeight="1">
      <c r="A116" s="267"/>
      <c r="B116" s="263"/>
      <c r="C116" s="263"/>
      <c r="D116" s="263"/>
      <c r="E116" s="263"/>
      <c r="F116" s="263"/>
      <c r="G116" s="263"/>
      <c r="H116" s="263"/>
      <c r="I116" s="263"/>
      <c r="J116" s="263"/>
      <c r="K116" s="255"/>
      <c r="L116" s="255"/>
      <c r="M116" s="255"/>
      <c r="N116" s="255"/>
      <c r="O116" s="255"/>
      <c r="P116" s="73"/>
      <c r="Q116" s="256"/>
      <c r="R116" s="256"/>
      <c r="S116" s="256"/>
      <c r="T116" s="256"/>
      <c r="U116" s="71"/>
      <c r="V116" s="287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73"/>
      <c r="AL116" s="256"/>
      <c r="AM116" s="256"/>
      <c r="AN116" s="256"/>
      <c r="AO116" s="256"/>
      <c r="AP116" s="71"/>
      <c r="AQ116" s="258"/>
      <c r="AR116" s="258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88"/>
      <c r="BG116" s="288"/>
      <c r="BH116" s="289"/>
      <c r="BI116" s="289"/>
      <c r="BJ116" s="260"/>
      <c r="BK116" s="260"/>
    </row>
    <row r="117" spans="1:63" ht="6.75" customHeight="1">
      <c r="A117" s="267"/>
      <c r="B117" s="255" t="s">
        <v>287</v>
      </c>
      <c r="C117" s="255"/>
      <c r="D117" s="255"/>
      <c r="E117" s="255"/>
      <c r="F117" s="255"/>
      <c r="G117" s="255"/>
      <c r="H117" s="255"/>
      <c r="I117" s="255"/>
      <c r="J117" s="255"/>
      <c r="K117" s="255">
        <f ca="1">IF(ISERROR(MATCH("体術",'技能'!$H$4:$H$31,0)),"",IF(INDIRECT(ADDRESS(3+MATCH("体術",'技能'!$H$4:$H$31,0),15,4,TRUE,"技能"))="","","("&amp;INDIRECT(ADDRESS(3+MATCH("体術",'技能'!$H$4:$H$31,0),15,4,TRUE,"技能"))&amp;")"))</f>
      </c>
      <c r="L117" s="255"/>
      <c r="M117" s="255"/>
      <c r="N117" s="255"/>
      <c r="O117" s="255"/>
      <c r="P117" s="73"/>
      <c r="Q117" s="256">
        <f ca="1">IF(ISERROR(MATCH("体術",'技能'!$H$4:$H$31,0)),"",INDIRECT(ADDRESS(3+MATCH("体術",'技能'!$H$4:$H$31,0),13,4,TRUE,"技能"))&amp;IF(ISERROR(MATCH("体術",'技能'!$H$4:$H$31,0)),"",IF(INDIRECT(ADDRESS(3+MATCH("体術",'技能'!$H$4:$H$31,0),15,4,TRUE,"技能"))="","","(+2)")))</f>
      </c>
      <c r="R117" s="256"/>
      <c r="S117" s="256"/>
      <c r="T117" s="256"/>
      <c r="U117" s="71"/>
      <c r="V117" s="285" t="s">
        <v>224</v>
      </c>
      <c r="W117" s="285"/>
      <c r="X117" s="285"/>
      <c r="Y117" s="286" t="s">
        <v>92</v>
      </c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73"/>
      <c r="AL117" s="261">
        <f>IF('技能'!D14="","",'技能'!D14)</f>
      </c>
      <c r="AM117" s="261"/>
      <c r="AN117" s="261"/>
      <c r="AO117" s="261"/>
      <c r="AP117" s="71"/>
      <c r="AQ117" s="258" t="s">
        <v>58</v>
      </c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9">
        <f>Main!F33</f>
        <v>6</v>
      </c>
      <c r="BG117" s="259"/>
      <c r="BH117" s="259"/>
      <c r="BI117" s="259"/>
      <c r="BJ117" s="259"/>
      <c r="BK117" s="259"/>
    </row>
    <row r="118" spans="1:63" ht="6.75" customHeight="1">
      <c r="A118" s="267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73"/>
      <c r="Q118" s="256"/>
      <c r="R118" s="256"/>
      <c r="S118" s="256"/>
      <c r="T118" s="256"/>
      <c r="U118" s="71"/>
      <c r="V118" s="285"/>
      <c r="W118" s="285"/>
      <c r="X118" s="285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73"/>
      <c r="AL118" s="261"/>
      <c r="AM118" s="261"/>
      <c r="AN118" s="261"/>
      <c r="AO118" s="261"/>
      <c r="AP118" s="71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9"/>
      <c r="BG118" s="259"/>
      <c r="BH118" s="259"/>
      <c r="BI118" s="259"/>
      <c r="BJ118" s="259"/>
      <c r="BK118" s="259"/>
    </row>
    <row r="119" spans="1:63" ht="6.75" customHeight="1">
      <c r="A119" s="278"/>
      <c r="B119" s="255" t="s">
        <v>288</v>
      </c>
      <c r="C119" s="255"/>
      <c r="D119" s="255"/>
      <c r="E119" s="255"/>
      <c r="F119" s="255"/>
      <c r="G119" s="255"/>
      <c r="H119" s="255"/>
      <c r="I119" s="255"/>
      <c r="J119" s="255"/>
      <c r="K119" s="255">
        <f ca="1">IF(ISERROR(MATCH(B119,'技能'!$H$4:$H$31,0)),"",IF(INDIRECT(ADDRESS(3+MATCH(B119,'技能'!$H$4:$H$31,0),15,4,TRUE,"技能"))="","","("&amp;INDIRECT(ADDRESS(3+MATCH(B119,'技能'!$H$4:$H$31,0),15,4,TRUE,"技能"))&amp;")"))</f>
      </c>
      <c r="L119" s="255"/>
      <c r="M119" s="255"/>
      <c r="N119" s="255"/>
      <c r="O119" s="255"/>
      <c r="P119" s="73"/>
      <c r="Q119" s="256">
        <f ca="1">IF(ISERROR(MATCH(B119,'技能'!$H$4:$H$31,0)),"",INDIRECT(ADDRESS(3+MATCH(B119,'技能'!$H$4:$H$31,0),13,4,TRUE,"技能"))&amp;IF(ISERROR(MATCH(B119,'技能'!$H$4:$H$31,0)),"",IF(INDIRECT(ADDRESS(3+MATCH(B119,'技能'!$H$4:$H$31,0),15,4,TRUE,"技能"))="","","(+2)")))</f>
      </c>
      <c r="R119" s="256"/>
      <c r="S119" s="256"/>
      <c r="T119" s="256"/>
      <c r="U119" s="71"/>
      <c r="V119" s="287"/>
      <c r="W119" s="263" t="s">
        <v>289</v>
      </c>
      <c r="X119" s="263"/>
      <c r="Y119" s="263"/>
      <c r="Z119" s="263"/>
      <c r="AA119" s="263"/>
      <c r="AB119" s="263"/>
      <c r="AC119" s="263"/>
      <c r="AD119" s="263"/>
      <c r="AE119" s="263"/>
      <c r="AF119" s="255">
        <f ca="1">IF(ISERROR(MATCH(W119,'技能'!$H$4:$H$31,0)),"",IF(INDIRECT(ADDRESS(3+MATCH(W119,'技能'!$H$4:$H$31,0),15,4,TRUE,"技能"))="","","("&amp;INDIRECT(ADDRESS(3+MATCH(W119,'技能'!$H$4:$H$31,0),15,4,TRUE,"技能"))&amp;")"))</f>
      </c>
      <c r="AG119" s="255"/>
      <c r="AH119" s="255"/>
      <c r="AI119" s="255"/>
      <c r="AJ119" s="255"/>
      <c r="AK119" s="73"/>
      <c r="AL119" s="264">
        <f ca="1">IF(ISERROR(MATCH(W119,'技能'!$H$4:$H$31,0)),"",INDIRECT(ADDRESS(3+MATCH(W119,'技能'!$H$4:$H$31,0),13,4,TRUE,"技能"))&amp;IF(ISERROR(MATCH(W119,'技能'!$H$4:$H$31,0)),"",IF(INDIRECT(ADDRESS(3+MATCH(W119,'技能'!$H$4:$H$31,0),15,4,TRUE,"技能"))="","","(+2)")))</f>
      </c>
      <c r="AM119" s="264"/>
      <c r="AN119" s="264"/>
      <c r="AO119" s="264"/>
      <c r="AP119" s="71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9"/>
      <c r="BG119" s="259"/>
      <c r="BH119" s="259"/>
      <c r="BI119" s="259"/>
      <c r="BJ119" s="259"/>
      <c r="BK119" s="259"/>
    </row>
    <row r="120" spans="1:63" ht="6.75" customHeight="1">
      <c r="A120" s="278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73"/>
      <c r="Q120" s="256"/>
      <c r="R120" s="256"/>
      <c r="S120" s="256"/>
      <c r="T120" s="256"/>
      <c r="U120" s="71"/>
      <c r="V120" s="287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55"/>
      <c r="AG120" s="255"/>
      <c r="AH120" s="255"/>
      <c r="AI120" s="255"/>
      <c r="AJ120" s="255"/>
      <c r="AK120" s="73"/>
      <c r="AL120" s="264"/>
      <c r="AM120" s="264"/>
      <c r="AN120" s="264"/>
      <c r="AO120" s="264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</row>
    <row r="121" spans="1:63" ht="6.75" customHeight="1">
      <c r="A121" s="267"/>
      <c r="B121" s="255" t="s">
        <v>290</v>
      </c>
      <c r="C121" s="255"/>
      <c r="D121" s="255"/>
      <c r="E121" s="255"/>
      <c r="F121" s="255"/>
      <c r="G121" s="255"/>
      <c r="H121" s="255"/>
      <c r="I121" s="255"/>
      <c r="J121" s="255"/>
      <c r="K121" s="255">
        <f ca="1">IF(ISERROR(MATCH(B121,'技能'!$H$4:$H$31,0)),"",IF(INDIRECT(ADDRESS(3+MATCH(B121,'技能'!$H$4:$H$31,0),15,4,TRUE,"技能"))="","","("&amp;INDIRECT(ADDRESS(3+MATCH(B121,'技能'!$H$4:$H$31,0),15,4,TRUE,"技能"))&amp;")"))</f>
      </c>
      <c r="L121" s="255"/>
      <c r="M121" s="255"/>
      <c r="N121" s="255"/>
      <c r="O121" s="255"/>
      <c r="P121" s="73"/>
      <c r="Q121" s="256">
        <f ca="1">IF(ISERROR(MATCH(B121,'技能'!$H$4:$H$31,0)),"",INDIRECT(ADDRESS(3+MATCH(B121,'技能'!$H$4:$H$31,0),13,4,TRUE,"技能"))&amp;IF(ISERROR(MATCH(B121,'技能'!$H$4:$H$31,0)),"",IF(INDIRECT(ADDRESS(3+MATCH(B121,'技能'!$H$4:$H$31,0),15,4,TRUE,"技能"))="","","(+2)")))</f>
      </c>
      <c r="R121" s="256"/>
      <c r="S121" s="256"/>
      <c r="T121" s="256"/>
      <c r="U121" s="71"/>
      <c r="V121" s="274"/>
      <c r="W121" s="255" t="s">
        <v>291</v>
      </c>
      <c r="X121" s="255"/>
      <c r="Y121" s="255"/>
      <c r="Z121" s="255"/>
      <c r="AA121" s="255"/>
      <c r="AB121" s="255"/>
      <c r="AC121" s="255"/>
      <c r="AD121" s="255"/>
      <c r="AE121" s="255"/>
      <c r="AF121" s="255">
        <f ca="1">IF(ISERROR(MATCH(W121,'技能'!$H$4:$H$31,0)),"",IF(INDIRECT(ADDRESS(3+MATCH(W121,'技能'!$H$4:$H$31,0),15,4,TRUE,"技能"))="","","("&amp;INDIRECT(ADDRESS(3+MATCH(W121,'技能'!$H$4:$H$31,0),15,4,TRUE,"技能"))&amp;")"))</f>
      </c>
      <c r="AG121" s="255"/>
      <c r="AH121" s="255"/>
      <c r="AI121" s="255"/>
      <c r="AJ121" s="255"/>
      <c r="AK121" s="73"/>
      <c r="AL121" s="276">
        <f ca="1">IF(ISERROR(MATCH(W121,'技能'!$H$4:$H$31,0)),"",INDIRECT(ADDRESS(3+MATCH(W121,'技能'!$H$4:$H$31,0),13,4,TRUE,"技能"))&amp;IF(ISERROR(MATCH(W121,'技能'!$H$4:$H$31,0)),"",IF(INDIRECT(ADDRESS(3+MATCH(W121,'技能'!$H$4:$H$31,0),15,4,TRUE,"技能"))="","","(+2)")))</f>
      </c>
      <c r="AM121" s="276"/>
      <c r="AN121" s="276"/>
      <c r="AO121" s="276"/>
      <c r="AP121" s="71"/>
      <c r="AQ121" s="290" t="s">
        <v>292</v>
      </c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290"/>
      <c r="BH121" s="290"/>
      <c r="BI121" s="290"/>
      <c r="BJ121" s="290"/>
      <c r="BK121" s="290"/>
    </row>
    <row r="122" spans="1:63" ht="6.75" customHeight="1">
      <c r="A122" s="267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73"/>
      <c r="Q122" s="256"/>
      <c r="R122" s="256"/>
      <c r="S122" s="256"/>
      <c r="T122" s="256"/>
      <c r="U122" s="71"/>
      <c r="V122" s="274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73"/>
      <c r="AL122" s="276"/>
      <c r="AM122" s="276"/>
      <c r="AN122" s="276"/>
      <c r="AO122" s="276"/>
      <c r="AP122" s="71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  <c r="BG122" s="290"/>
      <c r="BH122" s="290"/>
      <c r="BI122" s="290"/>
      <c r="BJ122" s="290"/>
      <c r="BK122" s="290"/>
    </row>
    <row r="123" spans="1:63" ht="6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291"/>
      <c r="W123" s="255" t="s">
        <v>293</v>
      </c>
      <c r="X123" s="255"/>
      <c r="Y123" s="255"/>
      <c r="Z123" s="255"/>
      <c r="AA123" s="255"/>
      <c r="AB123" s="255"/>
      <c r="AC123" s="255"/>
      <c r="AD123" s="255"/>
      <c r="AE123" s="255"/>
      <c r="AF123" s="255">
        <f ca="1">IF(ISERROR(MATCH(W123,'技能'!$H$4:$H$31,0)),"",IF(INDIRECT(ADDRESS(3+MATCH(W123,'技能'!$H$4:$H$31,0),15,4,TRUE,"技能"))="","","("&amp;INDIRECT(ADDRESS(3+MATCH(W123,'技能'!$H$4:$H$31,0),15,4,TRUE,"技能"))&amp;")"))</f>
      </c>
      <c r="AG123" s="255"/>
      <c r="AH123" s="255"/>
      <c r="AI123" s="255"/>
      <c r="AJ123" s="255"/>
      <c r="AK123" s="73"/>
      <c r="AL123" s="256" t="str">
        <f ca="1">IF(ISERROR(MATCH(W123,'技能'!$H$4:$H$31,0)),"",INDIRECT(ADDRESS(3+MATCH(W123,'技能'!$H$4:$H$31,0),13,4,TRUE,"技能"))&amp;IF(ISERROR(MATCH(W123,'技能'!$H$4:$H$31,0)),"",IF(INDIRECT(ADDRESS(3+MATCH(W123,'技能'!$H$4:$H$31,0),15,4,TRUE,"技能"))="","","(+2)")))</f>
        <v>2</v>
      </c>
      <c r="AM123" s="256"/>
      <c r="AN123" s="256"/>
      <c r="AO123" s="256"/>
      <c r="AP123" s="71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0"/>
      <c r="BB123" s="290"/>
      <c r="BC123" s="290"/>
      <c r="BD123" s="290"/>
      <c r="BE123" s="290"/>
      <c r="BF123" s="290"/>
      <c r="BG123" s="290"/>
      <c r="BH123" s="290"/>
      <c r="BI123" s="290"/>
      <c r="BJ123" s="290"/>
      <c r="BK123" s="290"/>
    </row>
    <row r="124" spans="1:63" ht="6.75" customHeight="1">
      <c r="A124" s="80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2"/>
      <c r="U124" s="71"/>
      <c r="V124" s="291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73"/>
      <c r="AL124" s="256"/>
      <c r="AM124" s="256"/>
      <c r="AN124" s="256"/>
      <c r="AO124" s="256"/>
      <c r="AP124" s="71"/>
      <c r="AQ124" s="292" t="s">
        <v>294</v>
      </c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3" t="str">
        <f>Main!F34&amp;IF(Main!M34=Main!F34,"","("&amp;Main!M34&amp;")")</f>
        <v>8</v>
      </c>
      <c r="BF124" s="293"/>
      <c r="BG124" s="293"/>
      <c r="BH124" s="293"/>
      <c r="BI124" s="294">
        <f>1+サイバーウェア!AB57+'魔術'!AF23</f>
        <v>1</v>
      </c>
      <c r="BJ124" s="294"/>
      <c r="BK124" s="294"/>
    </row>
    <row r="125" spans="1:63" ht="6.75" customHeight="1">
      <c r="A125" s="83"/>
      <c r="B125" s="295" t="s">
        <v>224</v>
      </c>
      <c r="C125" s="295"/>
      <c r="D125" s="295"/>
      <c r="E125" s="296" t="s">
        <v>295</v>
      </c>
      <c r="F125" s="84"/>
      <c r="G125" s="297" t="s">
        <v>63</v>
      </c>
      <c r="H125" s="297"/>
      <c r="I125" s="297"/>
      <c r="J125" s="297"/>
      <c r="K125" s="297"/>
      <c r="L125" s="297"/>
      <c r="M125" s="297"/>
      <c r="N125" s="297"/>
      <c r="O125" s="297"/>
      <c r="P125" s="297"/>
      <c r="Q125" s="297"/>
      <c r="R125" s="297"/>
      <c r="S125" s="297"/>
      <c r="T125" s="85"/>
      <c r="U125" s="71"/>
      <c r="V125" s="287"/>
      <c r="W125" s="255" t="s">
        <v>296</v>
      </c>
      <c r="X125" s="255"/>
      <c r="Y125" s="255"/>
      <c r="Z125" s="255"/>
      <c r="AA125" s="255"/>
      <c r="AB125" s="255"/>
      <c r="AC125" s="255"/>
      <c r="AD125" s="255"/>
      <c r="AE125" s="255"/>
      <c r="AF125" s="255">
        <f ca="1">IF(ISERROR(MATCH(W125,'技能'!$H$4:$H$31,0)),"",IF(INDIRECT(ADDRESS(3+MATCH(W125,'技能'!$H$4:$H$31,0),15,4,TRUE,"技能"))="","","("&amp;INDIRECT(ADDRESS(3+MATCH(W125,'技能'!$H$4:$H$31,0),15,4,TRUE,"技能"))&amp;")"))</f>
      </c>
      <c r="AG125" s="255"/>
      <c r="AH125" s="255"/>
      <c r="AI125" s="255"/>
      <c r="AJ125" s="255"/>
      <c r="AK125" s="73"/>
      <c r="AL125" s="256" t="str">
        <f ca="1">IF(ISERROR(MATCH(W123,'技能'!$H$4:$H$31,0)),"",INDIRECT(ADDRESS(3+MATCH(W123,'技能'!$H$4:$H$31,0),13,4,TRUE,"技能"))&amp;IF(ISERROR(MATCH(W123,'技能'!$H$4:$H$31,0)),"",IF(INDIRECT(ADDRESS(3+MATCH(W123,'技能'!$H$4:$H$31,0),15,4,TRUE,"技能"))="","","(+2)")))</f>
        <v>2</v>
      </c>
      <c r="AM125" s="256"/>
      <c r="AN125" s="256"/>
      <c r="AO125" s="256"/>
      <c r="AP125" s="71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3"/>
      <c r="BF125" s="293"/>
      <c r="BG125" s="293"/>
      <c r="BH125" s="293"/>
      <c r="BI125" s="294"/>
      <c r="BJ125" s="294"/>
      <c r="BK125" s="294"/>
    </row>
    <row r="126" spans="1:63" ht="6.75" customHeight="1">
      <c r="A126" s="83"/>
      <c r="B126" s="295"/>
      <c r="C126" s="295"/>
      <c r="D126" s="295"/>
      <c r="E126" s="296"/>
      <c r="F126" s="84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85"/>
      <c r="U126" s="71"/>
      <c r="V126" s="287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73"/>
      <c r="AL126" s="256"/>
      <c r="AM126" s="256"/>
      <c r="AN126" s="256"/>
      <c r="AO126" s="256"/>
      <c r="AP126" s="71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3"/>
      <c r="BF126" s="293"/>
      <c r="BG126" s="293"/>
      <c r="BH126" s="293"/>
      <c r="BI126" s="294"/>
      <c r="BJ126" s="294"/>
      <c r="BK126" s="294"/>
    </row>
    <row r="127" spans="1:63" ht="6.75" customHeight="1">
      <c r="A127" s="83"/>
      <c r="B127" s="296" t="s">
        <v>297</v>
      </c>
      <c r="C127" s="296"/>
      <c r="D127" s="296"/>
      <c r="E127" s="296" t="s">
        <v>295</v>
      </c>
      <c r="F127" s="84"/>
      <c r="G127" s="297" t="s">
        <v>298</v>
      </c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85"/>
      <c r="U127" s="71"/>
      <c r="V127" s="270" t="s">
        <v>299</v>
      </c>
      <c r="W127" s="270"/>
      <c r="X127" s="270"/>
      <c r="Y127" s="270"/>
      <c r="Z127" s="270"/>
      <c r="AA127" s="270"/>
      <c r="AB127" s="270"/>
      <c r="AC127" s="270"/>
      <c r="AD127" s="270"/>
      <c r="AE127" s="270"/>
      <c r="AF127" s="255">
        <f ca="1">IF(ISERROR(MATCH(V127,'技能'!$H$4:$H$31,0)),"",IF(INDIRECT(ADDRESS(3+MATCH(V127,'技能'!$H$4:$H$31,0),15,4,TRUE,"技能"))="","","("&amp;INDIRECT(ADDRESS(3+MATCH(V127,'技能'!$H$4:$H$31,0),15,4,TRUE,"技能"))&amp;")"))</f>
      </c>
      <c r="AG127" s="255"/>
      <c r="AH127" s="255"/>
      <c r="AI127" s="255"/>
      <c r="AJ127" s="255"/>
      <c r="AK127" s="73"/>
      <c r="AL127" s="256">
        <f ca="1">IF(ISERROR(MATCH(V127,'技能'!$H$4:$H$31,0)),"",INDIRECT(ADDRESS(3+MATCH(V127,'技能'!$H$4:$H$31,0),13,4,TRUE,"技能"))&amp;IF(ISERROR(MATCH(V127,'技能'!$H$4:$H$31,0)),"",IF(INDIRECT(ADDRESS(3+MATCH(V127,'技能'!$H$4:$H$31,0),15,4,TRUE,"技能"))="","","(+2)")))</f>
      </c>
      <c r="AM127" s="256"/>
      <c r="AN127" s="256"/>
      <c r="AO127" s="256"/>
      <c r="AP127" s="71"/>
      <c r="AQ127" s="298" t="s">
        <v>300</v>
      </c>
      <c r="AR127" s="298"/>
      <c r="AS127" s="298"/>
      <c r="AT127" s="298"/>
      <c r="AU127" s="298"/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9">
        <f>Main!M28*2</f>
        <v>8</v>
      </c>
      <c r="BF127" s="299"/>
      <c r="BG127" s="299"/>
      <c r="BH127" s="299"/>
      <c r="BI127" s="294">
        <v>3</v>
      </c>
      <c r="BJ127" s="294"/>
      <c r="BK127" s="294"/>
    </row>
    <row r="128" spans="1:63" ht="6.75" customHeight="1">
      <c r="A128" s="83"/>
      <c r="B128" s="296"/>
      <c r="C128" s="296"/>
      <c r="D128" s="296"/>
      <c r="E128" s="296"/>
      <c r="F128" s="84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85"/>
      <c r="U128" s="71"/>
      <c r="V128" s="270"/>
      <c r="W128" s="270"/>
      <c r="X128" s="270"/>
      <c r="Y128" s="270"/>
      <c r="Z128" s="270"/>
      <c r="AA128" s="270"/>
      <c r="AB128" s="270"/>
      <c r="AC128" s="270"/>
      <c r="AD128" s="270"/>
      <c r="AE128" s="270"/>
      <c r="AF128" s="255"/>
      <c r="AG128" s="255"/>
      <c r="AH128" s="255"/>
      <c r="AI128" s="255"/>
      <c r="AJ128" s="255"/>
      <c r="AK128" s="73"/>
      <c r="AL128" s="256"/>
      <c r="AM128" s="256"/>
      <c r="AN128" s="256"/>
      <c r="AO128" s="256"/>
      <c r="AP128" s="71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9"/>
      <c r="BF128" s="299"/>
      <c r="BG128" s="299"/>
      <c r="BH128" s="299"/>
      <c r="BI128" s="294"/>
      <c r="BJ128" s="294"/>
      <c r="BK128" s="294"/>
    </row>
    <row r="129" spans="1:63" ht="6.75" customHeight="1">
      <c r="A129" s="83"/>
      <c r="B129" s="296" t="s">
        <v>301</v>
      </c>
      <c r="C129" s="296"/>
      <c r="D129" s="296"/>
      <c r="E129" s="296" t="s">
        <v>295</v>
      </c>
      <c r="F129" s="84"/>
      <c r="G129" s="297" t="s">
        <v>302</v>
      </c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85"/>
      <c r="U129" s="71"/>
      <c r="V129" s="270" t="s">
        <v>303</v>
      </c>
      <c r="W129" s="270"/>
      <c r="X129" s="270"/>
      <c r="Y129" s="270"/>
      <c r="Z129" s="270"/>
      <c r="AA129" s="270"/>
      <c r="AB129" s="270"/>
      <c r="AC129" s="270"/>
      <c r="AD129" s="270"/>
      <c r="AE129" s="270"/>
      <c r="AF129" s="255">
        <f ca="1">IF(ISERROR(MATCH(V129,'技能'!$H$4:$H$31,0)),"",IF(INDIRECT(ADDRESS(3+MATCH(V129,'技能'!$H$4:$H$31,0),15,4,TRUE,"技能"))="","","("&amp;INDIRECT(ADDRESS(3+MATCH(V129,'技能'!$H$4:$H$31,0),15,4,TRUE,"技能"))&amp;")"))</f>
      </c>
      <c r="AG129" s="255"/>
      <c r="AH129" s="255"/>
      <c r="AI129" s="255"/>
      <c r="AJ129" s="255"/>
      <c r="AK129" s="73"/>
      <c r="AL129" s="256">
        <f ca="1">IF(ISERROR(MATCH(V129,'技能'!$H$4:$H$31,0)),"",INDIRECT(ADDRESS(3+MATCH(V129,'技能'!$H$4:$H$31,0),13,4,TRUE,"技能"))&amp;IF(ISERROR(MATCH(V129,'技能'!$H$4:$H$31,0)),"",IF(INDIRECT(ADDRESS(3+MATCH(V129,'技能'!$H$4:$H$31,0),15,4,TRUE,"技能"))="","","(+2)")))</f>
      </c>
      <c r="AM129" s="256"/>
      <c r="AN129" s="256"/>
      <c r="AO129" s="256"/>
      <c r="AP129" s="71"/>
      <c r="AQ129" s="298"/>
      <c r="AR129" s="298"/>
      <c r="AS129" s="298"/>
      <c r="AT129" s="298"/>
      <c r="AU129" s="298"/>
      <c r="AV129" s="298"/>
      <c r="AW129" s="298"/>
      <c r="AX129" s="298"/>
      <c r="AY129" s="298"/>
      <c r="AZ129" s="298"/>
      <c r="BA129" s="298"/>
      <c r="BB129" s="298"/>
      <c r="BC129" s="298"/>
      <c r="BD129" s="298"/>
      <c r="BE129" s="299"/>
      <c r="BF129" s="299"/>
      <c r="BG129" s="299"/>
      <c r="BH129" s="299"/>
      <c r="BI129" s="294"/>
      <c r="BJ129" s="294"/>
      <c r="BK129" s="294"/>
    </row>
    <row r="130" spans="1:63" ht="6.75" customHeight="1">
      <c r="A130" s="83"/>
      <c r="B130" s="296"/>
      <c r="C130" s="296"/>
      <c r="D130" s="296"/>
      <c r="E130" s="296"/>
      <c r="F130" s="84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85"/>
      <c r="U130" s="71"/>
      <c r="V130" s="270"/>
      <c r="W130" s="270"/>
      <c r="X130" s="270"/>
      <c r="Y130" s="270"/>
      <c r="Z130" s="270"/>
      <c r="AA130" s="270"/>
      <c r="AB130" s="270"/>
      <c r="AC130" s="270"/>
      <c r="AD130" s="270"/>
      <c r="AE130" s="270"/>
      <c r="AF130" s="255"/>
      <c r="AG130" s="255"/>
      <c r="AH130" s="255"/>
      <c r="AI130" s="255"/>
      <c r="AJ130" s="255"/>
      <c r="AK130" s="73"/>
      <c r="AL130" s="256"/>
      <c r="AM130" s="256"/>
      <c r="AN130" s="256"/>
      <c r="AO130" s="256"/>
      <c r="AP130" s="71"/>
      <c r="AQ130" s="300" t="s">
        <v>304</v>
      </c>
      <c r="AR130" s="300"/>
      <c r="AS130" s="300"/>
      <c r="AT130" s="300"/>
      <c r="AU130" s="300"/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1"/>
      <c r="BF130" s="301"/>
      <c r="BG130" s="301"/>
      <c r="BH130" s="301"/>
      <c r="BI130" s="302"/>
      <c r="BJ130" s="302"/>
      <c r="BK130" s="302"/>
    </row>
    <row r="131" spans="1:63" ht="6.75" customHeight="1">
      <c r="A131" s="83"/>
      <c r="B131" s="296" t="s">
        <v>305</v>
      </c>
      <c r="C131" s="296"/>
      <c r="D131" s="296"/>
      <c r="E131" s="296" t="s">
        <v>295</v>
      </c>
      <c r="F131" s="84"/>
      <c r="G131" s="297" t="s">
        <v>306</v>
      </c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  <c r="T131" s="85"/>
      <c r="U131" s="71"/>
      <c r="V131" s="270" t="s">
        <v>307</v>
      </c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55">
        <f ca="1">IF(ISERROR(MATCH(V131,'技能'!$H$4:$H$31,0)),"",IF(INDIRECT(ADDRESS(3+MATCH(V131,'技能'!$H$4:$H$31,0),15,4,TRUE,"技能"))="","","("&amp;INDIRECT(ADDRESS(3+MATCH(V131,'技能'!$H$4:$H$31,0),15,4,TRUE,"技能"))&amp;")"))</f>
      </c>
      <c r="AG131" s="255"/>
      <c r="AH131" s="255"/>
      <c r="AI131" s="255"/>
      <c r="AJ131" s="255"/>
      <c r="AK131" s="73"/>
      <c r="AL131" s="256">
        <f ca="1">IF(ISERROR(MATCH(V131,'技能'!$H$4:$H$31,0)),"",INDIRECT(ADDRESS(3+MATCH(V131,'技能'!$H$4:$H$31,0),13,4,TRUE,"技能"))&amp;IF(ISERROR(MATCH(V131,'技能'!$H$4:$H$31,0)),"",IF(INDIRECT(ADDRESS(3+MATCH(V131,'技能'!$H$4:$H$31,0),15,4,TRUE,"技能"))="","","(+2)")))</f>
      </c>
      <c r="AM131" s="256"/>
      <c r="AN131" s="256"/>
      <c r="AO131" s="256"/>
      <c r="AP131" s="71"/>
      <c r="AQ131" s="300"/>
      <c r="AR131" s="300"/>
      <c r="AS131" s="300"/>
      <c r="AT131" s="300"/>
      <c r="AU131" s="300"/>
      <c r="AV131" s="300"/>
      <c r="AW131" s="300"/>
      <c r="AX131" s="300"/>
      <c r="AY131" s="300"/>
      <c r="AZ131" s="300"/>
      <c r="BA131" s="300"/>
      <c r="BB131" s="300"/>
      <c r="BC131" s="300"/>
      <c r="BD131" s="300"/>
      <c r="BE131" s="301"/>
      <c r="BF131" s="301"/>
      <c r="BG131" s="301"/>
      <c r="BH131" s="301"/>
      <c r="BI131" s="302"/>
      <c r="BJ131" s="302"/>
      <c r="BK131" s="302"/>
    </row>
    <row r="132" spans="1:63" ht="6.75" customHeight="1">
      <c r="A132" s="83"/>
      <c r="B132" s="296"/>
      <c r="C132" s="296"/>
      <c r="D132" s="296"/>
      <c r="E132" s="296"/>
      <c r="F132" s="84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85"/>
      <c r="U132" s="71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55"/>
      <c r="AG132" s="255"/>
      <c r="AH132" s="255"/>
      <c r="AI132" s="255"/>
      <c r="AJ132" s="255"/>
      <c r="AK132" s="73"/>
      <c r="AL132" s="256"/>
      <c r="AM132" s="256"/>
      <c r="AN132" s="256"/>
      <c r="AO132" s="256"/>
      <c r="AP132" s="71"/>
      <c r="AQ132" s="300"/>
      <c r="AR132" s="300"/>
      <c r="AS132" s="300"/>
      <c r="AT132" s="300"/>
      <c r="AU132" s="300"/>
      <c r="AV132" s="300"/>
      <c r="AW132" s="300"/>
      <c r="AX132" s="300"/>
      <c r="AY132" s="300"/>
      <c r="AZ132" s="300"/>
      <c r="BA132" s="300"/>
      <c r="BB132" s="300"/>
      <c r="BC132" s="300"/>
      <c r="BD132" s="300"/>
      <c r="BE132" s="301"/>
      <c r="BF132" s="301"/>
      <c r="BG132" s="301"/>
      <c r="BH132" s="301"/>
      <c r="BI132" s="302"/>
      <c r="BJ132" s="302"/>
      <c r="BK132" s="302"/>
    </row>
    <row r="133" spans="1:63" ht="6.75" customHeight="1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8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</row>
  </sheetData>
  <mergeCells count="520">
    <mergeCell ref="AL131:AO132"/>
    <mergeCell ref="B131:D132"/>
    <mergeCell ref="E131:E132"/>
    <mergeCell ref="G131:S132"/>
    <mergeCell ref="V131:AE132"/>
    <mergeCell ref="B129:D130"/>
    <mergeCell ref="E129:E130"/>
    <mergeCell ref="G129:S130"/>
    <mergeCell ref="V129:AE130"/>
    <mergeCell ref="AF125:AJ126"/>
    <mergeCell ref="AQ127:BD129"/>
    <mergeCell ref="BE127:BH129"/>
    <mergeCell ref="BI127:BK129"/>
    <mergeCell ref="AF129:AJ130"/>
    <mergeCell ref="AL129:AO130"/>
    <mergeCell ref="AQ130:BD132"/>
    <mergeCell ref="BE130:BH132"/>
    <mergeCell ref="BI130:BK132"/>
    <mergeCell ref="AF131:AJ132"/>
    <mergeCell ref="AL125:AO126"/>
    <mergeCell ref="AF127:AJ128"/>
    <mergeCell ref="AL127:AO128"/>
    <mergeCell ref="B125:D126"/>
    <mergeCell ref="E125:E126"/>
    <mergeCell ref="G125:S126"/>
    <mergeCell ref="B127:D128"/>
    <mergeCell ref="E127:E128"/>
    <mergeCell ref="G127:S128"/>
    <mergeCell ref="V127:AE128"/>
    <mergeCell ref="V125:V126"/>
    <mergeCell ref="AQ121:BK123"/>
    <mergeCell ref="V123:V124"/>
    <mergeCell ref="W123:AE124"/>
    <mergeCell ref="AF123:AJ124"/>
    <mergeCell ref="AL123:AO124"/>
    <mergeCell ref="AQ124:BD126"/>
    <mergeCell ref="BE124:BH126"/>
    <mergeCell ref="BI124:BK126"/>
    <mergeCell ref="W125:AE126"/>
    <mergeCell ref="AL121:AO122"/>
    <mergeCell ref="A121:A122"/>
    <mergeCell ref="B121:J122"/>
    <mergeCell ref="K121:O122"/>
    <mergeCell ref="Q121:T122"/>
    <mergeCell ref="V121:V122"/>
    <mergeCell ref="W121:AE122"/>
    <mergeCell ref="AF121:AJ122"/>
    <mergeCell ref="BF117:BK119"/>
    <mergeCell ref="A119:A120"/>
    <mergeCell ref="B119:J120"/>
    <mergeCell ref="K119:O120"/>
    <mergeCell ref="Q119:T120"/>
    <mergeCell ref="V119:V120"/>
    <mergeCell ref="W119:AE120"/>
    <mergeCell ref="AF119:AJ120"/>
    <mergeCell ref="AL119:AO120"/>
    <mergeCell ref="V117:X118"/>
    <mergeCell ref="Y117:AJ118"/>
    <mergeCell ref="AL117:AO118"/>
    <mergeCell ref="AQ117:BE119"/>
    <mergeCell ref="A117:A118"/>
    <mergeCell ref="B117:J118"/>
    <mergeCell ref="K117:O118"/>
    <mergeCell ref="Q117:T118"/>
    <mergeCell ref="BF113:BG116"/>
    <mergeCell ref="BH113:BI116"/>
    <mergeCell ref="BJ113:BK116"/>
    <mergeCell ref="A115:A116"/>
    <mergeCell ref="B115:J116"/>
    <mergeCell ref="K115:O116"/>
    <mergeCell ref="Q115:T116"/>
    <mergeCell ref="V115:V116"/>
    <mergeCell ref="W115:AE116"/>
    <mergeCell ref="AF115:AJ116"/>
    <mergeCell ref="W113:AE114"/>
    <mergeCell ref="AF113:AJ114"/>
    <mergeCell ref="AL113:AO114"/>
    <mergeCell ref="AQ113:BE116"/>
    <mergeCell ref="AL115:AO116"/>
    <mergeCell ref="A113:C114"/>
    <mergeCell ref="D113:O114"/>
    <mergeCell ref="Q113:T114"/>
    <mergeCell ref="V113:V114"/>
    <mergeCell ref="AQ108:BK111"/>
    <mergeCell ref="A109:O111"/>
    <mergeCell ref="P109:T111"/>
    <mergeCell ref="V109:X110"/>
    <mergeCell ref="Y109:AJ110"/>
    <mergeCell ref="AL109:AO110"/>
    <mergeCell ref="V111:V112"/>
    <mergeCell ref="W111:AE112"/>
    <mergeCell ref="AF111:AJ112"/>
    <mergeCell ref="AL111:AO112"/>
    <mergeCell ref="AW105:BA106"/>
    <mergeCell ref="BC105:BF106"/>
    <mergeCell ref="BH105:BK106"/>
    <mergeCell ref="A106:J107"/>
    <mergeCell ref="K106:O107"/>
    <mergeCell ref="Q106:T107"/>
    <mergeCell ref="V107:V108"/>
    <mergeCell ref="W107:AE108"/>
    <mergeCell ref="AF107:AJ108"/>
    <mergeCell ref="AL107:AO108"/>
    <mergeCell ref="W105:AE106"/>
    <mergeCell ref="AF105:AJ106"/>
    <mergeCell ref="AL105:AO106"/>
    <mergeCell ref="AQ105:AV106"/>
    <mergeCell ref="A104:J105"/>
    <mergeCell ref="K104:O105"/>
    <mergeCell ref="Q104:T105"/>
    <mergeCell ref="V105:V106"/>
    <mergeCell ref="AQ103:AV104"/>
    <mergeCell ref="AW103:BA104"/>
    <mergeCell ref="BC103:BF104"/>
    <mergeCell ref="BH103:BK104"/>
    <mergeCell ref="AW101:BA102"/>
    <mergeCell ref="BC101:BF102"/>
    <mergeCell ref="BH101:BK102"/>
    <mergeCell ref="A102:J103"/>
    <mergeCell ref="K102:O103"/>
    <mergeCell ref="Q102:T103"/>
    <mergeCell ref="V103:V104"/>
    <mergeCell ref="W103:AE104"/>
    <mergeCell ref="AF103:AJ104"/>
    <mergeCell ref="AL103:AO104"/>
    <mergeCell ref="BC99:BF100"/>
    <mergeCell ref="BH99:BK100"/>
    <mergeCell ref="A100:J101"/>
    <mergeCell ref="K100:O101"/>
    <mergeCell ref="Q100:T101"/>
    <mergeCell ref="V101:V102"/>
    <mergeCell ref="W101:AE102"/>
    <mergeCell ref="AF101:AJ102"/>
    <mergeCell ref="AL101:AO102"/>
    <mergeCell ref="AQ101:AV102"/>
    <mergeCell ref="Y99:AJ100"/>
    <mergeCell ref="AL99:AO100"/>
    <mergeCell ref="AQ99:AV100"/>
    <mergeCell ref="AW99:BA100"/>
    <mergeCell ref="A98:J99"/>
    <mergeCell ref="K98:O99"/>
    <mergeCell ref="Q98:T99"/>
    <mergeCell ref="V99:X100"/>
    <mergeCell ref="AQ97:AV98"/>
    <mergeCell ref="AW97:BA98"/>
    <mergeCell ref="BC97:BF98"/>
    <mergeCell ref="BH97:BK98"/>
    <mergeCell ref="AW95:BA96"/>
    <mergeCell ref="BC95:BF96"/>
    <mergeCell ref="BH95:BK96"/>
    <mergeCell ref="A96:J97"/>
    <mergeCell ref="K96:O97"/>
    <mergeCell ref="Q96:T97"/>
    <mergeCell ref="V97:V98"/>
    <mergeCell ref="W97:AE98"/>
    <mergeCell ref="AF97:AJ98"/>
    <mergeCell ref="AL97:AO98"/>
    <mergeCell ref="W95:AE96"/>
    <mergeCell ref="AF95:AJ96"/>
    <mergeCell ref="AL95:AO96"/>
    <mergeCell ref="AQ95:AV96"/>
    <mergeCell ref="A94:J95"/>
    <mergeCell ref="K94:O95"/>
    <mergeCell ref="Q94:T95"/>
    <mergeCell ref="V95:V96"/>
    <mergeCell ref="V93:V94"/>
    <mergeCell ref="AQ93:AV94"/>
    <mergeCell ref="AW93:BA94"/>
    <mergeCell ref="BC93:BF94"/>
    <mergeCell ref="BH93:BK94"/>
    <mergeCell ref="W93:AE94"/>
    <mergeCell ref="AF93:AJ94"/>
    <mergeCell ref="AL93:AO94"/>
    <mergeCell ref="AL91:AO92"/>
    <mergeCell ref="AQ91:BA92"/>
    <mergeCell ref="BC91:BF92"/>
    <mergeCell ref="BH91:BK92"/>
    <mergeCell ref="A90:O92"/>
    <mergeCell ref="P90:T92"/>
    <mergeCell ref="V91:X92"/>
    <mergeCell ref="Y91:AJ92"/>
    <mergeCell ref="BC87:BF88"/>
    <mergeCell ref="BH87:BK88"/>
    <mergeCell ref="V88:AJ90"/>
    <mergeCell ref="AK88:AO90"/>
    <mergeCell ref="AQ89:BA90"/>
    <mergeCell ref="BC89:BF90"/>
    <mergeCell ref="BH89:BK90"/>
    <mergeCell ref="A87:J88"/>
    <mergeCell ref="K87:O88"/>
    <mergeCell ref="Q87:T88"/>
    <mergeCell ref="AQ87:BA88"/>
    <mergeCell ref="BH83:BK84"/>
    <mergeCell ref="A85:J86"/>
    <mergeCell ref="K85:O86"/>
    <mergeCell ref="Q85:T86"/>
    <mergeCell ref="V85:AE86"/>
    <mergeCell ref="AF85:AJ86"/>
    <mergeCell ref="AL85:AO86"/>
    <mergeCell ref="AQ85:BA86"/>
    <mergeCell ref="BC85:BF86"/>
    <mergeCell ref="BH85:BK86"/>
    <mergeCell ref="AF83:AJ84"/>
    <mergeCell ref="AL83:AO84"/>
    <mergeCell ref="AQ83:BA84"/>
    <mergeCell ref="BC83:BF84"/>
    <mergeCell ref="A83:J84"/>
    <mergeCell ref="K83:O84"/>
    <mergeCell ref="Q83:T84"/>
    <mergeCell ref="V83:AE84"/>
    <mergeCell ref="A81:J82"/>
    <mergeCell ref="K81:O82"/>
    <mergeCell ref="Q81:T82"/>
    <mergeCell ref="V81:AE82"/>
    <mergeCell ref="W79:AE80"/>
    <mergeCell ref="AF79:AJ80"/>
    <mergeCell ref="AL79:AO80"/>
    <mergeCell ref="AQ80:BK82"/>
    <mergeCell ref="AF81:AJ82"/>
    <mergeCell ref="AL81:AO82"/>
    <mergeCell ref="A79:J80"/>
    <mergeCell ref="K79:O80"/>
    <mergeCell ref="Q79:T80"/>
    <mergeCell ref="V79:V80"/>
    <mergeCell ref="AQ77:AQ78"/>
    <mergeCell ref="AR77:AZ78"/>
    <mergeCell ref="BA77:BE78"/>
    <mergeCell ref="BG77:BJ78"/>
    <mergeCell ref="AR75:AZ76"/>
    <mergeCell ref="BA75:BE76"/>
    <mergeCell ref="BG75:BJ76"/>
    <mergeCell ref="A77:J78"/>
    <mergeCell ref="K77:O78"/>
    <mergeCell ref="Q77:T78"/>
    <mergeCell ref="V77:V78"/>
    <mergeCell ref="W77:AE78"/>
    <mergeCell ref="AF77:AJ78"/>
    <mergeCell ref="AL77:AO78"/>
    <mergeCell ref="BA73:BE74"/>
    <mergeCell ref="BG73:BJ74"/>
    <mergeCell ref="A75:J76"/>
    <mergeCell ref="K75:O76"/>
    <mergeCell ref="Q75:T76"/>
    <mergeCell ref="V75:V76"/>
    <mergeCell ref="W75:AE76"/>
    <mergeCell ref="AF75:AJ76"/>
    <mergeCell ref="AL75:AO76"/>
    <mergeCell ref="AQ75:AQ76"/>
    <mergeCell ref="AT71:BE72"/>
    <mergeCell ref="BG71:BJ72"/>
    <mergeCell ref="A73:J74"/>
    <mergeCell ref="K73:O74"/>
    <mergeCell ref="Q73:T74"/>
    <mergeCell ref="V73:X74"/>
    <mergeCell ref="Y73:AJ74"/>
    <mergeCell ref="AL73:AO74"/>
    <mergeCell ref="AQ73:AQ74"/>
    <mergeCell ref="AR73:AZ74"/>
    <mergeCell ref="W71:AE72"/>
    <mergeCell ref="AF71:AJ72"/>
    <mergeCell ref="AL71:AO72"/>
    <mergeCell ref="AQ71:AS72"/>
    <mergeCell ref="A71:J72"/>
    <mergeCell ref="K71:O72"/>
    <mergeCell ref="Q71:T72"/>
    <mergeCell ref="V71:V72"/>
    <mergeCell ref="AL69:AO70"/>
    <mergeCell ref="AQ69:AZ70"/>
    <mergeCell ref="BA69:BE70"/>
    <mergeCell ref="BG69:BJ70"/>
    <mergeCell ref="AR67:AZ68"/>
    <mergeCell ref="BA67:BE68"/>
    <mergeCell ref="BG67:BJ68"/>
    <mergeCell ref="A69:A70"/>
    <mergeCell ref="B69:J70"/>
    <mergeCell ref="K69:O70"/>
    <mergeCell ref="Q69:T70"/>
    <mergeCell ref="V69:V70"/>
    <mergeCell ref="W69:AE70"/>
    <mergeCell ref="AF69:AJ70"/>
    <mergeCell ref="BG65:BJ66"/>
    <mergeCell ref="A67:A68"/>
    <mergeCell ref="B67:J68"/>
    <mergeCell ref="K67:O68"/>
    <mergeCell ref="Q67:T68"/>
    <mergeCell ref="V67:V68"/>
    <mergeCell ref="W67:AE68"/>
    <mergeCell ref="AF67:AJ68"/>
    <mergeCell ref="AL67:AO68"/>
    <mergeCell ref="AQ67:AQ68"/>
    <mergeCell ref="AL65:AO66"/>
    <mergeCell ref="AQ65:AQ66"/>
    <mergeCell ref="AR65:AZ66"/>
    <mergeCell ref="BA65:BE66"/>
    <mergeCell ref="AR63:AZ64"/>
    <mergeCell ref="BA63:BE64"/>
    <mergeCell ref="BG63:BJ64"/>
    <mergeCell ref="A65:A66"/>
    <mergeCell ref="B65:J66"/>
    <mergeCell ref="K65:O66"/>
    <mergeCell ref="Q65:T66"/>
    <mergeCell ref="V65:V66"/>
    <mergeCell ref="W65:AE66"/>
    <mergeCell ref="AF65:AJ66"/>
    <mergeCell ref="V63:X64"/>
    <mergeCell ref="Y63:AJ64"/>
    <mergeCell ref="AL63:AO64"/>
    <mergeCell ref="AQ63:AQ64"/>
    <mergeCell ref="A63:C64"/>
    <mergeCell ref="D63:J64"/>
    <mergeCell ref="K63:O64"/>
    <mergeCell ref="Q63:T64"/>
    <mergeCell ref="BG59:BJ60"/>
    <mergeCell ref="V60:AJ62"/>
    <mergeCell ref="AK60:AO62"/>
    <mergeCell ref="A61:A62"/>
    <mergeCell ref="B61:J62"/>
    <mergeCell ref="K61:O62"/>
    <mergeCell ref="Q61:T62"/>
    <mergeCell ref="AQ61:AS62"/>
    <mergeCell ref="AT61:BE62"/>
    <mergeCell ref="BG61:BJ62"/>
    <mergeCell ref="AR57:AZ58"/>
    <mergeCell ref="BA57:BE58"/>
    <mergeCell ref="BG57:BJ58"/>
    <mergeCell ref="A59:A60"/>
    <mergeCell ref="B59:J60"/>
    <mergeCell ref="K59:O60"/>
    <mergeCell ref="Q59:T60"/>
    <mergeCell ref="AQ59:AQ60"/>
    <mergeCell ref="AR59:AZ60"/>
    <mergeCell ref="BA59:BE60"/>
    <mergeCell ref="BA55:BE56"/>
    <mergeCell ref="BG55:BJ56"/>
    <mergeCell ref="A57:A58"/>
    <mergeCell ref="B57:J58"/>
    <mergeCell ref="K57:O58"/>
    <mergeCell ref="Q57:T58"/>
    <mergeCell ref="V57:AE58"/>
    <mergeCell ref="AF57:AJ58"/>
    <mergeCell ref="AL57:AO58"/>
    <mergeCell ref="AQ57:AQ58"/>
    <mergeCell ref="AF55:AJ56"/>
    <mergeCell ref="AL55:AO56"/>
    <mergeCell ref="AQ55:AQ56"/>
    <mergeCell ref="AR55:AZ56"/>
    <mergeCell ref="A55:C56"/>
    <mergeCell ref="D55:O56"/>
    <mergeCell ref="Q55:T56"/>
    <mergeCell ref="V55:AE56"/>
    <mergeCell ref="AL53:AO54"/>
    <mergeCell ref="AQ53:AS54"/>
    <mergeCell ref="AT53:BE54"/>
    <mergeCell ref="BG53:BJ54"/>
    <mergeCell ref="BF49:BK51"/>
    <mergeCell ref="A51:O53"/>
    <mergeCell ref="P51:T53"/>
    <mergeCell ref="V51:V52"/>
    <mergeCell ref="W51:AE52"/>
    <mergeCell ref="AF51:AJ52"/>
    <mergeCell ref="AL51:AO52"/>
    <mergeCell ref="V53:V54"/>
    <mergeCell ref="W53:AE54"/>
    <mergeCell ref="AF53:AJ54"/>
    <mergeCell ref="W49:AE50"/>
    <mergeCell ref="AF49:AJ50"/>
    <mergeCell ref="AL49:AO50"/>
    <mergeCell ref="AQ49:BE51"/>
    <mergeCell ref="A48:J49"/>
    <mergeCell ref="K48:O49"/>
    <mergeCell ref="Q48:T49"/>
    <mergeCell ref="V49:V50"/>
    <mergeCell ref="AQ46:AZ47"/>
    <mergeCell ref="BA46:BE47"/>
    <mergeCell ref="BG46:BJ47"/>
    <mergeCell ref="V47:V48"/>
    <mergeCell ref="W47:AE48"/>
    <mergeCell ref="AF47:AJ48"/>
    <mergeCell ref="AL47:AO48"/>
    <mergeCell ref="V45:X46"/>
    <mergeCell ref="Y45:AJ46"/>
    <mergeCell ref="AL45:AO46"/>
    <mergeCell ref="A46:J47"/>
    <mergeCell ref="K46:O47"/>
    <mergeCell ref="Q46:T47"/>
    <mergeCell ref="A39:BK41"/>
    <mergeCell ref="A42:O44"/>
    <mergeCell ref="P42:T44"/>
    <mergeCell ref="V42:AJ44"/>
    <mergeCell ref="AK42:AO44"/>
    <mergeCell ref="AQ42:BE44"/>
    <mergeCell ref="BF42:BK44"/>
    <mergeCell ref="Q34:X37"/>
    <mergeCell ref="Z34:AH35"/>
    <mergeCell ref="AI34:BK35"/>
    <mergeCell ref="J36:K37"/>
    <mergeCell ref="L36:M37"/>
    <mergeCell ref="N36:O37"/>
    <mergeCell ref="Z36:AH37"/>
    <mergeCell ref="AI36:BK37"/>
    <mergeCell ref="A34:I37"/>
    <mergeCell ref="J34:K35"/>
    <mergeCell ref="L34:M35"/>
    <mergeCell ref="N34:O35"/>
    <mergeCell ref="T32:U33"/>
    <mergeCell ref="V32:W33"/>
    <mergeCell ref="Z32:AH33"/>
    <mergeCell ref="AI32:BK33"/>
    <mergeCell ref="V30:W31"/>
    <mergeCell ref="Z30:AH31"/>
    <mergeCell ref="AI30:BK31"/>
    <mergeCell ref="B32:C33"/>
    <mergeCell ref="D32:E33"/>
    <mergeCell ref="F32:G33"/>
    <mergeCell ref="J32:K33"/>
    <mergeCell ref="L32:M33"/>
    <mergeCell ref="N32:O33"/>
    <mergeCell ref="R32:S33"/>
    <mergeCell ref="L30:M31"/>
    <mergeCell ref="N30:O31"/>
    <mergeCell ref="R30:S31"/>
    <mergeCell ref="T30:U31"/>
    <mergeCell ref="B30:C31"/>
    <mergeCell ref="D30:E31"/>
    <mergeCell ref="F30:G31"/>
    <mergeCell ref="J30:K31"/>
    <mergeCell ref="T28:U29"/>
    <mergeCell ref="V28:W29"/>
    <mergeCell ref="Z28:AH29"/>
    <mergeCell ref="AI28:BK29"/>
    <mergeCell ref="V26:W27"/>
    <mergeCell ref="Z26:AH27"/>
    <mergeCell ref="AI26:BK27"/>
    <mergeCell ref="B28:C29"/>
    <mergeCell ref="D28:E29"/>
    <mergeCell ref="F28:G29"/>
    <mergeCell ref="J28:K29"/>
    <mergeCell ref="L28:M29"/>
    <mergeCell ref="N28:O29"/>
    <mergeCell ref="R28:S29"/>
    <mergeCell ref="L26:M27"/>
    <mergeCell ref="N26:O27"/>
    <mergeCell ref="R26:S27"/>
    <mergeCell ref="T26:U27"/>
    <mergeCell ref="B26:C27"/>
    <mergeCell ref="D26:E27"/>
    <mergeCell ref="F26:G27"/>
    <mergeCell ref="J26:K27"/>
    <mergeCell ref="T24:U25"/>
    <mergeCell ref="V24:W25"/>
    <mergeCell ref="Z24:AH25"/>
    <mergeCell ref="AI24:BK25"/>
    <mergeCell ref="V22:W23"/>
    <mergeCell ref="Z22:AH23"/>
    <mergeCell ref="AI22:BK23"/>
    <mergeCell ref="B24:C25"/>
    <mergeCell ref="D24:E25"/>
    <mergeCell ref="F24:G25"/>
    <mergeCell ref="J24:K25"/>
    <mergeCell ref="L24:M25"/>
    <mergeCell ref="N24:O25"/>
    <mergeCell ref="R24:S25"/>
    <mergeCell ref="L22:M23"/>
    <mergeCell ref="N22:O23"/>
    <mergeCell ref="R22:S23"/>
    <mergeCell ref="T22:U23"/>
    <mergeCell ref="B22:C23"/>
    <mergeCell ref="D22:E23"/>
    <mergeCell ref="F22:G23"/>
    <mergeCell ref="J22:K23"/>
    <mergeCell ref="A16:X17"/>
    <mergeCell ref="Z16:BK17"/>
    <mergeCell ref="A18:H21"/>
    <mergeCell ref="I18:P21"/>
    <mergeCell ref="Q18:X21"/>
    <mergeCell ref="Z18:AH19"/>
    <mergeCell ref="AI18:BK19"/>
    <mergeCell ref="Z20:AH21"/>
    <mergeCell ref="AI20:BK21"/>
    <mergeCell ref="AJ11:AO13"/>
    <mergeCell ref="AP11:AR13"/>
    <mergeCell ref="AT11:AW13"/>
    <mergeCell ref="AX11:BJ13"/>
    <mergeCell ref="P11:U13"/>
    <mergeCell ref="V11:X13"/>
    <mergeCell ref="Z11:AE13"/>
    <mergeCell ref="AF11:AH13"/>
    <mergeCell ref="B11:D13"/>
    <mergeCell ref="E11:G13"/>
    <mergeCell ref="I11:K13"/>
    <mergeCell ref="L11:N13"/>
    <mergeCell ref="AW8:AZ10"/>
    <mergeCell ref="BA8:BA10"/>
    <mergeCell ref="BC8:BF10"/>
    <mergeCell ref="BG8:BJ10"/>
    <mergeCell ref="AH8:AI10"/>
    <mergeCell ref="AK8:AN10"/>
    <mergeCell ref="AO8:AQ10"/>
    <mergeCell ref="AS8:AV10"/>
    <mergeCell ref="P8:R10"/>
    <mergeCell ref="S8:U10"/>
    <mergeCell ref="W8:AC10"/>
    <mergeCell ref="AD8:AG10"/>
    <mergeCell ref="B8:D10"/>
    <mergeCell ref="E8:G10"/>
    <mergeCell ref="I8:K10"/>
    <mergeCell ref="L8:N10"/>
    <mergeCell ref="A3:BK4"/>
    <mergeCell ref="B5:G7"/>
    <mergeCell ref="H5:AH7"/>
    <mergeCell ref="AJ5:AL7"/>
    <mergeCell ref="AM5:AU7"/>
    <mergeCell ref="AW5:AY7"/>
    <mergeCell ref="AZ5:BB7"/>
    <mergeCell ref="BD5:BF7"/>
    <mergeCell ref="BG5:BJ7"/>
    <mergeCell ref="A1:Y2"/>
    <mergeCell ref="Z1:AD2"/>
    <mergeCell ref="AE1:AN2"/>
    <mergeCell ref="AP1:BK2"/>
  </mergeCells>
  <printOptions/>
  <pageMargins left="0" right="0" top="0" bottom="0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3"/>
  <sheetViews>
    <sheetView workbookViewId="0" topLeftCell="A1">
      <selection activeCell="A1" sqref="A1"/>
    </sheetView>
  </sheetViews>
  <sheetFormatPr defaultColWidth="9.33203125" defaultRowHeight="11.25"/>
  <cols>
    <col min="1" max="1" width="22" style="0" customWidth="1"/>
  </cols>
  <sheetData>
    <row r="1" ht="11.25">
      <c r="A1" t="str">
        <f>CONCATENATE("総計：",Main!E3,"BP")</f>
        <v>総計：400BP</v>
      </c>
    </row>
    <row r="3" ht="11.25">
      <c r="A3" t="str">
        <f>CONCATENATE("種族：",Main!K4,"(",Main!Q4,"BP)")</f>
        <v>種族：ヒューマン(0BP)</v>
      </c>
    </row>
    <row r="5" ht="11.25">
      <c r="A5" t="str">
        <f>CONCATENATE("能力値：(",Main!H35,"BP)")</f>
        <v>能力値：(230BP)</v>
      </c>
    </row>
    <row r="6" ht="11.25">
      <c r="A6" t="str">
        <f>IF(Main!F23=Main!M23,CONCATENATE(,Main!C23,"：",Main!F23),CONCATENATE(,Main!C23,"：",Main!F23,"(",Main!M23,")"))</f>
        <v>強靭力：3</v>
      </c>
    </row>
    <row r="7" ht="11.25">
      <c r="A7" t="str">
        <f>IF(Main!F24=Main!M24,CONCATENATE(,Main!C24,"：",Main!F24),CONCATENATE(,Main!C24,"：",Main!F24,"(",Main!M24,")"))</f>
        <v>敏捷力：4</v>
      </c>
    </row>
    <row r="8" ht="11.25">
      <c r="A8" t="str">
        <f>IF(Main!F25=Main!M25,CONCATENATE(,Main!C25,"：",Main!F25),CONCATENATE(,Main!C25,"：",Main!F25,"(",Main!M25,")"))</f>
        <v>反応力：4</v>
      </c>
    </row>
    <row r="9" ht="11.25">
      <c r="A9" t="str">
        <f>IF(Main!F26=Main!M26,CONCATENATE(,Main!C26,"：",Main!F26),CONCATENATE(,Main!C26,"：",Main!F26,"(",Main!M26,")"))</f>
        <v>筋力：2</v>
      </c>
    </row>
    <row r="10" ht="11.25">
      <c r="A10" t="str">
        <f>IF(Main!F27=Main!M27,CONCATENATE(,Main!C27,"：",Main!F27),CONCATENATE(,Main!C27,"：",Main!F27,"(",Main!M27,")"))</f>
        <v>魅力：2</v>
      </c>
    </row>
    <row r="11" ht="11.25">
      <c r="A11" t="str">
        <f>IF(Main!F28=Main!M28,CONCATENATE(,Main!C28,"：",Main!F28),CONCATENATE(,Main!C28,"：",Main!F28,"(",Main!M28,")"))</f>
        <v>直観力：4</v>
      </c>
    </row>
    <row r="12" ht="11.25">
      <c r="A12" t="str">
        <f>IF(Main!F29=Main!M29,CONCATENATE(,Main!C29,"：",Main!F29),CONCATENATE(,Main!C29,"：",Main!F29,"(",Main!M29,")"))</f>
        <v>論理力：4</v>
      </c>
    </row>
    <row r="13" ht="11.25">
      <c r="A13" t="str">
        <f>IF(Main!F30=Main!M30,CONCATENATE(,Main!C30,"：",Main!F30),CONCATENATE(,Main!C30,"：",Main!F30,"(",Main!M30,")"))</f>
        <v>意志力：2</v>
      </c>
    </row>
    <row r="14" ht="11.25">
      <c r="A14" t="str">
        <f>IF(Main!F31=Main!M31,CONCATENATE(,Main!C31,"：",Main!F31),CONCATENATE(,Main!C31,"：",Main!F31,"(",Main!M31,")"))</f>
        <v>エッジ：4</v>
      </c>
    </row>
    <row r="15" ht="11.25">
      <c r="A15" t="str">
        <f>IF(Main!F32=Main!M32,CONCATENATE(,Main!C32,"：",Main!F32),CONCATENATE(,Main!C32,"：",Main!F32,"(",Main!M32,")"))</f>
        <v>魔力/共振力：5(4)</v>
      </c>
    </row>
    <row r="16" ht="11.25">
      <c r="A16" t="str">
        <f>IF(Main!F33=Main!M33,CONCATENATE(,Main!C33,"：",Main!F33),CONCATENATE(,Main!C33,"：",Main!F33,"(",Main!M33,")"))</f>
        <v>エッセンス：6(5.1)</v>
      </c>
    </row>
    <row r="17" ht="11.25">
      <c r="A17" t="str">
        <f>IF(Main!F34=Main!M34,CONCATENATE(,Main!C34,"：",Main!F34),CONCATENATE(,Main!C34,"：",Main!F34,"(",Main!M34,")"))</f>
        <v>イニシアチブ：8</v>
      </c>
    </row>
    <row r="19" ht="11.25">
      <c r="A19" t="str">
        <f>CONCATENATE("身体ダメージトラック：",Main!M38)</f>
        <v>身体ダメージトラック：10</v>
      </c>
    </row>
    <row r="20" ht="11.25">
      <c r="A20" t="str">
        <f>CONCATENATE("精神ダメージトラック：",Main!M39)</f>
        <v>精神ダメージトラック：9</v>
      </c>
    </row>
    <row r="22" ht="11.25">
      <c r="A22" t="str">
        <f>CONCATENATE("能動技能：","(",'技能'!C35+'技能'!C36,"BP)")</f>
        <v>能動技能：(122BP)</v>
      </c>
    </row>
    <row r="23" ht="11.25">
      <c r="A23">
        <f>IF('技能'!D4="","",CONCATENATE("SG/",'技能'!A4,"：",'技能'!D4))</f>
      </c>
    </row>
    <row r="24" ht="11.25">
      <c r="A24">
        <f>IF('技能'!D5="","",CONCATENATE("SG/",'技能'!A5,"：",'技能'!D5))</f>
      </c>
    </row>
    <row r="25" ht="11.25">
      <c r="A25">
        <f>IF('技能'!D6="","",CONCATENATE("SG/",'技能'!A6,"：",'技能'!D6))</f>
      </c>
    </row>
    <row r="26" ht="11.25">
      <c r="A26">
        <f>IF('技能'!D7="","",CONCATENATE("SG/",'技能'!A7,"：",'技能'!D7))</f>
      </c>
    </row>
    <row r="27" ht="11.25">
      <c r="A27">
        <f>IF('技能'!D8="","",CONCATENATE("SG/",'技能'!A8,"：",'技能'!D8))</f>
      </c>
    </row>
    <row r="28" ht="11.25">
      <c r="A28">
        <f>IF('技能'!D9="","",CONCATENATE("SG/",'技能'!A9,"：",'技能'!D9))</f>
      </c>
    </row>
    <row r="29" ht="11.25">
      <c r="A29">
        <f>IF('技能'!D10="","",CONCATENATE("SG/",'技能'!A10,"：",'技能'!D10))</f>
      </c>
    </row>
    <row r="30" ht="11.25">
      <c r="A30">
        <f>IF('技能'!D11="","",CONCATENATE("SG/",'技能'!A11,"：",'技能'!D11))</f>
      </c>
    </row>
    <row r="31" ht="11.25">
      <c r="A31">
        <f>IF('技能'!D12="","",CONCATENATE("SG/",'技能'!A12,"：",'技能'!D12))</f>
      </c>
    </row>
    <row r="32" ht="11.25">
      <c r="A32">
        <f>IF('技能'!D13="","",CONCATENATE("SG/",'技能'!A13,"：",'技能'!D13))</f>
      </c>
    </row>
    <row r="33" ht="11.25">
      <c r="A33">
        <f>IF('技能'!D14="","",CONCATENATE("SG/",'技能'!A14,"：",'技能'!D14))</f>
      </c>
    </row>
    <row r="34" ht="11.25">
      <c r="A34">
        <f>IF('技能'!D15="","",CONCATENATE("SG/",'技能'!A15,"：",'技能'!D15))</f>
      </c>
    </row>
    <row r="35" ht="11.25">
      <c r="A35">
        <f>IF('技能'!D16="","",CONCATENATE("SG/",'技能'!A16,"：",'技能'!D16))</f>
      </c>
    </row>
    <row r="36" ht="11.25">
      <c r="A36" t="str">
        <f>IF('技能'!H4="","",IF('技能'!O4="",CONCATENATE('技能'!H4,"：",'技能'!M4),CONCATENATE('技能'!H4,"(",'技能'!O4,")","：",'技能'!M4)))</f>
        <v>自動車整備*：2</v>
      </c>
    </row>
    <row r="37" ht="11.25">
      <c r="A37" t="str">
        <f>IF('技能'!H5="","",IF('技能'!O5="",CONCATENATE('技能'!H5,"：",'技能'!M5),CONCATENATE('技能'!H5,"(",'技能'!O5,")","：",'技能'!M5)))</f>
        <v>砲術：3</v>
      </c>
    </row>
    <row r="38" ht="11.25">
      <c r="A38" t="str">
        <f>IF('技能'!H6="","",IF('技能'!O6="",CONCATENATE('技能'!H6,"：",'技能'!M6),CONCATENATE('技能'!H6,"(",'技能'!O6,")","：",'技能'!M6)))</f>
        <v>知覚(視覚)：1</v>
      </c>
    </row>
    <row r="39" ht="11.25">
      <c r="A39" t="str">
        <f>IF('技能'!H7="","",IF('技能'!O7="",CONCATENATE('技能'!H7,"：",'技能'!M7),CONCATENATE('技能'!H7,"(",'技能'!O7,")","：",'技能'!M7)))</f>
        <v>陸上機操縦(車輪型)：3</v>
      </c>
    </row>
    <row r="40" ht="11.25">
      <c r="A40" t="str">
        <f>IF('技能'!H8="","",IF('技能'!O8="",CONCATENATE('技能'!H8,"：",'技能'!M8),CONCATENATE('技能'!H8,"(",'技能'!O8,")","：",'技能'!M8)))</f>
        <v>航空機操縦*(遠隔操作)：1</v>
      </c>
    </row>
    <row r="41" ht="11.25">
      <c r="A41" t="str">
        <f>IF('技能'!H9="","",IF('技能'!O9="",CONCATENATE('技能'!H9,"：",'技能'!M9),CONCATENATE('技能'!H9,"(",'技能'!O9,")","：",'技能'!M9)))</f>
        <v>霊視*：3</v>
      </c>
    </row>
    <row r="42" ht="11.25">
      <c r="A42" t="str">
        <f>IF('技能'!H10="","",IF('技能'!O10="",CONCATENATE('技能'!H10,"：",'技能'!M10),CONCATENATE('技能'!H10,"(",'技能'!O10,")","：",'技能'!M10)))</f>
        <v>呪文行使*：3</v>
      </c>
    </row>
    <row r="43" ht="11.25">
      <c r="A43" t="str">
        <f>IF('技能'!H11="","",IF('技能'!O11="",CONCATENATE('技能'!H11,"：",'技能'!M11),CONCATENATE('技能'!H11,"(",'技能'!O11,")","：",'技能'!M11)))</f>
        <v>自動火器：4</v>
      </c>
    </row>
    <row r="44" ht="11.25">
      <c r="A44" t="str">
        <f>IF('技能'!H12="","",IF('技能'!O12="",CONCATENATE('技能'!H12,"：",'技能'!M12),CONCATENATE('技能'!H12,"(",'技能'!O12,")","：",'技能'!M12)))</f>
        <v>航法：2</v>
      </c>
    </row>
    <row r="45" ht="11.25">
      <c r="A45" t="str">
        <f>IF('技能'!H13="","",IF('技能'!O13="",CONCATENATE('技能'!H13,"：",'技能'!M13),CONCATENATE('技能'!H13,"(",'技能'!O13,")","：",'技能'!M13)))</f>
        <v>航空機整備*：2</v>
      </c>
    </row>
    <row r="46" ht="11.25">
      <c r="A46" t="str">
        <f>IF('技能'!H14="","",IF('技能'!O14="",CONCATENATE('技能'!H14,"：",'技能'!M14),CONCATENATE('技能'!H14,"(",'技能'!O14,")","：",'技能'!M14)))</f>
        <v>データ検索：2</v>
      </c>
    </row>
    <row r="47" ht="11.25">
      <c r="A47" t="str">
        <f>IF('技能'!H15="","",IF('技能'!O15="",CONCATENATE('技能'!H15,"：",'技能'!M15),CONCATENATE('技能'!H15,"(",'技能'!O15,")","：",'技能'!M15)))</f>
        <v>呪文対抗*：3</v>
      </c>
    </row>
    <row r="48" ht="11.25">
      <c r="A48">
        <f>IF('技能'!H16="","",IF('技能'!O16="",CONCATENATE('技能'!H16,"：",'技能'!M16),CONCATENATE('技能'!H16,"(",'技能'!O16,")","：",'技能'!M16)))</f>
      </c>
    </row>
    <row r="49" ht="11.25">
      <c r="A49">
        <f>IF('技能'!H17="","",IF('技能'!O17="",CONCATENATE('技能'!H17,"：",'技能'!M17),CONCATENATE('技能'!H17,"(",'技能'!O17,")","：",'技能'!M17)))</f>
      </c>
    </row>
    <row r="50" ht="11.25">
      <c r="A50">
        <f>IF('技能'!H18="","",IF('技能'!O18="",CONCATENATE('技能'!H18,"：",'技能'!M18),CONCATENATE('技能'!H18,"(",'技能'!O18,")","：",'技能'!M18)))</f>
      </c>
    </row>
    <row r="51" ht="11.25">
      <c r="A51">
        <f>IF('技能'!H19="","",IF('技能'!O19="",CONCATENATE('技能'!H19,"：",'技能'!M19),CONCATENATE('技能'!H19,"(",'技能'!O19,")","：",'技能'!M19)))</f>
      </c>
    </row>
    <row r="52" ht="11.25">
      <c r="A52">
        <f>IF('技能'!H20="","",IF('技能'!O20="",CONCATENATE('技能'!H20,"：",'技能'!M20),CONCATENATE('技能'!H20,"(",'技能'!O20,")","：",'技能'!M20)))</f>
      </c>
    </row>
    <row r="53" ht="11.25">
      <c r="A53">
        <f>IF('技能'!H21="","",IF('技能'!O21="",CONCATENATE('技能'!H21,"：",'技能'!M21),CONCATENATE('技能'!H21,"(",'技能'!O21,")","：",'技能'!M21)))</f>
      </c>
    </row>
    <row r="54" ht="11.25">
      <c r="A54">
        <f>IF('技能'!H22="","",IF('技能'!O22="",CONCATENATE('技能'!H22,"：",'技能'!M22),CONCATENATE('技能'!H22,"(",'技能'!O22,")","：",'技能'!M22)))</f>
      </c>
    </row>
    <row r="55" ht="11.25">
      <c r="A55">
        <f>IF('技能'!H23="","",IF('技能'!O23="",CONCATENATE('技能'!H23,"：",'技能'!M23),CONCATENATE('技能'!H23,"(",'技能'!O23,")","：",'技能'!M23)))</f>
      </c>
    </row>
    <row r="56" ht="11.25">
      <c r="A56">
        <f>IF('技能'!H24="","",IF('技能'!O24="",CONCATENATE('技能'!H24,"：",'技能'!M24),CONCATENATE('技能'!H24,"(",'技能'!O24,")","：",'技能'!M24)))</f>
      </c>
    </row>
    <row r="57" ht="11.25">
      <c r="A57">
        <f>IF('技能'!H25="","",IF('技能'!O25="",CONCATENATE('技能'!H25,"：",'技能'!M25),CONCATENATE('技能'!H25,"(",'技能'!O25,")","：",'技能'!M25)))</f>
      </c>
    </row>
    <row r="58" ht="11.25">
      <c r="A58">
        <f>IF('技能'!H26="","",IF('技能'!O26="",CONCATENATE('技能'!H26,"：",'技能'!M26),CONCATENATE('技能'!H26,"(",'技能'!O26,")","：",'技能'!M26)))</f>
      </c>
    </row>
    <row r="59" ht="11.25">
      <c r="A59">
        <f>IF('技能'!H27="","",IF('技能'!O27="",CONCATENATE('技能'!H27,"：",'技能'!M27),CONCATENATE('技能'!H27,"(",'技能'!O27,")","：",'技能'!M27)))</f>
      </c>
    </row>
    <row r="60" ht="11.25">
      <c r="A60">
        <f>IF('技能'!H28="","",IF('技能'!O28="",CONCATENATE('技能'!H28,"：",'技能'!M28),CONCATENATE('技能'!H28,"(",'技能'!O28,")","：",'技能'!M28)))</f>
      </c>
    </row>
    <row r="61" ht="11.25">
      <c r="A61">
        <f>IF('技能'!H29="","",IF('技能'!O29="",CONCATENATE('技能'!H29,"：",'技能'!M29),CONCATENATE('技能'!H29,"(",'技能'!O29,")","：",'技能'!M29)))</f>
      </c>
    </row>
    <row r="62" ht="11.25">
      <c r="A62">
        <f>IF('技能'!H30="","",IF('技能'!O30="",CONCATENATE('技能'!H30,"：",'技能'!M30),CONCATENATE('技能'!H30,"(",'技能'!O30,")","：",'技能'!M30)))</f>
      </c>
    </row>
    <row r="63" ht="11.25">
      <c r="A63">
        <f>IF('技能'!H31="","",IF('技能'!O31="",CONCATENATE('技能'!H31,"：",'技能'!M31),CONCATENATE('技能'!H31,"(",'技能'!O31,")","：",'技能'!M31)))</f>
      </c>
    </row>
    <row r="65" ht="11.25">
      <c r="A65" t="str">
        <f>CONCATENATE("知識技能：","(",'技能'!C37,"BP)","　　初期知識技能ポイント：",'技能'!C39)</f>
        <v>知識技能：(48BP)　　初期知識技能ポイント：48</v>
      </c>
    </row>
    <row r="66" ht="11.25">
      <c r="A66" t="str">
        <f>IF('技能'!H34="","",IF('技能'!O34="",CONCATENATE('技能'!H34,"：",'技能'!M34),CONCATENATE('技能'!H34,"(",'技能'!O34,")","：",'技能'!M34)))</f>
        <v>自動車の構造：3</v>
      </c>
    </row>
    <row r="67" ht="11.25">
      <c r="A67" t="str">
        <f>IF('技能'!H35="","",IF('技能'!O35="",CONCATENATE('技能'!H35,"：",'技能'!M35),CONCATENATE('技能'!H35,"(",'技能'!O35,")","：",'技能'!M35)))</f>
        <v>工学：3</v>
      </c>
    </row>
    <row r="68" ht="11.25">
      <c r="A68" t="str">
        <f>IF('技能'!H36="","",IF('技能'!O36="",CONCATENATE('技能'!H36,"：",'技能'!M36),CONCATENATE('技能'!H36,"(",'技能'!O36,")","：",'技能'!M36)))</f>
        <v>密輸ルート：4</v>
      </c>
    </row>
    <row r="69" ht="11.25">
      <c r="A69" t="str">
        <f>IF('技能'!H37="","",IF('技能'!O37="",CONCATENATE('技能'!H37,"：",'技能'!M37),CONCATENATE('技能'!H37,"(",'技能'!O37,")","：",'技能'!M37)))</f>
        <v>地元知識：2</v>
      </c>
    </row>
    <row r="70" ht="11.25">
      <c r="A70" t="str">
        <f>IF('技能'!H38="","",IF('技能'!O38="",CONCATENATE('技能'!H38,"：",'技能'!M38),CONCATENATE('技能'!H38,"(",'技能'!O38,")","：",'技能'!M38)))</f>
        <v>魔法論理：3</v>
      </c>
    </row>
    <row r="71" ht="11.25">
      <c r="A71" t="str">
        <f>IF('技能'!H39="","",IF('技能'!O39="",CONCATENATE('技能'!H39,"：",'技能'!M39),CONCATENATE('技能'!H39,"(",'技能'!O39,")","：",'技能'!M39)))</f>
        <v>運び屋のセーフハウス：4</v>
      </c>
    </row>
    <row r="72" ht="11.25">
      <c r="A72" t="str">
        <f>IF('技能'!H40="","",IF('技能'!O40="",CONCATENATE('技能'!H40,"：",'技能'!M40),CONCATENATE('技能'!H40,"(",'技能'!O40,")","：",'技能'!M40)))</f>
        <v>地元のジャンク置き場：3</v>
      </c>
    </row>
    <row r="73" ht="11.25">
      <c r="A73" t="str">
        <f>IF('技能'!H41="","",IF('技能'!O41="",CONCATENATE('技能'!H41,"：",'技能'!M41),CONCATENATE('技能'!H41,"(",'技能'!O41,")","：",'技能'!M41)))</f>
        <v>公共の交通路線：2</v>
      </c>
    </row>
    <row r="74" ht="11.25">
      <c r="A74">
        <f>IF('技能'!H42="","",IF('技能'!O42="",CONCATENATE('技能'!H42,"：",'技能'!M42),CONCATENATE('技能'!H42,"(",'技能'!O42,")","：",'技能'!M42)))</f>
      </c>
    </row>
    <row r="75" ht="11.25">
      <c r="A75">
        <f>IF('技能'!H43="","",IF('技能'!O43="",CONCATENATE('技能'!H43,"：",'技能'!M43),CONCATENATE('技能'!H43,"(",'技能'!O43,")","：",'技能'!M43)))</f>
      </c>
    </row>
    <row r="76" ht="11.25">
      <c r="A76">
        <f>IF('技能'!H44="","",IF('技能'!O44="",CONCATENATE('技能'!H44,"：",'技能'!M44),CONCATENATE('技能'!H44,"(",'技能'!O44,")","：",'技能'!M44)))</f>
      </c>
    </row>
    <row r="77" ht="11.25">
      <c r="A77">
        <f>IF('技能'!H45="","",IF('技能'!O45="",CONCATENATE('技能'!H45,"：",'技能'!M45),CONCATENATE('技能'!H45,"(",'技能'!O45,")","：",'技能'!M45)))</f>
      </c>
    </row>
    <row r="78" ht="11.25">
      <c r="A78">
        <f>IF('技能'!H46="","",IF('技能'!O46="",CONCATENATE('技能'!H46,"：",'技能'!M46),CONCATENATE('技能'!H46,"(",'技能'!O46,")","：",'技能'!M46)))</f>
      </c>
    </row>
    <row r="79" ht="11.25">
      <c r="A79">
        <f>IF('技能'!H47="","",IF('技能'!O47="",CONCATENATE('技能'!H47,"：",'技能'!M47),CONCATENATE('技能'!H47,"(",'技能'!O47,")","：",'技能'!M47)))</f>
      </c>
    </row>
    <row r="80" ht="11.25">
      <c r="A80">
        <f>IF('技能'!H48="","",IF('技能'!O48="",CONCATENATE('技能'!H48,"：",'技能'!M48),CONCATENATE('技能'!H48,"(",'技能'!O48,")","：",'技能'!M48)))</f>
      </c>
    </row>
    <row r="81" ht="11.25">
      <c r="A81">
        <f>IF('技能'!H49="","",IF('技能'!O49="",CONCATENATE('技能'!H49,"：",'技能'!M49),CONCATENATE('技能'!H49,"(",'技能'!O49,")","：",'技能'!M49)))</f>
      </c>
    </row>
    <row r="82" ht="11.25">
      <c r="A82">
        <f>IF('技能'!H50="","",IF('技能'!O50="",CONCATENATE('技能'!H50,"：",'技能'!M50),CONCATENATE('技能'!H50,"(",'技能'!O50,")","：",'技能'!M50)))</f>
      </c>
    </row>
    <row r="83" ht="11.25">
      <c r="A83">
        <f>IF('技能'!H51="","",IF('技能'!O51="",CONCATENATE('技能'!H51,"：",'技能'!M51),CONCATENATE('技能'!H51,"(",'技能'!O51,")","：",'技能'!M51)))</f>
      </c>
    </row>
    <row r="84" ht="11.25">
      <c r="A84">
        <f>IF('技能'!H52="","",IF('技能'!O52="",CONCATENATE('技能'!H52,"：",'技能'!M52),CONCATENATE('技能'!H52,"(",'技能'!O52,")","：",'技能'!M52)))</f>
      </c>
    </row>
    <row r="85" ht="11.25">
      <c r="A85">
        <f>IF('技能'!H53="","",IF('技能'!O53="",CONCATENATE('技能'!H53,"：",'技能'!M53),CONCATENATE('技能'!H53,"(",'技能'!O53,")","：",'技能'!M53)))</f>
      </c>
    </row>
    <row r="86" ht="11.25">
      <c r="A86">
        <f>IF('技能'!H54="","",IF('技能'!O54="",CONCATENATE('技能'!H54,"：",'技能'!M54),CONCATENATE('技能'!H54,"(",'技能'!O54,")","：",'技能'!M54)))</f>
      </c>
    </row>
    <row r="87" ht="11.25">
      <c r="A87">
        <f>IF('技能'!H55="","",IF('技能'!O55="",CONCATENATE('技能'!H55,"：",'技能'!M55),CONCATENATE('技能'!H55,"(",'技能'!O55,")","：",'技能'!M55)))</f>
      </c>
    </row>
    <row r="88" ht="11.25">
      <c r="A88">
        <f>IF('技能'!H56="","",IF('技能'!O56="",CONCATENATE('技能'!H56,"：",'技能'!M56),CONCATENATE('技能'!H56,"(",'技能'!O56,")","：",'技能'!M56)))</f>
      </c>
    </row>
    <row r="89" ht="11.25">
      <c r="A89">
        <f>IF('技能'!H57="","",IF('技能'!O57="",CONCATENATE('技能'!H57,"：",'技能'!M57),CONCATENATE('技能'!H57,"(",'技能'!O57,")","：",'技能'!M57)))</f>
      </c>
    </row>
    <row r="90" ht="11.25">
      <c r="A90">
        <f>IF('技能'!H58="","",IF('技能'!O58="",CONCATENATE('技能'!H58,"：",'技能'!M58),CONCATENATE('技能'!H58,"(",'技能'!O58,")","：",'技能'!M58)))</f>
      </c>
    </row>
    <row r="91" ht="11.25">
      <c r="A91">
        <f>IF('技能'!H59="","",IF('技能'!O59="",CONCATENATE('技能'!H59,"：",'技能'!M59),CONCATENATE('技能'!H59,"(",'技能'!O59,")","：",'技能'!M59)))</f>
      </c>
    </row>
    <row r="92" ht="11.25">
      <c r="A92">
        <f>IF('技能'!H60="","",IF('技能'!O60="",CONCATENATE('技能'!H60,"：",'技能'!M60),CONCATENATE('技能'!H60,"(",'技能'!O60,")","：",'技能'!M60)))</f>
      </c>
    </row>
    <row r="95" ht="11.25">
      <c r="A95" t="str">
        <f>CONCATENATE("言語技能：","(",'技能'!C38,"BP)")</f>
        <v>言語技能：(0BP)</v>
      </c>
    </row>
    <row r="96" ht="11.25">
      <c r="A96" t="str">
        <f>IF('技能'!A19="","",CONCATENATE('技能'!A19,"：N"))</f>
        <v>英語：N</v>
      </c>
    </row>
    <row r="97" ht="11.25">
      <c r="A97">
        <f>IF('技能'!A20="","",CONCATENATE('技能'!A20,"：",'技能'!D20))</f>
      </c>
    </row>
    <row r="98" ht="11.25">
      <c r="A98">
        <f>IF('技能'!A21="","",CONCATENATE('技能'!A21,"：",'技能'!D21))</f>
      </c>
    </row>
    <row r="99" ht="11.25">
      <c r="A99">
        <f>IF('技能'!A22="","",CONCATENATE('技能'!A22,"：",'技能'!D22))</f>
      </c>
    </row>
    <row r="100" ht="11.25">
      <c r="A100">
        <f>IF('技能'!A23="","",CONCATENATE('技能'!A23,"：",'技能'!D23))</f>
      </c>
    </row>
    <row r="101" ht="11.25">
      <c r="A101">
        <f>IF('技能'!A24="","",CONCATENATE('技能'!A24,"：",'技能'!D24))</f>
      </c>
    </row>
    <row r="102" ht="11.25">
      <c r="A102">
        <f>IF('技能'!A25="","",CONCATENATE('技能'!A25,"：",'技能'!D25))</f>
      </c>
    </row>
    <row r="103" ht="11.25">
      <c r="A103">
        <f>IF('技能'!A26="","",CONCATENATE('技能'!A26,"：",'技能'!D26))</f>
      </c>
    </row>
    <row r="104" ht="11.25">
      <c r="A104">
        <f>IF('技能'!A27="","",CONCATENATE('技能'!A27,"：",'技能'!D27))</f>
      </c>
    </row>
    <row r="105" ht="11.25">
      <c r="A105">
        <f>IF('技能'!A28="","",CONCATENATE('技能'!A28,"：",'技能'!D28))</f>
      </c>
    </row>
    <row r="106" ht="11.25">
      <c r="A106">
        <f>IF('技能'!A29="","",CONCATENATE('技能'!A29,"：",'技能'!D29))</f>
      </c>
    </row>
    <row r="107" ht="11.25">
      <c r="A107">
        <f>IF('技能'!A30="","",CONCATENATE('技能'!A30,"：",'技能'!D30))</f>
      </c>
    </row>
    <row r="108" ht="11.25">
      <c r="A108">
        <f>IF('技能'!A31="","",CONCATENATE('技能'!A31,"：",'技能'!D31))</f>
      </c>
    </row>
    <row r="109" ht="11.25">
      <c r="A109">
        <f>IF('技能'!A32="","",CONCATENATE('技能'!A32,"：",'技能'!D32))</f>
      </c>
    </row>
    <row r="110" ht="11.25">
      <c r="A110" t="str">
        <f>CONCATENATE("特質：","(",Main!Z17,"BP)")</f>
        <v>特質：(-25BP)</v>
      </c>
    </row>
    <row r="111" ht="11.25">
      <c r="A111" t="str">
        <f>IF(Main!S4="","",CONCATENATE(Main!S4,"(",Main!Z4,"BP)"))</f>
        <v>ミスティック・アデプト(10BP)</v>
      </c>
    </row>
    <row r="112" ht="11.25">
      <c r="A112">
        <f>IF(Main!S5="","",CONCATENATE(Main!S5,"(",Main!Z5,"BP)"))</f>
      </c>
    </row>
    <row r="113" ht="11.25">
      <c r="A113">
        <f>IF(Main!S6="","",CONCATENATE(Main!S6,"(",Main!Z6,"BP)"))</f>
      </c>
    </row>
    <row r="114" ht="11.25">
      <c r="A114">
        <f>IF(Main!S7="","",CONCATENATE(Main!S7,"(",Main!Z7,"BP)"))</f>
      </c>
    </row>
    <row r="115" ht="11.25">
      <c r="A115">
        <f>IF(Main!S8="","",CONCATENATE(Main!S8,"(",Main!Z8,"BP)"))</f>
      </c>
    </row>
    <row r="116" ht="11.25">
      <c r="A116">
        <f>IF(Main!S9="","",CONCATENATE(Main!S9,"(",Main!Z9,"BP)"))</f>
      </c>
    </row>
    <row r="117" ht="11.25">
      <c r="A117">
        <f>IF(Main!S10="","",CONCATENATE(Main!S10,"(",Main!Z10,"BP)"))</f>
      </c>
    </row>
    <row r="118" ht="11.25">
      <c r="A118">
        <f>IF(Main!S11="","",CONCATENATE(Main!S11,"(",Main!Z11,"BP)"))</f>
      </c>
    </row>
    <row r="119" ht="11.25">
      <c r="A119" t="str">
        <f>IF(Main!S12="","",CONCATENATE(Main!S12,"(",Main!Z12,"BP)"))</f>
        <v>SIN持ち(前科あり)(-10BP)</v>
      </c>
    </row>
    <row r="120" ht="11.25">
      <c r="A120" t="str">
        <f>IF(Main!S13="","",CONCATENATE(Main!S13,"(",Main!Z13,"BP)"))</f>
        <v>依存症(軽度・ニコチン)(-5BP)</v>
      </c>
    </row>
    <row r="121" ht="11.25">
      <c r="A121" t="str">
        <f>IF(Main!S14="","",CONCATENATE(Main!S14,"(",Main!Z14,"BP)"))</f>
        <v>誓約（儀式/護符）(-10BP)</v>
      </c>
    </row>
    <row r="122" ht="11.25">
      <c r="A122" t="str">
        <f>IF(Main!S15="","",CONCATENATE(Main!S15,"(",Main!Z15,"BP)"))</f>
        <v>依存症(軽度・シンナー)(-5BP)</v>
      </c>
    </row>
    <row r="123" ht="11.25">
      <c r="A123" t="str">
        <f>IF(Main!S16="","",CONCATENATE(Main!S16,"(",Main!Z16,"BP)"))</f>
        <v>苦手（指導）(-5BP)</v>
      </c>
    </row>
    <row r="125" ht="11.25">
      <c r="A125" t="str">
        <f>CONCATENATE("コンタクト：","(",Main!E17,"BP)")</f>
        <v>コンタクト：(19BP)</v>
      </c>
    </row>
    <row r="126" ht="11.25">
      <c r="A126" t="str">
        <f>IF(Main!S23="","",CONCATENATE(Main!S23,"(コネ値",Main!Z23,"/忠誠値",Main!AB23,")"))</f>
        <v>フィクサー(コネ値3/忠誠値2)</v>
      </c>
    </row>
    <row r="127" ht="11.25">
      <c r="A127" t="str">
        <f>IF(Main!S24="","",CONCATENATE(Main!S24,"(コネ値",Main!Z24,"/忠誠値",Main!AB24,")"))</f>
        <v>メカニック(コネ値2/忠誠値2)</v>
      </c>
    </row>
    <row r="128" ht="11.25">
      <c r="A128" t="str">
        <f>IF(Main!S25="","",CONCATENATE(Main!S25,"(コネ値",Main!Z25,"/忠誠値",Main!AB25,")"))</f>
        <v>タリスモンガー(コネ値2/忠誠値1)</v>
      </c>
    </row>
    <row r="129" ht="11.25">
      <c r="A129" t="str">
        <f>IF(Main!S26="","",CONCATENATE(Main!S26,"(コネ値",Main!Z26,"/忠誠値",Main!AB26,")"))</f>
        <v>ストリートコップ(コネ値3/忠誠値4)</v>
      </c>
    </row>
    <row r="130" ht="11.25">
      <c r="A130">
        <f>IF(Main!S27="","",CONCATENATE(Main!S27,"(コネ値",Main!Z27,"/忠誠値",Main!AB27,")"))</f>
      </c>
    </row>
    <row r="131" ht="11.25">
      <c r="A131">
        <f>IF(Main!S28="","",CONCATENATE(Main!S28,"(コネ値",Main!Z28,"/忠誠値",Main!AB28,")"))</f>
      </c>
    </row>
    <row r="132" ht="11.25">
      <c r="A132">
        <f>IF(Main!S29="","",CONCATENATE(Main!S29,"(コネ値",Main!Z29,"/忠誠値",Main!AB29,")"))</f>
      </c>
    </row>
    <row r="133" ht="11.25">
      <c r="A133">
        <f>IF(Main!S30="","",CONCATENATE(Main!S30,"(コネ値",Main!Z30,"/忠誠値",Main!AB30,")"))</f>
      </c>
    </row>
    <row r="134" ht="11.25">
      <c r="A134">
        <f>IF(Main!S31="","",CONCATENATE(Main!S31,"(コネ値",Main!Z31,"/忠誠値",Main!AB31,")"))</f>
      </c>
    </row>
    <row r="135" ht="11.25">
      <c r="A135">
        <f>IF(Main!S32="","",CONCATENATE(Main!S32,"(コネ値",Main!Z32,"/忠誠値",Main!AB32,")"))</f>
      </c>
    </row>
    <row r="136" ht="11.25">
      <c r="A136">
        <f>IF(Main!S33="","",CONCATENATE(Main!S33,"(コネ値",Main!Z33,"/忠誠値",Main!AB33,")"))</f>
      </c>
    </row>
    <row r="137" ht="11.25">
      <c r="A137">
        <f>IF(Main!S34="","",CONCATENATE(Main!S34,"(コネ値",Main!Z34,"/忠誠値",Main!AB34,")"))</f>
      </c>
    </row>
    <row r="138" ht="11.25">
      <c r="A138">
        <f>IF(Main!S35="","",CONCATENATE(Main!S35,"(コネ値",Main!Z35,"/忠誠値",Main!AB35,")"))</f>
      </c>
    </row>
    <row r="140" ht="11.25">
      <c r="A140" t="str">
        <f>CONCATENATE(Main!H13,"：",Main!K13)</f>
        <v>生活スタイル：下流</v>
      </c>
    </row>
    <row r="141" ht="11.25">
      <c r="A141" t="str">
        <f>CONCATENATE(Main!H16,"：",Main!K16)</f>
        <v>初期所持金：(3d6＋9)×50</v>
      </c>
    </row>
    <row r="143" ht="11.25">
      <c r="A143" t="s">
        <v>308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MAKURAYA-PC</dc:creator>
  <cp:keywords/>
  <dc:description/>
  <cp:lastModifiedBy>高橋和宏</cp:lastModifiedBy>
  <cp:lastPrinted>1899-12-30T00:00:00Z</cp:lastPrinted>
  <dcterms:created xsi:type="dcterms:W3CDTF">2009-12-13T10:20:02Z</dcterms:created>
  <dcterms:modified xsi:type="dcterms:W3CDTF">2010-03-25T17:32:40Z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