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7550" windowHeight="8220"/>
  </bookViews>
  <sheets>
    <sheet name="TOP" sheetId="1" r:id="rId1"/>
    <sheet name="装備" sheetId="5" r:id="rId2"/>
    <sheet name="狩場" sheetId="3" r:id="rId3"/>
    <sheet name="スキル" sheetId="6" r:id="rId4"/>
    <sheet name="計算式" sheetId="7" r:id="rId5"/>
    <sheet name="memo" sheetId="8" r:id="rId6"/>
    <sheet name="そうば" sheetId="10" r:id="rId7"/>
  </sheets>
  <calcPr calcId="125725"/>
</workbook>
</file>

<file path=xl/calcChain.xml><?xml version="1.0" encoding="utf-8"?>
<calcChain xmlns="http://schemas.openxmlformats.org/spreadsheetml/2006/main">
  <c r="A70" i="3"/>
  <c r="K15" i="7"/>
  <c r="H11"/>
  <c r="F19" i="3"/>
  <c r="K40" i="1"/>
  <c r="J40"/>
  <c r="K17" i="7"/>
  <c r="A35" i="6"/>
  <c r="G44" i="1"/>
  <c r="L40" i="7"/>
  <c r="L39"/>
  <c r="G40" i="1"/>
  <c r="H40" s="1"/>
  <c r="E40"/>
  <c r="R11"/>
  <c r="G28" i="7"/>
  <c r="H28"/>
  <c r="D9" i="6"/>
  <c r="D10"/>
  <c r="D41"/>
  <c r="K69" i="3"/>
  <c r="D37" i="6"/>
  <c r="K70" i="3"/>
  <c r="J70"/>
  <c r="D81" i="5"/>
  <c r="I25" i="7"/>
  <c r="H6" i="10"/>
  <c r="H7"/>
  <c r="H8"/>
  <c r="H9"/>
  <c r="H10"/>
  <c r="H11"/>
  <c r="H12"/>
  <c r="H13"/>
  <c r="H14"/>
  <c r="H15"/>
  <c r="H16"/>
  <c r="H17"/>
  <c r="H18"/>
  <c r="H19"/>
  <c r="H5"/>
  <c r="H4"/>
  <c r="H3"/>
  <c r="E3"/>
  <c r="D24" s="1"/>
  <c r="G40" i="7"/>
  <c r="F37"/>
  <c r="F36"/>
  <c r="M25" i="8"/>
  <c r="N25"/>
  <c r="L25"/>
  <c r="K13"/>
  <c r="K10"/>
  <c r="N14"/>
  <c r="K12" s="1"/>
  <c r="O11"/>
  <c r="O12"/>
  <c r="O13"/>
  <c r="O14"/>
  <c r="O15"/>
  <c r="O16"/>
  <c r="O17"/>
  <c r="O18"/>
  <c r="O19"/>
  <c r="O20"/>
  <c r="O21"/>
  <c r="O22"/>
  <c r="O23"/>
  <c r="O24"/>
  <c r="O10"/>
  <c r="U88" i="5"/>
  <c r="T88"/>
  <c r="M22" i="7"/>
  <c r="M23"/>
  <c r="M24"/>
  <c r="K19"/>
  <c r="K21" i="3"/>
  <c r="G21"/>
  <c r="F21"/>
  <c r="F16"/>
  <c r="F18"/>
  <c r="F20"/>
  <c r="F17"/>
  <c r="F22"/>
  <c r="A2"/>
  <c r="F40"/>
  <c r="G40"/>
  <c r="H40"/>
  <c r="I40"/>
  <c r="J40"/>
  <c r="K40"/>
  <c r="F41"/>
  <c r="G41"/>
  <c r="H41"/>
  <c r="I41"/>
  <c r="J41"/>
  <c r="K41"/>
  <c r="F42"/>
  <c r="G42"/>
  <c r="H42"/>
  <c r="I42"/>
  <c r="J42"/>
  <c r="K42"/>
  <c r="F43"/>
  <c r="G43"/>
  <c r="H43"/>
  <c r="I43"/>
  <c r="J43"/>
  <c r="K43"/>
  <c r="F44"/>
  <c r="G44"/>
  <c r="H44"/>
  <c r="I44"/>
  <c r="J44"/>
  <c r="K44"/>
  <c r="F25"/>
  <c r="G25"/>
  <c r="H25"/>
  <c r="I25"/>
  <c r="J25"/>
  <c r="K25"/>
  <c r="F26"/>
  <c r="G26"/>
  <c r="H26"/>
  <c r="I26"/>
  <c r="J26"/>
  <c r="K26"/>
  <c r="F27"/>
  <c r="G27"/>
  <c r="H27"/>
  <c r="I27"/>
  <c r="J27"/>
  <c r="K27"/>
  <c r="F28"/>
  <c r="G28"/>
  <c r="H28"/>
  <c r="I28"/>
  <c r="J28"/>
  <c r="K28"/>
  <c r="F55"/>
  <c r="G55"/>
  <c r="H55"/>
  <c r="I55"/>
  <c r="J55"/>
  <c r="K55"/>
  <c r="F57"/>
  <c r="G57"/>
  <c r="H57"/>
  <c r="I57"/>
  <c r="J57"/>
  <c r="K57"/>
  <c r="F56"/>
  <c r="G56"/>
  <c r="H56"/>
  <c r="I56"/>
  <c r="J56"/>
  <c r="K56"/>
  <c r="F58"/>
  <c r="G58"/>
  <c r="H58"/>
  <c r="I58"/>
  <c r="J58"/>
  <c r="K58"/>
  <c r="F59"/>
  <c r="G59"/>
  <c r="H59"/>
  <c r="I59"/>
  <c r="J59"/>
  <c r="K59"/>
  <c r="F65"/>
  <c r="G65"/>
  <c r="H65"/>
  <c r="I65"/>
  <c r="J65"/>
  <c r="K65"/>
  <c r="F37"/>
  <c r="G37"/>
  <c r="H37"/>
  <c r="I37"/>
  <c r="J37"/>
  <c r="K37"/>
  <c r="F38"/>
  <c r="G38"/>
  <c r="H38"/>
  <c r="I38"/>
  <c r="J38"/>
  <c r="K38"/>
  <c r="F39"/>
  <c r="G39"/>
  <c r="H39"/>
  <c r="I39"/>
  <c r="J39"/>
  <c r="K39"/>
  <c r="F5"/>
  <c r="G5"/>
  <c r="H5"/>
  <c r="I5"/>
  <c r="J5"/>
  <c r="K5"/>
  <c r="F6"/>
  <c r="G6"/>
  <c r="H6"/>
  <c r="I6"/>
  <c r="J6"/>
  <c r="K6"/>
  <c r="F7"/>
  <c r="G7"/>
  <c r="H7"/>
  <c r="I7"/>
  <c r="J7"/>
  <c r="K7"/>
  <c r="F8"/>
  <c r="G8"/>
  <c r="H8"/>
  <c r="I8"/>
  <c r="J8"/>
  <c r="K8"/>
  <c r="F9"/>
  <c r="G9"/>
  <c r="H9"/>
  <c r="I9"/>
  <c r="J9"/>
  <c r="K9"/>
  <c r="F11"/>
  <c r="G11"/>
  <c r="H11"/>
  <c r="I11"/>
  <c r="J11"/>
  <c r="K11"/>
  <c r="F12"/>
  <c r="G12"/>
  <c r="H12"/>
  <c r="I12"/>
  <c r="J12"/>
  <c r="K12"/>
  <c r="F13"/>
  <c r="G13"/>
  <c r="H13"/>
  <c r="I13"/>
  <c r="J13"/>
  <c r="K13"/>
  <c r="F14"/>
  <c r="G14"/>
  <c r="H14"/>
  <c r="I14"/>
  <c r="J14"/>
  <c r="K14"/>
  <c r="F15"/>
  <c r="G15"/>
  <c r="H15"/>
  <c r="I15"/>
  <c r="J15"/>
  <c r="K15"/>
  <c r="F33"/>
  <c r="G33"/>
  <c r="H33"/>
  <c r="I33"/>
  <c r="J33"/>
  <c r="K33"/>
  <c r="F34"/>
  <c r="G34"/>
  <c r="H34"/>
  <c r="I34"/>
  <c r="J34"/>
  <c r="K34"/>
  <c r="F35"/>
  <c r="G35"/>
  <c r="H35"/>
  <c r="I35"/>
  <c r="J35"/>
  <c r="K35"/>
  <c r="F36"/>
  <c r="G36"/>
  <c r="H36"/>
  <c r="I36"/>
  <c r="J36"/>
  <c r="K36"/>
  <c r="F49"/>
  <c r="G49"/>
  <c r="H49"/>
  <c r="I49"/>
  <c r="J49"/>
  <c r="K49"/>
  <c r="F50"/>
  <c r="G50"/>
  <c r="H50"/>
  <c r="I50"/>
  <c r="J50"/>
  <c r="K50"/>
  <c r="F51"/>
  <c r="G51"/>
  <c r="H51"/>
  <c r="I51"/>
  <c r="J51"/>
  <c r="K51"/>
  <c r="F52"/>
  <c r="G52"/>
  <c r="H52"/>
  <c r="I52"/>
  <c r="J52"/>
  <c r="K52"/>
  <c r="F53"/>
  <c r="G53"/>
  <c r="H53"/>
  <c r="I53"/>
  <c r="J53"/>
  <c r="K53"/>
  <c r="F54"/>
  <c r="G54"/>
  <c r="H54"/>
  <c r="I54"/>
  <c r="J54"/>
  <c r="K54"/>
  <c r="F29"/>
  <c r="G29"/>
  <c r="H29"/>
  <c r="I29"/>
  <c r="J29"/>
  <c r="K29"/>
  <c r="F30"/>
  <c r="G30"/>
  <c r="H30"/>
  <c r="I30"/>
  <c r="J30"/>
  <c r="K30"/>
  <c r="F31"/>
  <c r="G31"/>
  <c r="H31"/>
  <c r="I31"/>
  <c r="J31"/>
  <c r="K31"/>
  <c r="F32"/>
  <c r="G32"/>
  <c r="H32"/>
  <c r="I32"/>
  <c r="J32"/>
  <c r="K32"/>
  <c r="F10"/>
  <c r="G10"/>
  <c r="H10"/>
  <c r="I10"/>
  <c r="J10"/>
  <c r="K10"/>
  <c r="F45"/>
  <c r="G45"/>
  <c r="H45"/>
  <c r="I45"/>
  <c r="J45"/>
  <c r="K45"/>
  <c r="F61"/>
  <c r="G61"/>
  <c r="H61"/>
  <c r="I61"/>
  <c r="J61"/>
  <c r="K61"/>
  <c r="F62"/>
  <c r="G62"/>
  <c r="H62"/>
  <c r="I62"/>
  <c r="J62"/>
  <c r="K62"/>
  <c r="F63"/>
  <c r="G63"/>
  <c r="H63"/>
  <c r="I63"/>
  <c r="J63"/>
  <c r="K63"/>
  <c r="F64"/>
  <c r="G64"/>
  <c r="H64"/>
  <c r="I64"/>
  <c r="J64"/>
  <c r="K64"/>
  <c r="F60"/>
  <c r="G60"/>
  <c r="H60"/>
  <c r="I60"/>
  <c r="J60"/>
  <c r="K60"/>
  <c r="F23"/>
  <c r="G23"/>
  <c r="H23"/>
  <c r="I23"/>
  <c r="J23"/>
  <c r="K23"/>
  <c r="H21"/>
  <c r="I21"/>
  <c r="J21"/>
  <c r="F73"/>
  <c r="G73"/>
  <c r="H73"/>
  <c r="I73"/>
  <c r="J73"/>
  <c r="K73"/>
  <c r="F84"/>
  <c r="G84"/>
  <c r="H84"/>
  <c r="I84"/>
  <c r="J84"/>
  <c r="K84"/>
  <c r="F95"/>
  <c r="G95"/>
  <c r="H95"/>
  <c r="I95"/>
  <c r="J95"/>
  <c r="K95"/>
  <c r="F96"/>
  <c r="G96"/>
  <c r="H96"/>
  <c r="I96"/>
  <c r="J96"/>
  <c r="K96"/>
  <c r="F97"/>
  <c r="G97"/>
  <c r="H97"/>
  <c r="I97"/>
  <c r="J97"/>
  <c r="K97"/>
  <c r="F98"/>
  <c r="G98"/>
  <c r="H98"/>
  <c r="I98"/>
  <c r="J98"/>
  <c r="K98"/>
  <c r="F99"/>
  <c r="G99"/>
  <c r="H99"/>
  <c r="I99"/>
  <c r="J99"/>
  <c r="K99"/>
  <c r="F100"/>
  <c r="G100"/>
  <c r="H100"/>
  <c r="I100"/>
  <c r="J100"/>
  <c r="K100"/>
  <c r="F3"/>
  <c r="G3"/>
  <c r="H3"/>
  <c r="I3"/>
  <c r="J3"/>
  <c r="K3"/>
  <c r="F4"/>
  <c r="G4"/>
  <c r="H4"/>
  <c r="I4"/>
  <c r="J4"/>
  <c r="K4"/>
  <c r="F48"/>
  <c r="G48"/>
  <c r="H48"/>
  <c r="I48"/>
  <c r="J48"/>
  <c r="K48"/>
  <c r="F66"/>
  <c r="G66"/>
  <c r="I66"/>
  <c r="J66"/>
  <c r="K66"/>
  <c r="F46"/>
  <c r="G46"/>
  <c r="I46"/>
  <c r="J46"/>
  <c r="K46"/>
  <c r="G19"/>
  <c r="H19"/>
  <c r="I19"/>
  <c r="J19"/>
  <c r="K19"/>
  <c r="F71"/>
  <c r="G71"/>
  <c r="H71"/>
  <c r="I71"/>
  <c r="J71"/>
  <c r="K71"/>
  <c r="F72"/>
  <c r="G72"/>
  <c r="H72"/>
  <c r="I72"/>
  <c r="J72"/>
  <c r="K72"/>
  <c r="F74"/>
  <c r="G74"/>
  <c r="H74"/>
  <c r="I74"/>
  <c r="J74"/>
  <c r="K74"/>
  <c r="F75"/>
  <c r="G75"/>
  <c r="H75"/>
  <c r="I75"/>
  <c r="J75"/>
  <c r="K75"/>
  <c r="F76"/>
  <c r="G76"/>
  <c r="H76"/>
  <c r="I76"/>
  <c r="J76"/>
  <c r="K76"/>
  <c r="F77"/>
  <c r="G77"/>
  <c r="H77"/>
  <c r="I77"/>
  <c r="J77"/>
  <c r="K77"/>
  <c r="F78"/>
  <c r="G78"/>
  <c r="H78"/>
  <c r="I78"/>
  <c r="J78"/>
  <c r="K78"/>
  <c r="F79"/>
  <c r="G79"/>
  <c r="H79"/>
  <c r="I79"/>
  <c r="J79"/>
  <c r="K79"/>
  <c r="F80"/>
  <c r="G80"/>
  <c r="H80"/>
  <c r="I80"/>
  <c r="J80"/>
  <c r="K80"/>
  <c r="F81"/>
  <c r="G81"/>
  <c r="H81"/>
  <c r="I81"/>
  <c r="J81"/>
  <c r="K81"/>
  <c r="F82"/>
  <c r="G82"/>
  <c r="H82"/>
  <c r="I82"/>
  <c r="J82"/>
  <c r="K82"/>
  <c r="F83"/>
  <c r="G83"/>
  <c r="H83"/>
  <c r="I83"/>
  <c r="J83"/>
  <c r="K83"/>
  <c r="F85"/>
  <c r="G85"/>
  <c r="H85"/>
  <c r="I85"/>
  <c r="J85"/>
  <c r="K85"/>
  <c r="F86"/>
  <c r="G86"/>
  <c r="H86"/>
  <c r="I86"/>
  <c r="J86"/>
  <c r="K86"/>
  <c r="F87"/>
  <c r="G87"/>
  <c r="H87"/>
  <c r="I87"/>
  <c r="J87"/>
  <c r="K87"/>
  <c r="F88"/>
  <c r="G88"/>
  <c r="H88"/>
  <c r="I88"/>
  <c r="J88"/>
  <c r="K88"/>
  <c r="F89"/>
  <c r="G89"/>
  <c r="H89"/>
  <c r="I89"/>
  <c r="J89"/>
  <c r="K89"/>
  <c r="F90"/>
  <c r="G90"/>
  <c r="H90"/>
  <c r="I90"/>
  <c r="J90"/>
  <c r="K90"/>
  <c r="F91"/>
  <c r="G91"/>
  <c r="H91"/>
  <c r="I91"/>
  <c r="J91"/>
  <c r="K91"/>
  <c r="F92"/>
  <c r="G92"/>
  <c r="H92"/>
  <c r="I92"/>
  <c r="J92"/>
  <c r="K92"/>
  <c r="F93"/>
  <c r="G93"/>
  <c r="H93"/>
  <c r="I93"/>
  <c r="J93"/>
  <c r="K93"/>
  <c r="F94"/>
  <c r="G94"/>
  <c r="H94"/>
  <c r="I94"/>
  <c r="J94"/>
  <c r="K94"/>
  <c r="K20"/>
  <c r="N20" s="1"/>
  <c r="K18"/>
  <c r="N18" s="1"/>
  <c r="G16"/>
  <c r="G18"/>
  <c r="G20"/>
  <c r="G17"/>
  <c r="K24"/>
  <c r="K17"/>
  <c r="K16"/>
  <c r="K67"/>
  <c r="K68"/>
  <c r="N68" s="1"/>
  <c r="K47"/>
  <c r="K22"/>
  <c r="N67"/>
  <c r="N24"/>
  <c r="N17"/>
  <c r="N16"/>
  <c r="I22" i="7"/>
  <c r="F24" i="3"/>
  <c r="G24"/>
  <c r="H24"/>
  <c r="I24"/>
  <c r="J24"/>
  <c r="H17"/>
  <c r="I17"/>
  <c r="J17"/>
  <c r="H16"/>
  <c r="I16"/>
  <c r="J16"/>
  <c r="H18"/>
  <c r="I18"/>
  <c r="J18"/>
  <c r="H20"/>
  <c r="I20"/>
  <c r="J20"/>
  <c r="F67"/>
  <c r="G67"/>
  <c r="H67"/>
  <c r="I67"/>
  <c r="J67"/>
  <c r="F68"/>
  <c r="G68"/>
  <c r="H68"/>
  <c r="I68"/>
  <c r="J68"/>
  <c r="K22" i="7"/>
  <c r="K28" s="1"/>
  <c r="H1" i="6"/>
  <c r="C1" s="1"/>
  <c r="R5" i="1"/>
  <c r="D16" i="7" s="1"/>
  <c r="R6" i="1"/>
  <c r="E16" i="7" s="1"/>
  <c r="R7" i="1"/>
  <c r="F16" i="7" s="1"/>
  <c r="R8" i="1"/>
  <c r="G16" i="7" s="1"/>
  <c r="R9" i="1"/>
  <c r="H16" i="7" s="1"/>
  <c r="R10" i="1"/>
  <c r="I16" i="7" s="1"/>
  <c r="R4" i="1"/>
  <c r="C16" i="7" s="1"/>
  <c r="D2" i="3"/>
  <c r="L2" s="1"/>
  <c r="K2" i="5"/>
  <c r="K11" s="1"/>
  <c r="J2"/>
  <c r="J13" s="1"/>
  <c r="I2"/>
  <c r="I11" s="1"/>
  <c r="H2"/>
  <c r="H11" s="1"/>
  <c r="G2"/>
  <c r="G10" s="1"/>
  <c r="F2"/>
  <c r="F11" s="1"/>
  <c r="E2"/>
  <c r="E10" s="1"/>
  <c r="D2"/>
  <c r="D10" s="1"/>
  <c r="C2"/>
  <c r="C13" s="1"/>
  <c r="B2"/>
  <c r="B11" s="1"/>
  <c r="I14" i="7"/>
  <c r="H14"/>
  <c r="G14"/>
  <c r="F14"/>
  <c r="E14"/>
  <c r="D14"/>
  <c r="C14"/>
  <c r="F47" i="3"/>
  <c r="G47"/>
  <c r="H47"/>
  <c r="I47"/>
  <c r="J47"/>
  <c r="N47"/>
  <c r="G22"/>
  <c r="H22"/>
  <c r="I22"/>
  <c r="J22"/>
  <c r="M2" l="1"/>
  <c r="O16" i="7" s="1"/>
  <c r="E6" i="5"/>
  <c r="K11" i="8"/>
  <c r="C4" i="10"/>
  <c r="C6" i="5"/>
  <c r="C11"/>
  <c r="C4"/>
  <c r="C9"/>
  <c r="C5"/>
  <c r="C7"/>
  <c r="C10"/>
  <c r="C12"/>
  <c r="L12" s="1"/>
  <c r="C8"/>
  <c r="D21" i="10"/>
  <c r="D23"/>
  <c r="D25"/>
  <c r="D20"/>
  <c r="D18"/>
  <c r="D16"/>
  <c r="D14"/>
  <c r="D12"/>
  <c r="D10"/>
  <c r="D8"/>
  <c r="D6"/>
  <c r="D5"/>
  <c r="D19"/>
  <c r="D17"/>
  <c r="D15"/>
  <c r="D13"/>
  <c r="D11"/>
  <c r="D9"/>
  <c r="D7"/>
  <c r="D22"/>
  <c r="J8"/>
  <c r="J9" s="1"/>
  <c r="B13" i="5"/>
  <c r="G13"/>
  <c r="I4"/>
  <c r="I13"/>
  <c r="E13"/>
  <c r="K4"/>
  <c r="K6"/>
  <c r="K8"/>
  <c r="K10"/>
  <c r="K13"/>
  <c r="K5"/>
  <c r="K7"/>
  <c r="K9"/>
  <c r="J5"/>
  <c r="J7"/>
  <c r="J9"/>
  <c r="J11"/>
  <c r="J4"/>
  <c r="J6"/>
  <c r="J8"/>
  <c r="J10"/>
  <c r="D13"/>
  <c r="F13"/>
  <c r="H13"/>
  <c r="K25" i="8"/>
  <c r="O25"/>
  <c r="B9" i="5"/>
  <c r="B10"/>
  <c r="B4"/>
  <c r="O22" i="3"/>
  <c r="G5" i="5"/>
  <c r="G9"/>
  <c r="G7"/>
  <c r="G11"/>
  <c r="I2" i="3"/>
  <c r="G20" i="7" s="1"/>
  <c r="J32" s="1"/>
  <c r="E5" i="5"/>
  <c r="E7"/>
  <c r="E9"/>
  <c r="E11"/>
  <c r="E4"/>
  <c r="E8"/>
  <c r="B8"/>
  <c r="B6"/>
  <c r="B1" i="6"/>
  <c r="H4" i="5"/>
  <c r="H8"/>
  <c r="H6"/>
  <c r="H10"/>
  <c r="F4"/>
  <c r="F8"/>
  <c r="F6"/>
  <c r="F10"/>
  <c r="B5"/>
  <c r="B7"/>
  <c r="P22" i="3"/>
  <c r="P67"/>
  <c r="G4" i="5"/>
  <c r="G6"/>
  <c r="G8"/>
  <c r="D5"/>
  <c r="D7"/>
  <c r="D9"/>
  <c r="D11"/>
  <c r="D4"/>
  <c r="D6"/>
  <c r="D8"/>
  <c r="I6"/>
  <c r="I8"/>
  <c r="I10"/>
  <c r="I5"/>
  <c r="I7"/>
  <c r="I9"/>
  <c r="H5"/>
  <c r="H7"/>
  <c r="H9"/>
  <c r="F5"/>
  <c r="F7"/>
  <c r="F9"/>
  <c r="G2" i="3"/>
  <c r="E20" i="7" s="1"/>
  <c r="K2" i="3"/>
  <c r="I20" i="7" s="1"/>
  <c r="F12" i="1" s="1"/>
  <c r="F2" i="3"/>
  <c r="C20" i="7" s="1"/>
  <c r="H2" i="3"/>
  <c r="F20" i="7" s="1"/>
  <c r="H32" s="1"/>
  <c r="J2" i="3"/>
  <c r="H20" i="7" s="1"/>
  <c r="O47" i="3"/>
  <c r="P47"/>
  <c r="E8" i="10" l="1"/>
  <c r="L13" i="5"/>
  <c r="M28" i="7"/>
  <c r="G32"/>
  <c r="D20"/>
  <c r="L11" i="5"/>
  <c r="L7"/>
  <c r="F18" i="7" s="1"/>
  <c r="L9" i="5"/>
  <c r="H18" i="7" s="1"/>
  <c r="L5" i="5"/>
  <c r="L10"/>
  <c r="I18" i="7" s="1"/>
  <c r="L8" i="5"/>
  <c r="G18" i="7" s="1"/>
  <c r="L6" i="5"/>
  <c r="E18" i="7" s="1"/>
  <c r="L4" i="5"/>
  <c r="G4" i="1" s="1"/>
  <c r="D28" i="7"/>
  <c r="E28"/>
  <c r="C28"/>
  <c r="B28"/>
  <c r="O18" l="1"/>
  <c r="L8" i="1" s="1"/>
  <c r="M8" s="1"/>
  <c r="G12"/>
  <c r="M25" i="7"/>
  <c r="E20" i="1" s="1"/>
  <c r="I38" i="7"/>
  <c r="D29"/>
  <c r="B30" s="1"/>
  <c r="E29"/>
  <c r="C30" s="1"/>
  <c r="O19"/>
  <c r="L9" i="1" s="1"/>
  <c r="P18" i="7"/>
  <c r="P19"/>
  <c r="G10" i="1"/>
  <c r="H38" i="7"/>
  <c r="G9" i="1"/>
  <c r="G7"/>
  <c r="G6"/>
  <c r="G8"/>
  <c r="K9" s="1"/>
  <c r="G5"/>
  <c r="D18" i="7"/>
  <c r="G23"/>
  <c r="F23"/>
  <c r="E23"/>
  <c r="D23"/>
  <c r="C23"/>
  <c r="G22"/>
  <c r="F22"/>
  <c r="E22"/>
  <c r="D22"/>
  <c r="C22"/>
  <c r="G11" i="1"/>
  <c r="J18" i="7"/>
  <c r="C18"/>
  <c r="K30" l="1"/>
  <c r="L30" s="1"/>
  <c r="M30" s="1"/>
  <c r="J16" i="1" s="1"/>
  <c r="M32" i="7"/>
  <c r="I33"/>
  <c r="J35" s="1"/>
  <c r="I34"/>
  <c r="I35"/>
  <c r="H35"/>
  <c r="H34"/>
  <c r="I36"/>
  <c r="J36"/>
  <c r="H37"/>
  <c r="I37"/>
  <c r="L34"/>
  <c r="H33"/>
  <c r="K8" i="1"/>
  <c r="H36" i="7"/>
  <c r="B35"/>
  <c r="O14"/>
  <c r="D24"/>
  <c r="F24"/>
  <c r="C24"/>
  <c r="E24"/>
  <c r="G24"/>
  <c r="C19" i="1" l="1"/>
  <c r="L16"/>
  <c r="I24" i="7"/>
  <c r="G39"/>
  <c r="H41" s="1"/>
  <c r="H39"/>
  <c r="I41" s="1"/>
  <c r="D26" l="1"/>
  <c r="C26"/>
  <c r="E26"/>
  <c r="C29"/>
  <c r="H42"/>
  <c r="I42"/>
  <c r="G16" i="1"/>
  <c r="G18" s="1"/>
  <c r="B29" i="7" l="1"/>
  <c r="B32" s="1"/>
  <c r="C32" s="1"/>
  <c r="B19" i="1" s="1"/>
  <c r="E16"/>
  <c r="E18" s="1"/>
  <c r="F20" l="1"/>
  <c r="F24"/>
  <c r="F25" s="1"/>
  <c r="F21" l="1"/>
  <c r="G21" s="1"/>
  <c r="G24"/>
  <c r="G25"/>
  <c r="G20"/>
  <c r="I24" l="1"/>
  <c r="C39" s="1"/>
  <c r="G39" s="1"/>
  <c r="I20"/>
  <c r="K20" s="1"/>
  <c r="H39" l="1"/>
  <c r="J39" s="1"/>
  <c r="K39" l="1"/>
</calcChain>
</file>

<file path=xl/sharedStrings.xml><?xml version="1.0" encoding="utf-8"?>
<sst xmlns="http://schemas.openxmlformats.org/spreadsheetml/2006/main" count="783" uniqueCount="567">
  <si>
    <t>30×武器ディレイ - 6×STAB - 2×HACK - 6×DEX - 6×合計敏捷度補正</t>
    <phoneticPr fontId="1"/>
  </si>
  <si>
    <t>Ｓ依存スキル：STAB×0.1上昇　　　Ｈ依存スキル：HACK×0.06上昇</t>
    <phoneticPr fontId="1"/>
  </si>
  <si>
    <t>物理回避：DEF×2/7　魔法回避：MR×2/7　回避Ｐが上昇</t>
    <phoneticPr fontId="1"/>
  </si>
  <si>
    <t>命中ポイント＝スキル命中＋DEX＋合計命中率補正－ステ命中減少</t>
  </si>
  <si>
    <t>回避ポイント＝[1.2×（AGI＋合計回避率補正）]＋回避修正値</t>
  </si>
  <si>
    <t xml:space="preserve">的中剣1 命中ポイント 命中ポイント上昇。 上昇値＝5＋[（[受け手回避ポイント]＋10）÷21] </t>
  </si>
  <si>
    <t xml:space="preserve">的中剣2 命中ポイント 命中ポイント上昇。上昇値＝10＋[（[受け手回避ポイント]＋6）÷12] </t>
  </si>
  <si>
    <t xml:space="preserve">的中剣3 命中ポイント 命中ポイント上昇。上昇値＝15＋[（[受け手回避ポイント]）÷8] </t>
  </si>
  <si>
    <t xml:space="preserve">的中剣4 命中ポイント 命中ポイント上昇。 上昇値＝19＋[（[受け手回避ポイント]）÷6] </t>
  </si>
  <si>
    <t xml:space="preserve">的中剣5 命中ポイント 命中ポイント上昇。 上昇値＝23＋[（[受け手回避ポイント]）÷5] </t>
  </si>
  <si>
    <t xml:space="preserve">ペット集中 命中ポイント 的中剣1と同じ </t>
  </si>
  <si>
    <t>スキル名称（略）</t>
    <rPh sb="3" eb="5">
      <t>メイショウ</t>
    </rPh>
    <rPh sb="6" eb="7">
      <t>リャク</t>
    </rPh>
    <phoneticPr fontId="1"/>
  </si>
  <si>
    <t>スキルタイプ</t>
    <phoneticPr fontId="1"/>
  </si>
  <si>
    <t>ダメージ倍率</t>
    <rPh sb="4" eb="6">
      <t>バイリツ</t>
    </rPh>
    <phoneticPr fontId="1"/>
  </si>
  <si>
    <t>ＨＩＴ数</t>
    <rPh sb="3" eb="4">
      <t>スウ</t>
    </rPh>
    <phoneticPr fontId="1"/>
  </si>
  <si>
    <t>命中</t>
    <rPh sb="0" eb="2">
      <t>メイチュウ</t>
    </rPh>
    <phoneticPr fontId="1"/>
  </si>
  <si>
    <t>物理スキル</t>
    <rPh sb="0" eb="2">
      <t>ブツリ</t>
    </rPh>
    <phoneticPr fontId="1"/>
  </si>
  <si>
    <t>連</t>
    <rPh sb="0" eb="1">
      <t>レン</t>
    </rPh>
    <phoneticPr fontId="1"/>
  </si>
  <si>
    <t>突き</t>
    <rPh sb="0" eb="1">
      <t>ツ</t>
    </rPh>
    <phoneticPr fontId="1"/>
  </si>
  <si>
    <t>斬り</t>
    <rPh sb="0" eb="1">
      <t>キ</t>
    </rPh>
    <phoneticPr fontId="1"/>
  </si>
  <si>
    <t>魔攻</t>
    <rPh sb="0" eb="1">
      <t>マ</t>
    </rPh>
    <rPh sb="1" eb="2">
      <t>コウ</t>
    </rPh>
    <phoneticPr fontId="1"/>
  </si>
  <si>
    <t>物防</t>
    <rPh sb="0" eb="1">
      <t>ブツ</t>
    </rPh>
    <rPh sb="1" eb="2">
      <t>ボウ</t>
    </rPh>
    <phoneticPr fontId="1"/>
  </si>
  <si>
    <t>魔防</t>
    <rPh sb="0" eb="1">
      <t>マ</t>
    </rPh>
    <rPh sb="1" eb="2">
      <t>ボウ</t>
    </rPh>
    <phoneticPr fontId="1"/>
  </si>
  <si>
    <t>回避</t>
    <rPh sb="0" eb="2">
      <t>カイヒ</t>
    </rPh>
    <phoneticPr fontId="1"/>
  </si>
  <si>
    <t>敏捷</t>
    <rPh sb="0" eb="2">
      <t>ビンショウ</t>
    </rPh>
    <phoneticPr fontId="1"/>
  </si>
  <si>
    <t>兜</t>
    <rPh sb="0" eb="1">
      <t>カブト</t>
    </rPh>
    <phoneticPr fontId="1"/>
  </si>
  <si>
    <t>武器</t>
    <rPh sb="0" eb="2">
      <t>ブキ</t>
    </rPh>
    <phoneticPr fontId="1"/>
  </si>
  <si>
    <t>鎧</t>
    <rPh sb="0" eb="1">
      <t>ヨロイ</t>
    </rPh>
    <phoneticPr fontId="1"/>
  </si>
  <si>
    <t>盾</t>
    <rPh sb="0" eb="1">
      <t>タテ</t>
    </rPh>
    <phoneticPr fontId="1"/>
  </si>
  <si>
    <t>手</t>
    <rPh sb="0" eb="1">
      <t>テ</t>
    </rPh>
    <phoneticPr fontId="1"/>
  </si>
  <si>
    <t>足</t>
    <rPh sb="0" eb="1">
      <t>アシ</t>
    </rPh>
    <phoneticPr fontId="1"/>
  </si>
  <si>
    <t>効果</t>
    <rPh sb="0" eb="2">
      <t>コウカ</t>
    </rPh>
    <phoneticPr fontId="1"/>
  </si>
  <si>
    <t>称号</t>
    <rPh sb="0" eb="2">
      <t>ショウゴウ</t>
    </rPh>
    <phoneticPr fontId="1"/>
  </si>
  <si>
    <t>合計</t>
    <rPh sb="0" eb="2">
      <t>ゴウケイ</t>
    </rPh>
    <phoneticPr fontId="1"/>
  </si>
  <si>
    <t>CS</t>
    <phoneticPr fontId="1"/>
  </si>
  <si>
    <t>五花月光斬</t>
    <rPh sb="0" eb="1">
      <t>ゴ</t>
    </rPh>
    <rPh sb="1" eb="2">
      <t>カ</t>
    </rPh>
    <rPh sb="2" eb="4">
      <t>ゲッコウ</t>
    </rPh>
    <rPh sb="4" eb="5">
      <t>ザン</t>
    </rPh>
    <phoneticPr fontId="1"/>
  </si>
  <si>
    <t>一撃</t>
    <rPh sb="0" eb="2">
      <t>イチゲキ</t>
    </rPh>
    <phoneticPr fontId="1"/>
  </si>
  <si>
    <t>SI</t>
    <phoneticPr fontId="1"/>
  </si>
  <si>
    <t>S</t>
    <phoneticPr fontId="1"/>
  </si>
  <si>
    <t>名称</t>
    <rPh sb="0" eb="2">
      <t>メイショウ</t>
    </rPh>
    <phoneticPr fontId="1"/>
  </si>
  <si>
    <t>ステータス</t>
    <phoneticPr fontId="1"/>
  </si>
  <si>
    <t>装備</t>
    <rPh sb="0" eb="2">
      <t>ソウビ</t>
    </rPh>
    <phoneticPr fontId="1"/>
  </si>
  <si>
    <t>ＳＴＡＢ</t>
    <phoneticPr fontId="1"/>
  </si>
  <si>
    <t>ＨＡＣＫ</t>
    <phoneticPr fontId="1"/>
  </si>
  <si>
    <t>ＩＮＴ</t>
    <phoneticPr fontId="1"/>
  </si>
  <si>
    <t>ＤＥＦ</t>
    <phoneticPr fontId="1"/>
  </si>
  <si>
    <t>ＭＲ</t>
    <phoneticPr fontId="1"/>
  </si>
  <si>
    <t>ＡＧＩ</t>
    <phoneticPr fontId="1"/>
  </si>
  <si>
    <t>ＱＵＩＣＫ</t>
    <phoneticPr fontId="1"/>
  </si>
  <si>
    <t>狩場選択</t>
    <rPh sb="0" eb="2">
      <t>カリバ</t>
    </rPh>
    <rPh sb="2" eb="4">
      <t>センタク</t>
    </rPh>
    <phoneticPr fontId="1"/>
  </si>
  <si>
    <t>ブレス</t>
    <phoneticPr fontId="1"/>
  </si>
  <si>
    <t>シルフ</t>
    <phoneticPr fontId="1"/>
  </si>
  <si>
    <t>秘薬</t>
    <rPh sb="0" eb="2">
      <t>ヒヤク</t>
    </rPh>
    <phoneticPr fontId="1"/>
  </si>
  <si>
    <t>○</t>
    <phoneticPr fontId="1"/>
  </si>
  <si>
    <t>×</t>
    <phoneticPr fontId="1"/>
  </si>
  <si>
    <t>Ｌｖ２</t>
  </si>
  <si>
    <t>Ｌｖ３</t>
  </si>
  <si>
    <t>Ｌｖ４</t>
  </si>
  <si>
    <t>Ｌｖ５</t>
  </si>
  <si>
    <t>与ダメ</t>
    <rPh sb="0" eb="1">
      <t>ヨ</t>
    </rPh>
    <phoneticPr fontId="1"/>
  </si>
  <si>
    <t>～</t>
    <phoneticPr fontId="1"/>
  </si>
  <si>
    <t>前ディレイ</t>
    <rPh sb="0" eb="1">
      <t>ゼン</t>
    </rPh>
    <phoneticPr fontId="1"/>
  </si>
  <si>
    <t>最大Ｌｖ</t>
    <rPh sb="0" eb="2">
      <t>サイダイ</t>
    </rPh>
    <phoneticPr fontId="1"/>
  </si>
  <si>
    <t>ＳＴＡＢ</t>
    <phoneticPr fontId="1"/>
  </si>
  <si>
    <t>ＩＮＴ</t>
    <phoneticPr fontId="1"/>
  </si>
  <si>
    <t>ＤＥＦ</t>
    <phoneticPr fontId="1"/>
  </si>
  <si>
    <t>ＭＲ</t>
    <phoneticPr fontId="1"/>
  </si>
  <si>
    <t>ＤＥＸ</t>
    <phoneticPr fontId="1"/>
  </si>
  <si>
    <t>ＡＧＩ</t>
    <phoneticPr fontId="1"/>
  </si>
  <si>
    <t>スキル命中</t>
  </si>
  <si>
    <t>スキル命中</t>
    <rPh sb="3" eb="5">
      <t>メイチュウ</t>
    </rPh>
    <phoneticPr fontId="1"/>
  </si>
  <si>
    <t>マップ</t>
  </si>
  <si>
    <t>STAB</t>
  </si>
  <si>
    <t>HACK</t>
  </si>
  <si>
    <t>INT</t>
  </si>
  <si>
    <t>DEF</t>
  </si>
  <si>
    <t>MR</t>
  </si>
  <si>
    <t>DEX</t>
  </si>
  <si>
    <t>AGI</t>
  </si>
  <si>
    <t>影の塔以外</t>
  </si>
  <si>
    <t>LV</t>
  </si>
  <si>
    <t>[LV*0.9]</t>
  </si>
  <si>
    <t>影の塔Lv200未満</t>
  </si>
  <si>
    <t>LV*1.2</t>
  </si>
  <si>
    <t>影の塔Lv200以上</t>
  </si>
  <si>
    <t>[(LV-10)*0.9]</t>
  </si>
  <si>
    <t>スキル倍率</t>
    <rPh sb="3" eb="5">
      <t>バイリツ</t>
    </rPh>
    <phoneticPr fontId="1"/>
  </si>
  <si>
    <t>河童ＭＡＰ</t>
    <rPh sb="0" eb="2">
      <t>カッパ</t>
    </rPh>
    <phoneticPr fontId="1"/>
  </si>
  <si>
    <t>物理回避Ｐ</t>
    <rPh sb="0" eb="2">
      <t>ブツリ</t>
    </rPh>
    <rPh sb="2" eb="4">
      <t>カイヒ</t>
    </rPh>
    <phoneticPr fontId="1"/>
  </si>
  <si>
    <t>魔法回避Ｐ</t>
    <rPh sb="0" eb="2">
      <t>マホウ</t>
    </rPh>
    <rPh sb="2" eb="4">
      <t>カイヒ</t>
    </rPh>
    <phoneticPr fontId="1"/>
  </si>
  <si>
    <t>猿ＭＡＰ</t>
    <rPh sb="0" eb="1">
      <t>サル</t>
    </rPh>
    <phoneticPr fontId="1"/>
  </si>
  <si>
    <t>魔法回避P ＝ [ (AGI ＋ 装備回避 ) × 1.2 ] + [ ( INT ＋ MR × 2 ＋ 敏捷 ) ÷ 7 ]</t>
  </si>
  <si>
    <t>ステ</t>
    <phoneticPr fontId="1"/>
  </si>
  <si>
    <t>STAB</t>
    <phoneticPr fontId="1"/>
  </si>
  <si>
    <t>HACK</t>
    <phoneticPr fontId="1"/>
  </si>
  <si>
    <t>INT</t>
    <phoneticPr fontId="1"/>
  </si>
  <si>
    <t>DEF</t>
    <phoneticPr fontId="1"/>
  </si>
  <si>
    <t>MR</t>
    <phoneticPr fontId="1"/>
  </si>
  <si>
    <t>DEX</t>
    <phoneticPr fontId="1"/>
  </si>
  <si>
    <t>AGI</t>
    <phoneticPr fontId="1"/>
  </si>
  <si>
    <t>なし</t>
    <phoneticPr fontId="1"/>
  </si>
  <si>
    <t>牛魔王ＭＡＰ</t>
    <rPh sb="0" eb="1">
      <t>ギュウ</t>
    </rPh>
    <rPh sb="1" eb="3">
      <t>マオウ</t>
    </rPh>
    <phoneticPr fontId="1"/>
  </si>
  <si>
    <t>影１Ｆ</t>
    <rPh sb="0" eb="1">
      <t>カゲ</t>
    </rPh>
    <phoneticPr fontId="1"/>
  </si>
  <si>
    <t>影35Ｆ</t>
    <rPh sb="0" eb="1">
      <t>カゲ</t>
    </rPh>
    <phoneticPr fontId="1"/>
  </si>
  <si>
    <t>影50Ｆ</t>
    <rPh sb="0" eb="1">
      <t>カゲ</t>
    </rPh>
    <phoneticPr fontId="1"/>
  </si>
  <si>
    <t>魔法の沼2</t>
    <rPh sb="0" eb="2">
      <t>マホウ</t>
    </rPh>
    <rPh sb="3" eb="4">
      <t>ヌマ</t>
    </rPh>
    <phoneticPr fontId="1"/>
  </si>
  <si>
    <t>魔法の沼3</t>
    <rPh sb="0" eb="2">
      <t>マホウ</t>
    </rPh>
    <rPh sb="3" eb="4">
      <t>ヌマ</t>
    </rPh>
    <phoneticPr fontId="1"/>
  </si>
  <si>
    <t>混乱5</t>
    <rPh sb="0" eb="2">
      <t>コンラン</t>
    </rPh>
    <phoneticPr fontId="1"/>
  </si>
  <si>
    <t>混乱6</t>
    <rPh sb="0" eb="2">
      <t>コンラン</t>
    </rPh>
    <phoneticPr fontId="1"/>
  </si>
  <si>
    <t>混乱7</t>
    <rPh sb="0" eb="2">
      <t>コンラン</t>
    </rPh>
    <phoneticPr fontId="1"/>
  </si>
  <si>
    <t>混乱8</t>
    <rPh sb="0" eb="2">
      <t>コンラン</t>
    </rPh>
    <phoneticPr fontId="1"/>
  </si>
  <si>
    <t>混乱9</t>
    <rPh sb="0" eb="2">
      <t>コンラン</t>
    </rPh>
    <phoneticPr fontId="1"/>
  </si>
  <si>
    <t>グリンツ1</t>
    <phoneticPr fontId="1"/>
  </si>
  <si>
    <t>グリンツ2</t>
  </si>
  <si>
    <t>グリンツ3</t>
  </si>
  <si>
    <t>グリンツ4</t>
  </si>
  <si>
    <t>水晶1</t>
    <rPh sb="0" eb="2">
      <t>スイショウ</t>
    </rPh>
    <phoneticPr fontId="1"/>
  </si>
  <si>
    <t>水晶2</t>
    <rPh sb="0" eb="2">
      <t>スイショウ</t>
    </rPh>
    <phoneticPr fontId="1"/>
  </si>
  <si>
    <t>水晶3</t>
    <rPh sb="0" eb="2">
      <t>スイショウ</t>
    </rPh>
    <phoneticPr fontId="1"/>
  </si>
  <si>
    <t>水晶4</t>
    <rPh sb="0" eb="2">
      <t>スイショウ</t>
    </rPh>
    <phoneticPr fontId="1"/>
  </si>
  <si>
    <t>ペナイン森5</t>
    <rPh sb="4" eb="5">
      <t>モリ</t>
    </rPh>
    <phoneticPr fontId="1"/>
  </si>
  <si>
    <t>ステ+秘薬</t>
    <rPh sb="3" eb="5">
      <t>ヒヤク</t>
    </rPh>
    <phoneticPr fontId="1"/>
  </si>
  <si>
    <t>「+5」</t>
    <phoneticPr fontId="1"/>
  </si>
  <si>
    <t>「+10」</t>
    <phoneticPr fontId="1"/>
  </si>
  <si>
    <t>「+15」</t>
    <phoneticPr fontId="1"/>
  </si>
  <si>
    <t>「+50」</t>
    <phoneticPr fontId="1"/>
  </si>
  <si>
    <t>選択された装備</t>
    <rPh sb="0" eb="2">
      <t>センタク</t>
    </rPh>
    <rPh sb="5" eb="7">
      <t>ソウビ</t>
    </rPh>
    <phoneticPr fontId="1"/>
  </si>
  <si>
    <t>追憶ローブ（上魔）</t>
    <rPh sb="0" eb="2">
      <t>ツイオク</t>
    </rPh>
    <rPh sb="6" eb="7">
      <t>ジョウ</t>
    </rPh>
    <rPh sb="7" eb="8">
      <t>マ</t>
    </rPh>
    <phoneticPr fontId="1"/>
  </si>
  <si>
    <t>魔王の腕輪</t>
    <rPh sb="0" eb="2">
      <t>マオウ</t>
    </rPh>
    <rPh sb="3" eb="5">
      <t>ウデワ</t>
    </rPh>
    <phoneticPr fontId="1"/>
  </si>
  <si>
    <t>I14Dリン</t>
    <phoneticPr fontId="1"/>
  </si>
  <si>
    <t>猿靴</t>
    <rPh sb="0" eb="1">
      <t>サル</t>
    </rPh>
    <rPh sb="1" eb="2">
      <t>クツ</t>
    </rPh>
    <phoneticPr fontId="1"/>
  </si>
  <si>
    <t>風吹く港町</t>
    <rPh sb="0" eb="1">
      <t>カゼ</t>
    </rPh>
    <rPh sb="1" eb="2">
      <t>フ</t>
    </rPh>
    <rPh sb="3" eb="5">
      <t>ミナトマチ</t>
    </rPh>
    <phoneticPr fontId="1"/>
  </si>
  <si>
    <t>×</t>
  </si>
  <si>
    <t>スキル選択</t>
    <rPh sb="3" eb="5">
      <t>センタク</t>
    </rPh>
    <phoneticPr fontId="1"/>
  </si>
  <si>
    <t>FA</t>
    <phoneticPr fontId="1"/>
  </si>
  <si>
    <t>IM</t>
    <phoneticPr fontId="1"/>
  </si>
  <si>
    <t>LB</t>
    <phoneticPr fontId="1"/>
  </si>
  <si>
    <t>MB</t>
    <phoneticPr fontId="1"/>
  </si>
  <si>
    <t>IP</t>
    <phoneticPr fontId="1"/>
  </si>
  <si>
    <t>メテオ</t>
    <phoneticPr fontId="1"/>
  </si>
  <si>
    <t>アイシクル</t>
    <phoneticPr fontId="1"/>
  </si>
  <si>
    <t>IPS</t>
    <phoneticPr fontId="1"/>
  </si>
  <si>
    <t>IS</t>
    <phoneticPr fontId="1"/>
  </si>
  <si>
    <t>I</t>
    <phoneticPr fontId="1"/>
  </si>
  <si>
    <t>飛連破</t>
    <rPh sb="0" eb="1">
      <t>ヒ</t>
    </rPh>
    <rPh sb="1" eb="2">
      <t>レン</t>
    </rPh>
    <rPh sb="2" eb="3">
      <t>パ</t>
    </rPh>
    <phoneticPr fontId="1"/>
  </si>
  <si>
    <t>招雷剣</t>
    <rPh sb="0" eb="1">
      <t>ショウ</t>
    </rPh>
    <rPh sb="1" eb="2">
      <t>ライ</t>
    </rPh>
    <rPh sb="2" eb="3">
      <t>ケン</t>
    </rPh>
    <phoneticPr fontId="1"/>
  </si>
  <si>
    <t>爆</t>
    <rPh sb="0" eb="1">
      <t>バク</t>
    </rPh>
    <phoneticPr fontId="1"/>
  </si>
  <si>
    <t>SC</t>
    <phoneticPr fontId="1"/>
  </si>
  <si>
    <t>氷撃斬</t>
    <rPh sb="0" eb="1">
      <t>ヒョウ</t>
    </rPh>
    <rPh sb="1" eb="2">
      <t>ゲキ</t>
    </rPh>
    <rPh sb="2" eb="3">
      <t>ザン</t>
    </rPh>
    <phoneticPr fontId="1"/>
  </si>
  <si>
    <t>フローズンレイ</t>
    <phoneticPr fontId="1"/>
  </si>
  <si>
    <t>http://kumicyou.sakura.ne.jp/tw/old/index.html</t>
  </si>
  <si>
    <r>
      <rPr>
        <sz val="11"/>
        <color theme="1"/>
        <rFont val="ＭＳ Ｐゴシック"/>
        <family val="2"/>
        <charset val="128"/>
      </rPr>
      <t>スキル命中</t>
    </r>
    <rPh sb="3" eb="5">
      <t>メイチュウ</t>
    </rPh>
    <phoneticPr fontId="1"/>
  </si>
  <si>
    <t>ディレイ</t>
    <phoneticPr fontId="1"/>
  </si>
  <si>
    <t>頭</t>
    <rPh sb="0" eb="1">
      <t>アタマ</t>
    </rPh>
    <phoneticPr fontId="1"/>
  </si>
  <si>
    <t>背中</t>
    <rPh sb="0" eb="2">
      <t>セナカ</t>
    </rPh>
    <phoneticPr fontId="1"/>
  </si>
  <si>
    <t>SH</t>
    <phoneticPr fontId="1"/>
  </si>
  <si>
    <t>S</t>
    <phoneticPr fontId="1"/>
  </si>
  <si>
    <t>H</t>
    <phoneticPr fontId="1"/>
  </si>
  <si>
    <t>手裏剣打ち</t>
    <rPh sb="0" eb="3">
      <t>シュリケン</t>
    </rPh>
    <rPh sb="3" eb="4">
      <t>ウ</t>
    </rPh>
    <phoneticPr fontId="1"/>
  </si>
  <si>
    <t>心</t>
    <rPh sb="0" eb="1">
      <t>ココロ</t>
    </rPh>
    <phoneticPr fontId="1"/>
  </si>
  <si>
    <t>乱打</t>
    <rPh sb="0" eb="2">
      <t>ランダ</t>
    </rPh>
    <phoneticPr fontId="1"/>
  </si>
  <si>
    <t>スタカ</t>
    <phoneticPr fontId="1"/>
  </si>
  <si>
    <t>VI</t>
    <phoneticPr fontId="1"/>
  </si>
  <si>
    <t>選択されたスキルの命中</t>
    <rPh sb="0" eb="2">
      <t>センタク</t>
    </rPh>
    <rPh sb="9" eb="11">
      <t>メイチュウ</t>
    </rPh>
    <phoneticPr fontId="1"/>
  </si>
  <si>
    <t>選択されたスキルの倍率</t>
    <rPh sb="0" eb="2">
      <t>センタク</t>
    </rPh>
    <rPh sb="9" eb="11">
      <t>バイリツ</t>
    </rPh>
    <phoneticPr fontId="1"/>
  </si>
  <si>
    <t>選択されたスキルのディレイ</t>
    <rPh sb="0" eb="2">
      <t>センタク</t>
    </rPh>
    <phoneticPr fontId="1"/>
  </si>
  <si>
    <t>選択されたスキルの種類</t>
    <rPh sb="0" eb="2">
      <t>センタク</t>
    </rPh>
    <rPh sb="9" eb="11">
      <t>シュルイ</t>
    </rPh>
    <phoneticPr fontId="1"/>
  </si>
  <si>
    <t>なし</t>
  </si>
  <si>
    <t>装備</t>
    <rPh sb="0" eb="2">
      <t>ソウビ</t>
    </rPh>
    <phoneticPr fontId="1"/>
  </si>
  <si>
    <t>QUICK</t>
    <phoneticPr fontId="1"/>
  </si>
  <si>
    <t>狩場</t>
    <rPh sb="0" eb="2">
      <t>カリバ</t>
    </rPh>
    <phoneticPr fontId="1"/>
  </si>
  <si>
    <t>物理回避P</t>
    <rPh sb="0" eb="2">
      <t>ブツリ</t>
    </rPh>
    <rPh sb="2" eb="4">
      <t>カイヒ</t>
    </rPh>
    <phoneticPr fontId="1"/>
  </si>
  <si>
    <t>魔法回避P</t>
    <rPh sb="0" eb="2">
      <t>マホウ</t>
    </rPh>
    <rPh sb="2" eb="4">
      <t>カイヒ</t>
    </rPh>
    <phoneticPr fontId="1"/>
  </si>
  <si>
    <t>敵</t>
    <rPh sb="0" eb="1">
      <t>テキ</t>
    </rPh>
    <phoneticPr fontId="1"/>
  </si>
  <si>
    <t>ﾌﾟﾚｲﾔｰ</t>
    <phoneticPr fontId="1"/>
  </si>
  <si>
    <t>物理命中P</t>
    <rPh sb="0" eb="2">
      <t>ブツリ</t>
    </rPh>
    <rPh sb="2" eb="4">
      <t>メイチュウ</t>
    </rPh>
    <phoneticPr fontId="1"/>
  </si>
  <si>
    <t>魔法命中P</t>
    <rPh sb="0" eb="2">
      <t>マホウ</t>
    </rPh>
    <rPh sb="2" eb="4">
      <t>メイチュウ</t>
    </rPh>
    <phoneticPr fontId="1"/>
  </si>
  <si>
    <t>被弾率（％）</t>
    <rPh sb="0" eb="2">
      <t>ヒダン</t>
    </rPh>
    <rPh sb="2" eb="3">
      <t>リツ</t>
    </rPh>
    <phoneticPr fontId="1"/>
  </si>
  <si>
    <t>命中（％）</t>
    <rPh sb="0" eb="2">
      <t>メイチュウ</t>
    </rPh>
    <phoneticPr fontId="1"/>
  </si>
  <si>
    <t>酷寒1</t>
    <rPh sb="0" eb="2">
      <t>コッカン</t>
    </rPh>
    <phoneticPr fontId="1"/>
  </si>
  <si>
    <t>酷寒2</t>
    <rPh sb="0" eb="2">
      <t>コッカン</t>
    </rPh>
    <phoneticPr fontId="1"/>
  </si>
  <si>
    <t>酷寒3</t>
    <rPh sb="0" eb="2">
      <t>コッカン</t>
    </rPh>
    <phoneticPr fontId="1"/>
  </si>
  <si>
    <t>XD1</t>
    <phoneticPr fontId="1"/>
  </si>
  <si>
    <t>XD2</t>
    <phoneticPr fontId="1"/>
  </si>
  <si>
    <t>XD3</t>
  </si>
  <si>
    <t>XD4</t>
  </si>
  <si>
    <t>XD5</t>
  </si>
  <si>
    <t>海底1</t>
    <rPh sb="0" eb="2">
      <t>カイテイ</t>
    </rPh>
    <phoneticPr fontId="1"/>
  </si>
  <si>
    <t>海底2</t>
    <rPh sb="0" eb="2">
      <t>カイテイ</t>
    </rPh>
    <phoneticPr fontId="1"/>
  </si>
  <si>
    <t>海底3</t>
    <rPh sb="0" eb="2">
      <t>カイテイ</t>
    </rPh>
    <phoneticPr fontId="1"/>
  </si>
  <si>
    <t>海底1-2</t>
    <rPh sb="0" eb="2">
      <t>カイテイ</t>
    </rPh>
    <phoneticPr fontId="1"/>
  </si>
  <si>
    <t>海底2-1</t>
    <rPh sb="0" eb="2">
      <t>カイテイ</t>
    </rPh>
    <phoneticPr fontId="1"/>
  </si>
  <si>
    <t>紅玉1</t>
    <rPh sb="0" eb="2">
      <t>コウギョク</t>
    </rPh>
    <phoneticPr fontId="1"/>
  </si>
  <si>
    <t>紅玉2</t>
    <rPh sb="0" eb="2">
      <t>コウギョク</t>
    </rPh>
    <phoneticPr fontId="1"/>
  </si>
  <si>
    <t>紅玉3</t>
    <rPh sb="0" eb="2">
      <t>コウギョク</t>
    </rPh>
    <phoneticPr fontId="1"/>
  </si>
  <si>
    <t>紅玉4</t>
    <rPh sb="0" eb="2">
      <t>コウギョク</t>
    </rPh>
    <phoneticPr fontId="1"/>
  </si>
  <si>
    <t>シノプ1</t>
    <phoneticPr fontId="1"/>
  </si>
  <si>
    <t>シノプ2</t>
  </si>
  <si>
    <t>シノプ3</t>
  </si>
  <si>
    <t>シノプ4</t>
  </si>
  <si>
    <t>シノプ5</t>
  </si>
  <si>
    <t>シノプ6</t>
  </si>
  <si>
    <t>紅の林</t>
    <rPh sb="0" eb="1">
      <t>クレナイ</t>
    </rPh>
    <rPh sb="2" eb="3">
      <t>ハヤシ</t>
    </rPh>
    <phoneticPr fontId="1"/>
  </si>
  <si>
    <t>紅の道</t>
    <rPh sb="0" eb="1">
      <t>クレナイ</t>
    </rPh>
    <rPh sb="2" eb="3">
      <t>ミチ</t>
    </rPh>
    <phoneticPr fontId="1"/>
  </si>
  <si>
    <t>ケイレス1</t>
    <phoneticPr fontId="1"/>
  </si>
  <si>
    <t>ケイレス2</t>
  </si>
  <si>
    <t>黄金砂の遺跡</t>
    <rPh sb="0" eb="2">
      <t>オウゴン</t>
    </rPh>
    <rPh sb="2" eb="3">
      <t>スナ</t>
    </rPh>
    <rPh sb="4" eb="6">
      <t>イセキ</t>
    </rPh>
    <phoneticPr fontId="1"/>
  </si>
  <si>
    <t>砂漠の遺跡</t>
    <rPh sb="0" eb="2">
      <t>サバク</t>
    </rPh>
    <rPh sb="3" eb="5">
      <t>イセキ</t>
    </rPh>
    <phoneticPr fontId="1"/>
  </si>
  <si>
    <t>ピライオン1</t>
    <phoneticPr fontId="1"/>
  </si>
  <si>
    <t>ピライオン2</t>
  </si>
  <si>
    <t>ピライオン3</t>
  </si>
  <si>
    <t>ピライオン4</t>
  </si>
  <si>
    <t>呪われた墓地</t>
    <rPh sb="0" eb="1">
      <t>ノロ</t>
    </rPh>
    <rPh sb="4" eb="6">
      <t>ボチ</t>
    </rPh>
    <phoneticPr fontId="1"/>
  </si>
  <si>
    <t>鬼哭の城</t>
    <rPh sb="0" eb="1">
      <t>キ</t>
    </rPh>
    <rPh sb="1" eb="2">
      <t>コク</t>
    </rPh>
    <rPh sb="3" eb="4">
      <t>シロ</t>
    </rPh>
    <phoneticPr fontId="1"/>
  </si>
  <si>
    <t>予備2</t>
    <rPh sb="0" eb="2">
      <t>ヨビ</t>
    </rPh>
    <phoneticPr fontId="1"/>
  </si>
  <si>
    <t>予備3</t>
    <rPh sb="0" eb="2">
      <t>ヨビ</t>
    </rPh>
    <phoneticPr fontId="1"/>
  </si>
  <si>
    <t>予備4</t>
    <rPh sb="0" eb="2">
      <t>ヨビ</t>
    </rPh>
    <phoneticPr fontId="1"/>
  </si>
  <si>
    <t>予備5</t>
    <rPh sb="0" eb="2">
      <t>ヨビ</t>
    </rPh>
    <phoneticPr fontId="1"/>
  </si>
  <si>
    <t>予備6</t>
    <rPh sb="0" eb="2">
      <t>ヨビ</t>
    </rPh>
    <phoneticPr fontId="1"/>
  </si>
  <si>
    <t>予備7</t>
    <rPh sb="0" eb="2">
      <t>ヨビ</t>
    </rPh>
    <phoneticPr fontId="1"/>
  </si>
  <si>
    <t>予備8</t>
    <rPh sb="0" eb="2">
      <t>ヨビ</t>
    </rPh>
    <phoneticPr fontId="1"/>
  </si>
  <si>
    <t>予備9</t>
    <rPh sb="0" eb="2">
      <t>ヨビ</t>
    </rPh>
    <phoneticPr fontId="1"/>
  </si>
  <si>
    <t>予備18</t>
    <rPh sb="0" eb="2">
      <t>ヨビ</t>
    </rPh>
    <phoneticPr fontId="1"/>
  </si>
  <si>
    <t>予備19</t>
    <rPh sb="0" eb="2">
      <t>ヨビ</t>
    </rPh>
    <phoneticPr fontId="1"/>
  </si>
  <si>
    <t>予備20</t>
    <rPh sb="0" eb="2">
      <t>ヨビ</t>
    </rPh>
    <phoneticPr fontId="1"/>
  </si>
  <si>
    <t>予備21</t>
    <rPh sb="0" eb="2">
      <t>ヨビ</t>
    </rPh>
    <phoneticPr fontId="1"/>
  </si>
  <si>
    <t>予備22</t>
    <rPh sb="0" eb="2">
      <t>ヨビ</t>
    </rPh>
    <phoneticPr fontId="1"/>
  </si>
  <si>
    <t>予備23</t>
    <rPh sb="0" eb="2">
      <t>ヨビ</t>
    </rPh>
    <phoneticPr fontId="1"/>
  </si>
  <si>
    <t>予備24</t>
    <rPh sb="0" eb="2">
      <t>ヨビ</t>
    </rPh>
    <phoneticPr fontId="1"/>
  </si>
  <si>
    <t>予備25</t>
    <rPh sb="0" eb="2">
      <t>ヨビ</t>
    </rPh>
    <phoneticPr fontId="1"/>
  </si>
  <si>
    <t>予備26</t>
    <rPh sb="0" eb="2">
      <t>ヨビ</t>
    </rPh>
    <phoneticPr fontId="1"/>
  </si>
  <si>
    <t>予備27</t>
    <rPh sb="0" eb="2">
      <t>ヨビ</t>
    </rPh>
    <phoneticPr fontId="1"/>
  </si>
  <si>
    <t>予備28</t>
    <rPh sb="0" eb="2">
      <t>ヨビ</t>
    </rPh>
    <phoneticPr fontId="1"/>
  </si>
  <si>
    <t>予備29</t>
    <rPh sb="0" eb="2">
      <t>ヨビ</t>
    </rPh>
    <phoneticPr fontId="1"/>
  </si>
  <si>
    <t>予備30</t>
    <rPh sb="0" eb="2">
      <t>ヨビ</t>
    </rPh>
    <phoneticPr fontId="1"/>
  </si>
  <si>
    <t>予備31</t>
    <rPh sb="0" eb="2">
      <t>ヨビ</t>
    </rPh>
    <phoneticPr fontId="1"/>
  </si>
  <si>
    <t>予備32</t>
    <rPh sb="0" eb="2">
      <t>ヨビ</t>
    </rPh>
    <phoneticPr fontId="1"/>
  </si>
  <si>
    <t>予備33</t>
    <rPh sb="0" eb="2">
      <t>ヨビ</t>
    </rPh>
    <phoneticPr fontId="1"/>
  </si>
  <si>
    <t>予備34</t>
    <rPh sb="0" eb="2">
      <t>ヨビ</t>
    </rPh>
    <phoneticPr fontId="1"/>
  </si>
  <si>
    <t>予備35</t>
    <rPh sb="0" eb="2">
      <t>ヨビ</t>
    </rPh>
    <phoneticPr fontId="1"/>
  </si>
  <si>
    <t>予備36</t>
    <rPh sb="0" eb="2">
      <t>ヨビ</t>
    </rPh>
    <phoneticPr fontId="1"/>
  </si>
  <si>
    <t>予備37</t>
    <rPh sb="0" eb="2">
      <t>ヨビ</t>
    </rPh>
    <phoneticPr fontId="1"/>
  </si>
  <si>
    <t>予備38</t>
    <rPh sb="0" eb="2">
      <t>ヨビ</t>
    </rPh>
    <phoneticPr fontId="1"/>
  </si>
  <si>
    <t>予備39</t>
    <rPh sb="0" eb="2">
      <t>ヨビ</t>
    </rPh>
    <phoneticPr fontId="1"/>
  </si>
  <si>
    <t>命中計算</t>
    <rPh sb="0" eb="2">
      <t>メイチュウ</t>
    </rPh>
    <rPh sb="2" eb="4">
      <t>ケイサン</t>
    </rPh>
    <phoneticPr fontId="1"/>
  </si>
  <si>
    <t>選択された命中</t>
    <rPh sb="0" eb="2">
      <t>センタク</t>
    </rPh>
    <rPh sb="5" eb="7">
      <t>メイチュウ</t>
    </rPh>
    <phoneticPr fontId="1"/>
  </si>
  <si>
    <t>物理か魔法か？</t>
    <rPh sb="0" eb="2">
      <t>ブツリ</t>
    </rPh>
    <rPh sb="3" eb="5">
      <t>マホウ</t>
    </rPh>
    <phoneticPr fontId="1"/>
  </si>
  <si>
    <t>回避計算</t>
    <rPh sb="0" eb="2">
      <t>カイヒ</t>
    </rPh>
    <rPh sb="2" eb="4">
      <t>ケイサン</t>
    </rPh>
    <phoneticPr fontId="1"/>
  </si>
  <si>
    <t>的中or集中</t>
    <rPh sb="0" eb="2">
      <t>テキチュウ</t>
    </rPh>
    <rPh sb="4" eb="6">
      <t>シュウチュウ</t>
    </rPh>
    <phoneticPr fontId="1"/>
  </si>
  <si>
    <t>Lｖ２</t>
  </si>
  <si>
    <t>Lｖ３</t>
  </si>
  <si>
    <t>Lｖ４</t>
  </si>
  <si>
    <t>Ｌｖ５</t>
    <phoneticPr fontId="1"/>
  </si>
  <si>
    <t>的中or集中</t>
    <rPh sb="0" eb="2">
      <t>テキチュウ</t>
    </rPh>
    <rPh sb="4" eb="6">
      <t>シュウチュウ</t>
    </rPh>
    <phoneticPr fontId="1"/>
  </si>
  <si>
    <t>Ｌｖ１or集中</t>
    <rPh sb="5" eb="7">
      <t>シュウチュウ</t>
    </rPh>
    <phoneticPr fontId="1"/>
  </si>
  <si>
    <t>Ｌｖ１or集中</t>
    <phoneticPr fontId="1"/>
  </si>
  <si>
    <t xml:space="preserve">前ディレイ＝物理・物魔 　30× 武器ディレイ - 5×STAB + HACK - 6× DEX - 6×合計敏捷度補正 </t>
  </si>
  <si>
    <t xml:space="preserve">前ディレイ＝魔 　　　　　　30× 武器ディレイ - 6×MR - 6×合計魔法防御力 </t>
  </si>
  <si>
    <t>ジョシュ虚無</t>
    <rPh sb="4" eb="6">
      <t>キョム</t>
    </rPh>
    <phoneticPr fontId="1"/>
  </si>
  <si>
    <t>武器ディレイ</t>
    <rPh sb="0" eb="2">
      <t>ブキ</t>
    </rPh>
    <phoneticPr fontId="1"/>
  </si>
  <si>
    <t>S14クリリン</t>
    <phoneticPr fontId="1"/>
  </si>
  <si>
    <t>海人</t>
    <rPh sb="0" eb="1">
      <t>ウミ</t>
    </rPh>
    <rPh sb="1" eb="2">
      <t>ビト</t>
    </rPh>
    <phoneticPr fontId="1"/>
  </si>
  <si>
    <t>Pラセ</t>
    <phoneticPr fontId="1"/>
  </si>
  <si>
    <t>河童靴</t>
    <rPh sb="0" eb="2">
      <t>カッパ</t>
    </rPh>
    <rPh sb="2" eb="3">
      <t>クツ</t>
    </rPh>
    <phoneticPr fontId="1"/>
  </si>
  <si>
    <t>GB</t>
    <phoneticPr fontId="1"/>
  </si>
  <si>
    <t>I</t>
    <phoneticPr fontId="1"/>
  </si>
  <si>
    <t>HI</t>
    <phoneticPr fontId="1"/>
  </si>
  <si>
    <t>影10Ｆ</t>
    <rPh sb="0" eb="1">
      <t>カゲ</t>
    </rPh>
    <phoneticPr fontId="1"/>
  </si>
  <si>
    <t>旧回避P</t>
    <rPh sb="0" eb="1">
      <t>キュウ</t>
    </rPh>
    <rPh sb="1" eb="3">
      <t>カイヒ</t>
    </rPh>
    <phoneticPr fontId="1"/>
  </si>
  <si>
    <t>敵</t>
    <rPh sb="0" eb="1">
      <t>テキ</t>
    </rPh>
    <phoneticPr fontId="1"/>
  </si>
  <si>
    <t>ﾌﾟﾚｰﾔｰ</t>
    <phoneticPr fontId="1"/>
  </si>
  <si>
    <t>物理攻撃力</t>
    <rPh sb="0" eb="2">
      <t>ブツリ</t>
    </rPh>
    <rPh sb="2" eb="5">
      <t>コウゲキリョク</t>
    </rPh>
    <phoneticPr fontId="1"/>
  </si>
  <si>
    <t>魔法攻撃力</t>
    <rPh sb="0" eb="2">
      <t>マホウ</t>
    </rPh>
    <rPh sb="2" eb="5">
      <t>コウゲキリョク</t>
    </rPh>
    <phoneticPr fontId="1"/>
  </si>
  <si>
    <t>物理防御力</t>
    <rPh sb="0" eb="2">
      <t>ブツリ</t>
    </rPh>
    <rPh sb="2" eb="4">
      <t>ボウギョ</t>
    </rPh>
    <rPh sb="4" eb="5">
      <t>チカラ</t>
    </rPh>
    <phoneticPr fontId="1"/>
  </si>
  <si>
    <t>魔法防御力</t>
    <rPh sb="0" eb="2">
      <t>マホウ</t>
    </rPh>
    <rPh sb="2" eb="5">
      <t>ボウギョリョク</t>
    </rPh>
    <phoneticPr fontId="1"/>
  </si>
  <si>
    <t>魔攻‐魔防</t>
    <rPh sb="0" eb="1">
      <t>マ</t>
    </rPh>
    <rPh sb="1" eb="2">
      <t>コウ</t>
    </rPh>
    <rPh sb="3" eb="4">
      <t>マ</t>
    </rPh>
    <rPh sb="4" eb="5">
      <t>ボウ</t>
    </rPh>
    <phoneticPr fontId="1"/>
  </si>
  <si>
    <t>S</t>
    <phoneticPr fontId="1"/>
  </si>
  <si>
    <t>H</t>
    <phoneticPr fontId="1"/>
  </si>
  <si>
    <t>SH</t>
    <phoneticPr fontId="1"/>
  </si>
  <si>
    <t>SI</t>
    <phoneticPr fontId="1"/>
  </si>
  <si>
    <t>パルーダ</t>
    <phoneticPr fontId="1"/>
  </si>
  <si>
    <t>黒霧</t>
    <rPh sb="0" eb="1">
      <t>クロ</t>
    </rPh>
    <rPh sb="1" eb="2">
      <t>キリ</t>
    </rPh>
    <phoneticPr fontId="1"/>
  </si>
  <si>
    <t>I</t>
    <phoneticPr fontId="1"/>
  </si>
  <si>
    <t>A10回避</t>
    <rPh sb="3" eb="5">
      <t>カイヒ</t>
    </rPh>
    <phoneticPr fontId="1"/>
  </si>
  <si>
    <t>影の塔31F</t>
    <rPh sb="0" eb="1">
      <t>カゲ</t>
    </rPh>
    <rPh sb="2" eb="3">
      <t>トウ</t>
    </rPh>
    <phoneticPr fontId="1"/>
  </si>
  <si>
    <t>被ダメ比較用</t>
    <rPh sb="0" eb="1">
      <t>ヒ</t>
    </rPh>
    <rPh sb="3" eb="5">
      <t>ヒカク</t>
    </rPh>
    <rPh sb="5" eb="6">
      <t>ヨウ</t>
    </rPh>
    <phoneticPr fontId="1"/>
  </si>
  <si>
    <t>水晶</t>
    <rPh sb="0" eb="2">
      <t>スイショウ</t>
    </rPh>
    <phoneticPr fontId="1"/>
  </si>
  <si>
    <t>アベル</t>
    <phoneticPr fontId="1"/>
  </si>
  <si>
    <t>角兜</t>
    <rPh sb="0" eb="1">
      <t>ツノ</t>
    </rPh>
    <rPh sb="1" eb="2">
      <t>カブト</t>
    </rPh>
    <phoneticPr fontId="1"/>
  </si>
  <si>
    <t>ｺﾞｰｽﾄﾊﾝﾀｰ</t>
    <phoneticPr fontId="1"/>
  </si>
  <si>
    <t>シャムターバン</t>
    <phoneticPr fontId="1"/>
  </si>
  <si>
    <t>白フクロウ</t>
    <rPh sb="0" eb="1">
      <t>シロ</t>
    </rPh>
    <phoneticPr fontId="1"/>
  </si>
  <si>
    <t>バーサーカー</t>
    <phoneticPr fontId="1"/>
  </si>
  <si>
    <t>MS</t>
    <phoneticPr fontId="1"/>
  </si>
  <si>
    <t>S</t>
    <phoneticPr fontId="1"/>
  </si>
  <si>
    <t>SF6</t>
    <phoneticPr fontId="1"/>
  </si>
  <si>
    <t>S21物理弾倉</t>
    <rPh sb="3" eb="5">
      <t>ブツリ</t>
    </rPh>
    <rPh sb="5" eb="6">
      <t>ダン</t>
    </rPh>
    <rPh sb="6" eb="7">
      <t>クラ</t>
    </rPh>
    <phoneticPr fontId="1"/>
  </si>
  <si>
    <t>215大剣</t>
    <rPh sb="3" eb="4">
      <t>オオ</t>
    </rPh>
    <rPh sb="4" eb="5">
      <t>ケン</t>
    </rPh>
    <phoneticPr fontId="1"/>
  </si>
  <si>
    <t>なし</t>
    <phoneticPr fontId="1"/>
  </si>
  <si>
    <t>X19A28</t>
    <phoneticPr fontId="1"/>
  </si>
  <si>
    <t>旅人の靴</t>
    <rPh sb="0" eb="2">
      <t>タビビト</t>
    </rPh>
    <rPh sb="3" eb="4">
      <t>クツ</t>
    </rPh>
    <phoneticPr fontId="1"/>
  </si>
  <si>
    <t>ピュリヘル</t>
    <phoneticPr fontId="1"/>
  </si>
  <si>
    <t>MIS</t>
    <phoneticPr fontId="1"/>
  </si>
  <si>
    <t>AD1</t>
    <phoneticPr fontId="1"/>
  </si>
  <si>
    <t>AD2</t>
    <phoneticPr fontId="1"/>
  </si>
  <si>
    <t>200ﾜﾝﾄﾞ</t>
    <phoneticPr fontId="1"/>
  </si>
  <si>
    <t>蒼穹ローブ</t>
    <rPh sb="0" eb="2">
      <t>ソウキュウ</t>
    </rPh>
    <phoneticPr fontId="1"/>
  </si>
  <si>
    <t>蒼穹のシューズ</t>
    <rPh sb="0" eb="2">
      <t>ソウキュウ</t>
    </rPh>
    <phoneticPr fontId="1"/>
  </si>
  <si>
    <t>I26ウィンキー</t>
    <phoneticPr fontId="1"/>
  </si>
  <si>
    <t>190ワンド</t>
    <phoneticPr fontId="1"/>
  </si>
  <si>
    <t>法師靴</t>
    <rPh sb="0" eb="2">
      <t>ホウシ</t>
    </rPh>
    <rPh sb="2" eb="3">
      <t>クツ</t>
    </rPh>
    <phoneticPr fontId="1"/>
  </si>
  <si>
    <t>尻尾王子</t>
    <rPh sb="0" eb="2">
      <t>シッポ</t>
    </rPh>
    <rPh sb="2" eb="4">
      <t>オウジ</t>
    </rPh>
    <phoneticPr fontId="1"/>
  </si>
  <si>
    <t>水晶1-2</t>
    <rPh sb="0" eb="2">
      <t>スイショウ</t>
    </rPh>
    <phoneticPr fontId="1"/>
  </si>
  <si>
    <t>P護符</t>
    <rPh sb="1" eb="3">
      <t>ゴフ</t>
    </rPh>
    <phoneticPr fontId="1"/>
  </si>
  <si>
    <t>なし</t>
    <phoneticPr fontId="1"/>
  </si>
  <si>
    <t>クレージー</t>
    <phoneticPr fontId="1"/>
  </si>
  <si>
    <t>H</t>
    <phoneticPr fontId="1"/>
  </si>
  <si>
    <t>カード</t>
    <phoneticPr fontId="1"/>
  </si>
  <si>
    <t>SH</t>
    <phoneticPr fontId="1"/>
  </si>
  <si>
    <t>F</t>
    <phoneticPr fontId="1"/>
  </si>
  <si>
    <t>M</t>
    <phoneticPr fontId="1"/>
  </si>
  <si>
    <t>175刀</t>
    <rPh sb="3" eb="4">
      <t>カタナ</t>
    </rPh>
    <phoneticPr fontId="1"/>
  </si>
  <si>
    <t>サンファム</t>
    <phoneticPr fontId="1"/>
  </si>
  <si>
    <t>WXC</t>
    <phoneticPr fontId="1"/>
  </si>
  <si>
    <t>SH</t>
    <phoneticPr fontId="1"/>
  </si>
  <si>
    <t>名称</t>
    <rPh sb="0" eb="2">
      <t>メイショウ</t>
    </rPh>
    <phoneticPr fontId="1"/>
  </si>
  <si>
    <t>ＮＰ</t>
    <phoneticPr fontId="1"/>
  </si>
  <si>
    <t>個数</t>
    <rPh sb="0" eb="2">
      <t>コスウ</t>
    </rPh>
    <phoneticPr fontId="1"/>
  </si>
  <si>
    <t>NP/SEED</t>
    <phoneticPr fontId="1"/>
  </si>
  <si>
    <t>キツネ(セット効果付き)</t>
    <rPh sb="7" eb="9">
      <t>コウカ</t>
    </rPh>
    <rPh sb="9" eb="10">
      <t>ツ</t>
    </rPh>
    <phoneticPr fontId="1"/>
  </si>
  <si>
    <t>VS</t>
    <phoneticPr fontId="1"/>
  </si>
  <si>
    <t>EB</t>
    <phoneticPr fontId="1"/>
  </si>
  <si>
    <t>I</t>
    <phoneticPr fontId="1"/>
  </si>
  <si>
    <t>62盾</t>
    <rPh sb="2" eb="3">
      <t>タテ</t>
    </rPh>
    <phoneticPr fontId="1"/>
  </si>
  <si>
    <t>175魔杖</t>
    <rPh sb="3" eb="4">
      <t>マ</t>
    </rPh>
    <rPh sb="4" eb="5">
      <t>ジョウ</t>
    </rPh>
    <phoneticPr fontId="1"/>
  </si>
  <si>
    <t>125護符</t>
    <rPh sb="3" eb="5">
      <t>ゴフ</t>
    </rPh>
    <phoneticPr fontId="1"/>
  </si>
  <si>
    <t>FB</t>
    <phoneticPr fontId="1"/>
  </si>
  <si>
    <t>I</t>
    <phoneticPr fontId="1"/>
  </si>
  <si>
    <t>165聖杖</t>
    <rPh sb="3" eb="4">
      <t>セイ</t>
    </rPh>
    <rPh sb="4" eb="5">
      <t>ジョウ</t>
    </rPh>
    <phoneticPr fontId="1"/>
  </si>
  <si>
    <t>215ローブ</t>
    <phoneticPr fontId="1"/>
  </si>
  <si>
    <t>I17次元</t>
    <rPh sb="3" eb="5">
      <t>ジゲン</t>
    </rPh>
    <phoneticPr fontId="1"/>
  </si>
  <si>
    <t>法師冠</t>
    <rPh sb="0" eb="2">
      <t>ホウシ</t>
    </rPh>
    <rPh sb="2" eb="3">
      <t>カンムリ</t>
    </rPh>
    <phoneticPr fontId="1"/>
  </si>
  <si>
    <t>しあくつ</t>
    <phoneticPr fontId="1"/>
  </si>
  <si>
    <t>蒼窮スモソ</t>
    <rPh sb="0" eb="1">
      <t>ソウ</t>
    </rPh>
    <rPh sb="1" eb="2">
      <t>キュウ</t>
    </rPh>
    <phoneticPr fontId="1"/>
  </si>
  <si>
    <t>追憶ヘルム</t>
    <rPh sb="0" eb="2">
      <t>ツイオク</t>
    </rPh>
    <phoneticPr fontId="1"/>
  </si>
  <si>
    <t>追憶小手</t>
    <rPh sb="0" eb="2">
      <t>ツイオク</t>
    </rPh>
    <rPh sb="2" eb="4">
      <t>コテ</t>
    </rPh>
    <phoneticPr fontId="1"/>
  </si>
  <si>
    <t>追憶Hブーツ</t>
    <rPh sb="0" eb="2">
      <t>ツイオク</t>
    </rPh>
    <phoneticPr fontId="1"/>
  </si>
  <si>
    <t>F12必勝</t>
    <rPh sb="3" eb="5">
      <t>ヒッショウ</t>
    </rPh>
    <phoneticPr fontId="1"/>
  </si>
  <si>
    <t>破壊王</t>
    <rPh sb="0" eb="2">
      <t>ハカイ</t>
    </rPh>
    <rPh sb="2" eb="3">
      <t>オウ</t>
    </rPh>
    <phoneticPr fontId="1"/>
  </si>
  <si>
    <t>太陽の盾</t>
    <rPh sb="0" eb="2">
      <t>タイヨウ</t>
    </rPh>
    <rPh sb="3" eb="4">
      <t>タテ</t>
    </rPh>
    <phoneticPr fontId="1"/>
  </si>
  <si>
    <t>魔王</t>
    <rPh sb="0" eb="2">
      <t>マオウ</t>
    </rPh>
    <phoneticPr fontId="1"/>
  </si>
  <si>
    <t>猿</t>
    <rPh sb="0" eb="1">
      <t>サル</t>
    </rPh>
    <phoneticPr fontId="1"/>
  </si>
  <si>
    <t>S12虎</t>
    <rPh sb="3" eb="4">
      <t>トラ</t>
    </rPh>
    <phoneticPr fontId="1"/>
  </si>
  <si>
    <t>S17海賊</t>
    <rPh sb="3" eb="5">
      <t>カイゾク</t>
    </rPh>
    <phoneticPr fontId="1"/>
  </si>
  <si>
    <t>クリ率</t>
    <rPh sb="2" eb="3">
      <t>リツ</t>
    </rPh>
    <phoneticPr fontId="1"/>
  </si>
  <si>
    <t>サンバス湾</t>
    <rPh sb="4" eb="5">
      <t>ワン</t>
    </rPh>
    <phoneticPr fontId="1"/>
  </si>
  <si>
    <t>合計ダメージ</t>
    <rPh sb="0" eb="2">
      <t>ゴウケイ</t>
    </rPh>
    <phoneticPr fontId="1"/>
  </si>
  <si>
    <t>S19S魔鎧</t>
    <rPh sb="4" eb="5">
      <t>マ</t>
    </rPh>
    <rPh sb="5" eb="6">
      <t>ヨロイ</t>
    </rPh>
    <phoneticPr fontId="1"/>
  </si>
  <si>
    <t>クリ倍率</t>
    <rPh sb="2" eb="4">
      <t>バイリツ</t>
    </rPh>
    <phoneticPr fontId="1"/>
  </si>
  <si>
    <t>影40F</t>
    <rPh sb="0" eb="1">
      <t>カゲ</t>
    </rPh>
    <phoneticPr fontId="1"/>
  </si>
  <si>
    <t>[（ステ攻撃力＋3×DEX）÷18]＋1</t>
  </si>
  <si>
    <t>I20S魔鎧</t>
    <rPh sb="4" eb="5">
      <t>マ</t>
    </rPh>
    <rPh sb="5" eb="6">
      <t>ヨロイ</t>
    </rPh>
    <phoneticPr fontId="1"/>
  </si>
  <si>
    <t>めがね</t>
    <phoneticPr fontId="1"/>
  </si>
  <si>
    <t>カマキリ</t>
    <phoneticPr fontId="1"/>
  </si>
  <si>
    <t>クリ5回中</t>
    <rPh sb="3" eb="5">
      <t>カイチュウ</t>
    </rPh>
    <phoneticPr fontId="1"/>
  </si>
  <si>
    <t>なでしこ</t>
    <phoneticPr fontId="1"/>
  </si>
  <si>
    <t>蒼窮服</t>
    <rPh sb="0" eb="1">
      <t>ソウ</t>
    </rPh>
    <rPh sb="1" eb="2">
      <t>キュウ</t>
    </rPh>
    <rPh sb="2" eb="3">
      <t>フク</t>
    </rPh>
    <phoneticPr fontId="1"/>
  </si>
  <si>
    <t>蒼穹物銃</t>
    <rPh sb="0" eb="2">
      <t>ソウキュウ</t>
    </rPh>
    <rPh sb="2" eb="3">
      <t>モノ</t>
    </rPh>
    <rPh sb="3" eb="4">
      <t>ジュウ</t>
    </rPh>
    <phoneticPr fontId="1"/>
  </si>
  <si>
    <t>蒼穹魔銃</t>
    <rPh sb="0" eb="2">
      <t>ソウキュウ</t>
    </rPh>
    <rPh sb="2" eb="3">
      <t>マ</t>
    </rPh>
    <rPh sb="3" eb="4">
      <t>ジュウ</t>
    </rPh>
    <phoneticPr fontId="1"/>
  </si>
  <si>
    <t>血帽子</t>
    <rPh sb="0" eb="1">
      <t>チ</t>
    </rPh>
    <rPh sb="1" eb="3">
      <t>ボウシ</t>
    </rPh>
    <phoneticPr fontId="1"/>
  </si>
  <si>
    <t>クリブロ</t>
    <phoneticPr fontId="1"/>
  </si>
  <si>
    <t>I37本</t>
    <rPh sb="3" eb="4">
      <t>ホン</t>
    </rPh>
    <phoneticPr fontId="1"/>
  </si>
  <si>
    <t>クリリン</t>
    <phoneticPr fontId="1"/>
  </si>
  <si>
    <t>ｳｨｯﾄｼﾝｸ</t>
    <phoneticPr fontId="1"/>
  </si>
  <si>
    <t>デモニ</t>
    <phoneticPr fontId="1"/>
  </si>
  <si>
    <t>儲けNP</t>
    <rPh sb="0" eb="1">
      <t>モウ</t>
    </rPh>
    <phoneticPr fontId="1"/>
  </si>
  <si>
    <t>魔石</t>
    <rPh sb="0" eb="1">
      <t>マ</t>
    </rPh>
    <rPh sb="1" eb="2">
      <t>セキ</t>
    </rPh>
    <phoneticPr fontId="1"/>
  </si>
  <si>
    <t>ＳＥＥＤ(m)</t>
    <phoneticPr fontId="1"/>
  </si>
  <si>
    <t>セイラブレス</t>
    <phoneticPr fontId="1"/>
  </si>
  <si>
    <t>5.95*$E$18+1.05*</t>
  </si>
  <si>
    <t>装備１</t>
    <rPh sb="0" eb="2">
      <t>ソウビ</t>
    </rPh>
    <phoneticPr fontId="1"/>
  </si>
  <si>
    <t>装備2</t>
    <rPh sb="0" eb="2">
      <t>ソウビ</t>
    </rPh>
    <phoneticPr fontId="1"/>
  </si>
  <si>
    <t>I</t>
    <phoneticPr fontId="1"/>
  </si>
  <si>
    <t>M</t>
    <phoneticPr fontId="1"/>
  </si>
  <si>
    <t>攻撃力</t>
    <rPh sb="0" eb="3">
      <t>コウゲキリョク</t>
    </rPh>
    <phoneticPr fontId="1"/>
  </si>
  <si>
    <t>クノ</t>
    <phoneticPr fontId="1"/>
  </si>
  <si>
    <t>蒼穹の魔導師</t>
    <rPh sb="0" eb="2">
      <t>ソウキュウ</t>
    </rPh>
    <rPh sb="3" eb="4">
      <t>マ</t>
    </rPh>
    <rPh sb="4" eb="6">
      <t>ドウシ</t>
    </rPh>
    <phoneticPr fontId="1"/>
  </si>
  <si>
    <t>魔封面</t>
    <rPh sb="0" eb="1">
      <t>マ</t>
    </rPh>
    <rPh sb="1" eb="2">
      <t>フウ</t>
    </rPh>
    <rPh sb="2" eb="3">
      <t>メン</t>
    </rPh>
    <phoneticPr fontId="1"/>
  </si>
  <si>
    <t>法師ジュズ</t>
    <rPh sb="0" eb="2">
      <t>ホウシ</t>
    </rPh>
    <phoneticPr fontId="1"/>
  </si>
  <si>
    <t>I15虎</t>
    <rPh sb="3" eb="4">
      <t>トラ</t>
    </rPh>
    <phoneticPr fontId="1"/>
  </si>
  <si>
    <t>ディレイ率</t>
    <rPh sb="4" eb="5">
      <t>リツ</t>
    </rPh>
    <phoneticPr fontId="1"/>
  </si>
  <si>
    <t>キツネ</t>
    <phoneticPr fontId="1"/>
  </si>
  <si>
    <t>クリ</t>
  </si>
  <si>
    <t>CB</t>
    <phoneticPr fontId="1"/>
  </si>
  <si>
    <t>SH</t>
    <phoneticPr fontId="1"/>
  </si>
  <si>
    <t>合計</t>
    <rPh sb="0" eb="2">
      <t>ゴウケイ</t>
    </rPh>
    <phoneticPr fontId="1"/>
  </si>
  <si>
    <t>平均与ダメ</t>
    <rPh sb="0" eb="2">
      <t>ヘイキン</t>
    </rPh>
    <rPh sb="2" eb="3">
      <t>ヨ</t>
    </rPh>
    <phoneticPr fontId="1"/>
  </si>
  <si>
    <t>期待値合計ダメージ</t>
    <rPh sb="0" eb="3">
      <t>キタイチ</t>
    </rPh>
    <rPh sb="3" eb="5">
      <t>ゴウケイ</t>
    </rPh>
    <phoneticPr fontId="1"/>
  </si>
  <si>
    <t>魔王靴</t>
    <rPh sb="0" eb="2">
      <t>マオウ</t>
    </rPh>
    <rPh sb="2" eb="3">
      <t>クツ</t>
    </rPh>
    <phoneticPr fontId="1"/>
  </si>
  <si>
    <t>ドラム</t>
    <phoneticPr fontId="1"/>
  </si>
  <si>
    <t>α羽</t>
    <rPh sb="1" eb="2">
      <t>バネ</t>
    </rPh>
    <phoneticPr fontId="1"/>
  </si>
  <si>
    <t>I8デモニ</t>
    <phoneticPr fontId="1"/>
  </si>
  <si>
    <t>I8京劇</t>
    <rPh sb="2" eb="4">
      <t>キョウゲキ</t>
    </rPh>
    <phoneticPr fontId="1"/>
  </si>
  <si>
    <t>Ｈ１5マルシア</t>
    <phoneticPr fontId="1"/>
  </si>
  <si>
    <t>盟約</t>
    <rPh sb="0" eb="2">
      <t>メイヤク</t>
    </rPh>
    <phoneticPr fontId="1"/>
  </si>
  <si>
    <t>ＮＰ</t>
    <phoneticPr fontId="1"/>
  </si>
  <si>
    <t>ＳＥＥＤ（ｍ）</t>
    <phoneticPr fontId="1"/>
  </si>
  <si>
    <t>販売価格</t>
    <rPh sb="0" eb="2">
      <t>ハンバイ</t>
    </rPh>
    <rPh sb="2" eb="4">
      <t>カカク</t>
    </rPh>
    <phoneticPr fontId="1"/>
  </si>
  <si>
    <t>利益</t>
    <rPh sb="0" eb="2">
      <t>リエキ</t>
    </rPh>
    <phoneticPr fontId="1"/>
  </si>
  <si>
    <t>自分の手元に来るお金</t>
    <rPh sb="0" eb="2">
      <t>ジブン</t>
    </rPh>
    <rPh sb="3" eb="5">
      <t>テモト</t>
    </rPh>
    <rPh sb="6" eb="7">
      <t>ク</t>
    </rPh>
    <rPh sb="9" eb="10">
      <t>カネ</t>
    </rPh>
    <phoneticPr fontId="1"/>
  </si>
  <si>
    <t>クノ羽</t>
    <rPh sb="2" eb="3">
      <t>ハネ</t>
    </rPh>
    <phoneticPr fontId="1"/>
  </si>
  <si>
    <t>チャージ</t>
    <phoneticPr fontId="1"/>
  </si>
  <si>
    <t>S4H13</t>
    <phoneticPr fontId="1"/>
  </si>
  <si>
    <t>X12命中</t>
    <rPh sb="3" eb="5">
      <t>メイチュウ</t>
    </rPh>
    <phoneticPr fontId="1"/>
  </si>
  <si>
    <t>プルート</t>
    <phoneticPr fontId="1"/>
  </si>
  <si>
    <t>チャクラナっコー</t>
    <phoneticPr fontId="1"/>
  </si>
  <si>
    <t>IF</t>
    <phoneticPr fontId="1"/>
  </si>
  <si>
    <t>グリッド</t>
    <phoneticPr fontId="1"/>
  </si>
  <si>
    <t>グラシア</t>
    <phoneticPr fontId="1"/>
  </si>
  <si>
    <t>ディレイ</t>
  </si>
  <si>
    <t>F74重鎧</t>
    <rPh sb="3" eb="4">
      <t>ジュウ</t>
    </rPh>
    <rPh sb="4" eb="5">
      <t>ヨロイ</t>
    </rPh>
    <phoneticPr fontId="1"/>
  </si>
  <si>
    <t>月花刀</t>
    <rPh sb="0" eb="1">
      <t>ゲツ</t>
    </rPh>
    <rPh sb="1" eb="2">
      <t>カ</t>
    </rPh>
    <rPh sb="2" eb="3">
      <t>トウ</t>
    </rPh>
    <phoneticPr fontId="1"/>
  </si>
  <si>
    <t>62魔鎧</t>
    <rPh sb="2" eb="3">
      <t>マ</t>
    </rPh>
    <rPh sb="3" eb="4">
      <t>ヨロイ</t>
    </rPh>
    <phoneticPr fontId="1"/>
  </si>
  <si>
    <t>短刀</t>
    <rPh sb="0" eb="2">
      <t>タントウ</t>
    </rPh>
    <phoneticPr fontId="1"/>
  </si>
  <si>
    <t>200短刀</t>
    <rPh sb="3" eb="5">
      <t>タントウ</t>
    </rPh>
    <phoneticPr fontId="1"/>
  </si>
  <si>
    <t>後ディレイ</t>
    <rPh sb="0" eb="1">
      <t>ゴ</t>
    </rPh>
    <phoneticPr fontId="1"/>
  </si>
  <si>
    <t>後ディレイ</t>
    <rPh sb="0" eb="1">
      <t>ゴ</t>
    </rPh>
    <phoneticPr fontId="1"/>
  </si>
  <si>
    <t>165スモソ</t>
    <phoneticPr fontId="1"/>
  </si>
  <si>
    <t>Ｗｸﾘﾑｿﾞﾝ魔鎧</t>
    <rPh sb="7" eb="8">
      <t>マ</t>
    </rPh>
    <rPh sb="8" eb="9">
      <t>ヨロイ</t>
    </rPh>
    <phoneticPr fontId="1"/>
  </si>
  <si>
    <t>ﾙﾍﾞﾁｪﾙｻｰﾍﾞﾙ</t>
    <phoneticPr fontId="1"/>
  </si>
  <si>
    <t>Ｍﾁﾝｸ</t>
    <phoneticPr fontId="1"/>
  </si>
  <si>
    <t>105バンド</t>
    <phoneticPr fontId="1"/>
  </si>
  <si>
    <t>マキシ</t>
    <phoneticPr fontId="1"/>
  </si>
  <si>
    <t>スティレット</t>
    <phoneticPr fontId="1"/>
  </si>
  <si>
    <t>215軽鎧</t>
    <rPh sb="3" eb="4">
      <t>ケイ</t>
    </rPh>
    <rPh sb="4" eb="5">
      <t>ヨロイ</t>
    </rPh>
    <phoneticPr fontId="1"/>
  </si>
  <si>
    <t>懐中時計</t>
    <rPh sb="0" eb="2">
      <t>カイチュウ</t>
    </rPh>
    <rPh sb="2" eb="4">
      <t>ドケイ</t>
    </rPh>
    <phoneticPr fontId="1"/>
  </si>
  <si>
    <t>選択された狩場</t>
    <rPh sb="0" eb="2">
      <t>センタク</t>
    </rPh>
    <rPh sb="5" eb="7">
      <t>カリバ</t>
    </rPh>
    <phoneticPr fontId="1"/>
  </si>
  <si>
    <t>会心</t>
    <rPh sb="0" eb="2">
      <t>カイシン</t>
    </rPh>
    <phoneticPr fontId="1"/>
  </si>
  <si>
    <t>ウィンキー</t>
    <phoneticPr fontId="1"/>
  </si>
  <si>
    <t>Dリン</t>
    <phoneticPr fontId="1"/>
  </si>
  <si>
    <t>190護符</t>
    <rPh sb="3" eb="5">
      <t>ゴフ</t>
    </rPh>
    <phoneticPr fontId="1"/>
  </si>
  <si>
    <t>魔封面</t>
    <rPh sb="0" eb="1">
      <t>マ</t>
    </rPh>
    <rPh sb="1" eb="2">
      <t>フウ</t>
    </rPh>
    <rPh sb="2" eb="3">
      <t>メン</t>
    </rPh>
    <phoneticPr fontId="1"/>
  </si>
  <si>
    <t>魔弾</t>
    <rPh sb="0" eb="1">
      <t>マ</t>
    </rPh>
    <rPh sb="1" eb="2">
      <t>ダン</t>
    </rPh>
    <phoneticPr fontId="1"/>
  </si>
  <si>
    <t>175鞭</t>
    <rPh sb="3" eb="4">
      <t>ムチ</t>
    </rPh>
    <phoneticPr fontId="1"/>
  </si>
  <si>
    <t>気合い</t>
    <rPh sb="0" eb="2">
      <t>キア</t>
    </rPh>
    <phoneticPr fontId="1"/>
  </si>
  <si>
    <t>魔王指輪</t>
    <rPh sb="0" eb="2">
      <t>マオウ</t>
    </rPh>
    <rPh sb="2" eb="4">
      <t>ユビワ</t>
    </rPh>
    <phoneticPr fontId="1"/>
  </si>
  <si>
    <t>ディオネ</t>
    <phoneticPr fontId="1"/>
  </si>
  <si>
    <t>I18京劇</t>
    <rPh sb="3" eb="5">
      <t>キョウゲキ</t>
    </rPh>
    <phoneticPr fontId="1"/>
  </si>
  <si>
    <t>ルベオーピア</t>
    <phoneticPr fontId="1"/>
  </si>
  <si>
    <t>215水晶</t>
    <rPh sb="3" eb="5">
      <t>スイショウ</t>
    </rPh>
    <phoneticPr fontId="1"/>
  </si>
  <si>
    <t>◎</t>
    <phoneticPr fontId="1"/>
  </si>
  <si>
    <t>河童腕輪</t>
    <rPh sb="0" eb="2">
      <t>カッパ</t>
    </rPh>
    <rPh sb="2" eb="4">
      <t>ウデワ</t>
    </rPh>
    <phoneticPr fontId="1"/>
  </si>
  <si>
    <t>河童靴</t>
    <rPh sb="0" eb="2">
      <t>カッパ</t>
    </rPh>
    <rPh sb="2" eb="3">
      <t>クツ</t>
    </rPh>
    <phoneticPr fontId="1"/>
  </si>
  <si>
    <t>西遊記鎧</t>
    <rPh sb="0" eb="3">
      <t>サイユウキ</t>
    </rPh>
    <rPh sb="3" eb="4">
      <t>ヨロイ</t>
    </rPh>
    <phoneticPr fontId="1"/>
  </si>
  <si>
    <t>選択された補助</t>
    <rPh sb="0" eb="2">
      <t>センタク</t>
    </rPh>
    <rPh sb="5" eb="7">
      <t>ホジョ</t>
    </rPh>
    <phoneticPr fontId="1"/>
  </si>
  <si>
    <t>AT</t>
    <phoneticPr fontId="1"/>
  </si>
  <si>
    <t>AP&amp;エコー&amp;魔法増幅</t>
    <rPh sb="7" eb="9">
      <t>マホウ</t>
    </rPh>
    <rPh sb="9" eb="11">
      <t>ゾウフク</t>
    </rPh>
    <phoneticPr fontId="1"/>
  </si>
  <si>
    <t>Rアビ</t>
    <phoneticPr fontId="1"/>
  </si>
  <si>
    <t>なし</t>
    <phoneticPr fontId="1"/>
  </si>
  <si>
    <t>I強化羽</t>
    <rPh sb="1" eb="3">
      <t>キョウカ</t>
    </rPh>
    <rPh sb="3" eb="4">
      <t>バネ</t>
    </rPh>
    <phoneticPr fontId="1"/>
  </si>
  <si>
    <t>I25パルーダ</t>
    <phoneticPr fontId="1"/>
  </si>
  <si>
    <t>M20海手</t>
    <rPh sb="3" eb="4">
      <t>ウミ</t>
    </rPh>
    <rPh sb="4" eb="5">
      <t>テ</t>
    </rPh>
    <phoneticPr fontId="1"/>
  </si>
  <si>
    <t>コンボ平均</t>
    <rPh sb="3" eb="5">
      <t>ヘイキン</t>
    </rPh>
    <phoneticPr fontId="1"/>
  </si>
  <si>
    <t>合計</t>
    <rPh sb="0" eb="2">
      <t>ゴウケイ</t>
    </rPh>
    <phoneticPr fontId="1"/>
  </si>
  <si>
    <t>コンボ期待値</t>
    <rPh sb="3" eb="6">
      <t>キタイチ</t>
    </rPh>
    <phoneticPr fontId="1"/>
  </si>
  <si>
    <t>選択されたアビ</t>
    <rPh sb="0" eb="2">
      <t>センタク</t>
    </rPh>
    <phoneticPr fontId="1"/>
  </si>
  <si>
    <t>ｸﾘﾑ蒼穹銃</t>
    <rPh sb="3" eb="5">
      <t>ソウキュウ</t>
    </rPh>
    <rPh sb="5" eb="6">
      <t>ジュウ</t>
    </rPh>
    <phoneticPr fontId="1"/>
  </si>
  <si>
    <t>M26海手</t>
    <rPh sb="3" eb="5">
      <t>ウミテ</t>
    </rPh>
    <phoneticPr fontId="1"/>
  </si>
  <si>
    <t>I17虎</t>
    <rPh sb="3" eb="4">
      <t>トラ</t>
    </rPh>
    <phoneticPr fontId="1"/>
  </si>
  <si>
    <t>+</t>
    <phoneticPr fontId="1"/>
  </si>
  <si>
    <t>Wｸﾘﾑ220魔銃</t>
    <rPh sb="7" eb="8">
      <t>マ</t>
    </rPh>
    <rPh sb="8" eb="9">
      <t>ジュウ</t>
    </rPh>
    <phoneticPr fontId="1"/>
  </si>
  <si>
    <t>"+4"</t>
    <phoneticPr fontId="1"/>
  </si>
  <si>
    <t>175物理銃</t>
    <rPh sb="3" eb="5">
      <t>ブツリ</t>
    </rPh>
    <rPh sb="5" eb="6">
      <t>ジュウ</t>
    </rPh>
    <phoneticPr fontId="1"/>
  </si>
  <si>
    <t>I31パルーダ</t>
    <phoneticPr fontId="1"/>
  </si>
  <si>
    <t>虎の巻</t>
    <rPh sb="0" eb="1">
      <t>トラ</t>
    </rPh>
    <rPh sb="2" eb="3">
      <t>マキ</t>
    </rPh>
    <phoneticPr fontId="1"/>
  </si>
  <si>
    <t>王室認定師匠</t>
  </si>
  <si>
    <t>蒼穹の守護魔道師</t>
  </si>
  <si>
    <t>クノーヘンのＨＰ</t>
    <phoneticPr fontId="1"/>
  </si>
  <si>
    <t>コンボ期待値</t>
    <rPh sb="3" eb="6">
      <t>キタイチ</t>
    </rPh>
    <phoneticPr fontId="1"/>
  </si>
  <si>
    <t>ランジ</t>
    <phoneticPr fontId="1"/>
  </si>
  <si>
    <t>助手</t>
    <rPh sb="0" eb="2">
      <t>ジョシュ</t>
    </rPh>
    <phoneticPr fontId="1"/>
  </si>
  <si>
    <t>ｽｷﾙﾓｰｼｮﾝ</t>
    <phoneticPr fontId="1"/>
  </si>
  <si>
    <t>通常ﾓｰｼｮﾝ</t>
    <rPh sb="0" eb="2">
      <t>ツウジョウ</t>
    </rPh>
    <phoneticPr fontId="1"/>
  </si>
  <si>
    <t>クリック含め</t>
    <rPh sb="4" eb="5">
      <t>フク</t>
    </rPh>
    <phoneticPr fontId="1"/>
  </si>
  <si>
    <t>討伐にかかる時間</t>
    <rPh sb="0" eb="2">
      <t>トウバツ</t>
    </rPh>
    <rPh sb="6" eb="8">
      <t>ジカン</t>
    </rPh>
    <phoneticPr fontId="1"/>
  </si>
  <si>
    <t>コンボ数</t>
    <rPh sb="3" eb="4">
      <t>スウ</t>
    </rPh>
    <phoneticPr fontId="1"/>
  </si>
  <si>
    <t>s</t>
    <phoneticPr fontId="1"/>
  </si>
  <si>
    <t>ＧＢ期待値平均</t>
    <rPh sb="2" eb="5">
      <t>キタイチ</t>
    </rPh>
    <rPh sb="5" eb="7">
      <t>ヘイキン</t>
    </rPh>
    <phoneticPr fontId="1"/>
  </si>
  <si>
    <t>追憶魔銃</t>
    <rPh sb="0" eb="2">
      <t>ツイオク</t>
    </rPh>
    <rPh sb="2" eb="3">
      <t>マ</t>
    </rPh>
    <rPh sb="3" eb="4">
      <t>ジュウ</t>
    </rPh>
    <phoneticPr fontId="1"/>
  </si>
  <si>
    <t>I虎</t>
    <rPh sb="1" eb="2">
      <t>トラ</t>
    </rPh>
    <phoneticPr fontId="1"/>
  </si>
  <si>
    <t>法師冠</t>
    <rPh sb="0" eb="2">
      <t>ホウシ</t>
    </rPh>
    <rPh sb="2" eb="3">
      <t>カン</t>
    </rPh>
    <phoneticPr fontId="1"/>
  </si>
  <si>
    <t>215魔弾WRM</t>
    <rPh sb="3" eb="5">
      <t>マダン</t>
    </rPh>
    <phoneticPr fontId="1"/>
  </si>
  <si>
    <t>MAX法師</t>
    <rPh sb="3" eb="5">
      <t>ホウシ</t>
    </rPh>
    <phoneticPr fontId="1"/>
  </si>
  <si>
    <t>MAX法師冠</t>
    <rPh sb="3" eb="5">
      <t>ホウシ</t>
    </rPh>
    <rPh sb="5" eb="6">
      <t>カン</t>
    </rPh>
    <phoneticPr fontId="1"/>
  </si>
  <si>
    <t>I40魔弾</t>
    <rPh sb="3" eb="5">
      <t>マダン</t>
    </rPh>
    <phoneticPr fontId="1"/>
  </si>
  <si>
    <t>200ﾜﾝﾄﾞ++</t>
    <phoneticPr fontId="1"/>
  </si>
  <si>
    <t>MAXパルーダ</t>
    <phoneticPr fontId="1"/>
  </si>
  <si>
    <t>215鞭＋</t>
    <rPh sb="3" eb="4">
      <t>ムチ</t>
    </rPh>
    <phoneticPr fontId="1"/>
  </si>
  <si>
    <t>215聖杖</t>
    <rPh sb="3" eb="4">
      <t>セイ</t>
    </rPh>
    <rPh sb="4" eb="5">
      <t>ジョウ</t>
    </rPh>
    <phoneticPr fontId="1"/>
  </si>
  <si>
    <t>TS</t>
    <phoneticPr fontId="1"/>
  </si>
  <si>
    <t>I</t>
    <phoneticPr fontId="1"/>
  </si>
  <si>
    <t>200魔杖</t>
    <rPh sb="3" eb="4">
      <t>マ</t>
    </rPh>
    <rPh sb="4" eb="5">
      <t>ジョウ</t>
    </rPh>
    <phoneticPr fontId="1"/>
  </si>
  <si>
    <t>215護符</t>
    <rPh sb="3" eb="5">
      <t>ゴフ</t>
    </rPh>
    <phoneticPr fontId="1"/>
  </si>
  <si>
    <t>ダイダロス</t>
    <phoneticPr fontId="1"/>
  </si>
  <si>
    <t>S25ｷﾂﾈ</t>
    <phoneticPr fontId="1"/>
  </si>
  <si>
    <t>越後屋H++</t>
    <rPh sb="0" eb="3">
      <t>エチゴヤ</t>
    </rPh>
    <phoneticPr fontId="1"/>
  </si>
  <si>
    <t>越後屋S++</t>
    <rPh sb="0" eb="3">
      <t>エチゴヤ</t>
    </rPh>
    <phoneticPr fontId="1"/>
  </si>
  <si>
    <t>追憶鎧</t>
    <rPh sb="0" eb="2">
      <t>ツイオク</t>
    </rPh>
    <rPh sb="2" eb="3">
      <t>ヨロイ</t>
    </rPh>
    <phoneticPr fontId="1"/>
  </si>
  <si>
    <t>H24京劇</t>
    <rPh sb="3" eb="5">
      <t>キョウゲキ</t>
    </rPh>
    <phoneticPr fontId="1"/>
  </si>
  <si>
    <t>215小手</t>
    <rPh sb="3" eb="5">
      <t>コテ</t>
    </rPh>
    <phoneticPr fontId="1"/>
  </si>
  <si>
    <t>SH13</t>
    <phoneticPr fontId="1"/>
  </si>
  <si>
    <t>S8デモニ</t>
    <phoneticPr fontId="1"/>
  </si>
  <si>
    <t>190刀</t>
    <rPh sb="3" eb="4">
      <t>カタナ</t>
    </rPh>
    <phoneticPr fontId="1"/>
  </si>
  <si>
    <t>疾風突き</t>
    <rPh sb="0" eb="2">
      <t>シップウ</t>
    </rPh>
    <rPh sb="2" eb="3">
      <t>ヅ</t>
    </rPh>
    <phoneticPr fontId="1"/>
  </si>
  <si>
    <t>215細剣</t>
    <rPh sb="3" eb="4">
      <t>ホソ</t>
    </rPh>
    <rPh sb="4" eb="5">
      <t>ケン</t>
    </rPh>
    <phoneticPr fontId="1"/>
  </si>
  <si>
    <t>H13京劇</t>
    <rPh sb="3" eb="5">
      <t>キョウゲキ</t>
    </rPh>
    <phoneticPr fontId="1"/>
  </si>
  <si>
    <t>75服</t>
    <rPh sb="2" eb="3">
      <t>フク</t>
    </rPh>
    <phoneticPr fontId="1"/>
  </si>
  <si>
    <t>215蓮根++</t>
    <rPh sb="3" eb="5">
      <t>レンコン</t>
    </rPh>
    <phoneticPr fontId="1"/>
  </si>
  <si>
    <t>H強化西遊記</t>
    <rPh sb="1" eb="3">
      <t>キョウカ</t>
    </rPh>
    <rPh sb="3" eb="6">
      <t>サイユウキ</t>
    </rPh>
    <phoneticPr fontId="1"/>
  </si>
  <si>
    <t>H虎</t>
    <rPh sb="1" eb="2">
      <t>トラ</t>
    </rPh>
    <phoneticPr fontId="1"/>
  </si>
  <si>
    <t>上級28鞭</t>
    <rPh sb="0" eb="2">
      <t>ジョウキュウ</t>
    </rPh>
    <rPh sb="4" eb="5">
      <t>ムチ</t>
    </rPh>
    <phoneticPr fontId="1"/>
  </si>
  <si>
    <t>145服</t>
    <rPh sb="3" eb="4">
      <t>フク</t>
    </rPh>
    <phoneticPr fontId="1"/>
  </si>
  <si>
    <t>M鞭</t>
    <rPh sb="1" eb="2">
      <t>ムチ</t>
    </rPh>
    <phoneticPr fontId="1"/>
  </si>
  <si>
    <t>覇気</t>
    <rPh sb="0" eb="2">
      <t>ハキ</t>
    </rPh>
    <phoneticPr fontId="1"/>
  </si>
  <si>
    <t>真・海賊S</t>
    <rPh sb="0" eb="1">
      <t>シン</t>
    </rPh>
    <rPh sb="2" eb="4">
      <t>カイゾク</t>
    </rPh>
    <phoneticPr fontId="1"/>
  </si>
  <si>
    <t>真・海賊H</t>
    <rPh sb="0" eb="1">
      <t>シン</t>
    </rPh>
    <rPh sb="2" eb="4">
      <t>カイゾク</t>
    </rPh>
    <phoneticPr fontId="1"/>
  </si>
  <si>
    <t>S鞭</t>
    <rPh sb="1" eb="2">
      <t>ムチ</t>
    </rPh>
    <phoneticPr fontId="1"/>
  </si>
  <si>
    <t>105服</t>
    <rPh sb="3" eb="4">
      <t>フク</t>
    </rPh>
    <phoneticPr fontId="1"/>
  </si>
  <si>
    <t>S服</t>
    <rPh sb="1" eb="2">
      <t>フク</t>
    </rPh>
    <phoneticPr fontId="1"/>
  </si>
  <si>
    <t>52鞭</t>
    <rPh sb="2" eb="3">
      <t>ムチ</t>
    </rPh>
    <phoneticPr fontId="1"/>
  </si>
  <si>
    <t>H</t>
    <phoneticPr fontId="1"/>
  </si>
  <si>
    <t>S</t>
    <phoneticPr fontId="1"/>
  </si>
  <si>
    <t>SH</t>
    <phoneticPr fontId="1"/>
  </si>
  <si>
    <t>125蓮根</t>
    <rPh sb="3" eb="5">
      <t>レンコン</t>
    </rPh>
    <phoneticPr fontId="1"/>
  </si>
  <si>
    <t>クリ係数/致命打撃率</t>
    <rPh sb="2" eb="4">
      <t>ケイスウ</t>
    </rPh>
    <rPh sb="5" eb="7">
      <t>チメイ</t>
    </rPh>
    <rPh sb="7" eb="9">
      <t>ダゲキ</t>
    </rPh>
    <rPh sb="9" eb="10">
      <t>リツ</t>
    </rPh>
    <phoneticPr fontId="1"/>
  </si>
  <si>
    <t>ランジ虚無</t>
    <rPh sb="3" eb="5">
      <t>キョム</t>
    </rPh>
    <phoneticPr fontId="1"/>
  </si>
  <si>
    <t>疾風の義士</t>
    <rPh sb="0" eb="2">
      <t>シップウ</t>
    </rPh>
    <rPh sb="3" eb="5">
      <t>ギシ</t>
    </rPh>
    <phoneticPr fontId="1"/>
  </si>
  <si>
    <t>ＤＥＸ</t>
    <phoneticPr fontId="1"/>
  </si>
  <si>
    <t>215ワンド</t>
    <phoneticPr fontId="1"/>
  </si>
  <si>
    <t>IM5虎</t>
    <rPh sb="3" eb="4">
      <t>トラ</t>
    </rPh>
    <phoneticPr fontId="1"/>
  </si>
  <si>
    <t>ウィット</t>
    <phoneticPr fontId="1"/>
  </si>
  <si>
    <t>りんどりー</t>
    <phoneticPr fontId="1"/>
  </si>
  <si>
    <t>I24京劇</t>
    <rPh sb="3" eb="5">
      <t>キョウゲキ</t>
    </rPh>
    <phoneticPr fontId="1"/>
  </si>
  <si>
    <t>りぶりお</t>
    <phoneticPr fontId="1"/>
  </si>
  <si>
    <t>Mベルモア</t>
    <phoneticPr fontId="1"/>
  </si>
  <si>
    <t>パルーダ</t>
  </si>
  <si>
    <t>200羽</t>
    <rPh sb="3" eb="4">
      <t>バネ</t>
    </rPh>
    <phoneticPr fontId="1"/>
  </si>
  <si>
    <t>○</t>
  </si>
  <si>
    <t>キャラ</t>
    <phoneticPr fontId="1"/>
  </si>
  <si>
    <t>みら</t>
    <phoneticPr fontId="1"/>
  </si>
  <si>
    <t>ぴん</t>
    <phoneticPr fontId="1"/>
  </si>
  <si>
    <t>まきし</t>
    <phoneticPr fontId="1"/>
  </si>
  <si>
    <t>ぼりす</t>
    <phoneticPr fontId="1"/>
  </si>
  <si>
    <t>てち</t>
    <phoneticPr fontId="1"/>
  </si>
  <si>
    <t>じょしゅ</t>
    <phoneticPr fontId="1"/>
  </si>
  <si>
    <t>らんじえ</t>
    <phoneticPr fontId="1"/>
  </si>
  <si>
    <t>くろえ</t>
    <phoneticPr fontId="1"/>
  </si>
  <si>
    <t>るし</t>
    <phoneticPr fontId="1"/>
  </si>
  <si>
    <t>なや</t>
    <phoneticPr fontId="1"/>
  </si>
  <si>
    <t>200ﾜﾝﾄﾞ</t>
  </si>
  <si>
    <t>りんどりー</t>
  </si>
  <si>
    <t>目標値</t>
    <rPh sb="0" eb="3">
      <t>モクヒョウチ</t>
    </rPh>
    <phoneticPr fontId="1"/>
  </si>
  <si>
    <t>INT</t>
    <phoneticPr fontId="1"/>
  </si>
  <si>
    <t>DEF</t>
    <phoneticPr fontId="1"/>
  </si>
  <si>
    <t>MR</t>
    <phoneticPr fontId="1"/>
  </si>
  <si>
    <t>DEX</t>
    <phoneticPr fontId="1"/>
  </si>
  <si>
    <t>AGI</t>
    <phoneticPr fontId="1"/>
  </si>
</sst>
</file>

<file path=xl/styles.xml><?xml version="1.0" encoding="utf-8"?>
<styleSheet xmlns="http://schemas.openxmlformats.org/spreadsheetml/2006/main">
  <numFmts count="10">
    <numFmt numFmtId="176" formatCode="0_ "/>
    <numFmt numFmtId="177" formatCode="0;__x0000_"/>
    <numFmt numFmtId="178" formatCode="0\ &quot;ms&quot;"/>
    <numFmt numFmtId="179" formatCode="0;_"/>
    <numFmt numFmtId="180" formatCode="0;_ǿ"/>
    <numFmt numFmtId="181" formatCode="0.000_ "/>
    <numFmt numFmtId="182" formatCode="0_);[Red]\(0\)"/>
    <numFmt numFmtId="183" formatCode="0.0_);[Red]\(0.0\)"/>
    <numFmt numFmtId="184" formatCode="0.0_ "/>
    <numFmt numFmtId="185" formatCode="0.00_ 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Lucida Grande"/>
      <family val="2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rgb="FFFF0000"/>
      <name val="Times New Roman"/>
      <family val="1"/>
    </font>
    <font>
      <sz val="11"/>
      <name val="ＭＳ Ｐゴシック"/>
      <family val="2"/>
      <charset val="128"/>
      <scheme val="minor"/>
    </font>
    <font>
      <strike/>
      <sz val="11"/>
      <color theme="1"/>
      <name val="ＭＳ Ｐゴシック"/>
      <family val="2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z val="9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179" fontId="0" fillId="0" borderId="0" xfId="0" applyNumberFormat="1">
      <alignment vertical="center"/>
    </xf>
    <xf numFmtId="0" fontId="0" fillId="6" borderId="23" xfId="0" applyFill="1" applyBorder="1" applyAlignment="1">
      <alignment vertical="center"/>
    </xf>
    <xf numFmtId="180" fontId="0" fillId="0" borderId="0" xfId="0" applyNumberFormat="1" applyAlignment="1">
      <alignment horizontal="center" vertical="center"/>
    </xf>
    <xf numFmtId="3" fontId="0" fillId="0" borderId="0" xfId="0" applyNumberFormat="1">
      <alignment vertical="center"/>
    </xf>
    <xf numFmtId="0" fontId="9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6" borderId="0" xfId="0" applyFill="1">
      <alignment vertical="center"/>
    </xf>
    <xf numFmtId="0" fontId="10" fillId="4" borderId="5" xfId="0" applyFont="1" applyFill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0" fillId="0" borderId="0" xfId="0" applyNumberFormat="1">
      <alignment vertical="center"/>
    </xf>
    <xf numFmtId="184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8" fillId="5" borderId="16" xfId="0" applyNumberFormat="1" applyFont="1" applyFill="1" applyBorder="1" applyAlignment="1">
      <alignment horizontal="center" vertical="center"/>
    </xf>
    <xf numFmtId="176" fontId="0" fillId="5" borderId="16" xfId="0" applyNumberFormat="1" applyFill="1" applyBorder="1" applyAlignment="1">
      <alignment horizontal="center" vertical="center"/>
    </xf>
    <xf numFmtId="178" fontId="0" fillId="2" borderId="18" xfId="0" applyNumberFormat="1" applyFill="1" applyBorder="1" applyAlignment="1">
      <alignment horizontal="center" vertical="center"/>
    </xf>
    <xf numFmtId="178" fontId="0" fillId="2" borderId="19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5"/>
  <sheetViews>
    <sheetView tabSelected="1" topLeftCell="B3" zoomScale="75" zoomScaleNormal="75" workbookViewId="0">
      <selection activeCell="C13" sqref="C13"/>
    </sheetView>
  </sheetViews>
  <sheetFormatPr defaultRowHeight="13.5"/>
  <cols>
    <col min="1" max="1" width="5.25" customWidth="1"/>
    <col min="2" max="2" width="11.625" customWidth="1"/>
    <col min="3" max="3" width="15.5" customWidth="1"/>
    <col min="4" max="4" width="11.625" customWidth="1"/>
    <col min="5" max="5" width="17.25" customWidth="1"/>
    <col min="6" max="6" width="14.25" bestFit="1" customWidth="1"/>
    <col min="7" max="7" width="15" customWidth="1"/>
    <col min="8" max="8" width="7.5" customWidth="1"/>
    <col min="9" max="9" width="10.625" customWidth="1"/>
    <col min="10" max="10" width="11.125" customWidth="1"/>
    <col min="11" max="11" width="12.5" customWidth="1"/>
    <col min="12" max="12" width="12" customWidth="1"/>
  </cols>
  <sheetData>
    <row r="1" spans="2:30">
      <c r="AB1" t="s">
        <v>100</v>
      </c>
      <c r="AD1" s="16" t="s">
        <v>450</v>
      </c>
    </row>
    <row r="2" spans="2:30" ht="14.25" thickBot="1">
      <c r="AB2" t="s">
        <v>122</v>
      </c>
      <c r="AD2" s="1" t="s">
        <v>53</v>
      </c>
    </row>
    <row r="3" spans="2:30">
      <c r="B3" s="18"/>
      <c r="C3" s="24" t="s">
        <v>39</v>
      </c>
      <c r="D3" s="1"/>
      <c r="E3" s="3"/>
      <c r="F3" s="23" t="s">
        <v>40</v>
      </c>
      <c r="G3" s="24" t="s">
        <v>41</v>
      </c>
      <c r="H3" s="1" t="s">
        <v>52</v>
      </c>
      <c r="I3" s="1"/>
      <c r="J3" s="120" t="s">
        <v>49</v>
      </c>
      <c r="K3" s="121"/>
      <c r="L3" s="121"/>
      <c r="M3" s="122"/>
      <c r="P3">
        <v>0</v>
      </c>
      <c r="Q3" s="83">
        <v>0.03</v>
      </c>
      <c r="AB3" t="s">
        <v>123</v>
      </c>
      <c r="AD3" s="1" t="s">
        <v>54</v>
      </c>
    </row>
    <row r="4" spans="2:30">
      <c r="B4" s="30" t="s">
        <v>25</v>
      </c>
      <c r="C4" s="28" t="s">
        <v>341</v>
      </c>
      <c r="D4" s="1"/>
      <c r="E4" s="30" t="s">
        <v>42</v>
      </c>
      <c r="F4" s="29">
        <v>2</v>
      </c>
      <c r="G4" s="34">
        <f>装備!$L4</f>
        <v>80</v>
      </c>
      <c r="H4" s="1" t="s">
        <v>167</v>
      </c>
      <c r="I4" s="1"/>
      <c r="J4" s="123" t="s">
        <v>103</v>
      </c>
      <c r="K4" s="124"/>
      <c r="L4" s="124"/>
      <c r="M4" s="125"/>
      <c r="P4">
        <v>1</v>
      </c>
      <c r="Q4">
        <v>50</v>
      </c>
      <c r="R4" s="37">
        <f>TRUNC(IF($H4="「+5」",5,IF($H4="「+10」",10,IF($H4="「+15」",15,IF($H4="「+50」",50,IF(J$12="○",F4*10/100,0))))))</f>
        <v>0</v>
      </c>
      <c r="AB4" t="s">
        <v>124</v>
      </c>
      <c r="AD4" s="16" t="s">
        <v>54</v>
      </c>
    </row>
    <row r="5" spans="2:30">
      <c r="B5" s="30" t="s">
        <v>26</v>
      </c>
      <c r="C5" s="28" t="s">
        <v>559</v>
      </c>
      <c r="D5" s="1"/>
      <c r="E5" s="30" t="s">
        <v>43</v>
      </c>
      <c r="F5" s="29">
        <v>1</v>
      </c>
      <c r="G5" s="34">
        <f>装備!$L5</f>
        <v>72</v>
      </c>
      <c r="H5" s="16" t="s">
        <v>167</v>
      </c>
      <c r="I5" s="1"/>
      <c r="J5" s="126"/>
      <c r="K5" s="127"/>
      <c r="L5" s="127"/>
      <c r="M5" s="128"/>
      <c r="P5">
        <v>2</v>
      </c>
      <c r="Q5" t="s">
        <v>458</v>
      </c>
      <c r="R5" s="37">
        <f t="shared" ref="R5:R10" si="0">TRUNC(IF($H5="「+5」",5,IF($H5="「+10」",10,IF($H5="「+15」",15,IF($H5="「+50」",50,IF(J$12="○",F5*10/100,0))))))</f>
        <v>0</v>
      </c>
      <c r="AB5" t="s">
        <v>125</v>
      </c>
      <c r="AD5" t="s">
        <v>254</v>
      </c>
    </row>
    <row r="6" spans="2:30">
      <c r="B6" s="30" t="s">
        <v>153</v>
      </c>
      <c r="C6" s="28" t="s">
        <v>402</v>
      </c>
      <c r="D6" s="16"/>
      <c r="E6" s="30" t="s">
        <v>44</v>
      </c>
      <c r="F6" s="29">
        <v>76</v>
      </c>
      <c r="G6" s="34">
        <f>装備!$L6</f>
        <v>223</v>
      </c>
      <c r="H6" s="16" t="s">
        <v>167</v>
      </c>
      <c r="I6" s="16"/>
      <c r="J6" s="21"/>
      <c r="K6" s="21"/>
      <c r="L6" s="21"/>
      <c r="M6" s="21"/>
      <c r="P6">
        <v>3</v>
      </c>
      <c r="R6" s="37">
        <f t="shared" si="0"/>
        <v>0</v>
      </c>
      <c r="AD6" t="s">
        <v>55</v>
      </c>
    </row>
    <row r="7" spans="2:30">
      <c r="B7" s="30" t="s">
        <v>27</v>
      </c>
      <c r="C7" s="28" t="s">
        <v>545</v>
      </c>
      <c r="D7" s="1"/>
      <c r="E7" s="30" t="s">
        <v>45</v>
      </c>
      <c r="F7" s="29">
        <v>58</v>
      </c>
      <c r="G7" s="34">
        <f>装備!$L7</f>
        <v>99</v>
      </c>
      <c r="H7" s="16" t="s">
        <v>167</v>
      </c>
      <c r="I7" s="1"/>
      <c r="K7" s="16" t="s">
        <v>395</v>
      </c>
      <c r="L7" t="s">
        <v>285</v>
      </c>
      <c r="R7" s="37">
        <f t="shared" si="0"/>
        <v>0</v>
      </c>
      <c r="AD7" t="s">
        <v>56</v>
      </c>
    </row>
    <row r="8" spans="2:30">
      <c r="B8" s="30" t="s">
        <v>154</v>
      </c>
      <c r="C8" s="28" t="s">
        <v>400</v>
      </c>
      <c r="D8" s="16"/>
      <c r="E8" s="30" t="s">
        <v>46</v>
      </c>
      <c r="F8" s="29">
        <v>186</v>
      </c>
      <c r="G8" s="34">
        <f>装備!$L8</f>
        <v>215</v>
      </c>
      <c r="H8" s="16" t="s">
        <v>167</v>
      </c>
      <c r="J8" s="16" t="s">
        <v>319</v>
      </c>
      <c r="K8" s="16">
        <f>F7+G7</f>
        <v>157</v>
      </c>
      <c r="L8" s="41">
        <f>計算式!O18</f>
        <v>1516</v>
      </c>
      <c r="M8">
        <f>L8*6</f>
        <v>9096</v>
      </c>
      <c r="R8" s="37">
        <f t="shared" si="0"/>
        <v>0</v>
      </c>
      <c r="AD8" t="s">
        <v>57</v>
      </c>
    </row>
    <row r="9" spans="2:30">
      <c r="B9" s="30" t="s">
        <v>28</v>
      </c>
      <c r="C9" s="28" t="s">
        <v>560</v>
      </c>
      <c r="D9" s="1"/>
      <c r="E9" s="30" t="s">
        <v>537</v>
      </c>
      <c r="F9" s="29">
        <v>239</v>
      </c>
      <c r="G9" s="34">
        <f>装備!$L9</f>
        <v>38</v>
      </c>
      <c r="H9" s="16" t="s">
        <v>167</v>
      </c>
      <c r="J9" s="16" t="s">
        <v>320</v>
      </c>
      <c r="K9" s="16">
        <f>F8+G8</f>
        <v>401</v>
      </c>
      <c r="L9" s="41">
        <f>計算式!O19</f>
        <v>605</v>
      </c>
      <c r="R9" s="37">
        <f t="shared" si="0"/>
        <v>0</v>
      </c>
      <c r="AD9" t="s">
        <v>58</v>
      </c>
    </row>
    <row r="10" spans="2:30" ht="14.25" thickBot="1">
      <c r="B10" s="30" t="s">
        <v>29</v>
      </c>
      <c r="C10" s="28" t="s">
        <v>340</v>
      </c>
      <c r="D10" s="1"/>
      <c r="E10" s="30" t="s">
        <v>47</v>
      </c>
      <c r="F10" s="29">
        <v>170</v>
      </c>
      <c r="G10" s="34">
        <f>装備!$L10</f>
        <v>34</v>
      </c>
      <c r="H10" s="16" t="s">
        <v>167</v>
      </c>
      <c r="I10" s="1"/>
      <c r="J10" s="1"/>
      <c r="R10" s="37">
        <f t="shared" si="0"/>
        <v>0</v>
      </c>
    </row>
    <row r="11" spans="2:30" ht="14.25" thickBot="1">
      <c r="B11" s="30" t="s">
        <v>30</v>
      </c>
      <c r="C11" s="28" t="s">
        <v>310</v>
      </c>
      <c r="D11" s="1"/>
      <c r="E11" s="31" t="s">
        <v>48</v>
      </c>
      <c r="F11" s="9"/>
      <c r="G11" s="34">
        <f>装備!$L11</f>
        <v>24</v>
      </c>
      <c r="H11" s="22" t="s">
        <v>474</v>
      </c>
      <c r="I11" s="22" t="s">
        <v>437</v>
      </c>
      <c r="J11" s="23" t="s">
        <v>50</v>
      </c>
      <c r="K11" s="23" t="s">
        <v>253</v>
      </c>
      <c r="L11" s="23" t="s">
        <v>51</v>
      </c>
      <c r="M11" s="24" t="s">
        <v>404</v>
      </c>
      <c r="R11" s="37">
        <f>IF(H12="○",5,0)</f>
        <v>0</v>
      </c>
    </row>
    <row r="12" spans="2:30" ht="14.25" thickBot="1">
      <c r="B12" s="30" t="s">
        <v>31</v>
      </c>
      <c r="C12" s="28" t="s">
        <v>489</v>
      </c>
      <c r="D12" s="1"/>
      <c r="E12" s="105" t="s">
        <v>534</v>
      </c>
      <c r="F12" s="106">
        <f>((計算式!I16+計算式!I16)/(計算式!I16+計算式!I20))</f>
        <v>0.93406593406593408</v>
      </c>
      <c r="G12" s="16">
        <f>装備!L13</f>
        <v>17</v>
      </c>
      <c r="H12" s="25" t="s">
        <v>132</v>
      </c>
      <c r="I12" s="25" t="s">
        <v>132</v>
      </c>
      <c r="J12" s="26" t="s">
        <v>132</v>
      </c>
      <c r="K12" s="26" t="s">
        <v>254</v>
      </c>
      <c r="L12" s="26" t="s">
        <v>132</v>
      </c>
      <c r="M12" s="27" t="s">
        <v>132</v>
      </c>
    </row>
    <row r="13" spans="2:30" ht="14.25" thickBot="1">
      <c r="B13" s="31" t="s">
        <v>32</v>
      </c>
      <c r="C13" s="27" t="s">
        <v>386</v>
      </c>
      <c r="H13" s="36" t="s">
        <v>523</v>
      </c>
      <c r="I13" s="16" t="s">
        <v>444</v>
      </c>
      <c r="J13" s="16" t="s">
        <v>455</v>
      </c>
      <c r="K13" t="s">
        <v>456</v>
      </c>
      <c r="M13" t="s">
        <v>457</v>
      </c>
    </row>
    <row r="14" spans="2:30" ht="14.25" thickBot="1">
      <c r="H14" s="16" t="s">
        <v>132</v>
      </c>
      <c r="I14" s="16" t="s">
        <v>132</v>
      </c>
      <c r="J14" s="16" t="s">
        <v>132</v>
      </c>
      <c r="K14" s="16" t="s">
        <v>547</v>
      </c>
      <c r="M14" t="s">
        <v>167</v>
      </c>
    </row>
    <row r="15" spans="2:30" ht="14.25" thickBot="1">
      <c r="B15" s="132" t="s">
        <v>133</v>
      </c>
      <c r="C15" s="133"/>
      <c r="E15" s="129" t="s">
        <v>59</v>
      </c>
      <c r="F15" s="130"/>
      <c r="G15" s="131"/>
      <c r="J15" s="33" t="s">
        <v>61</v>
      </c>
      <c r="K15" s="48"/>
      <c r="L15" s="49" t="s">
        <v>425</v>
      </c>
      <c r="M15" s="48"/>
    </row>
    <row r="16" spans="2:30" ht="15" customHeight="1" thickBot="1">
      <c r="B16" s="134" t="s">
        <v>281</v>
      </c>
      <c r="C16" s="135"/>
      <c r="E16" s="114">
        <f>計算式!H41</f>
        <v>940.23999999999978</v>
      </c>
      <c r="F16" s="136" t="s">
        <v>60</v>
      </c>
      <c r="G16" s="114">
        <f>計算式!I41</f>
        <v>986.12499999999989</v>
      </c>
      <c r="J16" s="116" t="str">
        <f>計算式!M30</f>
        <v>陣消し</v>
      </c>
      <c r="L16" s="118">
        <f>計算式!M32</f>
        <v>670</v>
      </c>
    </row>
    <row r="17" spans="2:12" ht="14.25" thickBot="1">
      <c r="E17" s="114"/>
      <c r="F17" s="136"/>
      <c r="G17" s="114"/>
      <c r="J17" s="117"/>
      <c r="L17" s="119"/>
    </row>
    <row r="18" spans="2:12" ht="14.25" thickBot="1">
      <c r="B18" s="32" t="s">
        <v>178</v>
      </c>
      <c r="C18" s="32" t="s">
        <v>177</v>
      </c>
      <c r="E18" s="36">
        <f>E16*1.1</f>
        <v>1034.2639999999999</v>
      </c>
      <c r="F18" s="36"/>
      <c r="G18" s="36">
        <f t="shared" ref="G18" si="1">G16*1.1</f>
        <v>1084.7375</v>
      </c>
    </row>
    <row r="19" spans="2:12" ht="14.25" thickBot="1">
      <c r="B19" s="115">
        <f>計算式!C32</f>
        <v>98</v>
      </c>
      <c r="C19" s="115">
        <f>計算式!B35</f>
        <v>66.070571428571441</v>
      </c>
      <c r="E19" s="16" t="s">
        <v>354</v>
      </c>
      <c r="F19" t="s">
        <v>396</v>
      </c>
      <c r="G19" t="s">
        <v>356</v>
      </c>
      <c r="I19" t="s">
        <v>397</v>
      </c>
    </row>
    <row r="20" spans="2:12" ht="14.25" thickBot="1">
      <c r="B20" s="115"/>
      <c r="C20" s="115"/>
      <c r="E20" s="36">
        <f>IF(計算式!M25&gt;100,100,IF(H14="○",100,IF(I14="○",計算式!M25*1.1,計算式!M25)))</f>
        <v>22.87912087912088</v>
      </c>
      <c r="F20" s="36">
        <f>IF((E16+G16)/2&gt;9999,9999,(E16+G16)/2)</f>
        <v>963.18249999999989</v>
      </c>
      <c r="G20" s="36">
        <f>F20*計算式!M23</f>
        <v>4815.9124999999995</v>
      </c>
      <c r="I20" s="36">
        <f>((G20*(100-E20)/100)+(G21*E20/100))</f>
        <v>5917.7509423076917</v>
      </c>
      <c r="K20">
        <f>I20*B19/100</f>
        <v>5799.3959234615377</v>
      </c>
    </row>
    <row r="21" spans="2:12">
      <c r="E21" s="36"/>
      <c r="F21" s="36">
        <f>IF(F20*計算式!M22&gt;9999,9999,F20*計算式!M22)</f>
        <v>1926.3649999999998</v>
      </c>
      <c r="G21" s="36">
        <f>F21*計算式!M23</f>
        <v>9631.8249999999989</v>
      </c>
    </row>
    <row r="23" spans="2:12">
      <c r="F23" t="s">
        <v>462</v>
      </c>
      <c r="G23" t="s">
        <v>463</v>
      </c>
      <c r="I23" t="s">
        <v>464</v>
      </c>
      <c r="K23">
        <v>95</v>
      </c>
    </row>
    <row r="24" spans="2:12">
      <c r="F24" s="36">
        <f>IF((E16*1.1+G16*1.1)/2&gt;9999,9999,(E16*1.1+G16*1.1)/2)</f>
        <v>1059.5007499999999</v>
      </c>
      <c r="G24" s="36">
        <f>F24*計算式!M23</f>
        <v>5297.5037499999999</v>
      </c>
      <c r="I24" s="36">
        <f>((G24*(100-E20)/100)+(G25*E20/100))</f>
        <v>6509.526036538462</v>
      </c>
      <c r="K24">
        <v>192</v>
      </c>
    </row>
    <row r="25" spans="2:12">
      <c r="F25" s="36">
        <f>IF(F24*計算式!M22&gt;9999,9999,F24*計算式!M22)</f>
        <v>2119.0014999999999</v>
      </c>
      <c r="G25" s="36">
        <f>F25*計算式!M23</f>
        <v>10595.0075</v>
      </c>
      <c r="K25">
        <v>217</v>
      </c>
    </row>
    <row r="26" spans="2:12">
      <c r="K26">
        <v>180</v>
      </c>
    </row>
    <row r="28" spans="2:12">
      <c r="K28">
        <v>35855</v>
      </c>
    </row>
    <row r="30" spans="2:12">
      <c r="E30" t="s">
        <v>561</v>
      </c>
    </row>
    <row r="31" spans="2:12">
      <c r="B31" t="s">
        <v>487</v>
      </c>
      <c r="C31">
        <v>78200</v>
      </c>
      <c r="E31" t="s">
        <v>562</v>
      </c>
      <c r="F31">
        <v>70</v>
      </c>
    </row>
    <row r="32" spans="2:12">
      <c r="E32" t="s">
        <v>563</v>
      </c>
      <c r="F32">
        <v>58</v>
      </c>
    </row>
    <row r="33" spans="2:11">
      <c r="E33" t="s">
        <v>564</v>
      </c>
      <c r="F33">
        <v>186</v>
      </c>
    </row>
    <row r="34" spans="2:11">
      <c r="E34" t="s">
        <v>565</v>
      </c>
      <c r="F34">
        <v>239</v>
      </c>
    </row>
    <row r="35" spans="2:11">
      <c r="E35" t="s">
        <v>566</v>
      </c>
      <c r="F35">
        <v>170</v>
      </c>
    </row>
    <row r="37" spans="2:11">
      <c r="D37" t="s">
        <v>483</v>
      </c>
    </row>
    <row r="38" spans="2:11">
      <c r="C38" t="s">
        <v>478</v>
      </c>
      <c r="D38" t="s">
        <v>482</v>
      </c>
      <c r="E38" t="s">
        <v>481</v>
      </c>
      <c r="F38" t="s">
        <v>477</v>
      </c>
      <c r="G38" t="s">
        <v>485</v>
      </c>
      <c r="H38" t="s">
        <v>484</v>
      </c>
    </row>
    <row r="39" spans="2:11">
      <c r="B39" t="s">
        <v>479</v>
      </c>
      <c r="C39" s="36">
        <f>I24</f>
        <v>6509.526036538462</v>
      </c>
      <c r="D39">
        <v>1.3</v>
      </c>
      <c r="E39">
        <v>0.9</v>
      </c>
      <c r="F39" s="43">
        <v>3000000</v>
      </c>
      <c r="G39">
        <f>F39/C39</f>
        <v>460.86304642776958</v>
      </c>
      <c r="H39">
        <f>IF(F39-C39*G39&lt;=0,(D39+E39)*G39,0)</f>
        <v>1013.8987021410932</v>
      </c>
      <c r="I39" t="s">
        <v>486</v>
      </c>
      <c r="J39">
        <f>$H39/60</f>
        <v>16.898311702351553</v>
      </c>
      <c r="K39">
        <f>$H39/60</f>
        <v>16.898311702351553</v>
      </c>
    </row>
    <row r="40" spans="2:11">
      <c r="B40" t="s">
        <v>480</v>
      </c>
      <c r="C40">
        <v>72109</v>
      </c>
      <c r="D40">
        <v>1.7</v>
      </c>
      <c r="E40">
        <f>1.9</f>
        <v>1.9</v>
      </c>
      <c r="F40" s="43">
        <v>3000000</v>
      </c>
      <c r="G40">
        <f>F40/C40</f>
        <v>41.603683312762627</v>
      </c>
      <c r="H40">
        <f>IF(F40-C40*G40&lt;=0,(D40+E40)*G40,0)</f>
        <v>149.77325992594544</v>
      </c>
      <c r="I40" t="s">
        <v>486</v>
      </c>
      <c r="J40">
        <f>INT($H40/60)</f>
        <v>2</v>
      </c>
      <c r="K40">
        <f>$J40-($H40/60/10)</f>
        <v>1.7503779001234243</v>
      </c>
    </row>
    <row r="44" spans="2:11">
      <c r="C44">
        <v>50</v>
      </c>
      <c r="E44">
        <v>50000</v>
      </c>
      <c r="G44">
        <f>E44*(100-C44)/100+E45*C44/100</f>
        <v>74500</v>
      </c>
    </row>
    <row r="45" spans="2:11">
      <c r="E45">
        <v>99000</v>
      </c>
    </row>
  </sheetData>
  <dataConsolidate/>
  <mergeCells count="12">
    <mergeCell ref="G16:G17"/>
    <mergeCell ref="C19:C20"/>
    <mergeCell ref="J16:J17"/>
    <mergeCell ref="L16:L17"/>
    <mergeCell ref="J3:M3"/>
    <mergeCell ref="J4:M5"/>
    <mergeCell ref="E15:G15"/>
    <mergeCell ref="B15:C15"/>
    <mergeCell ref="B16:C16"/>
    <mergeCell ref="B19:B20"/>
    <mergeCell ref="F16:F17"/>
    <mergeCell ref="E16:E17"/>
  </mergeCells>
  <phoneticPr fontId="1"/>
  <dataValidations count="16">
    <dataValidation type="list" allowBlank="1" showInputMessage="1" showErrorMessage="1" sqref="H14:K14 L12:M12 H12:J12">
      <formula1>$AD$2:$AD$3</formula1>
    </dataValidation>
    <dataValidation type="list" allowBlank="1" showInputMessage="1" showErrorMessage="1" sqref="H4:H10">
      <formula1>$AB$1:$AB$5</formula1>
    </dataValidation>
    <dataValidation type="list" allowBlank="1" showInputMessage="1" showErrorMessage="1" sqref="C4">
      <formula1>装備!B15:Y15</formula1>
    </dataValidation>
    <dataValidation type="list" allowBlank="1" showInputMessage="1" showErrorMessage="1" sqref="C5">
      <formula1>装備!B26:ZZ26</formula1>
    </dataValidation>
    <dataValidation type="list" allowBlank="1" showInputMessage="1" showErrorMessage="1" sqref="C7">
      <formula1>装備!B38:Y38</formula1>
    </dataValidation>
    <dataValidation type="list" allowBlank="1" showInputMessage="1" showErrorMessage="1" sqref="C9">
      <formula1>装備!B49:Y49</formula1>
    </dataValidation>
    <dataValidation type="list" allowBlank="1" showInputMessage="1" showErrorMessage="1" sqref="C10">
      <formula1>装備!B60:Y60</formula1>
    </dataValidation>
    <dataValidation type="list" allowBlank="1" showInputMessage="1" showErrorMessage="1" sqref="C11">
      <formula1>装備!B71:Y71</formula1>
    </dataValidation>
    <dataValidation type="list" allowBlank="1" showInputMessage="1" showErrorMessage="1" sqref="C12">
      <formula1>装備!B82:Y82</formula1>
    </dataValidation>
    <dataValidation type="list" allowBlank="1" showInputMessage="1" showErrorMessage="1" sqref="C13">
      <formula1>装備!B93:Y93</formula1>
    </dataValidation>
    <dataValidation type="list" allowBlank="1" showInputMessage="1" showErrorMessage="1" sqref="K12">
      <formula1>$AD$4:$AD$9</formula1>
    </dataValidation>
    <dataValidation type="list" allowBlank="1" showInputMessage="1" showErrorMessage="1" sqref="C6">
      <formula1>装備!B104:Y104</formula1>
    </dataValidation>
    <dataValidation type="list" allowBlank="1" showInputMessage="1" showErrorMessage="1" sqref="C8">
      <formula1>装備!B115:R115</formula1>
    </dataValidation>
    <dataValidation type="list" allowBlank="1" showInputMessage="1" showErrorMessage="1" sqref="B16:C16">
      <formula1>スキル!B4:B152</formula1>
    </dataValidation>
    <dataValidation type="list" allowBlank="1" showInputMessage="1" showErrorMessage="1" sqref="J4:M5">
      <formula1>狩場!C3:C100</formula1>
    </dataValidation>
    <dataValidation type="list" allowBlank="1" showInputMessage="1" showErrorMessage="1" sqref="M14">
      <formula1>$Q$3:$Q$5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4"/>
  <sheetViews>
    <sheetView topLeftCell="I91" workbookViewId="0">
      <selection activeCell="N55" sqref="N55"/>
    </sheetView>
  </sheetViews>
  <sheetFormatPr defaultRowHeight="13.5"/>
  <cols>
    <col min="1" max="1" width="13.25" style="16" customWidth="1"/>
    <col min="2" max="2" width="15.125" style="16" customWidth="1"/>
    <col min="3" max="3" width="12.625" style="16" customWidth="1"/>
    <col min="4" max="4" width="15.125" style="16" customWidth="1"/>
    <col min="5" max="5" width="14.25" style="16" customWidth="1"/>
    <col min="6" max="6" width="13.75" style="16" customWidth="1"/>
    <col min="7" max="7" width="15.125" style="16" customWidth="1"/>
    <col min="8" max="8" width="13.25" style="16" customWidth="1"/>
    <col min="9" max="9" width="15" style="16" customWidth="1"/>
    <col min="10" max="10" width="9" style="16"/>
    <col min="11" max="11" width="10.625" style="16" customWidth="1"/>
    <col min="12" max="12" width="15" style="16" customWidth="1"/>
    <col min="13" max="16384" width="9" style="16"/>
  </cols>
  <sheetData>
    <row r="1" spans="1:25">
      <c r="A1" s="16" t="s">
        <v>392</v>
      </c>
    </row>
    <row r="2" spans="1:25" ht="14.25" thickBot="1">
      <c r="A2" s="16" t="s">
        <v>126</v>
      </c>
      <c r="B2" s="16" t="str">
        <f>TOP!$C4</f>
        <v>法師冠</v>
      </c>
      <c r="C2" s="16" t="str">
        <f>TOP!$C5</f>
        <v>200ﾜﾝﾄﾞ</v>
      </c>
      <c r="D2" s="16" t="str">
        <f>TOP!$C7</f>
        <v>パルーダ</v>
      </c>
      <c r="E2" s="16" t="str">
        <f>TOP!$C9</f>
        <v>りんどりー</v>
      </c>
      <c r="F2" s="16" t="str">
        <f>TOP!$C10</f>
        <v>I17次元</v>
      </c>
      <c r="G2" s="16" t="str">
        <f>TOP!$C11</f>
        <v>法師靴</v>
      </c>
      <c r="H2" s="16" t="str">
        <f>TOP!$C12</f>
        <v>I虎</v>
      </c>
      <c r="I2" s="16" t="str">
        <f>TOP!$C13</f>
        <v>蒼穹の魔導師</v>
      </c>
      <c r="J2" s="16" t="str">
        <f>TOP!$C6</f>
        <v>I8京劇</v>
      </c>
      <c r="K2" s="16" t="str">
        <f>TOP!$C8</f>
        <v>α羽</v>
      </c>
    </row>
    <row r="3" spans="1:25">
      <c r="A3" s="63"/>
      <c r="B3" s="64" t="s">
        <v>25</v>
      </c>
      <c r="C3" s="64" t="s">
        <v>26</v>
      </c>
      <c r="D3" s="64" t="s">
        <v>27</v>
      </c>
      <c r="E3" s="64" t="s">
        <v>28</v>
      </c>
      <c r="F3" s="64" t="s">
        <v>29</v>
      </c>
      <c r="G3" s="64" t="s">
        <v>30</v>
      </c>
      <c r="H3" s="64" t="s">
        <v>31</v>
      </c>
      <c r="I3" s="64" t="s">
        <v>32</v>
      </c>
      <c r="J3" s="66" t="s">
        <v>153</v>
      </c>
      <c r="K3" s="66" t="s">
        <v>154</v>
      </c>
      <c r="L3" s="7" t="s">
        <v>33</v>
      </c>
    </row>
    <row r="4" spans="1:25">
      <c r="A4" s="4" t="s">
        <v>18</v>
      </c>
      <c r="B4" s="5">
        <f>HLOOKUP($B$2,$B$15:$Y$23,2,FALSE)</f>
        <v>0</v>
      </c>
      <c r="C4" s="5">
        <f>HLOOKUP($C$2,$B$26:$ZZ$34,2,FALSE)</f>
        <v>56</v>
      </c>
      <c r="D4" s="5">
        <f>HLOOKUP($D$2,$B$38:$Y$46,2,FALSE)</f>
        <v>12</v>
      </c>
      <c r="E4" s="5">
        <f>HLOOKUP($E$2,$B$49:$Y$57,2,FALSE)</f>
        <v>0</v>
      </c>
      <c r="F4" s="5">
        <f>HLOOKUP(F$2,$B$60:$Y$68,2,FALSE)</f>
        <v>2</v>
      </c>
      <c r="G4" s="5">
        <f>HLOOKUP(G$2,$B$71:$Y$79,2,FALSE)</f>
        <v>0</v>
      </c>
      <c r="H4" s="5">
        <f>HLOOKUP(H$2,$B$82:$Y$90,2,FALSE)</f>
        <v>0</v>
      </c>
      <c r="I4" s="5">
        <f>HLOOKUP(I$2,$B$93:$Y$101,2,FALSE)</f>
        <v>0</v>
      </c>
      <c r="J4" s="5">
        <f>HLOOKUP(J$2,$B$104:$Y$112,2,FALSE)</f>
        <v>0</v>
      </c>
      <c r="K4" s="5">
        <f>HLOOKUP(K$2,$B$115:$R$123,2,FALSE)</f>
        <v>10</v>
      </c>
      <c r="L4" s="6">
        <f>SUM(B4:K4)</f>
        <v>80</v>
      </c>
    </row>
    <row r="5" spans="1:25">
      <c r="A5" s="4" t="s">
        <v>19</v>
      </c>
      <c r="B5" s="5">
        <f>HLOOKUP($B$2,$B$15:$Y$23,3,FALSE)</f>
        <v>0</v>
      </c>
      <c r="C5" s="5">
        <f>HLOOKUP($C$2,$B$26:$ZZ$34,3,FALSE)</f>
        <v>56</v>
      </c>
      <c r="D5" s="5">
        <f>HLOOKUP($D$2,$B$38:$Y$46,3,FALSE)</f>
        <v>0</v>
      </c>
      <c r="E5" s="5">
        <f>HLOOKUP($E$2,$B$49:$Y$57,3,FALSE)</f>
        <v>0</v>
      </c>
      <c r="F5" s="5">
        <f>HLOOKUP(F$2,$B$60:$Y$68,3,FALSE)</f>
        <v>1</v>
      </c>
      <c r="G5" s="5">
        <f>HLOOKUP(G$2,$B$71:$Y$79,3,FALSE)</f>
        <v>0</v>
      </c>
      <c r="H5" s="5">
        <f>HLOOKUP(H$2,$B$82:$Y$90,3,FALSE)</f>
        <v>3</v>
      </c>
      <c r="I5" s="5">
        <f>HLOOKUP(I$2,$B$93:$Y$101,3,FALSE)</f>
        <v>0</v>
      </c>
      <c r="J5" s="5">
        <f>HLOOKUP(J$2,$B$104:$Y$112,3,FALSE)</f>
        <v>2</v>
      </c>
      <c r="K5" s="5">
        <f>HLOOKUP(K$2,$B$115:$R$123,3,FALSE)</f>
        <v>10</v>
      </c>
      <c r="L5" s="6">
        <f t="shared" ref="L5:L12" si="0">SUM(B5:K5)</f>
        <v>72</v>
      </c>
    </row>
    <row r="6" spans="1:25">
      <c r="A6" s="4" t="s">
        <v>20</v>
      </c>
      <c r="B6" s="5">
        <f>HLOOKUP($B$2,$B$15:$Y$23,4,FALSE)</f>
        <v>16</v>
      </c>
      <c r="C6" s="5">
        <f>HLOOKUP($C$2,$B$26:$ZZ$34,4,FALSE)</f>
        <v>92</v>
      </c>
      <c r="D6" s="5">
        <f>HLOOKUP($D$2,$B$38:$Y$46,4,FALSE)</f>
        <v>17</v>
      </c>
      <c r="E6" s="5">
        <f>HLOOKUP($E$2,$B$49:$Y$57,4,FALSE)</f>
        <v>26</v>
      </c>
      <c r="F6" s="5">
        <f>HLOOKUP(F$2,$B$60:$Y$68,4,FALSE)</f>
        <v>17</v>
      </c>
      <c r="G6" s="5">
        <f>HLOOKUP(G$2,$B$71:$Y$79,4,FALSE)</f>
        <v>12</v>
      </c>
      <c r="H6" s="5">
        <f>HLOOKUP(H$2,$B$82:$Y$90,4,FALSE)</f>
        <v>11</v>
      </c>
      <c r="I6" s="5">
        <f>HLOOKUP(I$2,$B$93:$Y$101,4,FALSE)</f>
        <v>5</v>
      </c>
      <c r="J6" s="5">
        <f>HLOOKUP(J$2,$B$104:$Y$112,4,FALSE)</f>
        <v>13</v>
      </c>
      <c r="K6" s="5">
        <f>HLOOKUP(K$2,$B$115:$R$123,4,FALSE)</f>
        <v>14</v>
      </c>
      <c r="L6" s="6">
        <f t="shared" si="0"/>
        <v>223</v>
      </c>
    </row>
    <row r="7" spans="1:25">
      <c r="A7" s="4" t="s">
        <v>21</v>
      </c>
      <c r="B7" s="5">
        <f>HLOOKUP($B$2,$B$15:$Y$23,5,FALSE)</f>
        <v>0</v>
      </c>
      <c r="C7" s="5">
        <f>HLOOKUP($C$2,$B$26:$ZZ$34,5,FALSE)</f>
        <v>0</v>
      </c>
      <c r="D7" s="5">
        <f>HLOOKUP($D$2,$B$38:$Y$46,5,FALSE)</f>
        <v>88</v>
      </c>
      <c r="E7" s="5">
        <f>HLOOKUP($E$2,$B$49:$Y$57,5,FALSE)</f>
        <v>0</v>
      </c>
      <c r="F7" s="5">
        <f>HLOOKUP(F$2,$B$60:$Y$68,5,FALSE)</f>
        <v>0</v>
      </c>
      <c r="G7" s="5">
        <f>HLOOKUP(G$2,$B$71:$Y$79,5,FALSE)</f>
        <v>0</v>
      </c>
      <c r="H7" s="5">
        <f>HLOOKUP(H$2,$B$82:$Y$90,5,FALSE)</f>
        <v>1</v>
      </c>
      <c r="I7" s="5">
        <f>HLOOKUP(I$2,$B$93:$Y$101,5,FALSE)</f>
        <v>0</v>
      </c>
      <c r="J7" s="5">
        <f>HLOOKUP(J$2,$B$104:$Y$112,5,FALSE)</f>
        <v>0</v>
      </c>
      <c r="K7" s="5">
        <f>HLOOKUP(K$2,$B$115:$R$123,5,FALSE)</f>
        <v>10</v>
      </c>
      <c r="L7" s="6">
        <f t="shared" si="0"/>
        <v>99</v>
      </c>
    </row>
    <row r="8" spans="1:25">
      <c r="A8" s="4" t="s">
        <v>22</v>
      </c>
      <c r="B8" s="5">
        <f>HLOOKUP($B$2,$B$15:$Y$23,6,FALSE)</f>
        <v>15</v>
      </c>
      <c r="C8" s="5">
        <f>HLOOKUP($C$2,$B$26:$ZZ$34,6,FALSE)</f>
        <v>83</v>
      </c>
      <c r="D8" s="5">
        <f>HLOOKUP($D$2,$B$38:$Y$46,6,FALSE)</f>
        <v>87</v>
      </c>
      <c r="E8" s="5">
        <f>HLOOKUP($E$2,$B$49:$Y$57,6,FALSE)</f>
        <v>0</v>
      </c>
      <c r="F8" s="5">
        <f>HLOOKUP(F$2,$B$60:$Y$68,6,FALSE)</f>
        <v>2</v>
      </c>
      <c r="G8" s="5">
        <f>HLOOKUP(G$2,$B$71:$Y$79,6,FALSE)</f>
        <v>13</v>
      </c>
      <c r="H8" s="5">
        <f>HLOOKUP(H$2,$B$82:$Y$90,6,FALSE)</f>
        <v>5</v>
      </c>
      <c r="I8" s="5">
        <f>HLOOKUP(I$2,$B$93:$Y$101,6,FALSE)</f>
        <v>0</v>
      </c>
      <c r="J8" s="5">
        <f>HLOOKUP(J$2,$B$104:$Y$112,6,FALSE)</f>
        <v>0</v>
      </c>
      <c r="K8" s="5">
        <f>HLOOKUP(K$2,$B$115:$R$123,6,FALSE)</f>
        <v>10</v>
      </c>
      <c r="L8" s="6">
        <f t="shared" si="0"/>
        <v>215</v>
      </c>
    </row>
    <row r="9" spans="1:25">
      <c r="A9" s="4" t="s">
        <v>15</v>
      </c>
      <c r="B9" s="5">
        <f>HLOOKUP($B$2,$B$15:$Y$23,7,FALSE)</f>
        <v>1</v>
      </c>
      <c r="C9" s="5">
        <f>HLOOKUP($C$2,$B$26:$ZZ$34,7,FALSE)</f>
        <v>7</v>
      </c>
      <c r="D9" s="5">
        <f>HLOOKUP($D$2,$B$38:$Y$46,7,FALSE)</f>
        <v>10</v>
      </c>
      <c r="E9" s="5">
        <f>HLOOKUP($E$2,$B$49:$Y$57,7,FALSE)</f>
        <v>0</v>
      </c>
      <c r="F9" s="5">
        <f>HLOOKUP(F$2,$B$60:$Y$68,7,FALSE)</f>
        <v>1</v>
      </c>
      <c r="G9" s="5">
        <f>HLOOKUP(G$2,$B$71:$Y$79,7,FALSE)</f>
        <v>1</v>
      </c>
      <c r="H9" s="5">
        <f>HLOOKUP(H$2,$B$82:$Y$90,7,FALSE)</f>
        <v>4</v>
      </c>
      <c r="I9" s="5">
        <f>HLOOKUP(I$2,$B$93:$Y$101,7,FALSE)</f>
        <v>2</v>
      </c>
      <c r="J9" s="5">
        <f>HLOOKUP(J$2,$B$104:$Y$112,7,FALSE)</f>
        <v>2</v>
      </c>
      <c r="K9" s="5">
        <f>HLOOKUP(K$2,$B$115:$R$123,7,FALSE)</f>
        <v>10</v>
      </c>
      <c r="L9" s="6">
        <f t="shared" si="0"/>
        <v>38</v>
      </c>
    </row>
    <row r="10" spans="1:25">
      <c r="A10" s="4" t="s">
        <v>23</v>
      </c>
      <c r="B10" s="5">
        <f>HLOOKUP($B$2,$B$15:$Y$23,8,FALSE)</f>
        <v>2</v>
      </c>
      <c r="C10" s="5">
        <f>HLOOKUP($C$2,$B$26:$ZZ$34,8,FALSE)</f>
        <v>0</v>
      </c>
      <c r="D10" s="5">
        <f>HLOOKUP($D$2,$B$38:$Y$46,8,FALSE)</f>
        <v>0</v>
      </c>
      <c r="E10" s="5">
        <f>HLOOKUP($E$2,$B$49:$Y$57,8,FALSE)</f>
        <v>5</v>
      </c>
      <c r="F10" s="5">
        <f>HLOOKUP(F$2,$B$60:$Y$68,8,FALSE)</f>
        <v>1</v>
      </c>
      <c r="G10" s="5">
        <f>HLOOKUP(G$2,$B$71:$Y$79,8,FALSE)</f>
        <v>10</v>
      </c>
      <c r="H10" s="5">
        <f>HLOOKUP(H$2,$B$82:$Y$90,8,FALSE)</f>
        <v>3</v>
      </c>
      <c r="I10" s="5">
        <f>HLOOKUP(I$2,$B$93:$Y$101,8,FALSE)</f>
        <v>0</v>
      </c>
      <c r="J10" s="5">
        <f>HLOOKUP(J$2,$B$104:$Y$112,8,FALSE)</f>
        <v>1</v>
      </c>
      <c r="K10" s="5">
        <f>HLOOKUP(K$2,$B$115:$R$123,8,FALSE)</f>
        <v>12</v>
      </c>
      <c r="L10" s="6">
        <f t="shared" si="0"/>
        <v>34</v>
      </c>
    </row>
    <row r="11" spans="1:25">
      <c r="A11" s="4" t="s">
        <v>24</v>
      </c>
      <c r="B11" s="5">
        <f>HLOOKUP($B$2,$B$15:$Y$23,9,FALSE)</f>
        <v>0</v>
      </c>
      <c r="C11" s="5">
        <f>HLOOKUP($C$2,$B$26:$ZZ$34,9,FALSE)</f>
        <v>6</v>
      </c>
      <c r="D11" s="5">
        <f>HLOOKUP($D$2,$B$38:$Y$46,9,FALSE)</f>
        <v>0</v>
      </c>
      <c r="E11" s="5">
        <f>HLOOKUP($E$2,$B$49:$Y$57,9,FALSE)</f>
        <v>4</v>
      </c>
      <c r="F11" s="5">
        <f>HLOOKUP(F$2,$B$60:$Y$68,9,FALSE)</f>
        <v>0</v>
      </c>
      <c r="G11" s="5">
        <f>HLOOKUP(G$2,$B$71:$Y$79,9,FALSE)</f>
        <v>7</v>
      </c>
      <c r="H11" s="5">
        <f>HLOOKUP(H$2,$B$82:$Y$90,9,FALSE)</f>
        <v>1</v>
      </c>
      <c r="I11" s="5">
        <f>HLOOKUP(I$2,$B$93:$Y$101,9,FALSE)</f>
        <v>0</v>
      </c>
      <c r="J11" s="5">
        <f>HLOOKUP(J$2,$B$104:$Y$112,9,FALSE)</f>
        <v>0</v>
      </c>
      <c r="K11" s="5">
        <f>HLOOKUP(K$2,$B$115:$R$123,9,FALSE)</f>
        <v>6</v>
      </c>
      <c r="L11" s="6">
        <f t="shared" si="0"/>
        <v>24</v>
      </c>
    </row>
    <row r="12" spans="1:25">
      <c r="A12" s="4" t="s">
        <v>419</v>
      </c>
      <c r="B12" s="5"/>
      <c r="C12" s="5">
        <f>HLOOKUP($C$2,$B$26:$ZZ$35,10,FALSE)</f>
        <v>80</v>
      </c>
      <c r="D12" s="5"/>
      <c r="E12" s="5"/>
      <c r="F12" s="5"/>
      <c r="G12" s="5"/>
      <c r="H12" s="5"/>
      <c r="I12" s="5"/>
      <c r="J12" s="5"/>
      <c r="K12" s="5"/>
      <c r="L12" s="6">
        <f t="shared" si="0"/>
        <v>80</v>
      </c>
    </row>
    <row r="13" spans="1:25" ht="14.25" thickBot="1">
      <c r="A13" s="8" t="s">
        <v>392</v>
      </c>
      <c r="B13" s="55">
        <f>HLOOKUP($B$2,$B$15:$Y$24,10,FALSE)</f>
        <v>1</v>
      </c>
      <c r="C13" s="55">
        <f>HLOOKUP($C$2,$B$26:$ZZ$36,11,FALSE)</f>
        <v>5</v>
      </c>
      <c r="D13" s="55">
        <f>HLOOKUP($D$2,$B$38:$Y$47,10,FALSE)</f>
        <v>0</v>
      </c>
      <c r="E13" s="55">
        <f>HLOOKUP($E$2,$B$49:$Y$58,10,FALSE)</f>
        <v>0</v>
      </c>
      <c r="F13" s="55">
        <f>HLOOKUP(F$2,$B$60:$Y$69,10,FALSE)</f>
        <v>1</v>
      </c>
      <c r="G13" s="55">
        <f>HLOOKUP(G$2,$B$71:$Y$80,10,FALSE)</f>
        <v>0</v>
      </c>
      <c r="H13" s="55">
        <f>HLOOKUP(H$2,$B$82:$Y$91,10,FALSE)</f>
        <v>0</v>
      </c>
      <c r="I13" s="55">
        <f>HLOOKUP(I$2,$B$93:$Y$102,10,FALSE)</f>
        <v>1</v>
      </c>
      <c r="J13" s="55">
        <f>HLOOKUP(J$2,$B$104:$Y$113,10,FALSE)</f>
        <v>0</v>
      </c>
      <c r="K13" s="55">
        <f>HLOOKUP(K$2,$B$115:$R$124,10,FALSE)</f>
        <v>9</v>
      </c>
      <c r="L13" s="57">
        <f>IF(TOP!I12="○",(SUM(B13:K13)+TOP!R11)*110/100,SUM(B13:K13)+TOP!R11)</f>
        <v>17</v>
      </c>
    </row>
    <row r="14" spans="1:25" ht="14.25" thickBot="1"/>
    <row r="15" spans="1:25">
      <c r="A15" s="45" t="s">
        <v>25</v>
      </c>
      <c r="B15" s="104" t="s">
        <v>535</v>
      </c>
      <c r="C15" s="46" t="s">
        <v>258</v>
      </c>
      <c r="D15" s="46" t="s">
        <v>288</v>
      </c>
      <c r="E15" s="46" t="s">
        <v>290</v>
      </c>
      <c r="F15" s="46" t="s">
        <v>291</v>
      </c>
      <c r="G15" s="46" t="s">
        <v>298</v>
      </c>
      <c r="H15" s="46" t="s">
        <v>329</v>
      </c>
      <c r="I15" s="46" t="s">
        <v>308</v>
      </c>
      <c r="J15" s="46" t="s">
        <v>341</v>
      </c>
      <c r="K15" s="46" t="s">
        <v>344</v>
      </c>
      <c r="L15" s="46" t="s">
        <v>353</v>
      </c>
      <c r="M15" s="46" t="s">
        <v>355</v>
      </c>
      <c r="N15" s="46" t="s">
        <v>365</v>
      </c>
      <c r="O15" s="46" t="s">
        <v>369</v>
      </c>
      <c r="P15" s="89" t="s">
        <v>493</v>
      </c>
      <c r="Q15" s="101" t="s">
        <v>524</v>
      </c>
      <c r="R15" s="101" t="s">
        <v>525</v>
      </c>
      <c r="S15" s="46"/>
      <c r="T15" s="46"/>
      <c r="U15" s="46"/>
      <c r="V15" s="46"/>
      <c r="W15" s="46"/>
      <c r="X15" s="46"/>
      <c r="Y15" s="47"/>
    </row>
    <row r="16" spans="1:25">
      <c r="A16" s="4" t="s">
        <v>18</v>
      </c>
      <c r="B16" s="5">
        <v>2</v>
      </c>
      <c r="C16" s="5">
        <v>1</v>
      </c>
      <c r="D16" s="5"/>
      <c r="E16" s="5"/>
      <c r="F16" s="5">
        <v>9</v>
      </c>
      <c r="G16" s="5"/>
      <c r="H16" s="5">
        <v>6</v>
      </c>
      <c r="I16" s="5"/>
      <c r="J16" s="5"/>
      <c r="K16" s="5"/>
      <c r="L16" s="5">
        <v>17</v>
      </c>
      <c r="M16" s="5">
        <v>30</v>
      </c>
      <c r="N16" s="5"/>
      <c r="O16" s="5"/>
      <c r="P16" s="5"/>
      <c r="Q16" s="5">
        <v>11</v>
      </c>
      <c r="R16" s="5">
        <v>5</v>
      </c>
      <c r="S16" s="5"/>
      <c r="T16" s="5"/>
      <c r="U16" s="5"/>
      <c r="V16" s="5"/>
      <c r="W16" s="5"/>
      <c r="X16" s="5"/>
      <c r="Y16" s="6"/>
    </row>
    <row r="17" spans="1:38">
      <c r="A17" s="4" t="s">
        <v>19</v>
      </c>
      <c r="B17" s="5">
        <v>1</v>
      </c>
      <c r="C17" s="5">
        <v>5</v>
      </c>
      <c r="D17" s="5"/>
      <c r="E17" s="5"/>
      <c r="F17" s="5">
        <v>3</v>
      </c>
      <c r="G17" s="5"/>
      <c r="H17" s="5">
        <v>6</v>
      </c>
      <c r="I17" s="5"/>
      <c r="J17" s="5"/>
      <c r="K17" s="5"/>
      <c r="L17" s="5">
        <v>2</v>
      </c>
      <c r="M17" s="5"/>
      <c r="N17" s="5"/>
      <c r="O17" s="5"/>
      <c r="P17" s="5"/>
      <c r="Q17" s="5">
        <v>5</v>
      </c>
      <c r="R17" s="5">
        <v>11</v>
      </c>
      <c r="S17" s="5"/>
      <c r="T17" s="5"/>
      <c r="U17" s="5"/>
      <c r="V17" s="5"/>
      <c r="W17" s="5"/>
      <c r="X17" s="5"/>
      <c r="Y17" s="6"/>
    </row>
    <row r="18" spans="1:38">
      <c r="A18" s="4" t="s">
        <v>20</v>
      </c>
      <c r="B18" s="5"/>
      <c r="C18" s="5"/>
      <c r="D18" s="5"/>
      <c r="E18" s="5"/>
      <c r="F18" s="5">
        <v>2</v>
      </c>
      <c r="G18" s="5"/>
      <c r="H18" s="5">
        <v>8</v>
      </c>
      <c r="I18" s="5">
        <v>26</v>
      </c>
      <c r="J18" s="5">
        <v>16</v>
      </c>
      <c r="K18" s="5"/>
      <c r="L18" s="5">
        <v>1</v>
      </c>
      <c r="M18" s="5">
        <v>16</v>
      </c>
      <c r="N18" s="5"/>
      <c r="O18" s="5"/>
      <c r="P18" s="5">
        <v>24</v>
      </c>
      <c r="Q18" s="5">
        <v>5</v>
      </c>
      <c r="R18" s="5">
        <v>5</v>
      </c>
      <c r="S18" s="5"/>
      <c r="T18" s="5"/>
      <c r="U18" s="5"/>
      <c r="V18" s="5"/>
      <c r="W18" s="5"/>
      <c r="X18" s="5"/>
      <c r="Y18" s="6"/>
    </row>
    <row r="19" spans="1:38">
      <c r="A19" s="4" t="s">
        <v>21</v>
      </c>
      <c r="B19" s="5">
        <v>3</v>
      </c>
      <c r="C19" s="5">
        <v>4</v>
      </c>
      <c r="D19" s="5">
        <v>15</v>
      </c>
      <c r="E19" s="5"/>
      <c r="F19" s="5">
        <v>2</v>
      </c>
      <c r="G19" s="5"/>
      <c r="H19" s="5">
        <v>12</v>
      </c>
      <c r="I19" s="5">
        <v>3</v>
      </c>
      <c r="J19" s="5"/>
      <c r="K19" s="5">
        <v>25</v>
      </c>
      <c r="L19" s="5">
        <v>1</v>
      </c>
      <c r="M19" s="5">
        <v>5</v>
      </c>
      <c r="N19" s="5"/>
      <c r="O19" s="5"/>
      <c r="P19" s="5"/>
      <c r="Q19" s="5">
        <v>10</v>
      </c>
      <c r="R19" s="5">
        <v>10</v>
      </c>
      <c r="S19" s="5"/>
      <c r="T19" s="5"/>
      <c r="U19" s="5"/>
      <c r="V19" s="5"/>
      <c r="W19" s="5"/>
      <c r="X19" s="5"/>
      <c r="Y19" s="6"/>
    </row>
    <row r="20" spans="1:38">
      <c r="A20" s="4" t="s">
        <v>22</v>
      </c>
      <c r="B20" s="5">
        <v>1</v>
      </c>
      <c r="C20" s="5">
        <v>2</v>
      </c>
      <c r="D20" s="5">
        <v>12</v>
      </c>
      <c r="E20" s="5"/>
      <c r="F20" s="5">
        <v>3</v>
      </c>
      <c r="G20" s="5"/>
      <c r="H20" s="5">
        <v>6</v>
      </c>
      <c r="I20" s="5">
        <v>3</v>
      </c>
      <c r="J20" s="5">
        <v>15</v>
      </c>
      <c r="K20" s="5"/>
      <c r="L20" s="5">
        <v>1</v>
      </c>
      <c r="M20" s="5">
        <v>7</v>
      </c>
      <c r="N20" s="5"/>
      <c r="O20" s="5"/>
      <c r="P20" s="5">
        <v>20</v>
      </c>
      <c r="Q20" s="5">
        <v>5</v>
      </c>
      <c r="R20" s="5">
        <v>5</v>
      </c>
      <c r="S20" s="5"/>
      <c r="T20" s="5"/>
      <c r="U20" s="5"/>
      <c r="V20" s="5"/>
      <c r="W20" s="5"/>
      <c r="X20" s="5"/>
      <c r="Y20" s="6"/>
    </row>
    <row r="21" spans="1:38">
      <c r="A21" s="4" t="s">
        <v>15</v>
      </c>
      <c r="B21" s="5">
        <v>5</v>
      </c>
      <c r="C21" s="5">
        <v>4</v>
      </c>
      <c r="D21" s="5"/>
      <c r="E21" s="5">
        <v>5</v>
      </c>
      <c r="F21" s="5">
        <v>2</v>
      </c>
      <c r="G21" s="5"/>
      <c r="H21" s="5">
        <v>4</v>
      </c>
      <c r="I21" s="5">
        <v>2</v>
      </c>
      <c r="J21" s="5">
        <v>1</v>
      </c>
      <c r="K21" s="5"/>
      <c r="L21" s="5">
        <v>1</v>
      </c>
      <c r="M21" s="5"/>
      <c r="N21" s="5"/>
      <c r="O21" s="5">
        <v>5</v>
      </c>
      <c r="P21" s="5">
        <v>2</v>
      </c>
      <c r="Q21" s="5">
        <v>3</v>
      </c>
      <c r="R21" s="5">
        <v>3</v>
      </c>
      <c r="S21" s="5"/>
      <c r="T21" s="5"/>
      <c r="U21" s="5"/>
      <c r="V21" s="5"/>
      <c r="W21" s="5"/>
      <c r="X21" s="5"/>
      <c r="Y21" s="6"/>
    </row>
    <row r="22" spans="1:38">
      <c r="A22" s="4" t="s">
        <v>23</v>
      </c>
      <c r="B22" s="5">
        <v>5</v>
      </c>
      <c r="C22" s="5">
        <v>4</v>
      </c>
      <c r="D22" s="5"/>
      <c r="E22" s="5">
        <v>4</v>
      </c>
      <c r="F22" s="5">
        <v>2</v>
      </c>
      <c r="G22" s="5"/>
      <c r="H22" s="5">
        <v>4</v>
      </c>
      <c r="I22" s="5"/>
      <c r="J22" s="5">
        <v>2</v>
      </c>
      <c r="K22" s="5"/>
      <c r="L22" s="5">
        <v>1</v>
      </c>
      <c r="M22" s="5"/>
      <c r="N22" s="5">
        <v>5</v>
      </c>
      <c r="O22" s="5">
        <v>5</v>
      </c>
      <c r="P22" s="5">
        <v>2</v>
      </c>
      <c r="Q22" s="5">
        <v>3</v>
      </c>
      <c r="R22" s="5">
        <v>3</v>
      </c>
      <c r="S22" s="5"/>
      <c r="T22" s="5"/>
      <c r="U22" s="5"/>
      <c r="V22" s="5"/>
      <c r="W22" s="5"/>
      <c r="X22" s="5"/>
      <c r="Y22" s="6"/>
    </row>
    <row r="23" spans="1:38">
      <c r="A23" s="50" t="s">
        <v>24</v>
      </c>
      <c r="B23" s="53"/>
      <c r="C23" s="53"/>
      <c r="D23" s="53"/>
      <c r="E23" s="53">
        <v>5</v>
      </c>
      <c r="F23" s="53">
        <v>2</v>
      </c>
      <c r="G23" s="53"/>
      <c r="H23" s="53">
        <v>4</v>
      </c>
      <c r="I23" s="53"/>
      <c r="J23" s="53"/>
      <c r="K23" s="53"/>
      <c r="L23" s="53">
        <v>1</v>
      </c>
      <c r="M23" s="53"/>
      <c r="N23" s="53"/>
      <c r="O23" s="53">
        <v>7</v>
      </c>
      <c r="P23" s="53"/>
      <c r="Q23" s="53">
        <v>3</v>
      </c>
      <c r="R23" s="53">
        <v>3</v>
      </c>
      <c r="S23" s="53"/>
      <c r="T23" s="53"/>
      <c r="U23" s="53"/>
      <c r="V23" s="53"/>
      <c r="W23" s="53"/>
      <c r="X23" s="53"/>
      <c r="Y23" s="54"/>
    </row>
    <row r="24" spans="1:38" ht="14.25" thickBot="1">
      <c r="A24" s="51" t="s">
        <v>392</v>
      </c>
      <c r="B24" s="55">
        <v>2</v>
      </c>
      <c r="C24" s="56">
        <v>4</v>
      </c>
      <c r="D24" s="55"/>
      <c r="E24" s="55"/>
      <c r="F24" s="55"/>
      <c r="G24" s="55"/>
      <c r="H24" s="56">
        <v>4</v>
      </c>
      <c r="I24" s="55"/>
      <c r="J24" s="55">
        <v>1</v>
      </c>
      <c r="K24" s="55"/>
      <c r="L24" s="55">
        <v>2</v>
      </c>
      <c r="M24" s="55"/>
      <c r="N24" s="55"/>
      <c r="O24" s="55"/>
      <c r="P24" s="55">
        <v>1</v>
      </c>
      <c r="Q24" s="55">
        <v>3</v>
      </c>
      <c r="R24" s="55">
        <v>3</v>
      </c>
      <c r="S24" s="55"/>
      <c r="T24" s="55"/>
      <c r="U24" s="55"/>
      <c r="V24" s="55"/>
      <c r="W24" s="55"/>
      <c r="X24" s="55"/>
      <c r="Y24" s="57"/>
    </row>
    <row r="25" spans="1:38" ht="14.25" thickBot="1">
      <c r="W25" s="16" t="s">
        <v>469</v>
      </c>
      <c r="X25" s="16">
        <v>3</v>
      </c>
      <c r="AD25" s="16">
        <v>4</v>
      </c>
      <c r="AE25" s="16" t="s">
        <v>471</v>
      </c>
    </row>
    <row r="26" spans="1:38">
      <c r="A26" s="45" t="s">
        <v>26</v>
      </c>
      <c r="B26" s="102" t="s">
        <v>526</v>
      </c>
      <c r="C26" s="71" t="s">
        <v>427</v>
      </c>
      <c r="D26" s="103" t="s">
        <v>529</v>
      </c>
      <c r="E26" s="46" t="s">
        <v>343</v>
      </c>
      <c r="F26" s="108" t="s">
        <v>540</v>
      </c>
      <c r="G26" s="73" t="s">
        <v>429</v>
      </c>
      <c r="H26" s="78" t="s">
        <v>448</v>
      </c>
      <c r="I26" s="95" t="s">
        <v>514</v>
      </c>
      <c r="J26" s="65" t="s">
        <v>421</v>
      </c>
      <c r="K26" s="46" t="s">
        <v>297</v>
      </c>
      <c r="L26" s="70" t="s">
        <v>423</v>
      </c>
      <c r="M26" s="107" t="s">
        <v>538</v>
      </c>
      <c r="N26" s="46" t="s">
        <v>305</v>
      </c>
      <c r="O26" s="46" t="s">
        <v>309</v>
      </c>
      <c r="P26" s="95" t="s">
        <v>512</v>
      </c>
      <c r="Q26" s="46" t="s">
        <v>321</v>
      </c>
      <c r="R26" s="70" t="s">
        <v>424</v>
      </c>
      <c r="S26" s="92" t="s">
        <v>498</v>
      </c>
      <c r="T26" s="46" t="s">
        <v>334</v>
      </c>
      <c r="U26" s="46" t="s">
        <v>338</v>
      </c>
      <c r="V26" s="112" t="s">
        <v>544</v>
      </c>
      <c r="W26" s="46" t="s">
        <v>367</v>
      </c>
      <c r="X26" s="47" t="s">
        <v>368</v>
      </c>
      <c r="Y26" s="16" t="s">
        <v>430</v>
      </c>
      <c r="Z26" s="16" t="s">
        <v>433</v>
      </c>
      <c r="AA26" s="16" t="s">
        <v>443</v>
      </c>
      <c r="AB26" s="16" t="s">
        <v>472</v>
      </c>
      <c r="AC26" s="16" t="s">
        <v>520</v>
      </c>
      <c r="AD26" s="16" t="s">
        <v>466</v>
      </c>
      <c r="AE26" s="16" t="s">
        <v>470</v>
      </c>
      <c r="AF26" s="16" t="s">
        <v>488</v>
      </c>
      <c r="AG26" s="90" t="s">
        <v>495</v>
      </c>
      <c r="AH26" s="16" t="s">
        <v>497</v>
      </c>
      <c r="AI26" s="16" t="s">
        <v>533</v>
      </c>
      <c r="AJ26" s="16" t="s">
        <v>517</v>
      </c>
      <c r="AK26" s="16" t="s">
        <v>501</v>
      </c>
      <c r="AL26" s="16" t="s">
        <v>522</v>
      </c>
    </row>
    <row r="27" spans="1:38">
      <c r="A27" s="4" t="s">
        <v>18</v>
      </c>
      <c r="B27" s="5">
        <v>29</v>
      </c>
      <c r="C27" s="5">
        <v>102</v>
      </c>
      <c r="D27" s="5">
        <v>20</v>
      </c>
      <c r="E27" s="5">
        <v>114</v>
      </c>
      <c r="F27" s="5">
        <v>109</v>
      </c>
      <c r="G27" s="5">
        <v>128</v>
      </c>
      <c r="H27" s="5">
        <v>58</v>
      </c>
      <c r="I27" s="5">
        <v>122</v>
      </c>
      <c r="J27" s="5">
        <v>45</v>
      </c>
      <c r="K27" s="5">
        <v>39</v>
      </c>
      <c r="L27" s="5">
        <v>80</v>
      </c>
      <c r="M27" s="5">
        <v>56</v>
      </c>
      <c r="N27" s="5">
        <v>56</v>
      </c>
      <c r="O27" s="5">
        <v>48</v>
      </c>
      <c r="P27" s="5">
        <v>41</v>
      </c>
      <c r="Q27" s="5">
        <v>38</v>
      </c>
      <c r="R27" s="5">
        <v>94</v>
      </c>
      <c r="S27" s="5">
        <v>44</v>
      </c>
      <c r="T27" s="5">
        <v>36</v>
      </c>
      <c r="U27" s="5">
        <v>33</v>
      </c>
      <c r="V27" s="5">
        <v>91</v>
      </c>
      <c r="W27" s="5">
        <v>121</v>
      </c>
      <c r="X27" s="6">
        <v>75</v>
      </c>
      <c r="Y27" s="16">
        <v>89</v>
      </c>
      <c r="Z27" s="16">
        <v>25</v>
      </c>
      <c r="AA27" s="16">
        <v>41</v>
      </c>
      <c r="AB27" s="16">
        <v>107</v>
      </c>
      <c r="AC27" s="16">
        <v>18</v>
      </c>
      <c r="AD27" s="16">
        <v>75</v>
      </c>
      <c r="AE27" s="16">
        <v>73</v>
      </c>
      <c r="AF27" s="16">
        <v>65</v>
      </c>
      <c r="AG27" s="5">
        <v>56</v>
      </c>
      <c r="AH27" s="16">
        <v>44</v>
      </c>
      <c r="AI27" s="16">
        <v>67</v>
      </c>
      <c r="AJ27" s="16">
        <v>91</v>
      </c>
      <c r="AL27" s="16">
        <v>30</v>
      </c>
    </row>
    <row r="28" spans="1:38">
      <c r="A28" s="4" t="s">
        <v>19</v>
      </c>
      <c r="B28" s="5">
        <v>85</v>
      </c>
      <c r="C28" s="5">
        <v>78</v>
      </c>
      <c r="D28" s="5">
        <v>73</v>
      </c>
      <c r="E28" s="5">
        <v>89</v>
      </c>
      <c r="F28" s="5">
        <v>87</v>
      </c>
      <c r="G28" s="5">
        <v>98</v>
      </c>
      <c r="H28" s="5">
        <v>57</v>
      </c>
      <c r="I28" s="5">
        <v>50</v>
      </c>
      <c r="J28" s="5">
        <v>50</v>
      </c>
      <c r="K28" s="5">
        <v>106</v>
      </c>
      <c r="L28" s="5">
        <v>80</v>
      </c>
      <c r="M28" s="5">
        <v>56</v>
      </c>
      <c r="N28" s="5">
        <v>56</v>
      </c>
      <c r="O28" s="5">
        <v>51</v>
      </c>
      <c r="P28" s="5">
        <v>113</v>
      </c>
      <c r="Q28" s="5">
        <v>104</v>
      </c>
      <c r="R28" s="5">
        <v>96</v>
      </c>
      <c r="S28" s="5">
        <v>39</v>
      </c>
      <c r="T28" s="5">
        <v>39</v>
      </c>
      <c r="U28" s="5">
        <v>37</v>
      </c>
      <c r="V28" s="5">
        <v>32</v>
      </c>
      <c r="W28" s="5">
        <v>15</v>
      </c>
      <c r="X28" s="6">
        <v>15</v>
      </c>
      <c r="Y28" s="16">
        <v>32</v>
      </c>
      <c r="Z28" s="16">
        <v>18</v>
      </c>
      <c r="AA28" s="16">
        <v>107</v>
      </c>
      <c r="AB28" s="16">
        <v>13</v>
      </c>
      <c r="AC28" s="16">
        <v>60</v>
      </c>
      <c r="AD28" s="16">
        <v>15</v>
      </c>
      <c r="AE28" s="16">
        <v>22</v>
      </c>
      <c r="AF28" s="16">
        <v>25</v>
      </c>
      <c r="AG28" s="5">
        <v>56</v>
      </c>
      <c r="AH28" s="16">
        <v>121</v>
      </c>
      <c r="AI28" s="16">
        <v>60</v>
      </c>
      <c r="AJ28" s="16">
        <v>108</v>
      </c>
      <c r="AL28" s="16">
        <v>103</v>
      </c>
    </row>
    <row r="29" spans="1:38">
      <c r="A29" s="4" t="s">
        <v>20</v>
      </c>
      <c r="B29" s="5"/>
      <c r="C29" s="5">
        <v>71</v>
      </c>
      <c r="D29" s="5"/>
      <c r="E29" s="5">
        <v>72</v>
      </c>
      <c r="F29" s="5">
        <v>74</v>
      </c>
      <c r="G29" s="5">
        <v>86</v>
      </c>
      <c r="H29" s="5">
        <v>105</v>
      </c>
      <c r="I29" s="5">
        <v>13</v>
      </c>
      <c r="J29" s="5">
        <v>3</v>
      </c>
      <c r="K29" s="5">
        <v>80</v>
      </c>
      <c r="L29" s="5">
        <v>3</v>
      </c>
      <c r="M29" s="5">
        <v>95</v>
      </c>
      <c r="N29" s="5">
        <v>92</v>
      </c>
      <c r="O29" s="5">
        <v>84</v>
      </c>
      <c r="P29" s="5"/>
      <c r="Q29" s="5">
        <v>8</v>
      </c>
      <c r="R29" s="5"/>
      <c r="S29" s="5">
        <v>44</v>
      </c>
      <c r="T29" s="5">
        <v>95</v>
      </c>
      <c r="U29" s="5">
        <v>41</v>
      </c>
      <c r="V29" s="5">
        <v>31</v>
      </c>
      <c r="W29" s="5">
        <v>70</v>
      </c>
      <c r="X29" s="6">
        <v>125</v>
      </c>
      <c r="Y29" s="16">
        <v>32</v>
      </c>
      <c r="Z29" s="16">
        <v>23</v>
      </c>
      <c r="AB29" s="16">
        <v>62</v>
      </c>
      <c r="AD29" s="16">
        <v>137</v>
      </c>
      <c r="AE29" s="16">
        <v>136</v>
      </c>
      <c r="AF29" s="16">
        <v>110</v>
      </c>
      <c r="AG29" s="5">
        <v>103</v>
      </c>
      <c r="AK29" s="16">
        <v>106</v>
      </c>
    </row>
    <row r="30" spans="1:38">
      <c r="A30" s="4" t="s">
        <v>21</v>
      </c>
      <c r="B30" s="5">
        <v>8</v>
      </c>
      <c r="C30" s="5">
        <v>7</v>
      </c>
      <c r="D30" s="5">
        <v>4</v>
      </c>
      <c r="E30" s="5">
        <v>9</v>
      </c>
      <c r="F30" s="5">
        <v>15</v>
      </c>
      <c r="G30" s="5">
        <v>11</v>
      </c>
      <c r="H30" s="5">
        <v>6</v>
      </c>
      <c r="I30" s="5">
        <v>7</v>
      </c>
      <c r="J30" s="5"/>
      <c r="K30" s="5">
        <v>10</v>
      </c>
      <c r="L30" s="5">
        <v>7</v>
      </c>
      <c r="M30" s="5"/>
      <c r="N30" s="5"/>
      <c r="O30" s="5">
        <v>9</v>
      </c>
      <c r="P30" s="5">
        <v>11</v>
      </c>
      <c r="Q30" s="5">
        <v>13</v>
      </c>
      <c r="R30" s="5"/>
      <c r="S30" s="5">
        <v>5</v>
      </c>
      <c r="T30" s="5">
        <v>6</v>
      </c>
      <c r="U30" s="5">
        <v>8</v>
      </c>
      <c r="V30" s="5">
        <v>7</v>
      </c>
      <c r="W30" s="5"/>
      <c r="X30" s="6"/>
      <c r="Y30" s="16">
        <v>6</v>
      </c>
      <c r="Z30" s="16">
        <v>2</v>
      </c>
      <c r="AB30" s="16">
        <v>7</v>
      </c>
      <c r="AE30" s="16">
        <v>13</v>
      </c>
      <c r="AG30" s="5"/>
      <c r="AI30" s="16">
        <v>8</v>
      </c>
      <c r="AL30" s="16">
        <v>10</v>
      </c>
    </row>
    <row r="31" spans="1:38">
      <c r="A31" s="4" t="s">
        <v>22</v>
      </c>
      <c r="B31" s="5">
        <v>2</v>
      </c>
      <c r="C31" s="5">
        <v>3</v>
      </c>
      <c r="D31" s="5">
        <v>3</v>
      </c>
      <c r="E31" s="5"/>
      <c r="F31" s="5">
        <v>13</v>
      </c>
      <c r="G31" s="5">
        <v>13</v>
      </c>
      <c r="H31" s="5">
        <v>95</v>
      </c>
      <c r="I31" s="5">
        <v>6</v>
      </c>
      <c r="J31" s="5"/>
      <c r="K31" s="5">
        <v>11</v>
      </c>
      <c r="L31" s="5">
        <v>6</v>
      </c>
      <c r="M31" s="5">
        <v>92</v>
      </c>
      <c r="N31" s="5">
        <v>83</v>
      </c>
      <c r="O31" s="5">
        <v>85</v>
      </c>
      <c r="P31" s="5">
        <v>5</v>
      </c>
      <c r="Q31" s="5">
        <v>8</v>
      </c>
      <c r="R31" s="5"/>
      <c r="S31" s="5">
        <v>106</v>
      </c>
      <c r="T31" s="5">
        <v>25</v>
      </c>
      <c r="U31" s="5">
        <v>91</v>
      </c>
      <c r="V31" s="5">
        <v>4</v>
      </c>
      <c r="W31" s="5"/>
      <c r="X31" s="6">
        <v>39</v>
      </c>
      <c r="Y31" s="16">
        <v>6</v>
      </c>
      <c r="AB31" s="16">
        <v>4</v>
      </c>
      <c r="AD31" s="16">
        <v>39</v>
      </c>
      <c r="AE31" s="16">
        <v>40</v>
      </c>
      <c r="AF31" s="16">
        <v>35</v>
      </c>
      <c r="AG31" s="5">
        <v>83</v>
      </c>
      <c r="AI31" s="16">
        <v>4</v>
      </c>
      <c r="AK31" s="16">
        <v>28</v>
      </c>
      <c r="AL31" s="16">
        <v>6</v>
      </c>
    </row>
    <row r="32" spans="1:38">
      <c r="A32" s="4" t="s">
        <v>15</v>
      </c>
      <c r="B32" s="5">
        <v>7</v>
      </c>
      <c r="C32" s="5">
        <v>11</v>
      </c>
      <c r="D32" s="5">
        <v>6</v>
      </c>
      <c r="E32" s="5">
        <v>13</v>
      </c>
      <c r="F32" s="5">
        <v>9</v>
      </c>
      <c r="G32" s="5">
        <v>12</v>
      </c>
      <c r="H32" s="5">
        <v>9</v>
      </c>
      <c r="I32" s="5">
        <v>12</v>
      </c>
      <c r="J32" s="5"/>
      <c r="K32" s="5">
        <v>12</v>
      </c>
      <c r="L32" s="5">
        <v>12</v>
      </c>
      <c r="M32" s="5">
        <v>7</v>
      </c>
      <c r="N32" s="5">
        <v>7</v>
      </c>
      <c r="O32" s="5">
        <v>5</v>
      </c>
      <c r="P32" s="5">
        <v>11</v>
      </c>
      <c r="Q32" s="5">
        <v>11</v>
      </c>
      <c r="R32" s="5">
        <v>17</v>
      </c>
      <c r="S32" s="5">
        <v>8</v>
      </c>
      <c r="T32" s="5">
        <v>8</v>
      </c>
      <c r="U32" s="5">
        <v>7</v>
      </c>
      <c r="V32" s="5">
        <v>7</v>
      </c>
      <c r="W32" s="5">
        <v>14</v>
      </c>
      <c r="X32" s="6">
        <v>11</v>
      </c>
      <c r="Y32" s="16">
        <v>7</v>
      </c>
      <c r="Z32" s="16">
        <v>3</v>
      </c>
      <c r="AA32" s="16">
        <v>9</v>
      </c>
      <c r="AB32" s="16">
        <v>9</v>
      </c>
      <c r="AC32" s="16">
        <v>4</v>
      </c>
      <c r="AD32" s="16">
        <v>11</v>
      </c>
      <c r="AE32" s="16">
        <v>11</v>
      </c>
      <c r="AF32" s="16">
        <v>10</v>
      </c>
      <c r="AG32" s="5">
        <v>7</v>
      </c>
      <c r="AH32" s="16">
        <v>12</v>
      </c>
      <c r="AI32" s="16">
        <v>7</v>
      </c>
      <c r="AJ32" s="16">
        <v>10</v>
      </c>
      <c r="AK32" s="16">
        <v>16</v>
      </c>
      <c r="AL32" s="16">
        <v>7</v>
      </c>
    </row>
    <row r="33" spans="1:38">
      <c r="A33" s="4" t="s">
        <v>23</v>
      </c>
      <c r="B33" s="5">
        <v>3</v>
      </c>
      <c r="C33" s="5">
        <v>12</v>
      </c>
      <c r="D33" s="5">
        <v>3</v>
      </c>
      <c r="E33" s="5"/>
      <c r="F33" s="5">
        <v>9</v>
      </c>
      <c r="G33" s="5">
        <v>11</v>
      </c>
      <c r="H33" s="5">
        <v>7</v>
      </c>
      <c r="I33" s="5">
        <v>7</v>
      </c>
      <c r="J33" s="5">
        <v>1</v>
      </c>
      <c r="K33" s="5">
        <v>5</v>
      </c>
      <c r="L33" s="5">
        <v>9</v>
      </c>
      <c r="M33" s="5">
        <v>6</v>
      </c>
      <c r="N33" s="5"/>
      <c r="O33" s="5">
        <v>3</v>
      </c>
      <c r="P33" s="5">
        <v>8</v>
      </c>
      <c r="Q33" s="5">
        <v>7</v>
      </c>
      <c r="R33" s="5"/>
      <c r="S33" s="5">
        <v>4</v>
      </c>
      <c r="T33" s="5">
        <v>5</v>
      </c>
      <c r="U33" s="5">
        <v>5</v>
      </c>
      <c r="V33" s="5">
        <v>5</v>
      </c>
      <c r="W33" s="5"/>
      <c r="X33" s="6"/>
      <c r="Y33" s="16">
        <v>4</v>
      </c>
      <c r="Z33" s="16">
        <v>2</v>
      </c>
      <c r="AA33" s="16">
        <v>8</v>
      </c>
      <c r="AB33" s="16">
        <v>7</v>
      </c>
      <c r="AC33" s="16">
        <v>2</v>
      </c>
      <c r="AE33" s="16">
        <v>8</v>
      </c>
      <c r="AG33" s="5"/>
      <c r="AH33" s="16">
        <v>10</v>
      </c>
      <c r="AI33" s="16">
        <v>8</v>
      </c>
      <c r="AJ33" s="16">
        <v>9</v>
      </c>
      <c r="AL33" s="16">
        <v>4</v>
      </c>
    </row>
    <row r="34" spans="1:38">
      <c r="A34" s="4" t="s">
        <v>24</v>
      </c>
      <c r="B34" s="5">
        <v>3</v>
      </c>
      <c r="C34" s="5">
        <v>6</v>
      </c>
      <c r="D34" s="5">
        <v>3</v>
      </c>
      <c r="E34" s="5"/>
      <c r="F34" s="5">
        <v>6</v>
      </c>
      <c r="G34" s="5">
        <v>6</v>
      </c>
      <c r="H34" s="5">
        <v>5</v>
      </c>
      <c r="I34" s="5">
        <v>6</v>
      </c>
      <c r="J34" s="5">
        <v>2</v>
      </c>
      <c r="K34" s="5">
        <v>3</v>
      </c>
      <c r="L34" s="5">
        <v>5</v>
      </c>
      <c r="M34" s="5">
        <v>6</v>
      </c>
      <c r="N34" s="5">
        <v>6</v>
      </c>
      <c r="O34" s="5">
        <v>5</v>
      </c>
      <c r="P34" s="5">
        <v>3</v>
      </c>
      <c r="Q34" s="5">
        <v>4</v>
      </c>
      <c r="R34" s="5">
        <v>9</v>
      </c>
      <c r="S34" s="5">
        <v>5</v>
      </c>
      <c r="T34" s="5">
        <v>3</v>
      </c>
      <c r="U34" s="5">
        <v>6</v>
      </c>
      <c r="V34" s="5">
        <v>3</v>
      </c>
      <c r="W34" s="5">
        <v>7</v>
      </c>
      <c r="X34" s="6">
        <v>9</v>
      </c>
      <c r="Y34" s="16">
        <v>3</v>
      </c>
      <c r="Z34" s="16">
        <v>2</v>
      </c>
      <c r="AA34" s="16">
        <v>4</v>
      </c>
      <c r="AB34" s="16">
        <v>6</v>
      </c>
      <c r="AC34" s="16">
        <v>1</v>
      </c>
      <c r="AD34" s="16">
        <v>9</v>
      </c>
      <c r="AE34" s="16">
        <v>7</v>
      </c>
      <c r="AF34" s="16">
        <v>8</v>
      </c>
      <c r="AG34" s="5">
        <v>6</v>
      </c>
      <c r="AH34" s="16">
        <v>6</v>
      </c>
      <c r="AI34" s="16">
        <v>4</v>
      </c>
      <c r="AJ34" s="16">
        <v>6</v>
      </c>
      <c r="AK34" s="16">
        <v>6</v>
      </c>
      <c r="AL34" s="16">
        <v>2</v>
      </c>
    </row>
    <row r="35" spans="1:38">
      <c r="A35" s="52" t="s">
        <v>419</v>
      </c>
      <c r="B35" s="5">
        <v>80</v>
      </c>
      <c r="C35" s="5">
        <v>75</v>
      </c>
      <c r="D35" s="5">
        <v>75</v>
      </c>
      <c r="E35" s="5">
        <v>85</v>
      </c>
      <c r="F35" s="5">
        <v>75</v>
      </c>
      <c r="G35" s="5">
        <v>80</v>
      </c>
      <c r="H35" s="5">
        <v>80</v>
      </c>
      <c r="I35" s="5">
        <v>75</v>
      </c>
      <c r="J35" s="5">
        <v>80</v>
      </c>
      <c r="K35" s="5">
        <v>95</v>
      </c>
      <c r="L35" s="5">
        <v>50</v>
      </c>
      <c r="M35" s="5">
        <v>80</v>
      </c>
      <c r="N35" s="5">
        <v>80</v>
      </c>
      <c r="O35" s="5">
        <v>80</v>
      </c>
      <c r="P35" s="5">
        <v>85</v>
      </c>
      <c r="Q35" s="5">
        <v>90</v>
      </c>
      <c r="R35" s="5">
        <v>50</v>
      </c>
      <c r="S35" s="5">
        <v>85</v>
      </c>
      <c r="T35" s="5">
        <v>95</v>
      </c>
      <c r="U35" s="5">
        <v>85</v>
      </c>
      <c r="V35" s="5">
        <v>75</v>
      </c>
      <c r="W35" s="5">
        <v>75</v>
      </c>
      <c r="X35" s="6">
        <v>75</v>
      </c>
      <c r="Y35" s="16">
        <v>45</v>
      </c>
      <c r="Z35" s="16">
        <v>40</v>
      </c>
      <c r="AA35" s="16">
        <v>70</v>
      </c>
      <c r="AB35" s="16">
        <v>70</v>
      </c>
      <c r="AC35" s="16">
        <v>70</v>
      </c>
      <c r="AD35" s="16">
        <v>75</v>
      </c>
      <c r="AE35" s="16">
        <v>75</v>
      </c>
      <c r="AF35" s="16">
        <v>75</v>
      </c>
      <c r="AG35" s="5">
        <v>80</v>
      </c>
      <c r="AH35" s="16">
        <v>75</v>
      </c>
      <c r="AI35" s="16">
        <v>100</v>
      </c>
      <c r="AJ35" s="16">
        <v>95</v>
      </c>
      <c r="AK35" s="16">
        <v>95</v>
      </c>
      <c r="AL35" s="16">
        <v>75</v>
      </c>
    </row>
    <row r="36" spans="1:38" ht="14.25" thickBot="1">
      <c r="A36" s="51" t="s">
        <v>392</v>
      </c>
      <c r="B36" s="55">
        <v>2</v>
      </c>
      <c r="C36" s="55">
        <v>6</v>
      </c>
      <c r="D36" s="55">
        <v>3</v>
      </c>
      <c r="E36" s="55">
        <v>8</v>
      </c>
      <c r="F36" s="55">
        <v>4</v>
      </c>
      <c r="G36" s="55">
        <v>7</v>
      </c>
      <c r="H36" s="55">
        <v>5</v>
      </c>
      <c r="I36" s="55">
        <v>7</v>
      </c>
      <c r="J36" s="55"/>
      <c r="K36" s="55">
        <v>6</v>
      </c>
      <c r="L36" s="55">
        <v>5</v>
      </c>
      <c r="M36" s="55">
        <v>5</v>
      </c>
      <c r="N36" s="55">
        <v>5</v>
      </c>
      <c r="O36" s="55"/>
      <c r="P36" s="55">
        <v>5</v>
      </c>
      <c r="Q36" s="55">
        <v>5</v>
      </c>
      <c r="R36" s="55">
        <v>8</v>
      </c>
      <c r="S36" s="55">
        <v>3</v>
      </c>
      <c r="T36" s="55"/>
      <c r="U36" s="55"/>
      <c r="V36" s="55">
        <v>3</v>
      </c>
      <c r="W36" s="55">
        <v>8</v>
      </c>
      <c r="X36" s="57">
        <v>7</v>
      </c>
      <c r="Y36" s="16">
        <v>4</v>
      </c>
      <c r="Z36" s="16">
        <v>3</v>
      </c>
      <c r="AA36" s="16">
        <v>5</v>
      </c>
      <c r="AB36" s="16">
        <v>5</v>
      </c>
      <c r="AC36" s="16">
        <v>2</v>
      </c>
      <c r="AD36" s="16">
        <v>7</v>
      </c>
      <c r="AE36" s="16">
        <v>6</v>
      </c>
      <c r="AF36" s="16">
        <v>6</v>
      </c>
      <c r="AG36" s="55">
        <v>5</v>
      </c>
      <c r="AH36" s="16">
        <v>6</v>
      </c>
      <c r="AI36" s="16">
        <v>5</v>
      </c>
      <c r="AJ36" s="16">
        <v>7</v>
      </c>
      <c r="AK36" s="16">
        <v>8</v>
      </c>
      <c r="AL36" s="16">
        <v>7</v>
      </c>
    </row>
    <row r="37" spans="1:38" ht="14.25" thickBot="1"/>
    <row r="38" spans="1:38">
      <c r="A38" s="45" t="s">
        <v>27</v>
      </c>
      <c r="B38" s="46" t="s">
        <v>127</v>
      </c>
      <c r="C38" s="81" t="s">
        <v>453</v>
      </c>
      <c r="D38" s="46" t="s">
        <v>262</v>
      </c>
      <c r="E38" s="46" t="s">
        <v>280</v>
      </c>
      <c r="F38" s="72" t="s">
        <v>428</v>
      </c>
      <c r="G38" s="46" t="s">
        <v>366</v>
      </c>
      <c r="H38" s="82" t="s">
        <v>460</v>
      </c>
      <c r="I38" s="46" t="s">
        <v>301</v>
      </c>
      <c r="J38" s="46" t="s">
        <v>306</v>
      </c>
      <c r="K38" s="46" t="s">
        <v>361</v>
      </c>
      <c r="L38" s="46" t="s">
        <v>339</v>
      </c>
      <c r="M38" s="46" t="s">
        <v>357</v>
      </c>
      <c r="N38" s="86" t="s">
        <v>473</v>
      </c>
      <c r="O38" s="59" t="s">
        <v>414</v>
      </c>
      <c r="P38" s="64" t="s">
        <v>420</v>
      </c>
      <c r="Q38" s="67" t="s">
        <v>422</v>
      </c>
      <c r="R38" s="74" t="s">
        <v>434</v>
      </c>
      <c r="S38" s="91" t="s">
        <v>496</v>
      </c>
      <c r="T38" s="94" t="s">
        <v>507</v>
      </c>
      <c r="U38" s="97" t="s">
        <v>516</v>
      </c>
      <c r="V38" s="100" t="s">
        <v>521</v>
      </c>
      <c r="W38" s="102" t="s">
        <v>527</v>
      </c>
      <c r="X38" s="102" t="s">
        <v>528</v>
      </c>
      <c r="Y38" s="46"/>
      <c r="Z38" s="47"/>
    </row>
    <row r="39" spans="1:38">
      <c r="A39" s="4" t="s">
        <v>18</v>
      </c>
      <c r="B39" s="5"/>
      <c r="C39" s="5"/>
      <c r="D39" s="5"/>
      <c r="E39" s="5">
        <v>12</v>
      </c>
      <c r="F39" s="5">
        <v>30</v>
      </c>
      <c r="G39" s="5"/>
      <c r="H39" s="5">
        <v>11</v>
      </c>
      <c r="I39" s="5"/>
      <c r="J39" s="5"/>
      <c r="K39" s="5">
        <v>8</v>
      </c>
      <c r="L39" s="5"/>
      <c r="M39" s="5">
        <v>19</v>
      </c>
      <c r="N39" s="5">
        <v>9</v>
      </c>
      <c r="O39" s="5">
        <v>3</v>
      </c>
      <c r="P39" s="5"/>
      <c r="Q39" s="5">
        <v>3</v>
      </c>
      <c r="R39" s="5"/>
      <c r="S39" s="5"/>
      <c r="T39" s="5"/>
      <c r="U39" s="5"/>
      <c r="V39" s="5"/>
      <c r="W39" s="5"/>
      <c r="X39" s="5"/>
      <c r="Y39" s="5"/>
      <c r="Z39" s="6"/>
    </row>
    <row r="40" spans="1:38">
      <c r="A40" s="4" t="s">
        <v>19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6"/>
    </row>
    <row r="41" spans="1:38">
      <c r="A41" s="4" t="s">
        <v>20</v>
      </c>
      <c r="B41" s="5"/>
      <c r="C41" s="5"/>
      <c r="D41" s="5"/>
      <c r="E41" s="5">
        <v>17</v>
      </c>
      <c r="F41" s="5">
        <v>7</v>
      </c>
      <c r="G41" s="5"/>
      <c r="H41" s="5">
        <v>25</v>
      </c>
      <c r="I41" s="5"/>
      <c r="J41" s="5"/>
      <c r="K41" s="5">
        <v>20</v>
      </c>
      <c r="L41" s="5"/>
      <c r="M41" s="5">
        <v>8</v>
      </c>
      <c r="N41" s="5">
        <v>31</v>
      </c>
      <c r="O41" s="5">
        <v>1</v>
      </c>
      <c r="P41" s="5"/>
      <c r="Q41" s="5">
        <v>1</v>
      </c>
      <c r="R41" s="5"/>
      <c r="S41" s="5">
        <v>13</v>
      </c>
      <c r="T41" s="5"/>
      <c r="U41" s="5"/>
      <c r="V41" s="5"/>
      <c r="W41" s="5"/>
      <c r="X41" s="5"/>
      <c r="Y41" s="5"/>
      <c r="Z41" s="6"/>
    </row>
    <row r="42" spans="1:38">
      <c r="A42" s="4" t="s">
        <v>21</v>
      </c>
      <c r="B42" s="5">
        <v>55</v>
      </c>
      <c r="C42" s="5">
        <v>80</v>
      </c>
      <c r="D42" s="5">
        <v>60</v>
      </c>
      <c r="E42" s="5">
        <v>88</v>
      </c>
      <c r="F42" s="5">
        <v>51</v>
      </c>
      <c r="G42" s="5">
        <v>68</v>
      </c>
      <c r="H42" s="5">
        <v>88</v>
      </c>
      <c r="I42" s="5">
        <v>35</v>
      </c>
      <c r="J42" s="5">
        <v>62</v>
      </c>
      <c r="K42" s="5">
        <v>51</v>
      </c>
      <c r="L42" s="5">
        <v>62</v>
      </c>
      <c r="M42" s="5">
        <v>52</v>
      </c>
      <c r="N42" s="5">
        <v>82</v>
      </c>
      <c r="O42" s="5">
        <v>55</v>
      </c>
      <c r="P42" s="5">
        <v>74</v>
      </c>
      <c r="Q42" s="5">
        <v>55</v>
      </c>
      <c r="R42" s="5">
        <v>70</v>
      </c>
      <c r="S42" s="5">
        <v>81</v>
      </c>
      <c r="T42" s="5">
        <v>160</v>
      </c>
      <c r="U42" s="5">
        <v>34</v>
      </c>
      <c r="V42" s="5">
        <v>53</v>
      </c>
      <c r="W42" s="5">
        <v>43</v>
      </c>
      <c r="X42" s="5"/>
      <c r="Y42" s="5"/>
      <c r="Z42" s="6"/>
    </row>
    <row r="43" spans="1:38">
      <c r="A43" s="4" t="s">
        <v>22</v>
      </c>
      <c r="B43" s="5">
        <v>100</v>
      </c>
      <c r="C43" s="5">
        <v>40</v>
      </c>
      <c r="D43" s="5">
        <v>85</v>
      </c>
      <c r="E43" s="5">
        <v>87</v>
      </c>
      <c r="F43" s="5">
        <v>32</v>
      </c>
      <c r="G43" s="5"/>
      <c r="H43" s="5">
        <v>87</v>
      </c>
      <c r="I43" s="5">
        <v>16</v>
      </c>
      <c r="J43" s="5">
        <v>57</v>
      </c>
      <c r="K43" s="5">
        <v>31</v>
      </c>
      <c r="L43" s="5">
        <v>96</v>
      </c>
      <c r="M43" s="5">
        <v>62</v>
      </c>
      <c r="N43" s="5">
        <v>85</v>
      </c>
      <c r="O43" s="5">
        <v>22</v>
      </c>
      <c r="P43" s="5"/>
      <c r="Q43" s="5">
        <v>21</v>
      </c>
      <c r="R43" s="5">
        <v>90</v>
      </c>
      <c r="S43" s="5">
        <v>87</v>
      </c>
      <c r="T43" s="5"/>
      <c r="U43" s="5"/>
      <c r="V43" s="5"/>
      <c r="W43" s="5"/>
      <c r="X43" s="5"/>
      <c r="Y43" s="5"/>
      <c r="Z43" s="6"/>
    </row>
    <row r="44" spans="1:38">
      <c r="A44" s="4" t="s">
        <v>15</v>
      </c>
      <c r="B44" s="5"/>
      <c r="C44" s="5">
        <v>5</v>
      </c>
      <c r="D44" s="5"/>
      <c r="E44" s="5">
        <v>10</v>
      </c>
      <c r="F44" s="5">
        <v>6</v>
      </c>
      <c r="G44" s="5"/>
      <c r="H44" s="5">
        <v>11</v>
      </c>
      <c r="I44" s="5"/>
      <c r="J44" s="5">
        <v>13</v>
      </c>
      <c r="K44" s="5">
        <v>6</v>
      </c>
      <c r="L44" s="5">
        <v>15</v>
      </c>
      <c r="M44" s="5">
        <v>6</v>
      </c>
      <c r="N44" s="5">
        <v>10</v>
      </c>
      <c r="O44" s="5">
        <v>3</v>
      </c>
      <c r="P44" s="5">
        <v>3</v>
      </c>
      <c r="Q44" s="5">
        <v>3</v>
      </c>
      <c r="R44" s="5"/>
      <c r="S44" s="5">
        <v>11</v>
      </c>
      <c r="T44" s="5"/>
      <c r="U44" s="5"/>
      <c r="V44" s="5"/>
      <c r="W44" s="5"/>
      <c r="X44" s="5"/>
      <c r="Y44" s="5"/>
      <c r="Z44" s="6"/>
    </row>
    <row r="45" spans="1:38">
      <c r="A45" s="4" t="s">
        <v>23</v>
      </c>
      <c r="B45" s="5"/>
      <c r="C45" s="5">
        <v>25</v>
      </c>
      <c r="D45" s="5">
        <v>28</v>
      </c>
      <c r="E45" s="5"/>
      <c r="F45" s="5"/>
      <c r="G45" s="5">
        <v>52</v>
      </c>
      <c r="H45" s="5"/>
      <c r="I45" s="5">
        <v>15</v>
      </c>
      <c r="J45" s="5">
        <v>13</v>
      </c>
      <c r="K45" s="5"/>
      <c r="L45" s="5">
        <v>15</v>
      </c>
      <c r="M45" s="5"/>
      <c r="N45" s="5"/>
      <c r="O45" s="5"/>
      <c r="P45" s="5"/>
      <c r="Q45" s="5"/>
      <c r="R45" s="5">
        <v>32</v>
      </c>
      <c r="S45" s="5"/>
      <c r="T45" s="5"/>
      <c r="U45" s="5">
        <v>17</v>
      </c>
      <c r="V45" s="5">
        <v>42</v>
      </c>
      <c r="W45" s="5">
        <v>30</v>
      </c>
      <c r="X45" s="5"/>
      <c r="Y45" s="5"/>
      <c r="Z45" s="6"/>
    </row>
    <row r="46" spans="1:38">
      <c r="A46" s="4" t="s">
        <v>24</v>
      </c>
      <c r="B46" s="5"/>
      <c r="C46" s="5">
        <v>1</v>
      </c>
      <c r="D46" s="5">
        <v>6</v>
      </c>
      <c r="E46" s="5"/>
      <c r="F46" s="5"/>
      <c r="G46" s="5">
        <v>3</v>
      </c>
      <c r="H46" s="5"/>
      <c r="I46" s="5">
        <v>4</v>
      </c>
      <c r="J46" s="5"/>
      <c r="K46" s="5"/>
      <c r="L46" s="5"/>
      <c r="M46" s="5"/>
      <c r="N46" s="5"/>
      <c r="O46" s="5"/>
      <c r="P46" s="5"/>
      <c r="Q46" s="5"/>
      <c r="R46" s="5">
        <v>6</v>
      </c>
      <c r="S46" s="5"/>
      <c r="T46" s="5"/>
      <c r="U46" s="5"/>
      <c r="V46" s="5">
        <v>2</v>
      </c>
      <c r="W46" s="5"/>
      <c r="X46" s="5"/>
      <c r="Y46" s="5"/>
      <c r="Z46" s="6"/>
    </row>
    <row r="47" spans="1:38" ht="14.25" thickBot="1">
      <c r="A47" s="51" t="s">
        <v>392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>
        <v>2</v>
      </c>
      <c r="Q47" s="55"/>
      <c r="R47" s="55"/>
      <c r="S47" s="55"/>
      <c r="T47" s="55">
        <v>3</v>
      </c>
      <c r="U47" s="55"/>
      <c r="V47" s="55"/>
      <c r="W47" s="55"/>
      <c r="X47" s="55"/>
      <c r="Y47" s="55"/>
      <c r="Z47" s="57"/>
    </row>
    <row r="48" spans="1:38" ht="14.25" thickBot="1"/>
    <row r="49" spans="1:26">
      <c r="A49" s="45" t="s">
        <v>28</v>
      </c>
      <c r="B49" s="46" t="s">
        <v>128</v>
      </c>
      <c r="C49" s="109" t="s">
        <v>541</v>
      </c>
      <c r="D49" s="46" t="s">
        <v>286</v>
      </c>
      <c r="E49" s="46" t="s">
        <v>296</v>
      </c>
      <c r="F49" s="46" t="s">
        <v>403</v>
      </c>
      <c r="G49" s="46" t="s">
        <v>313</v>
      </c>
      <c r="H49" s="46" t="s">
        <v>333</v>
      </c>
      <c r="I49" s="46" t="s">
        <v>335</v>
      </c>
      <c r="J49" s="46" t="s">
        <v>349</v>
      </c>
      <c r="K49" s="46" t="s">
        <v>371</v>
      </c>
      <c r="L49" s="60" t="s">
        <v>415</v>
      </c>
      <c r="M49" s="16" t="s">
        <v>431</v>
      </c>
      <c r="N49" s="76" t="s">
        <v>442</v>
      </c>
      <c r="O49" s="79" t="s">
        <v>449</v>
      </c>
      <c r="P49" s="80" t="s">
        <v>451</v>
      </c>
      <c r="Q49" s="89" t="s">
        <v>491</v>
      </c>
      <c r="R49" s="89" t="s">
        <v>494</v>
      </c>
      <c r="S49" s="93" t="s">
        <v>502</v>
      </c>
      <c r="T49" s="94" t="s">
        <v>509</v>
      </c>
      <c r="U49" s="98" t="s">
        <v>518</v>
      </c>
      <c r="V49" s="46"/>
      <c r="W49" s="46"/>
      <c r="X49" s="46"/>
      <c r="Y49" s="46"/>
      <c r="Z49" s="47"/>
    </row>
    <row r="50" spans="1:26">
      <c r="A50" s="4" t="s">
        <v>18</v>
      </c>
      <c r="B50" s="5">
        <v>7</v>
      </c>
      <c r="C50" s="5"/>
      <c r="D50" s="5"/>
      <c r="E50" s="5">
        <v>21</v>
      </c>
      <c r="F50" s="5">
        <v>8</v>
      </c>
      <c r="G50" s="5">
        <v>12</v>
      </c>
      <c r="H50" s="5"/>
      <c r="I50" s="5"/>
      <c r="J50" s="5"/>
      <c r="K50" s="5"/>
      <c r="L50" s="5">
        <v>4</v>
      </c>
      <c r="N50" s="5"/>
      <c r="O50" s="5"/>
      <c r="P50" s="5">
        <v>5</v>
      </c>
      <c r="Q50" s="5"/>
      <c r="R50" s="5"/>
      <c r="S50" s="5"/>
      <c r="T50" s="5">
        <v>17</v>
      </c>
      <c r="U50" s="5">
        <v>7</v>
      </c>
      <c r="V50" s="5"/>
      <c r="W50" s="5"/>
      <c r="X50" s="5"/>
      <c r="Y50" s="5"/>
      <c r="Z50" s="6"/>
    </row>
    <row r="51" spans="1:26">
      <c r="A51" s="4" t="s">
        <v>19</v>
      </c>
      <c r="B51" s="5">
        <v>7</v>
      </c>
      <c r="C51" s="5"/>
      <c r="D51" s="5"/>
      <c r="E51" s="5"/>
      <c r="F51" s="5">
        <v>15</v>
      </c>
      <c r="G51" s="5">
        <v>1</v>
      </c>
      <c r="H51" s="5"/>
      <c r="I51" s="5"/>
      <c r="J51" s="5"/>
      <c r="K51" s="5"/>
      <c r="L51" s="5">
        <v>8</v>
      </c>
      <c r="N51" s="5"/>
      <c r="O51" s="5"/>
      <c r="P51" s="5">
        <v>5</v>
      </c>
      <c r="Q51" s="5"/>
      <c r="R51" s="5"/>
      <c r="S51" s="5"/>
      <c r="T51" s="5">
        <v>19</v>
      </c>
      <c r="U51" s="5">
        <v>13</v>
      </c>
      <c r="V51" s="5"/>
      <c r="W51" s="5"/>
      <c r="X51" s="5"/>
      <c r="Y51" s="5"/>
      <c r="Z51" s="6"/>
    </row>
    <row r="52" spans="1:26">
      <c r="A52" s="4" t="s">
        <v>20</v>
      </c>
      <c r="B52" s="5">
        <v>6</v>
      </c>
      <c r="C52" s="5">
        <v>26</v>
      </c>
      <c r="D52" s="5"/>
      <c r="E52" s="5"/>
      <c r="F52" s="5"/>
      <c r="G52" s="5">
        <v>1</v>
      </c>
      <c r="H52" s="5"/>
      <c r="I52" s="5">
        <v>22</v>
      </c>
      <c r="J52" s="5"/>
      <c r="K52" s="5">
        <v>37</v>
      </c>
      <c r="L52" s="5"/>
      <c r="N52" s="5">
        <v>16</v>
      </c>
      <c r="O52" s="5"/>
      <c r="P52" s="5"/>
      <c r="Q52" s="5">
        <v>29</v>
      </c>
      <c r="R52" s="5">
        <v>50</v>
      </c>
      <c r="S52" s="5">
        <v>22</v>
      </c>
      <c r="T52" s="5"/>
      <c r="U52" s="5"/>
      <c r="V52" s="5"/>
      <c r="W52" s="5"/>
      <c r="X52" s="5"/>
      <c r="Y52" s="5"/>
      <c r="Z52" s="6"/>
    </row>
    <row r="53" spans="1:26">
      <c r="A53" s="4" t="s">
        <v>21</v>
      </c>
      <c r="B53" s="5"/>
      <c r="C53" s="5"/>
      <c r="D53" s="5"/>
      <c r="E53" s="5"/>
      <c r="F53" s="5"/>
      <c r="G53" s="5">
        <v>4</v>
      </c>
      <c r="H53" s="5">
        <v>24</v>
      </c>
      <c r="I53" s="5">
        <v>10</v>
      </c>
      <c r="J53" s="5">
        <v>32</v>
      </c>
      <c r="K53" s="5"/>
      <c r="L53" s="5">
        <v>10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6"/>
    </row>
    <row r="54" spans="1:26">
      <c r="A54" s="4" t="s">
        <v>22</v>
      </c>
      <c r="B54" s="5">
        <v>6</v>
      </c>
      <c r="C54" s="5"/>
      <c r="D54" s="5">
        <v>15</v>
      </c>
      <c r="E54" s="5"/>
      <c r="F54" s="5"/>
      <c r="G54" s="5">
        <v>1</v>
      </c>
      <c r="H54" s="5">
        <v>13</v>
      </c>
      <c r="I54" s="5">
        <v>10</v>
      </c>
      <c r="J54" s="5">
        <v>25</v>
      </c>
      <c r="K54" s="5"/>
      <c r="L54" s="5"/>
      <c r="M54" s="16">
        <v>10</v>
      </c>
      <c r="N54" s="5">
        <v>13</v>
      </c>
      <c r="O54" s="5">
        <v>25</v>
      </c>
      <c r="P54" s="5"/>
      <c r="Q54" s="5">
        <v>21</v>
      </c>
      <c r="R54" s="5">
        <v>6</v>
      </c>
      <c r="S54" s="5">
        <v>12</v>
      </c>
      <c r="T54" s="5"/>
      <c r="U54" s="5"/>
      <c r="V54" s="5"/>
      <c r="W54" s="5"/>
      <c r="X54" s="5"/>
      <c r="Y54" s="5"/>
      <c r="Z54" s="6"/>
    </row>
    <row r="55" spans="1:26">
      <c r="A55" s="4" t="s">
        <v>15</v>
      </c>
      <c r="B55" s="5">
        <v>4</v>
      </c>
      <c r="C55" s="5"/>
      <c r="D55" s="5">
        <v>11</v>
      </c>
      <c r="E55" s="5"/>
      <c r="F55" s="5">
        <v>5</v>
      </c>
      <c r="G55" s="5">
        <v>1</v>
      </c>
      <c r="H55" s="5"/>
      <c r="I55" s="5">
        <v>5</v>
      </c>
      <c r="J55" s="5"/>
      <c r="K55" s="5"/>
      <c r="L55" s="5">
        <v>5</v>
      </c>
      <c r="N55" s="5">
        <v>5</v>
      </c>
      <c r="O55" s="5">
        <v>13</v>
      </c>
      <c r="P55" s="5">
        <v>5</v>
      </c>
      <c r="Q55" s="5">
        <v>3</v>
      </c>
      <c r="R55" s="5">
        <v>3</v>
      </c>
      <c r="S55" s="5">
        <v>5</v>
      </c>
      <c r="T55" s="5">
        <v>5</v>
      </c>
      <c r="U55" s="5">
        <v>3</v>
      </c>
      <c r="V55" s="5"/>
      <c r="W55" s="5"/>
      <c r="X55" s="5"/>
      <c r="Y55" s="5"/>
      <c r="Z55" s="6"/>
    </row>
    <row r="56" spans="1:26">
      <c r="A56" s="4" t="s">
        <v>23</v>
      </c>
      <c r="B56" s="5">
        <v>4</v>
      </c>
      <c r="C56" s="5">
        <v>5</v>
      </c>
      <c r="D56" s="5"/>
      <c r="E56" s="5"/>
      <c r="F56" s="5"/>
      <c r="G56" s="5">
        <v>1</v>
      </c>
      <c r="H56" s="5"/>
      <c r="I56" s="5"/>
      <c r="J56" s="5"/>
      <c r="K56" s="5">
        <v>5</v>
      </c>
      <c r="L56" s="5"/>
      <c r="M56" s="16">
        <v>7</v>
      </c>
      <c r="N56" s="5"/>
      <c r="O56" s="5"/>
      <c r="P56" s="5">
        <v>1</v>
      </c>
      <c r="Q56" s="5"/>
      <c r="R56" s="5"/>
      <c r="S56" s="5"/>
      <c r="T56" s="5"/>
      <c r="U56" s="5">
        <v>3</v>
      </c>
      <c r="V56" s="5"/>
      <c r="W56" s="5"/>
      <c r="X56" s="5"/>
      <c r="Y56" s="5"/>
      <c r="Z56" s="6"/>
    </row>
    <row r="57" spans="1:26">
      <c r="A57" s="4" t="s">
        <v>24</v>
      </c>
      <c r="B57" s="5">
        <v>1</v>
      </c>
      <c r="C57" s="5">
        <v>4</v>
      </c>
      <c r="D57" s="5"/>
      <c r="E57" s="5"/>
      <c r="F57" s="5"/>
      <c r="G57" s="5">
        <v>1</v>
      </c>
      <c r="H57" s="5"/>
      <c r="I57" s="5"/>
      <c r="J57" s="5"/>
      <c r="K57" s="5">
        <v>3</v>
      </c>
      <c r="L57" s="5"/>
      <c r="M57" s="16">
        <v>5</v>
      </c>
      <c r="N57" s="5"/>
      <c r="O57" s="5"/>
      <c r="P57" s="5">
        <v>1</v>
      </c>
      <c r="Q57" s="5"/>
      <c r="R57" s="5"/>
      <c r="S57" s="5"/>
      <c r="T57" s="5"/>
      <c r="U57" s="5">
        <v>2</v>
      </c>
      <c r="V57" s="5"/>
      <c r="W57" s="5"/>
      <c r="X57" s="5"/>
      <c r="Y57" s="5"/>
      <c r="Z57" s="6"/>
    </row>
    <row r="58" spans="1:26" ht="14.25" thickBot="1">
      <c r="A58" s="8" t="s">
        <v>392</v>
      </c>
      <c r="B58" s="55">
        <v>4</v>
      </c>
      <c r="C58" s="55"/>
      <c r="D58" s="55"/>
      <c r="E58" s="55"/>
      <c r="F58" s="55">
        <v>5</v>
      </c>
      <c r="G58" s="55">
        <v>1</v>
      </c>
      <c r="H58" s="55"/>
      <c r="I58" s="55"/>
      <c r="J58" s="55"/>
      <c r="K58" s="55">
        <v>3</v>
      </c>
      <c r="L58" s="55">
        <v>2</v>
      </c>
      <c r="M58" s="55"/>
      <c r="N58" s="55"/>
      <c r="O58" s="55">
        <v>2</v>
      </c>
      <c r="P58" s="55">
        <v>2</v>
      </c>
      <c r="Q58" s="55"/>
      <c r="R58" s="55">
        <v>2</v>
      </c>
      <c r="S58" s="55">
        <v>2</v>
      </c>
      <c r="T58" s="55">
        <v>9</v>
      </c>
      <c r="U58" s="55">
        <v>2</v>
      </c>
      <c r="V58" s="55"/>
      <c r="W58" s="55"/>
      <c r="X58" s="55"/>
      <c r="Y58" s="55"/>
      <c r="Z58" s="57"/>
    </row>
    <row r="59" spans="1:26" ht="14.25" thickBot="1"/>
    <row r="60" spans="1:26" s="46" customFormat="1">
      <c r="A60" s="45" t="s">
        <v>29</v>
      </c>
      <c r="B60" s="46" t="s">
        <v>129</v>
      </c>
      <c r="C60" s="46" t="s">
        <v>260</v>
      </c>
      <c r="D60" s="46" t="s">
        <v>283</v>
      </c>
      <c r="E60" s="46" t="s">
        <v>298</v>
      </c>
      <c r="F60" s="46" t="s">
        <v>388</v>
      </c>
      <c r="G60" s="46" t="s">
        <v>340</v>
      </c>
      <c r="H60" s="46" t="s">
        <v>345</v>
      </c>
      <c r="I60" s="59" t="s">
        <v>412</v>
      </c>
      <c r="J60" s="46" t="s">
        <v>363</v>
      </c>
      <c r="K60" s="84" t="s">
        <v>461</v>
      </c>
      <c r="L60" s="59" t="s">
        <v>413</v>
      </c>
      <c r="M60" s="77" t="s">
        <v>445</v>
      </c>
      <c r="N60" s="85" t="s">
        <v>467</v>
      </c>
      <c r="O60" s="94" t="s">
        <v>510</v>
      </c>
    </row>
    <row r="61" spans="1:26" s="5" customFormat="1">
      <c r="A61" s="4" t="s">
        <v>18</v>
      </c>
      <c r="C61" s="5">
        <v>14</v>
      </c>
      <c r="G61" s="5">
        <v>2</v>
      </c>
      <c r="I61" s="5">
        <v>6</v>
      </c>
      <c r="M61" s="5">
        <v>1</v>
      </c>
      <c r="O61" s="5">
        <v>13</v>
      </c>
    </row>
    <row r="62" spans="1:26" s="5" customFormat="1">
      <c r="A62" s="4" t="s">
        <v>19</v>
      </c>
      <c r="C62" s="5">
        <v>2</v>
      </c>
      <c r="G62" s="5">
        <v>1</v>
      </c>
      <c r="I62" s="5">
        <v>12</v>
      </c>
      <c r="M62" s="5">
        <v>1</v>
      </c>
      <c r="O62" s="5">
        <v>13</v>
      </c>
    </row>
    <row r="63" spans="1:26" s="5" customFormat="1">
      <c r="A63" s="4" t="s">
        <v>20</v>
      </c>
      <c r="B63" s="5">
        <v>14</v>
      </c>
      <c r="F63" s="5">
        <v>8</v>
      </c>
      <c r="G63" s="5">
        <v>17</v>
      </c>
      <c r="M63" s="5">
        <v>1</v>
      </c>
    </row>
    <row r="64" spans="1:26" s="5" customFormat="1">
      <c r="A64" s="4" t="s">
        <v>21</v>
      </c>
      <c r="H64" s="5">
        <v>15</v>
      </c>
      <c r="M64" s="5">
        <v>2</v>
      </c>
    </row>
    <row r="65" spans="1:18" s="5" customFormat="1">
      <c r="A65" s="4" t="s">
        <v>22</v>
      </c>
      <c r="F65" s="5">
        <v>9</v>
      </c>
      <c r="G65" s="5">
        <v>2</v>
      </c>
      <c r="K65" s="5">
        <v>20</v>
      </c>
      <c r="N65" s="5">
        <v>26</v>
      </c>
    </row>
    <row r="66" spans="1:18" s="5" customFormat="1">
      <c r="A66" s="4" t="s">
        <v>15</v>
      </c>
      <c r="B66" s="5">
        <v>1</v>
      </c>
      <c r="F66" s="5">
        <v>1</v>
      </c>
      <c r="G66" s="5">
        <v>1</v>
      </c>
      <c r="H66" s="5">
        <v>5</v>
      </c>
      <c r="J66" s="5">
        <v>9</v>
      </c>
      <c r="L66" s="5">
        <v>12</v>
      </c>
      <c r="M66" s="5">
        <v>1</v>
      </c>
    </row>
    <row r="67" spans="1:18" s="5" customFormat="1">
      <c r="A67" s="4" t="s">
        <v>23</v>
      </c>
      <c r="D67" s="5">
        <v>10</v>
      </c>
      <c r="F67" s="5">
        <v>1</v>
      </c>
      <c r="G67" s="5">
        <v>1</v>
      </c>
      <c r="M67" s="5">
        <v>1</v>
      </c>
    </row>
    <row r="68" spans="1:18" s="5" customFormat="1">
      <c r="A68" s="4" t="s">
        <v>24</v>
      </c>
    </row>
    <row r="69" spans="1:18" s="55" customFormat="1" ht="14.25" thickBot="1">
      <c r="A69" s="8" t="s">
        <v>392</v>
      </c>
      <c r="C69" s="55">
        <v>1</v>
      </c>
      <c r="F69" s="55">
        <v>1</v>
      </c>
      <c r="G69" s="55">
        <v>1</v>
      </c>
      <c r="I69" s="55">
        <v>1</v>
      </c>
      <c r="J69" s="55">
        <v>9</v>
      </c>
      <c r="M69" s="55">
        <v>6</v>
      </c>
      <c r="O69" s="55">
        <v>1</v>
      </c>
    </row>
    <row r="70" spans="1:18" ht="14.25" thickBot="1"/>
    <row r="71" spans="1:18" s="46" customFormat="1">
      <c r="A71" s="45" t="s">
        <v>30</v>
      </c>
      <c r="B71" s="46" t="s">
        <v>130</v>
      </c>
      <c r="C71" s="46" t="s">
        <v>263</v>
      </c>
      <c r="D71" s="46" t="s">
        <v>287</v>
      </c>
      <c r="E71" s="46" t="s">
        <v>398</v>
      </c>
      <c r="F71" s="46" t="s">
        <v>298</v>
      </c>
      <c r="G71" s="46" t="s">
        <v>300</v>
      </c>
      <c r="H71" s="46" t="s">
        <v>307</v>
      </c>
      <c r="I71" s="46" t="s">
        <v>310</v>
      </c>
      <c r="J71" s="46" t="s">
        <v>342</v>
      </c>
      <c r="K71" s="46" t="s">
        <v>346</v>
      </c>
      <c r="L71" s="80" t="s">
        <v>452</v>
      </c>
      <c r="M71" s="89" t="s">
        <v>492</v>
      </c>
      <c r="N71" s="94" t="s">
        <v>505</v>
      </c>
      <c r="O71" s="94" t="s">
        <v>506</v>
      </c>
    </row>
    <row r="72" spans="1:18" s="5" customFormat="1">
      <c r="A72" s="4" t="s">
        <v>18</v>
      </c>
      <c r="N72" s="5">
        <v>3</v>
      </c>
      <c r="O72" s="5">
        <v>14</v>
      </c>
      <c r="Q72" s="5" t="s">
        <v>364</v>
      </c>
    </row>
    <row r="73" spans="1:18" s="5" customFormat="1">
      <c r="A73" s="4" t="s">
        <v>19</v>
      </c>
      <c r="N73" s="5">
        <v>9</v>
      </c>
      <c r="O73" s="5">
        <v>3</v>
      </c>
      <c r="Q73" s="5">
        <v>0</v>
      </c>
      <c r="R73" s="5">
        <v>1</v>
      </c>
    </row>
    <row r="74" spans="1:18" s="5" customFormat="1">
      <c r="A74" s="4" t="s">
        <v>20</v>
      </c>
      <c r="I74" s="5">
        <v>12</v>
      </c>
      <c r="J74" s="5">
        <v>10</v>
      </c>
      <c r="M74" s="5">
        <v>15</v>
      </c>
      <c r="N74" s="5">
        <v>3</v>
      </c>
      <c r="O74" s="5">
        <v>3</v>
      </c>
      <c r="Q74" s="5">
        <v>1</v>
      </c>
      <c r="R74" s="5">
        <v>0</v>
      </c>
    </row>
    <row r="75" spans="1:18" s="5" customFormat="1">
      <c r="A75" s="4" t="s">
        <v>21</v>
      </c>
      <c r="B75" s="5">
        <v>2</v>
      </c>
      <c r="C75" s="5">
        <v>1</v>
      </c>
      <c r="D75" s="5">
        <v>4</v>
      </c>
      <c r="E75" s="5">
        <v>1</v>
      </c>
      <c r="H75" s="5">
        <v>8</v>
      </c>
      <c r="K75" s="5">
        <v>20</v>
      </c>
      <c r="Q75" s="5">
        <v>0</v>
      </c>
      <c r="R75" s="5">
        <v>0</v>
      </c>
    </row>
    <row r="76" spans="1:18" s="5" customFormat="1">
      <c r="A76" s="4" t="s">
        <v>22</v>
      </c>
      <c r="B76" s="5">
        <v>0</v>
      </c>
      <c r="D76" s="5">
        <v>3</v>
      </c>
      <c r="H76" s="5">
        <v>17</v>
      </c>
      <c r="I76" s="5">
        <v>13</v>
      </c>
      <c r="M76" s="5">
        <v>15</v>
      </c>
      <c r="Q76" s="5">
        <v>1</v>
      </c>
      <c r="R76" s="5">
        <v>0</v>
      </c>
    </row>
    <row r="77" spans="1:18" s="5" customFormat="1">
      <c r="A77" s="4" t="s">
        <v>15</v>
      </c>
      <c r="B77" s="5">
        <v>2</v>
      </c>
      <c r="C77" s="5">
        <v>1</v>
      </c>
      <c r="D77" s="5">
        <v>1</v>
      </c>
      <c r="E77" s="5">
        <v>2</v>
      </c>
      <c r="G77" s="5">
        <v>3</v>
      </c>
      <c r="I77" s="5">
        <v>1</v>
      </c>
      <c r="L77" s="5">
        <v>1</v>
      </c>
      <c r="Q77" s="5">
        <v>2</v>
      </c>
      <c r="R77" s="5">
        <v>1</v>
      </c>
    </row>
    <row r="78" spans="1:18" s="5" customFormat="1">
      <c r="A78" s="4" t="s">
        <v>23</v>
      </c>
      <c r="B78" s="5">
        <v>8</v>
      </c>
      <c r="C78" s="5">
        <v>5</v>
      </c>
      <c r="D78" s="5">
        <v>1</v>
      </c>
      <c r="E78" s="5">
        <v>8</v>
      </c>
      <c r="G78" s="5">
        <v>3</v>
      </c>
      <c r="I78" s="5">
        <v>10</v>
      </c>
      <c r="J78" s="5">
        <v>2</v>
      </c>
      <c r="L78" s="5">
        <v>6</v>
      </c>
      <c r="M78" s="5">
        <v>9</v>
      </c>
      <c r="Q78" s="5">
        <v>0</v>
      </c>
      <c r="R78" s="5">
        <v>2</v>
      </c>
    </row>
    <row r="79" spans="1:18" s="5" customFormat="1">
      <c r="A79" s="4" t="s">
        <v>24</v>
      </c>
      <c r="B79" s="5">
        <v>8</v>
      </c>
      <c r="C79" s="5">
        <v>6</v>
      </c>
      <c r="E79" s="5">
        <v>7</v>
      </c>
      <c r="G79" s="5">
        <v>3</v>
      </c>
      <c r="I79" s="5">
        <v>7</v>
      </c>
      <c r="L79" s="5">
        <v>6</v>
      </c>
      <c r="M79" s="5">
        <v>7</v>
      </c>
      <c r="Q79" s="5">
        <v>1</v>
      </c>
      <c r="R79" s="5">
        <v>1</v>
      </c>
    </row>
    <row r="80" spans="1:18" s="55" customFormat="1" ht="14.25" thickBot="1">
      <c r="A80" s="8" t="s">
        <v>392</v>
      </c>
      <c r="B80" s="55">
        <v>1</v>
      </c>
      <c r="E80" s="55">
        <v>6</v>
      </c>
      <c r="J80" s="55">
        <v>1</v>
      </c>
      <c r="Q80" s="55">
        <v>1</v>
      </c>
      <c r="R80" s="55">
        <v>1</v>
      </c>
    </row>
    <row r="81" spans="1:21" ht="14.25" thickBot="1">
      <c r="C81" s="16">
        <v>200</v>
      </c>
      <c r="D81" s="16">
        <f>C81*0.18</f>
        <v>36</v>
      </c>
    </row>
    <row r="82" spans="1:21" s="46" customFormat="1">
      <c r="A82" s="45" t="s">
        <v>31</v>
      </c>
      <c r="B82" s="46" t="s">
        <v>389</v>
      </c>
      <c r="C82" s="107" t="s">
        <v>539</v>
      </c>
      <c r="D82" s="46" t="s">
        <v>295</v>
      </c>
      <c r="E82" s="46" t="s">
        <v>298</v>
      </c>
      <c r="F82" s="88" t="s">
        <v>489</v>
      </c>
      <c r="G82" s="46" t="s">
        <v>352</v>
      </c>
      <c r="H82" s="99" t="s">
        <v>519</v>
      </c>
      <c r="I82" s="46" t="s">
        <v>347</v>
      </c>
      <c r="J82" s="85" t="s">
        <v>468</v>
      </c>
      <c r="Q82" s="46">
        <v>1</v>
      </c>
      <c r="R82" s="46">
        <v>0</v>
      </c>
    </row>
    <row r="83" spans="1:21" s="5" customFormat="1">
      <c r="A83" s="4" t="s">
        <v>18</v>
      </c>
      <c r="C83" s="5">
        <v>6</v>
      </c>
      <c r="D83" s="5">
        <v>6</v>
      </c>
      <c r="G83" s="5">
        <v>17</v>
      </c>
      <c r="H83" s="5">
        <v>5</v>
      </c>
      <c r="Q83" s="5">
        <v>0</v>
      </c>
      <c r="R83" s="5">
        <v>1</v>
      </c>
    </row>
    <row r="84" spans="1:21" s="5" customFormat="1">
      <c r="A84" s="4" t="s">
        <v>19</v>
      </c>
      <c r="C84" s="5">
        <v>2</v>
      </c>
      <c r="F84" s="5">
        <v>3</v>
      </c>
      <c r="G84" s="5">
        <v>6</v>
      </c>
      <c r="H84" s="5">
        <v>11</v>
      </c>
    </row>
    <row r="85" spans="1:21" s="5" customFormat="1">
      <c r="A85" s="4" t="s">
        <v>20</v>
      </c>
      <c r="B85" s="5">
        <v>15</v>
      </c>
      <c r="C85" s="5">
        <v>5</v>
      </c>
      <c r="F85" s="5">
        <v>11</v>
      </c>
      <c r="G85" s="5">
        <v>1</v>
      </c>
      <c r="J85" s="5">
        <v>17</v>
      </c>
    </row>
    <row r="86" spans="1:21" s="5" customFormat="1">
      <c r="A86" s="4" t="s">
        <v>21</v>
      </c>
      <c r="C86" s="5">
        <v>5</v>
      </c>
      <c r="D86" s="5">
        <v>6</v>
      </c>
      <c r="F86" s="5">
        <v>1</v>
      </c>
      <c r="G86" s="5">
        <v>6</v>
      </c>
      <c r="H86" s="5">
        <v>4</v>
      </c>
      <c r="I86" s="5">
        <v>12</v>
      </c>
    </row>
    <row r="87" spans="1:21" s="5" customFormat="1">
      <c r="A87" s="4" t="s">
        <v>22</v>
      </c>
      <c r="B87" s="5">
        <v>4</v>
      </c>
      <c r="C87" s="5">
        <v>5</v>
      </c>
      <c r="F87" s="5">
        <v>5</v>
      </c>
      <c r="H87" s="5">
        <v>5</v>
      </c>
      <c r="J87" s="5">
        <v>6</v>
      </c>
    </row>
    <row r="88" spans="1:21" s="5" customFormat="1">
      <c r="A88" s="4" t="s">
        <v>15</v>
      </c>
      <c r="B88" s="5">
        <v>3</v>
      </c>
      <c r="C88" s="5">
        <v>3</v>
      </c>
      <c r="D88" s="5">
        <v>2</v>
      </c>
      <c r="F88" s="5">
        <v>4</v>
      </c>
      <c r="G88" s="5">
        <v>4</v>
      </c>
      <c r="H88" s="5">
        <v>4</v>
      </c>
      <c r="J88" s="5">
        <v>3</v>
      </c>
      <c r="T88" s="5">
        <f>SUM(Q73:R83)</f>
        <v>14</v>
      </c>
      <c r="U88" s="5">
        <f>15/100</f>
        <v>0.15</v>
      </c>
    </row>
    <row r="89" spans="1:21" s="5" customFormat="1">
      <c r="A89" s="4" t="s">
        <v>23</v>
      </c>
      <c r="C89" s="5">
        <v>5</v>
      </c>
      <c r="D89" s="5">
        <v>1</v>
      </c>
      <c r="F89" s="5">
        <v>3</v>
      </c>
      <c r="G89" s="5">
        <v>4</v>
      </c>
      <c r="H89" s="5">
        <v>2</v>
      </c>
      <c r="J89" s="5">
        <v>4</v>
      </c>
    </row>
    <row r="90" spans="1:21" s="5" customFormat="1">
      <c r="A90" s="4" t="s">
        <v>24</v>
      </c>
      <c r="C90" s="5">
        <v>3</v>
      </c>
      <c r="D90" s="5">
        <v>1</v>
      </c>
      <c r="F90" s="5">
        <v>1</v>
      </c>
      <c r="G90" s="5">
        <v>5</v>
      </c>
      <c r="H90" s="5">
        <v>3</v>
      </c>
      <c r="J90" s="5">
        <v>2</v>
      </c>
    </row>
    <row r="91" spans="1:21" s="55" customFormat="1" ht="14.25" thickBot="1">
      <c r="A91" s="8" t="s">
        <v>392</v>
      </c>
      <c r="B91" s="55">
        <v>2</v>
      </c>
      <c r="G91" s="55">
        <v>6</v>
      </c>
      <c r="H91" s="55">
        <v>3</v>
      </c>
      <c r="J91" s="55">
        <v>6</v>
      </c>
    </row>
    <row r="92" spans="1:21" ht="14.25" thickBot="1"/>
    <row r="93" spans="1:21" s="46" customFormat="1">
      <c r="A93" s="45" t="s">
        <v>32</v>
      </c>
      <c r="B93" s="46" t="s">
        <v>131</v>
      </c>
      <c r="C93" s="46" t="s">
        <v>261</v>
      </c>
      <c r="D93" s="46" t="s">
        <v>289</v>
      </c>
      <c r="E93" s="46" t="s">
        <v>292</v>
      </c>
      <c r="F93" s="46" t="s">
        <v>299</v>
      </c>
      <c r="G93" s="46" t="s">
        <v>314</v>
      </c>
      <c r="H93" s="46" t="s">
        <v>348</v>
      </c>
      <c r="I93" s="46" t="s">
        <v>386</v>
      </c>
      <c r="J93" s="87" t="s">
        <v>475</v>
      </c>
      <c r="K93" s="87" t="s">
        <v>476</v>
      </c>
      <c r="L93" s="104" t="s">
        <v>536</v>
      </c>
    </row>
    <row r="94" spans="1:21" s="5" customFormat="1">
      <c r="A94" s="4" t="s">
        <v>18</v>
      </c>
      <c r="E94" s="5">
        <v>4</v>
      </c>
      <c r="L94" s="5">
        <v>3</v>
      </c>
    </row>
    <row r="95" spans="1:21" s="5" customFormat="1">
      <c r="A95" s="4" t="s">
        <v>19</v>
      </c>
      <c r="E95" s="5">
        <v>4</v>
      </c>
      <c r="L95" s="5">
        <v>3</v>
      </c>
    </row>
    <row r="96" spans="1:21" s="5" customFormat="1">
      <c r="A96" s="4" t="s">
        <v>20</v>
      </c>
      <c r="B96" s="5">
        <v>3</v>
      </c>
      <c r="I96" s="5">
        <v>5</v>
      </c>
      <c r="J96" s="5">
        <v>3</v>
      </c>
      <c r="K96" s="5">
        <v>6</v>
      </c>
    </row>
    <row r="97" spans="1:13" s="5" customFormat="1">
      <c r="A97" s="4" t="s">
        <v>21</v>
      </c>
      <c r="H97" s="5">
        <v>5</v>
      </c>
    </row>
    <row r="98" spans="1:13" s="5" customFormat="1">
      <c r="A98" s="4" t="s">
        <v>22</v>
      </c>
      <c r="B98" s="5">
        <v>3</v>
      </c>
    </row>
    <row r="99" spans="1:13" s="5" customFormat="1">
      <c r="A99" s="4" t="s">
        <v>15</v>
      </c>
      <c r="B99" s="5">
        <v>3</v>
      </c>
      <c r="C99" s="5">
        <v>2</v>
      </c>
      <c r="E99" s="5">
        <v>-2</v>
      </c>
      <c r="F99" s="5">
        <v>19</v>
      </c>
      <c r="I99" s="5">
        <v>2</v>
      </c>
      <c r="J99" s="5">
        <v>3</v>
      </c>
      <c r="K99" s="5">
        <v>3</v>
      </c>
      <c r="L99" s="5">
        <v>2</v>
      </c>
    </row>
    <row r="100" spans="1:13" s="5" customFormat="1">
      <c r="A100" s="4" t="s">
        <v>23</v>
      </c>
      <c r="D100" s="5">
        <v>2</v>
      </c>
      <c r="F100" s="5">
        <v>28</v>
      </c>
      <c r="L100" s="5">
        <v>2</v>
      </c>
    </row>
    <row r="101" spans="1:13" s="5" customFormat="1">
      <c r="A101" s="4" t="s">
        <v>24</v>
      </c>
      <c r="B101" s="5">
        <v>3</v>
      </c>
      <c r="D101" s="5">
        <v>2</v>
      </c>
      <c r="E101" s="5">
        <v>-2</v>
      </c>
    </row>
    <row r="102" spans="1:13" s="55" customFormat="1" ht="14.25" thickBot="1">
      <c r="A102" s="8" t="s">
        <v>392</v>
      </c>
      <c r="E102" s="55">
        <v>4</v>
      </c>
      <c r="I102" s="55">
        <v>1</v>
      </c>
      <c r="J102" s="55">
        <v>3</v>
      </c>
      <c r="K102" s="55">
        <v>2</v>
      </c>
      <c r="L102" s="55">
        <v>1</v>
      </c>
    </row>
    <row r="103" spans="1:13" ht="14.25" thickBot="1"/>
    <row r="104" spans="1:13" s="46" customFormat="1">
      <c r="A104" s="45" t="s">
        <v>32</v>
      </c>
      <c r="B104" s="46" t="s">
        <v>402</v>
      </c>
      <c r="C104" s="46" t="s">
        <v>401</v>
      </c>
      <c r="D104" s="46" t="s">
        <v>362</v>
      </c>
      <c r="E104" s="110" t="s">
        <v>542</v>
      </c>
      <c r="F104" s="95" t="s">
        <v>511</v>
      </c>
      <c r="G104" s="46" t="s">
        <v>370</v>
      </c>
      <c r="H104" s="46" t="s">
        <v>387</v>
      </c>
      <c r="I104" s="94" t="s">
        <v>504</v>
      </c>
      <c r="J104" s="77" t="s">
        <v>446</v>
      </c>
      <c r="K104" s="78" t="s">
        <v>447</v>
      </c>
      <c r="L104" s="94" t="s">
        <v>508</v>
      </c>
      <c r="M104" s="96" t="s">
        <v>515</v>
      </c>
    </row>
    <row r="105" spans="1:13" s="5" customFormat="1">
      <c r="A105" s="4" t="s">
        <v>18</v>
      </c>
      <c r="C105" s="5">
        <v>4</v>
      </c>
      <c r="F105" s="5">
        <v>8</v>
      </c>
      <c r="I105" s="5">
        <v>25</v>
      </c>
      <c r="J105" s="5">
        <v>13</v>
      </c>
    </row>
    <row r="106" spans="1:13" s="5" customFormat="1">
      <c r="A106" s="4" t="s">
        <v>19</v>
      </c>
      <c r="B106" s="5">
        <v>2</v>
      </c>
      <c r="C106" s="5">
        <v>4</v>
      </c>
      <c r="E106" s="5">
        <v>2</v>
      </c>
      <c r="F106" s="5">
        <v>4</v>
      </c>
      <c r="K106" s="5">
        <v>2</v>
      </c>
      <c r="L106" s="5">
        <v>24</v>
      </c>
      <c r="M106" s="5">
        <v>13</v>
      </c>
    </row>
    <row r="107" spans="1:13" s="5" customFormat="1">
      <c r="A107" s="4" t="s">
        <v>20</v>
      </c>
      <c r="B107" s="5">
        <v>13</v>
      </c>
      <c r="C107" s="5">
        <v>8</v>
      </c>
      <c r="E107" s="5">
        <v>24</v>
      </c>
      <c r="F107" s="5">
        <v>4</v>
      </c>
      <c r="H107" s="5">
        <v>9</v>
      </c>
      <c r="K107" s="5">
        <v>18</v>
      </c>
      <c r="L107" s="5">
        <v>2</v>
      </c>
      <c r="M107" s="5">
        <v>2</v>
      </c>
    </row>
    <row r="108" spans="1:13" s="5" customFormat="1">
      <c r="A108" s="4" t="s">
        <v>21</v>
      </c>
      <c r="G108" s="5">
        <v>3</v>
      </c>
    </row>
    <row r="109" spans="1:13" s="5" customFormat="1">
      <c r="A109" s="4" t="s">
        <v>22</v>
      </c>
      <c r="G109" s="5">
        <v>3</v>
      </c>
      <c r="H109" s="5">
        <v>10</v>
      </c>
    </row>
    <row r="110" spans="1:13" s="5" customFormat="1">
      <c r="A110" s="4" t="s">
        <v>15</v>
      </c>
      <c r="B110" s="5">
        <v>2</v>
      </c>
      <c r="D110" s="5">
        <v>2</v>
      </c>
      <c r="E110" s="5">
        <v>2</v>
      </c>
      <c r="G110" s="5">
        <v>12</v>
      </c>
      <c r="I110" s="5">
        <v>1</v>
      </c>
      <c r="J110" s="5">
        <v>5</v>
      </c>
      <c r="K110" s="5">
        <v>2</v>
      </c>
      <c r="L110" s="5">
        <v>2</v>
      </c>
      <c r="M110" s="5">
        <v>2</v>
      </c>
    </row>
    <row r="111" spans="1:13" s="5" customFormat="1">
      <c r="A111" s="4" t="s">
        <v>23</v>
      </c>
      <c r="B111" s="5">
        <v>1</v>
      </c>
      <c r="D111" s="5">
        <v>2</v>
      </c>
      <c r="E111" s="5">
        <v>1</v>
      </c>
      <c r="G111" s="5">
        <v>3</v>
      </c>
      <c r="H111" s="5">
        <v>1</v>
      </c>
      <c r="K111" s="5">
        <v>1</v>
      </c>
      <c r="L111" s="5">
        <v>1</v>
      </c>
      <c r="M111" s="5">
        <v>1</v>
      </c>
    </row>
    <row r="112" spans="1:13" s="5" customFormat="1">
      <c r="A112" s="4" t="s">
        <v>24</v>
      </c>
      <c r="D112" s="5">
        <v>3</v>
      </c>
      <c r="H112" s="5">
        <v>1</v>
      </c>
      <c r="I112" s="5">
        <v>1</v>
      </c>
    </row>
    <row r="113" spans="1:10" s="55" customFormat="1" ht="14.25" thickBot="1">
      <c r="A113" s="8" t="s">
        <v>392</v>
      </c>
      <c r="C113" s="55">
        <v>6</v>
      </c>
      <c r="D113" s="55">
        <v>10</v>
      </c>
      <c r="F113" s="55">
        <v>6</v>
      </c>
      <c r="G113" s="55">
        <v>3</v>
      </c>
      <c r="H113" s="55">
        <v>1</v>
      </c>
      <c r="J113" s="55">
        <v>6</v>
      </c>
    </row>
    <row r="114" spans="1:10" ht="14.25" thickBot="1"/>
    <row r="115" spans="1:10" s="46" customFormat="1">
      <c r="A115" s="45" t="s">
        <v>32</v>
      </c>
      <c r="B115" s="46" t="s">
        <v>391</v>
      </c>
      <c r="C115" s="111" t="s">
        <v>543</v>
      </c>
      <c r="D115" s="46" t="s">
        <v>399</v>
      </c>
      <c r="E115" s="61" t="s">
        <v>417</v>
      </c>
      <c r="F115" s="46" t="s">
        <v>400</v>
      </c>
      <c r="G115" s="75" t="s">
        <v>435</v>
      </c>
      <c r="H115" s="82" t="s">
        <v>459</v>
      </c>
      <c r="I115" s="94" t="s">
        <v>503</v>
      </c>
      <c r="J115" s="113" t="s">
        <v>546</v>
      </c>
    </row>
    <row r="116" spans="1:10" s="5" customFormat="1">
      <c r="A116" s="4" t="s">
        <v>18</v>
      </c>
      <c r="B116" s="5">
        <v>7</v>
      </c>
      <c r="C116" s="5">
        <v>5</v>
      </c>
      <c r="E116" s="5">
        <v>5</v>
      </c>
      <c r="F116" s="5">
        <v>10</v>
      </c>
      <c r="H116" s="5">
        <v>10</v>
      </c>
      <c r="I116" s="5">
        <v>10</v>
      </c>
      <c r="J116" s="5">
        <v>4</v>
      </c>
    </row>
    <row r="117" spans="1:10" s="5" customFormat="1">
      <c r="A117" s="4" t="s">
        <v>19</v>
      </c>
      <c r="B117" s="5">
        <v>7</v>
      </c>
      <c r="C117" s="5">
        <v>4</v>
      </c>
      <c r="E117" s="5">
        <v>6</v>
      </c>
      <c r="F117" s="5">
        <v>10</v>
      </c>
      <c r="H117" s="5">
        <v>10</v>
      </c>
      <c r="I117" s="5">
        <v>10</v>
      </c>
      <c r="J117" s="5">
        <v>5</v>
      </c>
    </row>
    <row r="118" spans="1:10" s="5" customFormat="1">
      <c r="A118" s="4" t="s">
        <v>20</v>
      </c>
      <c r="B118" s="5">
        <v>13</v>
      </c>
      <c r="C118" s="5">
        <v>10</v>
      </c>
      <c r="E118" s="5">
        <v>13</v>
      </c>
      <c r="F118" s="5">
        <v>14</v>
      </c>
      <c r="H118" s="5">
        <v>19</v>
      </c>
      <c r="I118" s="5">
        <v>14</v>
      </c>
      <c r="J118" s="5">
        <v>14</v>
      </c>
    </row>
    <row r="119" spans="1:10" s="5" customFormat="1">
      <c r="A119" s="4" t="s">
        <v>21</v>
      </c>
      <c r="B119" s="5">
        <v>13</v>
      </c>
      <c r="C119" s="5">
        <v>12</v>
      </c>
      <c r="E119" s="5">
        <v>10</v>
      </c>
      <c r="F119" s="5">
        <v>10</v>
      </c>
      <c r="G119" s="5">
        <v>35</v>
      </c>
      <c r="H119" s="5">
        <v>10</v>
      </c>
      <c r="I119" s="5">
        <v>10</v>
      </c>
      <c r="J119" s="5">
        <v>12</v>
      </c>
    </row>
    <row r="120" spans="1:10" s="5" customFormat="1">
      <c r="A120" s="4" t="s">
        <v>22</v>
      </c>
      <c r="B120" s="5">
        <v>9</v>
      </c>
      <c r="C120" s="5">
        <v>7</v>
      </c>
      <c r="E120" s="5">
        <v>7</v>
      </c>
      <c r="F120" s="5">
        <v>10</v>
      </c>
      <c r="G120" s="5">
        <v>19</v>
      </c>
      <c r="H120" s="5">
        <v>10</v>
      </c>
      <c r="I120" s="5">
        <v>10</v>
      </c>
      <c r="J120" s="5">
        <v>10</v>
      </c>
    </row>
    <row r="121" spans="1:10" s="5" customFormat="1">
      <c r="A121" s="4" t="s">
        <v>15</v>
      </c>
      <c r="B121" s="5">
        <v>9</v>
      </c>
      <c r="C121" s="5">
        <v>8</v>
      </c>
      <c r="D121" s="5">
        <v>15</v>
      </c>
      <c r="E121" s="5">
        <v>8</v>
      </c>
      <c r="F121" s="5">
        <v>10</v>
      </c>
      <c r="G121" s="5">
        <v>11</v>
      </c>
      <c r="H121" s="5">
        <v>10</v>
      </c>
      <c r="I121" s="5">
        <v>10</v>
      </c>
      <c r="J121" s="5">
        <v>9</v>
      </c>
    </row>
    <row r="122" spans="1:10" s="5" customFormat="1">
      <c r="A122" s="4" t="s">
        <v>23</v>
      </c>
      <c r="B122" s="5">
        <v>11</v>
      </c>
      <c r="C122" s="5">
        <v>5</v>
      </c>
      <c r="E122" s="5">
        <v>9</v>
      </c>
      <c r="F122" s="5">
        <v>12</v>
      </c>
      <c r="G122" s="5">
        <v>2</v>
      </c>
      <c r="H122" s="5">
        <v>12</v>
      </c>
      <c r="I122" s="5">
        <v>12</v>
      </c>
      <c r="J122" s="5">
        <v>11</v>
      </c>
    </row>
    <row r="123" spans="1:10" s="5" customFormat="1">
      <c r="A123" s="4" t="s">
        <v>24</v>
      </c>
      <c r="B123" s="5">
        <v>9</v>
      </c>
      <c r="C123" s="5">
        <v>5</v>
      </c>
      <c r="E123" s="5">
        <v>7</v>
      </c>
      <c r="F123" s="5">
        <v>6</v>
      </c>
      <c r="H123" s="5">
        <v>6</v>
      </c>
      <c r="I123" s="5">
        <v>7</v>
      </c>
      <c r="J123" s="5">
        <v>8</v>
      </c>
    </row>
    <row r="124" spans="1:10" s="55" customFormat="1" ht="14.25" thickBot="1">
      <c r="A124" s="8" t="s">
        <v>392</v>
      </c>
      <c r="B124" s="55">
        <v>6</v>
      </c>
      <c r="C124" s="55">
        <v>3</v>
      </c>
      <c r="D124" s="55">
        <v>15</v>
      </c>
      <c r="E124" s="55">
        <v>4</v>
      </c>
      <c r="F124" s="55">
        <v>9</v>
      </c>
      <c r="H124" s="55">
        <v>9</v>
      </c>
      <c r="I124" s="55">
        <v>10</v>
      </c>
      <c r="J124" s="55">
        <v>6</v>
      </c>
    </row>
  </sheetData>
  <dataConsolidate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"/>
  <sheetViews>
    <sheetView topLeftCell="B1" workbookViewId="0">
      <pane ySplit="1" topLeftCell="A2" activePane="bottomLeft" state="frozen"/>
      <selection activeCell="E1" sqref="E1"/>
      <selection pane="bottomLeft" activeCell="M5" sqref="M5"/>
    </sheetView>
  </sheetViews>
  <sheetFormatPr defaultRowHeight="13.5"/>
  <cols>
    <col min="1" max="11" width="9" style="11"/>
    <col min="12" max="12" width="10.625" style="11" customWidth="1"/>
    <col min="13" max="13" width="10.5" style="11" customWidth="1"/>
    <col min="14" max="14" width="9" style="11"/>
    <col min="15" max="16" width="10.5" style="11" bestFit="1" customWidth="1"/>
    <col min="17" max="16384" width="9" style="11"/>
  </cols>
  <sheetData>
    <row r="1" spans="1:16">
      <c r="E1" s="11" t="s">
        <v>62</v>
      </c>
      <c r="F1" s="11" t="s">
        <v>63</v>
      </c>
      <c r="G1" s="11" t="s">
        <v>64</v>
      </c>
      <c r="H1" s="11" t="s">
        <v>65</v>
      </c>
      <c r="I1" s="11" t="s">
        <v>66</v>
      </c>
      <c r="J1" s="11" t="s">
        <v>67</v>
      </c>
      <c r="K1" s="11" t="s">
        <v>68</v>
      </c>
      <c r="L1" s="11" t="s">
        <v>70</v>
      </c>
      <c r="M1" s="11" t="s">
        <v>86</v>
      </c>
      <c r="N1" s="16" t="s">
        <v>268</v>
      </c>
      <c r="O1" s="12" t="s">
        <v>88</v>
      </c>
      <c r="P1" s="12" t="s">
        <v>89</v>
      </c>
    </row>
    <row r="2" spans="1:16" s="16" customFormat="1">
      <c r="A2" s="16">
        <f>228+95+31</f>
        <v>354</v>
      </c>
      <c r="B2" s="16" t="s">
        <v>436</v>
      </c>
      <c r="D2" s="11" t="str">
        <f>TOP!J4</f>
        <v>影35Ｆ</v>
      </c>
      <c r="F2" s="11">
        <f>VLOOKUP($D2,$C3:$K139,4,FALSE)</f>
        <v>293.8</v>
      </c>
      <c r="G2" s="16">
        <f>VLOOKUP($D2,$C3:$K139,5,FALSE)</f>
        <v>271.2</v>
      </c>
      <c r="H2" s="16">
        <f>VLOOKUP($D2,$C3:$K139,6,FALSE)</f>
        <v>226</v>
      </c>
      <c r="I2" s="16">
        <f>VLOOKUP($D2,$C3:$K139,7,FALSE)</f>
        <v>226</v>
      </c>
      <c r="J2" s="16">
        <f>VLOOKUP($D2,$C3:$K139,8,FALSE)</f>
        <v>226</v>
      </c>
      <c r="K2" s="16">
        <f>VLOOKUP($D2,$C3:$K139,9,FALSE)</f>
        <v>194</v>
      </c>
      <c r="L2" s="16">
        <f>VLOOKUP($D2,$C3:$L139,10,FALSE)</f>
        <v>75</v>
      </c>
      <c r="M2" s="16">
        <f>VLOOKUP($D2,$C3:$M139,11,FALSE)</f>
        <v>85</v>
      </c>
    </row>
    <row r="3" spans="1:16">
      <c r="C3" s="12" t="s">
        <v>303</v>
      </c>
      <c r="E3" s="11">
        <v>165</v>
      </c>
      <c r="F3" s="11">
        <f t="shared" ref="F3:J15" si="0">$E3</f>
        <v>165</v>
      </c>
      <c r="G3" s="11">
        <f t="shared" si="0"/>
        <v>165</v>
      </c>
      <c r="H3" s="11">
        <f t="shared" si="0"/>
        <v>165</v>
      </c>
      <c r="I3" s="11">
        <f t="shared" si="0"/>
        <v>165</v>
      </c>
      <c r="J3" s="11">
        <f t="shared" si="0"/>
        <v>165</v>
      </c>
      <c r="K3" s="11">
        <f t="shared" ref="K3:K17" si="1">ROUND($E3*0.9,0)</f>
        <v>149</v>
      </c>
      <c r="L3" s="11">
        <v>75</v>
      </c>
      <c r="O3" s="16"/>
      <c r="P3" s="16"/>
    </row>
    <row r="4" spans="1:16">
      <c r="C4" s="12" t="s">
        <v>304</v>
      </c>
      <c r="E4" s="11">
        <v>165</v>
      </c>
      <c r="F4" s="12">
        <f t="shared" si="0"/>
        <v>165</v>
      </c>
      <c r="G4" s="12">
        <f t="shared" si="0"/>
        <v>165</v>
      </c>
      <c r="H4" s="12">
        <f t="shared" si="0"/>
        <v>165</v>
      </c>
      <c r="I4" s="12">
        <f t="shared" si="0"/>
        <v>165</v>
      </c>
      <c r="J4" s="12">
        <f t="shared" si="0"/>
        <v>165</v>
      </c>
      <c r="K4" s="16">
        <f t="shared" si="1"/>
        <v>149</v>
      </c>
      <c r="L4" s="12">
        <v>75</v>
      </c>
      <c r="M4" s="12"/>
      <c r="O4" s="16"/>
      <c r="P4" s="16"/>
    </row>
    <row r="5" spans="1:16">
      <c r="C5" s="16" t="s">
        <v>182</v>
      </c>
      <c r="E5" s="11">
        <v>76</v>
      </c>
      <c r="F5" s="16">
        <f t="shared" si="0"/>
        <v>76</v>
      </c>
      <c r="G5" s="16">
        <f t="shared" si="0"/>
        <v>76</v>
      </c>
      <c r="H5" s="16">
        <f t="shared" si="0"/>
        <v>76</v>
      </c>
      <c r="I5" s="16">
        <f t="shared" si="0"/>
        <v>76</v>
      </c>
      <c r="J5" s="16">
        <f t="shared" si="0"/>
        <v>76</v>
      </c>
      <c r="K5" s="16">
        <f t="shared" si="1"/>
        <v>68</v>
      </c>
      <c r="L5" s="16">
        <v>75</v>
      </c>
      <c r="M5" s="16">
        <v>115</v>
      </c>
      <c r="N5" s="16"/>
    </row>
    <row r="6" spans="1:16">
      <c r="C6" s="16" t="s">
        <v>183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1"/>
        <v>0</v>
      </c>
      <c r="L6" s="16">
        <v>75</v>
      </c>
      <c r="M6" s="16">
        <v>100</v>
      </c>
      <c r="N6" s="16"/>
    </row>
    <row r="7" spans="1:16">
      <c r="C7" s="16" t="s">
        <v>184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1"/>
        <v>0</v>
      </c>
      <c r="L7" s="16">
        <v>75</v>
      </c>
      <c r="M7" s="16">
        <v>100</v>
      </c>
      <c r="N7" s="16"/>
    </row>
    <row r="8" spans="1:16">
      <c r="C8" s="16" t="s">
        <v>185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1"/>
        <v>0</v>
      </c>
      <c r="L8" s="16">
        <v>75</v>
      </c>
      <c r="M8" s="16">
        <v>100</v>
      </c>
      <c r="N8" s="16"/>
    </row>
    <row r="9" spans="1:16">
      <c r="C9" s="16" t="s">
        <v>186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1"/>
        <v>0</v>
      </c>
      <c r="L9" s="16">
        <v>75</v>
      </c>
      <c r="M9" s="16">
        <v>100</v>
      </c>
      <c r="N9" s="16"/>
    </row>
    <row r="10" spans="1:16">
      <c r="C10" s="16" t="s">
        <v>206</v>
      </c>
      <c r="E10" s="11">
        <v>141</v>
      </c>
      <c r="F10" s="16">
        <f t="shared" si="0"/>
        <v>141</v>
      </c>
      <c r="G10" s="16">
        <f t="shared" si="0"/>
        <v>141</v>
      </c>
      <c r="H10" s="16">
        <f t="shared" si="0"/>
        <v>141</v>
      </c>
      <c r="I10" s="16">
        <f t="shared" si="0"/>
        <v>141</v>
      </c>
      <c r="J10" s="16">
        <f t="shared" si="0"/>
        <v>141</v>
      </c>
      <c r="K10" s="16">
        <f t="shared" si="1"/>
        <v>127</v>
      </c>
      <c r="L10" s="16">
        <v>75</v>
      </c>
      <c r="M10" s="16">
        <v>100</v>
      </c>
      <c r="N10" s="16"/>
    </row>
    <row r="11" spans="1:16">
      <c r="C11" s="16" t="s">
        <v>187</v>
      </c>
      <c r="E11" s="11">
        <v>55</v>
      </c>
      <c r="F11" s="16">
        <f t="shared" si="0"/>
        <v>55</v>
      </c>
      <c r="G11" s="16">
        <f t="shared" si="0"/>
        <v>55</v>
      </c>
      <c r="H11" s="16">
        <f t="shared" si="0"/>
        <v>55</v>
      </c>
      <c r="I11" s="16">
        <f t="shared" si="0"/>
        <v>55</v>
      </c>
      <c r="J11" s="16">
        <f t="shared" si="0"/>
        <v>55</v>
      </c>
      <c r="K11" s="16">
        <f t="shared" si="1"/>
        <v>50</v>
      </c>
      <c r="L11" s="16">
        <v>75</v>
      </c>
      <c r="M11" s="16">
        <v>100</v>
      </c>
      <c r="N11" s="16"/>
    </row>
    <row r="12" spans="1:16">
      <c r="C12" s="16" t="s">
        <v>190</v>
      </c>
      <c r="E12" s="11">
        <v>86</v>
      </c>
      <c r="F12" s="16">
        <f t="shared" si="0"/>
        <v>86</v>
      </c>
      <c r="G12" s="16">
        <f t="shared" si="0"/>
        <v>86</v>
      </c>
      <c r="H12" s="16">
        <f t="shared" si="0"/>
        <v>86</v>
      </c>
      <c r="I12" s="16">
        <f t="shared" si="0"/>
        <v>86</v>
      </c>
      <c r="J12" s="16">
        <f t="shared" si="0"/>
        <v>86</v>
      </c>
      <c r="K12" s="16">
        <f t="shared" si="1"/>
        <v>77</v>
      </c>
      <c r="L12" s="16">
        <v>75</v>
      </c>
      <c r="M12" s="16">
        <v>100</v>
      </c>
    </row>
    <row r="13" spans="1:16">
      <c r="C13" s="16" t="s">
        <v>188</v>
      </c>
      <c r="E13" s="11">
        <v>117</v>
      </c>
      <c r="F13" s="16">
        <f t="shared" si="0"/>
        <v>117</v>
      </c>
      <c r="G13" s="16">
        <f t="shared" si="0"/>
        <v>117</v>
      </c>
      <c r="H13" s="16">
        <f t="shared" si="0"/>
        <v>117</v>
      </c>
      <c r="I13" s="16">
        <f t="shared" si="0"/>
        <v>117</v>
      </c>
      <c r="J13" s="16">
        <f t="shared" si="0"/>
        <v>117</v>
      </c>
      <c r="K13" s="16">
        <f t="shared" si="1"/>
        <v>105</v>
      </c>
      <c r="L13" s="16">
        <v>75</v>
      </c>
      <c r="M13" s="16">
        <v>100</v>
      </c>
    </row>
    <row r="14" spans="1:16">
      <c r="C14" s="16" t="s">
        <v>191</v>
      </c>
      <c r="E14" s="11">
        <v>113</v>
      </c>
      <c r="F14" s="16">
        <f t="shared" si="0"/>
        <v>113</v>
      </c>
      <c r="G14" s="16">
        <f t="shared" si="0"/>
        <v>113</v>
      </c>
      <c r="H14" s="16">
        <f t="shared" si="0"/>
        <v>113</v>
      </c>
      <c r="I14" s="16">
        <f t="shared" si="0"/>
        <v>113</v>
      </c>
      <c r="J14" s="16">
        <f t="shared" si="0"/>
        <v>113</v>
      </c>
      <c r="K14" s="16">
        <f t="shared" si="1"/>
        <v>102</v>
      </c>
      <c r="L14" s="16">
        <v>75</v>
      </c>
      <c r="M14" s="16">
        <v>100</v>
      </c>
    </row>
    <row r="15" spans="1:16">
      <c r="C15" s="16" t="s">
        <v>189</v>
      </c>
      <c r="E15" s="11">
        <v>66</v>
      </c>
      <c r="F15" s="16">
        <f t="shared" si="0"/>
        <v>66</v>
      </c>
      <c r="G15" s="16">
        <f t="shared" si="0"/>
        <v>66</v>
      </c>
      <c r="H15" s="16">
        <f t="shared" si="0"/>
        <v>66</v>
      </c>
      <c r="I15" s="16">
        <f t="shared" si="0"/>
        <v>66</v>
      </c>
      <c r="J15" s="16">
        <f t="shared" si="0"/>
        <v>66</v>
      </c>
      <c r="K15" s="16">
        <f t="shared" si="1"/>
        <v>59</v>
      </c>
      <c r="L15" s="16">
        <v>75</v>
      </c>
      <c r="M15" s="16">
        <v>100</v>
      </c>
    </row>
    <row r="16" spans="1:16">
      <c r="C16" s="16" t="s">
        <v>267</v>
      </c>
      <c r="E16" s="11">
        <v>180</v>
      </c>
      <c r="F16" s="16">
        <f t="shared" ref="F16:F21" si="2">$E16*1.3</f>
        <v>234</v>
      </c>
      <c r="G16" s="16">
        <f>$E16*1.2</f>
        <v>216</v>
      </c>
      <c r="H16" s="16">
        <f t="shared" ref="H16:J45" si="3">$E16</f>
        <v>180</v>
      </c>
      <c r="I16" s="16">
        <f t="shared" si="3"/>
        <v>180</v>
      </c>
      <c r="J16" s="16">
        <f t="shared" si="3"/>
        <v>180</v>
      </c>
      <c r="K16" s="16">
        <f t="shared" si="1"/>
        <v>162</v>
      </c>
      <c r="L16" s="16">
        <v>75</v>
      </c>
      <c r="M16" s="11">
        <v>100</v>
      </c>
      <c r="N16" s="11">
        <f>K16*1.2</f>
        <v>194.4</v>
      </c>
    </row>
    <row r="17" spans="3:16">
      <c r="C17" s="16" t="s">
        <v>102</v>
      </c>
      <c r="E17" s="11">
        <v>172</v>
      </c>
      <c r="F17" s="16">
        <f t="shared" si="2"/>
        <v>223.6</v>
      </c>
      <c r="G17" s="16">
        <f>$E17*1.2</f>
        <v>206.4</v>
      </c>
      <c r="H17" s="16">
        <f t="shared" si="3"/>
        <v>172</v>
      </c>
      <c r="I17" s="16">
        <f t="shared" si="3"/>
        <v>172</v>
      </c>
      <c r="J17" s="16">
        <f t="shared" si="3"/>
        <v>172</v>
      </c>
      <c r="K17" s="16">
        <f t="shared" si="1"/>
        <v>155</v>
      </c>
      <c r="L17" s="16">
        <v>75</v>
      </c>
      <c r="M17" s="11">
        <v>100</v>
      </c>
      <c r="N17" s="11">
        <f>K17*1.2</f>
        <v>186</v>
      </c>
    </row>
    <row r="18" spans="3:16">
      <c r="C18" s="16" t="s">
        <v>103</v>
      </c>
      <c r="E18" s="11">
        <v>226</v>
      </c>
      <c r="F18" s="16">
        <f t="shared" si="2"/>
        <v>293.8</v>
      </c>
      <c r="G18" s="16">
        <f>$E18*1.2</f>
        <v>271.2</v>
      </c>
      <c r="H18" s="16">
        <f t="shared" si="3"/>
        <v>226</v>
      </c>
      <c r="I18" s="16">
        <f t="shared" si="3"/>
        <v>226</v>
      </c>
      <c r="J18" s="16">
        <f t="shared" si="3"/>
        <v>226</v>
      </c>
      <c r="K18" s="16">
        <f>ROUND(($E18-10)*0.9,0)</f>
        <v>194</v>
      </c>
      <c r="L18" s="16">
        <v>75</v>
      </c>
      <c r="M18" s="11">
        <v>85</v>
      </c>
      <c r="N18" s="11">
        <f>K18*1.2</f>
        <v>232.79999999999998</v>
      </c>
    </row>
    <row r="19" spans="3:16">
      <c r="C19" s="16" t="s">
        <v>359</v>
      </c>
      <c r="E19" s="11">
        <v>235</v>
      </c>
      <c r="F19" s="16">
        <f t="shared" si="2"/>
        <v>305.5</v>
      </c>
      <c r="G19" s="16">
        <f>$E19</f>
        <v>235</v>
      </c>
      <c r="H19" s="16">
        <f t="shared" si="3"/>
        <v>235</v>
      </c>
      <c r="I19" s="16">
        <f t="shared" si="3"/>
        <v>235</v>
      </c>
      <c r="J19" s="16">
        <f t="shared" si="3"/>
        <v>235</v>
      </c>
      <c r="K19" s="16">
        <f>ROUND($E19*0.9,0)</f>
        <v>212</v>
      </c>
      <c r="L19" s="16">
        <v>75</v>
      </c>
      <c r="M19" s="11">
        <v>150</v>
      </c>
      <c r="O19" s="16"/>
      <c r="P19" s="16"/>
    </row>
    <row r="20" spans="3:16">
      <c r="C20" s="16" t="s">
        <v>104</v>
      </c>
      <c r="E20" s="11">
        <v>250</v>
      </c>
      <c r="F20" s="16">
        <f t="shared" si="2"/>
        <v>325</v>
      </c>
      <c r="G20" s="16">
        <f>$E20*1.2</f>
        <v>300</v>
      </c>
      <c r="H20" s="16">
        <f t="shared" si="3"/>
        <v>250</v>
      </c>
      <c r="I20" s="16">
        <f t="shared" si="3"/>
        <v>250</v>
      </c>
      <c r="J20" s="16">
        <f t="shared" si="3"/>
        <v>250</v>
      </c>
      <c r="K20" s="16">
        <f>ROUND(($E20-10)*0.9,0)</f>
        <v>216</v>
      </c>
      <c r="L20" s="16">
        <v>75</v>
      </c>
      <c r="M20" s="11">
        <v>100</v>
      </c>
      <c r="N20" s="11">
        <f>K20*1.2</f>
        <v>259.2</v>
      </c>
    </row>
    <row r="21" spans="3:16">
      <c r="C21" s="16" t="s">
        <v>284</v>
      </c>
      <c r="E21" s="11">
        <v>212</v>
      </c>
      <c r="F21" s="16">
        <f t="shared" si="2"/>
        <v>275.60000000000002</v>
      </c>
      <c r="G21" s="16">
        <f>$E21*1.2</f>
        <v>254.39999999999998</v>
      </c>
      <c r="H21" s="16">
        <f t="shared" si="3"/>
        <v>212</v>
      </c>
      <c r="I21" s="16">
        <f t="shared" si="3"/>
        <v>212</v>
      </c>
      <c r="J21" s="16">
        <f t="shared" si="3"/>
        <v>212</v>
      </c>
      <c r="K21" s="16">
        <f>ROUND(($E21-1)*0.9,0)</f>
        <v>190</v>
      </c>
      <c r="L21" s="16">
        <v>75</v>
      </c>
    </row>
    <row r="22" spans="3:16">
      <c r="C22" s="16" t="s">
        <v>87</v>
      </c>
      <c r="E22" s="11">
        <v>135</v>
      </c>
      <c r="F22" s="16">
        <f t="shared" ref="F22:G41" si="4">$E22</f>
        <v>135</v>
      </c>
      <c r="G22" s="16">
        <f t="shared" si="4"/>
        <v>135</v>
      </c>
      <c r="H22" s="16">
        <f t="shared" si="3"/>
        <v>135</v>
      </c>
      <c r="I22" s="16">
        <f t="shared" si="3"/>
        <v>135</v>
      </c>
      <c r="J22" s="16">
        <f t="shared" si="3"/>
        <v>135</v>
      </c>
      <c r="K22" s="16">
        <f t="shared" ref="K22:K53" si="5">ROUND($E22*0.9,0)</f>
        <v>122</v>
      </c>
      <c r="L22" s="16">
        <v>75</v>
      </c>
      <c r="M22" s="11">
        <v>100</v>
      </c>
      <c r="O22" s="15">
        <f>K22*1.2+(H22*2/7)</f>
        <v>184.97142857142859</v>
      </c>
      <c r="P22" s="15">
        <f>K22*1.2+G22/7+I22*2/7</f>
        <v>204.25714285714287</v>
      </c>
    </row>
    <row r="23" spans="3:16">
      <c r="C23" s="16" t="s">
        <v>213</v>
      </c>
      <c r="E23" s="11">
        <v>111</v>
      </c>
      <c r="F23" s="16">
        <f t="shared" si="4"/>
        <v>111</v>
      </c>
      <c r="G23" s="16">
        <f t="shared" si="4"/>
        <v>111</v>
      </c>
      <c r="H23" s="16">
        <f t="shared" si="3"/>
        <v>111</v>
      </c>
      <c r="I23" s="16">
        <f t="shared" si="3"/>
        <v>111</v>
      </c>
      <c r="J23" s="16">
        <f t="shared" si="3"/>
        <v>111</v>
      </c>
      <c r="K23" s="16">
        <f t="shared" si="5"/>
        <v>100</v>
      </c>
      <c r="L23" s="16">
        <v>75</v>
      </c>
      <c r="M23" s="11">
        <v>100</v>
      </c>
    </row>
    <row r="24" spans="3:16">
      <c r="C24" s="16" t="s">
        <v>101</v>
      </c>
      <c r="E24" s="11">
        <v>236</v>
      </c>
      <c r="F24" s="16">
        <f t="shared" si="4"/>
        <v>236</v>
      </c>
      <c r="G24" s="16">
        <f t="shared" si="4"/>
        <v>236</v>
      </c>
      <c r="H24" s="16">
        <f t="shared" si="3"/>
        <v>236</v>
      </c>
      <c r="I24" s="16">
        <f t="shared" si="3"/>
        <v>236</v>
      </c>
      <c r="J24" s="16">
        <f t="shared" si="3"/>
        <v>236</v>
      </c>
      <c r="K24" s="16">
        <f t="shared" si="5"/>
        <v>212</v>
      </c>
      <c r="L24" s="16">
        <v>75</v>
      </c>
      <c r="M24" s="11">
        <v>100</v>
      </c>
      <c r="N24" s="11">
        <f>K24*1.2</f>
        <v>254.39999999999998</v>
      </c>
    </row>
    <row r="25" spans="3:16">
      <c r="C25" s="16" t="s">
        <v>112</v>
      </c>
      <c r="E25" s="11">
        <v>58</v>
      </c>
      <c r="F25" s="16">
        <f t="shared" si="4"/>
        <v>58</v>
      </c>
      <c r="G25" s="16">
        <f t="shared" si="4"/>
        <v>58</v>
      </c>
      <c r="H25" s="16">
        <f t="shared" si="3"/>
        <v>58</v>
      </c>
      <c r="I25" s="16">
        <f t="shared" si="3"/>
        <v>58</v>
      </c>
      <c r="J25" s="16">
        <f t="shared" si="3"/>
        <v>58</v>
      </c>
      <c r="K25" s="16">
        <f t="shared" si="5"/>
        <v>52</v>
      </c>
      <c r="L25" s="16">
        <v>75</v>
      </c>
      <c r="M25" s="16">
        <v>100</v>
      </c>
    </row>
    <row r="26" spans="3:16">
      <c r="C26" s="16" t="s">
        <v>113</v>
      </c>
      <c r="E26" s="11">
        <v>77</v>
      </c>
      <c r="F26" s="16">
        <f t="shared" si="4"/>
        <v>77</v>
      </c>
      <c r="G26" s="16">
        <f t="shared" si="4"/>
        <v>77</v>
      </c>
      <c r="H26" s="16">
        <f t="shared" si="3"/>
        <v>77</v>
      </c>
      <c r="I26" s="16">
        <f t="shared" si="3"/>
        <v>77</v>
      </c>
      <c r="J26" s="16">
        <f t="shared" si="3"/>
        <v>77</v>
      </c>
      <c r="K26" s="16">
        <f t="shared" si="5"/>
        <v>69</v>
      </c>
      <c r="L26" s="16">
        <v>75</v>
      </c>
      <c r="M26" s="16">
        <v>100</v>
      </c>
    </row>
    <row r="27" spans="3:16">
      <c r="C27" s="16" t="s">
        <v>114</v>
      </c>
      <c r="E27" s="11">
        <v>98</v>
      </c>
      <c r="F27" s="16">
        <f t="shared" si="4"/>
        <v>98</v>
      </c>
      <c r="G27" s="16">
        <f t="shared" si="4"/>
        <v>98</v>
      </c>
      <c r="H27" s="16">
        <f t="shared" si="3"/>
        <v>98</v>
      </c>
      <c r="I27" s="16">
        <f t="shared" si="3"/>
        <v>98</v>
      </c>
      <c r="J27" s="16">
        <f t="shared" si="3"/>
        <v>98</v>
      </c>
      <c r="K27" s="16">
        <f t="shared" si="5"/>
        <v>88</v>
      </c>
      <c r="L27" s="16">
        <v>75</v>
      </c>
      <c r="M27" s="16">
        <v>100</v>
      </c>
    </row>
    <row r="28" spans="3:16">
      <c r="C28" s="16" t="s">
        <v>115</v>
      </c>
      <c r="E28" s="11">
        <v>109</v>
      </c>
      <c r="F28" s="16">
        <f t="shared" si="4"/>
        <v>109</v>
      </c>
      <c r="G28" s="16">
        <f t="shared" si="4"/>
        <v>109</v>
      </c>
      <c r="H28" s="16">
        <f t="shared" si="3"/>
        <v>109</v>
      </c>
      <c r="I28" s="16">
        <f t="shared" si="3"/>
        <v>109</v>
      </c>
      <c r="J28" s="16">
        <f t="shared" si="3"/>
        <v>109</v>
      </c>
      <c r="K28" s="16">
        <f t="shared" si="5"/>
        <v>98</v>
      </c>
      <c r="L28" s="16">
        <v>75</v>
      </c>
      <c r="M28" s="16">
        <v>100</v>
      </c>
    </row>
    <row r="29" spans="3:16">
      <c r="C29" s="16" t="s">
        <v>202</v>
      </c>
      <c r="E29" s="11">
        <v>120</v>
      </c>
      <c r="F29" s="16">
        <f t="shared" si="4"/>
        <v>120</v>
      </c>
      <c r="G29" s="16">
        <f t="shared" si="4"/>
        <v>120</v>
      </c>
      <c r="H29" s="16">
        <f t="shared" si="3"/>
        <v>120</v>
      </c>
      <c r="I29" s="16">
        <f t="shared" si="3"/>
        <v>120</v>
      </c>
      <c r="J29" s="16">
        <f t="shared" si="3"/>
        <v>120</v>
      </c>
      <c r="K29" s="16">
        <f t="shared" si="5"/>
        <v>108</v>
      </c>
      <c r="L29" s="16">
        <v>75</v>
      </c>
      <c r="M29" s="16">
        <v>100</v>
      </c>
    </row>
    <row r="30" spans="3:16">
      <c r="C30" s="16" t="s">
        <v>203</v>
      </c>
      <c r="E30" s="11">
        <v>130</v>
      </c>
      <c r="F30" s="16">
        <f t="shared" si="4"/>
        <v>130</v>
      </c>
      <c r="G30" s="16">
        <f t="shared" si="4"/>
        <v>130</v>
      </c>
      <c r="H30" s="16">
        <f t="shared" si="3"/>
        <v>130</v>
      </c>
      <c r="I30" s="16">
        <f t="shared" si="3"/>
        <v>130</v>
      </c>
      <c r="J30" s="16">
        <f t="shared" si="3"/>
        <v>130</v>
      </c>
      <c r="K30" s="16">
        <f t="shared" si="5"/>
        <v>117</v>
      </c>
      <c r="L30" s="16">
        <v>75</v>
      </c>
      <c r="M30" s="16">
        <v>100</v>
      </c>
    </row>
    <row r="31" spans="3:16">
      <c r="C31" s="16" t="s">
        <v>204</v>
      </c>
      <c r="E31" s="11">
        <v>146</v>
      </c>
      <c r="F31" s="16">
        <f t="shared" si="4"/>
        <v>146</v>
      </c>
      <c r="G31" s="16">
        <f t="shared" si="4"/>
        <v>146</v>
      </c>
      <c r="H31" s="16">
        <f t="shared" si="3"/>
        <v>146</v>
      </c>
      <c r="I31" s="16">
        <f t="shared" si="3"/>
        <v>146</v>
      </c>
      <c r="J31" s="16">
        <f t="shared" si="3"/>
        <v>146</v>
      </c>
      <c r="K31" s="16">
        <f t="shared" si="5"/>
        <v>131</v>
      </c>
      <c r="L31" s="16">
        <v>75</v>
      </c>
      <c r="M31" s="16">
        <v>100</v>
      </c>
    </row>
    <row r="32" spans="3:16">
      <c r="C32" s="16" t="s">
        <v>205</v>
      </c>
      <c r="E32" s="11">
        <v>158</v>
      </c>
      <c r="F32" s="16">
        <f t="shared" si="4"/>
        <v>158</v>
      </c>
      <c r="G32" s="16">
        <f t="shared" si="4"/>
        <v>158</v>
      </c>
      <c r="H32" s="16">
        <f t="shared" si="3"/>
        <v>158</v>
      </c>
      <c r="I32" s="16">
        <f t="shared" si="3"/>
        <v>158</v>
      </c>
      <c r="J32" s="16">
        <f t="shared" si="3"/>
        <v>158</v>
      </c>
      <c r="K32" s="16">
        <f t="shared" si="5"/>
        <v>142</v>
      </c>
      <c r="L32" s="16">
        <v>75</v>
      </c>
      <c r="M32" s="16">
        <v>100</v>
      </c>
    </row>
    <row r="33" spans="3:16">
      <c r="C33" s="16" t="s">
        <v>192</v>
      </c>
      <c r="E33" s="11">
        <v>48</v>
      </c>
      <c r="F33" s="16">
        <f t="shared" si="4"/>
        <v>48</v>
      </c>
      <c r="G33" s="16">
        <f t="shared" si="4"/>
        <v>48</v>
      </c>
      <c r="H33" s="16">
        <f t="shared" si="3"/>
        <v>48</v>
      </c>
      <c r="I33" s="16">
        <f t="shared" si="3"/>
        <v>48</v>
      </c>
      <c r="J33" s="16">
        <f t="shared" si="3"/>
        <v>48</v>
      </c>
      <c r="K33" s="16">
        <f t="shared" si="5"/>
        <v>43</v>
      </c>
      <c r="L33" s="16">
        <v>75</v>
      </c>
      <c r="M33" s="16">
        <v>100</v>
      </c>
    </row>
    <row r="34" spans="3:16">
      <c r="C34" s="16" t="s">
        <v>193</v>
      </c>
      <c r="E34" s="11">
        <v>75</v>
      </c>
      <c r="F34" s="16">
        <f t="shared" si="4"/>
        <v>75</v>
      </c>
      <c r="G34" s="16">
        <f t="shared" si="4"/>
        <v>75</v>
      </c>
      <c r="H34" s="16">
        <f t="shared" si="3"/>
        <v>75</v>
      </c>
      <c r="I34" s="16">
        <f t="shared" si="3"/>
        <v>75</v>
      </c>
      <c r="J34" s="16">
        <f t="shared" si="3"/>
        <v>75</v>
      </c>
      <c r="K34" s="16">
        <f t="shared" si="5"/>
        <v>68</v>
      </c>
      <c r="L34" s="16">
        <v>75</v>
      </c>
      <c r="M34" s="16">
        <v>100</v>
      </c>
    </row>
    <row r="35" spans="3:16">
      <c r="C35" s="16" t="s">
        <v>194</v>
      </c>
      <c r="E35" s="11">
        <v>97</v>
      </c>
      <c r="F35" s="16">
        <f t="shared" si="4"/>
        <v>97</v>
      </c>
      <c r="G35" s="16">
        <f t="shared" si="4"/>
        <v>97</v>
      </c>
      <c r="H35" s="16">
        <f t="shared" si="3"/>
        <v>97</v>
      </c>
      <c r="I35" s="16">
        <f t="shared" si="3"/>
        <v>97</v>
      </c>
      <c r="J35" s="16">
        <f t="shared" si="3"/>
        <v>97</v>
      </c>
      <c r="K35" s="16">
        <f t="shared" si="5"/>
        <v>87</v>
      </c>
      <c r="L35" s="16">
        <v>75</v>
      </c>
      <c r="M35" s="16">
        <v>100</v>
      </c>
    </row>
    <row r="36" spans="3:16">
      <c r="C36" s="16" t="s">
        <v>195</v>
      </c>
      <c r="E36" s="11">
        <v>120</v>
      </c>
      <c r="F36" s="16">
        <f t="shared" si="4"/>
        <v>120</v>
      </c>
      <c r="G36" s="16">
        <f t="shared" si="4"/>
        <v>120</v>
      </c>
      <c r="H36" s="16">
        <f t="shared" si="3"/>
        <v>120</v>
      </c>
      <c r="I36" s="16">
        <f t="shared" si="3"/>
        <v>120</v>
      </c>
      <c r="J36" s="16">
        <f t="shared" si="3"/>
        <v>120</v>
      </c>
      <c r="K36" s="16">
        <f t="shared" si="5"/>
        <v>108</v>
      </c>
      <c r="L36" s="16">
        <v>75</v>
      </c>
      <c r="M36" s="16">
        <v>100</v>
      </c>
    </row>
    <row r="37" spans="3:16">
      <c r="C37" s="16" t="s">
        <v>179</v>
      </c>
      <c r="E37" s="11">
        <v>117</v>
      </c>
      <c r="F37" s="16">
        <f t="shared" si="4"/>
        <v>117</v>
      </c>
      <c r="G37" s="16">
        <f t="shared" si="4"/>
        <v>117</v>
      </c>
      <c r="H37" s="16">
        <f t="shared" si="3"/>
        <v>117</v>
      </c>
      <c r="I37" s="16">
        <f t="shared" si="3"/>
        <v>117</v>
      </c>
      <c r="J37" s="16">
        <f t="shared" si="3"/>
        <v>117</v>
      </c>
      <c r="K37" s="16">
        <f t="shared" si="5"/>
        <v>105</v>
      </c>
      <c r="L37" s="16">
        <v>75</v>
      </c>
      <c r="M37" s="16">
        <v>100</v>
      </c>
    </row>
    <row r="38" spans="3:16">
      <c r="C38" s="16" t="s">
        <v>180</v>
      </c>
      <c r="E38" s="11">
        <v>142</v>
      </c>
      <c r="F38" s="16">
        <f t="shared" si="4"/>
        <v>142</v>
      </c>
      <c r="G38" s="16">
        <f t="shared" si="4"/>
        <v>142</v>
      </c>
      <c r="H38" s="16">
        <f t="shared" si="3"/>
        <v>142</v>
      </c>
      <c r="I38" s="16">
        <f t="shared" si="3"/>
        <v>142</v>
      </c>
      <c r="J38" s="16">
        <f t="shared" si="3"/>
        <v>142</v>
      </c>
      <c r="K38" s="16">
        <f t="shared" si="5"/>
        <v>128</v>
      </c>
      <c r="L38" s="16">
        <v>75</v>
      </c>
      <c r="M38" s="16">
        <v>100</v>
      </c>
    </row>
    <row r="39" spans="3:16">
      <c r="C39" s="16" t="s">
        <v>181</v>
      </c>
      <c r="E39" s="11">
        <v>165</v>
      </c>
      <c r="F39" s="16">
        <f t="shared" si="4"/>
        <v>165</v>
      </c>
      <c r="G39" s="16">
        <f t="shared" si="4"/>
        <v>165</v>
      </c>
      <c r="H39" s="16">
        <f t="shared" si="3"/>
        <v>165</v>
      </c>
      <c r="I39" s="16">
        <f t="shared" si="3"/>
        <v>165</v>
      </c>
      <c r="J39" s="16">
        <f t="shared" si="3"/>
        <v>165</v>
      </c>
      <c r="K39" s="16">
        <f t="shared" si="5"/>
        <v>149</v>
      </c>
      <c r="L39" s="16">
        <v>75</v>
      </c>
      <c r="M39" s="16">
        <v>100</v>
      </c>
    </row>
    <row r="40" spans="3:16">
      <c r="C40" s="16" t="s">
        <v>107</v>
      </c>
      <c r="E40" s="11">
        <v>139</v>
      </c>
      <c r="F40" s="16">
        <f t="shared" si="4"/>
        <v>139</v>
      </c>
      <c r="G40" s="16">
        <f t="shared" si="4"/>
        <v>139</v>
      </c>
      <c r="H40" s="16">
        <f t="shared" si="3"/>
        <v>139</v>
      </c>
      <c r="I40" s="16">
        <f t="shared" si="3"/>
        <v>139</v>
      </c>
      <c r="J40" s="16">
        <f t="shared" si="3"/>
        <v>139</v>
      </c>
      <c r="K40" s="16">
        <f t="shared" si="5"/>
        <v>125</v>
      </c>
      <c r="L40" s="16">
        <v>75</v>
      </c>
      <c r="M40" s="16">
        <v>100</v>
      </c>
    </row>
    <row r="41" spans="3:16">
      <c r="C41" s="16" t="s">
        <v>108</v>
      </c>
      <c r="E41" s="11">
        <v>147</v>
      </c>
      <c r="F41" s="16">
        <f t="shared" si="4"/>
        <v>147</v>
      </c>
      <c r="G41" s="16">
        <f t="shared" si="4"/>
        <v>147</v>
      </c>
      <c r="H41" s="16">
        <f t="shared" si="3"/>
        <v>147</v>
      </c>
      <c r="I41" s="16">
        <f t="shared" si="3"/>
        <v>147</v>
      </c>
      <c r="J41" s="16">
        <f t="shared" si="3"/>
        <v>147</v>
      </c>
      <c r="K41" s="16">
        <f t="shared" si="5"/>
        <v>132</v>
      </c>
      <c r="L41" s="16">
        <v>75</v>
      </c>
      <c r="M41" s="16">
        <v>100</v>
      </c>
    </row>
    <row r="42" spans="3:16">
      <c r="C42" s="16" t="s">
        <v>109</v>
      </c>
      <c r="E42" s="11">
        <v>159</v>
      </c>
      <c r="F42" s="16">
        <f t="shared" ref="F42:G61" si="6">$E42</f>
        <v>159</v>
      </c>
      <c r="G42" s="16">
        <f t="shared" si="6"/>
        <v>159</v>
      </c>
      <c r="H42" s="16">
        <f t="shared" si="3"/>
        <v>159</v>
      </c>
      <c r="I42" s="16">
        <f t="shared" si="3"/>
        <v>159</v>
      </c>
      <c r="J42" s="16">
        <f t="shared" si="3"/>
        <v>159</v>
      </c>
      <c r="K42" s="16">
        <f t="shared" si="5"/>
        <v>143</v>
      </c>
      <c r="L42" s="16">
        <v>75</v>
      </c>
      <c r="M42" s="16">
        <v>100</v>
      </c>
      <c r="N42" s="16"/>
    </row>
    <row r="43" spans="3:16">
      <c r="C43" s="16" t="s">
        <v>110</v>
      </c>
      <c r="E43" s="11">
        <v>170</v>
      </c>
      <c r="F43" s="16">
        <f t="shared" si="6"/>
        <v>170</v>
      </c>
      <c r="G43" s="16">
        <f t="shared" si="6"/>
        <v>170</v>
      </c>
      <c r="H43" s="16">
        <f t="shared" si="3"/>
        <v>170</v>
      </c>
      <c r="I43" s="16">
        <f t="shared" si="3"/>
        <v>170</v>
      </c>
      <c r="J43" s="16">
        <f t="shared" si="3"/>
        <v>170</v>
      </c>
      <c r="K43" s="16">
        <f t="shared" si="5"/>
        <v>153</v>
      </c>
      <c r="L43" s="16">
        <v>75</v>
      </c>
      <c r="M43" s="16">
        <v>100</v>
      </c>
      <c r="O43" s="16"/>
      <c r="P43" s="16"/>
    </row>
    <row r="44" spans="3:16">
      <c r="C44" s="16" t="s">
        <v>111</v>
      </c>
      <c r="E44" s="11">
        <v>179</v>
      </c>
      <c r="F44" s="16">
        <f t="shared" si="6"/>
        <v>179</v>
      </c>
      <c r="G44" s="16">
        <f t="shared" si="6"/>
        <v>179</v>
      </c>
      <c r="H44" s="16">
        <f t="shared" si="3"/>
        <v>179</v>
      </c>
      <c r="I44" s="16">
        <f t="shared" si="3"/>
        <v>179</v>
      </c>
      <c r="J44" s="16">
        <f t="shared" si="3"/>
        <v>179</v>
      </c>
      <c r="K44" s="16">
        <f t="shared" si="5"/>
        <v>161</v>
      </c>
      <c r="L44" s="16">
        <v>75</v>
      </c>
      <c r="M44" s="16">
        <v>100</v>
      </c>
    </row>
    <row r="45" spans="3:16">
      <c r="C45" s="16" t="s">
        <v>207</v>
      </c>
      <c r="F45" s="16">
        <f t="shared" si="6"/>
        <v>0</v>
      </c>
      <c r="G45" s="16">
        <f t="shared" si="6"/>
        <v>0</v>
      </c>
      <c r="H45" s="16">
        <f t="shared" si="3"/>
        <v>0</v>
      </c>
      <c r="I45" s="16">
        <f t="shared" si="3"/>
        <v>0</v>
      </c>
      <c r="J45" s="16">
        <f t="shared" si="3"/>
        <v>0</v>
      </c>
      <c r="K45" s="16">
        <f t="shared" si="5"/>
        <v>0</v>
      </c>
      <c r="L45" s="16">
        <v>75</v>
      </c>
      <c r="M45" s="16">
        <v>100</v>
      </c>
    </row>
    <row r="46" spans="3:16">
      <c r="C46" s="16" t="s">
        <v>351</v>
      </c>
      <c r="E46" s="11">
        <v>214</v>
      </c>
      <c r="F46" s="16">
        <f t="shared" si="6"/>
        <v>214</v>
      </c>
      <c r="G46" s="16">
        <f t="shared" si="6"/>
        <v>214</v>
      </c>
      <c r="H46" s="16">
        <v>355</v>
      </c>
      <c r="I46" s="16">
        <f t="shared" ref="I46:J65" si="7">$E46</f>
        <v>214</v>
      </c>
      <c r="J46" s="16">
        <f t="shared" si="7"/>
        <v>214</v>
      </c>
      <c r="K46" s="16">
        <f t="shared" si="5"/>
        <v>193</v>
      </c>
      <c r="L46" s="16">
        <v>75</v>
      </c>
      <c r="M46" s="16">
        <v>100</v>
      </c>
    </row>
    <row r="47" spans="3:16">
      <c r="C47" s="16" t="s">
        <v>90</v>
      </c>
      <c r="E47" s="11">
        <v>214</v>
      </c>
      <c r="F47" s="16">
        <f t="shared" si="6"/>
        <v>214</v>
      </c>
      <c r="G47" s="16">
        <f t="shared" si="6"/>
        <v>214</v>
      </c>
      <c r="H47" s="16">
        <f t="shared" ref="H47:H65" si="8">$E47</f>
        <v>214</v>
      </c>
      <c r="I47" s="16">
        <f t="shared" si="7"/>
        <v>214</v>
      </c>
      <c r="J47" s="16">
        <f t="shared" si="7"/>
        <v>214</v>
      </c>
      <c r="K47" s="16">
        <f t="shared" si="5"/>
        <v>193</v>
      </c>
      <c r="L47" s="16">
        <v>75</v>
      </c>
      <c r="M47" s="16">
        <v>100</v>
      </c>
      <c r="N47" s="11">
        <f>K47*1.2</f>
        <v>231.6</v>
      </c>
      <c r="O47" s="15">
        <f>K47*1.2+(H47*2/7)</f>
        <v>292.74285714285713</v>
      </c>
      <c r="P47" s="15">
        <f>K47*1.2+G47/7+I47*2/7</f>
        <v>323.31428571428575</v>
      </c>
    </row>
    <row r="48" spans="3:16">
      <c r="C48" s="16" t="s">
        <v>311</v>
      </c>
      <c r="E48" s="11">
        <v>200</v>
      </c>
      <c r="F48" s="16">
        <f t="shared" si="6"/>
        <v>200</v>
      </c>
      <c r="G48" s="16">
        <f t="shared" si="6"/>
        <v>200</v>
      </c>
      <c r="H48" s="16">
        <f t="shared" si="8"/>
        <v>200</v>
      </c>
      <c r="I48" s="16">
        <f t="shared" si="7"/>
        <v>200</v>
      </c>
      <c r="J48" s="16">
        <f t="shared" si="7"/>
        <v>200</v>
      </c>
      <c r="K48" s="16">
        <f t="shared" si="5"/>
        <v>180</v>
      </c>
      <c r="L48" s="16">
        <v>75</v>
      </c>
      <c r="M48" s="16">
        <v>100</v>
      </c>
    </row>
    <row r="49" spans="3:16">
      <c r="C49" s="16" t="s">
        <v>196</v>
      </c>
      <c r="F49" s="16">
        <f t="shared" si="6"/>
        <v>0</v>
      </c>
      <c r="G49" s="16">
        <f t="shared" si="6"/>
        <v>0</v>
      </c>
      <c r="H49" s="16">
        <f t="shared" si="8"/>
        <v>0</v>
      </c>
      <c r="I49" s="16">
        <f t="shared" si="7"/>
        <v>0</v>
      </c>
      <c r="J49" s="16">
        <f t="shared" si="7"/>
        <v>0</v>
      </c>
      <c r="K49" s="16">
        <f t="shared" si="5"/>
        <v>0</v>
      </c>
      <c r="L49" s="16">
        <v>75</v>
      </c>
      <c r="M49" s="16">
        <v>100</v>
      </c>
    </row>
    <row r="50" spans="3:16">
      <c r="C50" s="16" t="s">
        <v>197</v>
      </c>
      <c r="F50" s="16">
        <f t="shared" si="6"/>
        <v>0</v>
      </c>
      <c r="G50" s="16">
        <f t="shared" si="6"/>
        <v>0</v>
      </c>
      <c r="H50" s="16">
        <f t="shared" si="8"/>
        <v>0</v>
      </c>
      <c r="I50" s="16">
        <f t="shared" si="7"/>
        <v>0</v>
      </c>
      <c r="J50" s="16">
        <f t="shared" si="7"/>
        <v>0</v>
      </c>
      <c r="K50" s="16">
        <f t="shared" si="5"/>
        <v>0</v>
      </c>
      <c r="L50" s="16">
        <v>75</v>
      </c>
      <c r="M50" s="16">
        <v>100</v>
      </c>
    </row>
    <row r="51" spans="3:16">
      <c r="C51" s="16" t="s">
        <v>198</v>
      </c>
      <c r="F51" s="16">
        <f t="shared" si="6"/>
        <v>0</v>
      </c>
      <c r="G51" s="16">
        <f t="shared" si="6"/>
        <v>0</v>
      </c>
      <c r="H51" s="16">
        <f t="shared" si="8"/>
        <v>0</v>
      </c>
      <c r="I51" s="16">
        <f t="shared" si="7"/>
        <v>0</v>
      </c>
      <c r="J51" s="16">
        <f t="shared" si="7"/>
        <v>0</v>
      </c>
      <c r="K51" s="16">
        <f t="shared" si="5"/>
        <v>0</v>
      </c>
      <c r="L51" s="16">
        <v>75</v>
      </c>
      <c r="M51" s="16">
        <v>100</v>
      </c>
    </row>
    <row r="52" spans="3:16">
      <c r="C52" s="16" t="s">
        <v>199</v>
      </c>
      <c r="F52" s="16">
        <f t="shared" si="6"/>
        <v>0</v>
      </c>
      <c r="G52" s="16">
        <f t="shared" si="6"/>
        <v>0</v>
      </c>
      <c r="H52" s="16">
        <f t="shared" si="8"/>
        <v>0</v>
      </c>
      <c r="I52" s="16">
        <f t="shared" si="7"/>
        <v>0</v>
      </c>
      <c r="J52" s="16">
        <f t="shared" si="7"/>
        <v>0</v>
      </c>
      <c r="K52" s="16">
        <f t="shared" si="5"/>
        <v>0</v>
      </c>
      <c r="L52" s="16">
        <v>75</v>
      </c>
      <c r="M52" s="16">
        <v>100</v>
      </c>
    </row>
    <row r="53" spans="3:16">
      <c r="C53" s="16" t="s">
        <v>200</v>
      </c>
      <c r="E53" s="11">
        <v>109</v>
      </c>
      <c r="F53" s="16">
        <f t="shared" si="6"/>
        <v>109</v>
      </c>
      <c r="G53" s="16">
        <f t="shared" si="6"/>
        <v>109</v>
      </c>
      <c r="H53" s="16">
        <f t="shared" si="8"/>
        <v>109</v>
      </c>
      <c r="I53" s="16">
        <f t="shared" si="7"/>
        <v>109</v>
      </c>
      <c r="J53" s="16">
        <f t="shared" si="7"/>
        <v>109</v>
      </c>
      <c r="K53" s="16">
        <f t="shared" si="5"/>
        <v>98</v>
      </c>
      <c r="L53" s="16">
        <v>75</v>
      </c>
      <c r="M53" s="11">
        <v>150</v>
      </c>
    </row>
    <row r="54" spans="3:16">
      <c r="C54" s="16" t="s">
        <v>201</v>
      </c>
      <c r="E54" s="11">
        <v>126</v>
      </c>
      <c r="F54" s="16">
        <f t="shared" si="6"/>
        <v>126</v>
      </c>
      <c r="G54" s="16">
        <f t="shared" si="6"/>
        <v>126</v>
      </c>
      <c r="H54" s="16">
        <f t="shared" si="8"/>
        <v>126</v>
      </c>
      <c r="I54" s="16">
        <f t="shared" si="7"/>
        <v>126</v>
      </c>
      <c r="J54" s="16">
        <f t="shared" si="7"/>
        <v>126</v>
      </c>
      <c r="K54" s="16">
        <f t="shared" ref="K54:K85" si="9">ROUND($E54*0.9,0)</f>
        <v>113</v>
      </c>
      <c r="L54" s="16">
        <v>75</v>
      </c>
      <c r="M54" s="16">
        <v>150</v>
      </c>
    </row>
    <row r="55" spans="3:16">
      <c r="C55" s="16" t="s">
        <v>116</v>
      </c>
      <c r="E55" s="11">
        <v>38</v>
      </c>
      <c r="F55" s="16">
        <f t="shared" si="6"/>
        <v>38</v>
      </c>
      <c r="G55" s="16">
        <f t="shared" si="6"/>
        <v>38</v>
      </c>
      <c r="H55" s="16">
        <f t="shared" si="8"/>
        <v>38</v>
      </c>
      <c r="I55" s="16">
        <f t="shared" si="7"/>
        <v>38</v>
      </c>
      <c r="J55" s="16">
        <f t="shared" si="7"/>
        <v>38</v>
      </c>
      <c r="K55" s="16">
        <f t="shared" si="9"/>
        <v>34</v>
      </c>
      <c r="L55" s="16">
        <v>75</v>
      </c>
      <c r="M55" s="16">
        <v>150</v>
      </c>
    </row>
    <row r="56" spans="3:16">
      <c r="C56" s="16" t="s">
        <v>312</v>
      </c>
      <c r="E56" s="11">
        <v>48</v>
      </c>
      <c r="F56" s="16">
        <f t="shared" si="6"/>
        <v>48</v>
      </c>
      <c r="G56" s="16">
        <f t="shared" si="6"/>
        <v>48</v>
      </c>
      <c r="H56" s="16">
        <f t="shared" si="8"/>
        <v>48</v>
      </c>
      <c r="I56" s="16">
        <f t="shared" si="7"/>
        <v>48</v>
      </c>
      <c r="J56" s="16">
        <f t="shared" si="7"/>
        <v>48</v>
      </c>
      <c r="K56" s="16">
        <f t="shared" si="9"/>
        <v>43</v>
      </c>
      <c r="L56" s="16">
        <v>75</v>
      </c>
      <c r="M56" s="16">
        <v>150</v>
      </c>
    </row>
    <row r="57" spans="3:16">
      <c r="C57" s="16" t="s">
        <v>117</v>
      </c>
      <c r="E57" s="11">
        <v>69</v>
      </c>
      <c r="F57" s="16">
        <f t="shared" si="6"/>
        <v>69</v>
      </c>
      <c r="G57" s="16">
        <f t="shared" si="6"/>
        <v>69</v>
      </c>
      <c r="H57" s="16">
        <f t="shared" si="8"/>
        <v>69</v>
      </c>
      <c r="I57" s="16">
        <f t="shared" si="7"/>
        <v>69</v>
      </c>
      <c r="J57" s="16">
        <f t="shared" si="7"/>
        <v>69</v>
      </c>
      <c r="K57" s="16">
        <f t="shared" si="9"/>
        <v>62</v>
      </c>
      <c r="L57" s="16">
        <v>75</v>
      </c>
      <c r="M57" s="16">
        <v>150</v>
      </c>
    </row>
    <row r="58" spans="3:16">
      <c r="C58" s="16" t="s">
        <v>118</v>
      </c>
      <c r="E58" s="11">
        <v>78</v>
      </c>
      <c r="F58" s="16">
        <f t="shared" si="6"/>
        <v>78</v>
      </c>
      <c r="G58" s="16">
        <f t="shared" si="6"/>
        <v>78</v>
      </c>
      <c r="H58" s="16">
        <f t="shared" si="8"/>
        <v>78</v>
      </c>
      <c r="I58" s="16">
        <f t="shared" si="7"/>
        <v>78</v>
      </c>
      <c r="J58" s="16">
        <f t="shared" si="7"/>
        <v>78</v>
      </c>
      <c r="K58" s="16">
        <f t="shared" si="9"/>
        <v>70</v>
      </c>
      <c r="L58" s="16">
        <v>75</v>
      </c>
      <c r="M58" s="16">
        <v>150</v>
      </c>
    </row>
    <row r="59" spans="3:16">
      <c r="C59" s="16" t="s">
        <v>119</v>
      </c>
      <c r="E59" s="11">
        <v>88</v>
      </c>
      <c r="F59" s="16">
        <f t="shared" si="6"/>
        <v>88</v>
      </c>
      <c r="G59" s="16">
        <f t="shared" si="6"/>
        <v>88</v>
      </c>
      <c r="H59" s="16">
        <f t="shared" si="8"/>
        <v>88</v>
      </c>
      <c r="I59" s="16">
        <f t="shared" si="7"/>
        <v>88</v>
      </c>
      <c r="J59" s="16">
        <f t="shared" si="7"/>
        <v>88</v>
      </c>
      <c r="K59" s="16">
        <f t="shared" si="9"/>
        <v>79</v>
      </c>
      <c r="L59" s="16">
        <v>75</v>
      </c>
      <c r="M59" s="16">
        <v>150</v>
      </c>
    </row>
    <row r="60" spans="3:16">
      <c r="C60" s="16" t="s">
        <v>212</v>
      </c>
      <c r="E60" s="11">
        <v>86</v>
      </c>
      <c r="F60" s="16">
        <f t="shared" si="6"/>
        <v>86</v>
      </c>
      <c r="G60" s="16">
        <f t="shared" si="6"/>
        <v>86</v>
      </c>
      <c r="H60" s="16">
        <f t="shared" si="8"/>
        <v>86</v>
      </c>
      <c r="I60" s="16">
        <f t="shared" si="7"/>
        <v>86</v>
      </c>
      <c r="J60" s="16">
        <f t="shared" si="7"/>
        <v>86</v>
      </c>
      <c r="K60" s="16">
        <f t="shared" si="9"/>
        <v>77</v>
      </c>
      <c r="L60" s="16">
        <v>75</v>
      </c>
      <c r="M60" s="16">
        <v>150</v>
      </c>
      <c r="O60" s="16"/>
      <c r="P60" s="16"/>
    </row>
    <row r="61" spans="3:16">
      <c r="C61" s="16" t="s">
        <v>208</v>
      </c>
      <c r="F61" s="16">
        <f t="shared" si="6"/>
        <v>0</v>
      </c>
      <c r="G61" s="16">
        <f t="shared" si="6"/>
        <v>0</v>
      </c>
      <c r="H61" s="16">
        <f t="shared" si="8"/>
        <v>0</v>
      </c>
      <c r="I61" s="16">
        <f t="shared" si="7"/>
        <v>0</v>
      </c>
      <c r="J61" s="16">
        <f t="shared" si="7"/>
        <v>0</v>
      </c>
      <c r="K61" s="16">
        <f t="shared" si="9"/>
        <v>0</v>
      </c>
      <c r="L61" s="16">
        <v>75</v>
      </c>
      <c r="M61" s="16">
        <v>150</v>
      </c>
      <c r="N61" s="16"/>
    </row>
    <row r="62" spans="3:16">
      <c r="C62" s="16" t="s">
        <v>209</v>
      </c>
      <c r="F62" s="16">
        <f t="shared" ref="F62:G81" si="10">$E62</f>
        <v>0</v>
      </c>
      <c r="G62" s="16">
        <f t="shared" si="10"/>
        <v>0</v>
      </c>
      <c r="H62" s="16">
        <f t="shared" si="8"/>
        <v>0</v>
      </c>
      <c r="I62" s="16">
        <f t="shared" si="7"/>
        <v>0</v>
      </c>
      <c r="J62" s="16">
        <f t="shared" si="7"/>
        <v>0</v>
      </c>
      <c r="K62" s="16">
        <f t="shared" si="9"/>
        <v>0</v>
      </c>
      <c r="L62" s="16">
        <v>75</v>
      </c>
      <c r="M62" s="16">
        <v>150</v>
      </c>
    </row>
    <row r="63" spans="3:16">
      <c r="C63" s="16" t="s">
        <v>210</v>
      </c>
      <c r="F63" s="16">
        <f t="shared" si="10"/>
        <v>0</v>
      </c>
      <c r="G63" s="16">
        <f t="shared" si="10"/>
        <v>0</v>
      </c>
      <c r="H63" s="16">
        <f t="shared" si="8"/>
        <v>0</v>
      </c>
      <c r="I63" s="16">
        <f t="shared" si="7"/>
        <v>0</v>
      </c>
      <c r="J63" s="16">
        <f t="shared" si="7"/>
        <v>0</v>
      </c>
      <c r="K63" s="16">
        <f t="shared" si="9"/>
        <v>0</v>
      </c>
      <c r="L63" s="16">
        <v>75</v>
      </c>
      <c r="M63" s="16">
        <v>150</v>
      </c>
    </row>
    <row r="64" spans="3:16">
      <c r="C64" s="16" t="s">
        <v>211</v>
      </c>
      <c r="F64" s="16">
        <f t="shared" si="10"/>
        <v>0</v>
      </c>
      <c r="G64" s="16">
        <f t="shared" si="10"/>
        <v>0</v>
      </c>
      <c r="H64" s="16">
        <f t="shared" si="8"/>
        <v>0</v>
      </c>
      <c r="I64" s="16">
        <f t="shared" si="7"/>
        <v>0</v>
      </c>
      <c r="J64" s="16">
        <f t="shared" si="7"/>
        <v>0</v>
      </c>
      <c r="K64" s="16">
        <f t="shared" si="9"/>
        <v>0</v>
      </c>
      <c r="L64" s="16">
        <v>75</v>
      </c>
      <c r="M64" s="16">
        <v>150</v>
      </c>
    </row>
    <row r="65" spans="1:16">
      <c r="C65" s="16" t="s">
        <v>120</v>
      </c>
      <c r="F65" s="16">
        <f t="shared" si="10"/>
        <v>0</v>
      </c>
      <c r="G65" s="16">
        <f t="shared" si="10"/>
        <v>0</v>
      </c>
      <c r="H65" s="16">
        <f t="shared" si="8"/>
        <v>0</v>
      </c>
      <c r="I65" s="16">
        <f t="shared" si="7"/>
        <v>0</v>
      </c>
      <c r="J65" s="16">
        <f t="shared" si="7"/>
        <v>0</v>
      </c>
      <c r="K65" s="16">
        <f t="shared" si="9"/>
        <v>0</v>
      </c>
      <c r="L65" s="16">
        <v>75</v>
      </c>
      <c r="M65" s="16">
        <v>150</v>
      </c>
    </row>
    <row r="66" spans="1:16">
      <c r="C66" s="16" t="s">
        <v>350</v>
      </c>
      <c r="E66" s="11">
        <v>236</v>
      </c>
      <c r="F66" s="16">
        <f t="shared" si="10"/>
        <v>236</v>
      </c>
      <c r="G66" s="16">
        <f t="shared" si="10"/>
        <v>236</v>
      </c>
      <c r="H66" s="16">
        <v>470</v>
      </c>
      <c r="I66" s="16">
        <f t="shared" ref="I66:J85" si="11">$E66</f>
        <v>236</v>
      </c>
      <c r="J66" s="16">
        <f t="shared" si="11"/>
        <v>236</v>
      </c>
      <c r="K66" s="16">
        <f t="shared" si="9"/>
        <v>212</v>
      </c>
      <c r="L66" s="16">
        <v>75</v>
      </c>
      <c r="M66" s="16">
        <v>150</v>
      </c>
    </row>
    <row r="67" spans="1:16">
      <c r="C67" s="16" t="s">
        <v>105</v>
      </c>
      <c r="E67" s="11">
        <v>222</v>
      </c>
      <c r="F67" s="16">
        <f t="shared" si="10"/>
        <v>222</v>
      </c>
      <c r="G67" s="16">
        <f t="shared" si="10"/>
        <v>222</v>
      </c>
      <c r="H67" s="16">
        <f t="shared" ref="H67:H100" si="12">$E67</f>
        <v>222</v>
      </c>
      <c r="I67" s="16">
        <f t="shared" si="11"/>
        <v>222</v>
      </c>
      <c r="J67" s="16">
        <f t="shared" si="11"/>
        <v>222</v>
      </c>
      <c r="K67" s="16">
        <f t="shared" si="9"/>
        <v>200</v>
      </c>
      <c r="L67" s="16">
        <v>75</v>
      </c>
      <c r="M67" s="11">
        <v>100</v>
      </c>
      <c r="N67" s="15">
        <f>K67*1.2</f>
        <v>240</v>
      </c>
      <c r="P67" s="11">
        <f>N67+G67/7</f>
        <v>271.71428571428572</v>
      </c>
    </row>
    <row r="68" spans="1:16">
      <c r="C68" s="16" t="s">
        <v>106</v>
      </c>
      <c r="E68" s="11">
        <v>240</v>
      </c>
      <c r="F68" s="16">
        <f t="shared" si="10"/>
        <v>240</v>
      </c>
      <c r="G68" s="16">
        <f t="shared" si="10"/>
        <v>240</v>
      </c>
      <c r="H68" s="16">
        <f t="shared" si="12"/>
        <v>240</v>
      </c>
      <c r="I68" s="16">
        <f t="shared" si="11"/>
        <v>240</v>
      </c>
      <c r="J68" s="16">
        <f t="shared" si="11"/>
        <v>240</v>
      </c>
      <c r="K68" s="16">
        <f t="shared" si="9"/>
        <v>216</v>
      </c>
      <c r="L68" s="16">
        <v>75</v>
      </c>
      <c r="M68" s="11">
        <v>100</v>
      </c>
      <c r="N68" s="11">
        <f>K68*1.2</f>
        <v>259.2</v>
      </c>
    </row>
    <row r="69" spans="1:16">
      <c r="C69" s="16" t="s">
        <v>385</v>
      </c>
      <c r="E69" s="11">
        <v>150</v>
      </c>
      <c r="F69" s="16">
        <v>150</v>
      </c>
      <c r="G69" s="16">
        <v>250</v>
      </c>
      <c r="H69" s="16">
        <v>150</v>
      </c>
      <c r="I69" s="16">
        <v>150</v>
      </c>
      <c r="J69" s="16">
        <v>150</v>
      </c>
      <c r="K69" s="16">
        <f>E69*0.9</f>
        <v>135</v>
      </c>
      <c r="L69" s="16">
        <v>75</v>
      </c>
    </row>
    <row r="70" spans="1:16">
      <c r="A70" s="11">
        <f>1300/6.67</f>
        <v>194.90254872563719</v>
      </c>
      <c r="C70" s="16" t="s">
        <v>432</v>
      </c>
      <c r="E70" s="11">
        <v>255</v>
      </c>
      <c r="F70" s="16">
        <v>200</v>
      </c>
      <c r="G70" s="16">
        <v>3</v>
      </c>
      <c r="H70" s="16">
        <v>145</v>
      </c>
      <c r="I70" s="16">
        <v>150</v>
      </c>
      <c r="J70" s="16">
        <f>$E70+56+23</f>
        <v>334</v>
      </c>
      <c r="K70" s="16">
        <f>255+64</f>
        <v>319</v>
      </c>
      <c r="L70" s="16">
        <v>75</v>
      </c>
      <c r="M70" s="11">
        <v>140</v>
      </c>
    </row>
    <row r="71" spans="1:16">
      <c r="C71" s="16" t="s">
        <v>222</v>
      </c>
      <c r="F71" s="16">
        <f t="shared" si="10"/>
        <v>0</v>
      </c>
      <c r="G71" s="16">
        <f t="shared" si="10"/>
        <v>0</v>
      </c>
      <c r="H71" s="16">
        <f t="shared" si="12"/>
        <v>0</v>
      </c>
      <c r="I71" s="16">
        <f t="shared" si="11"/>
        <v>0</v>
      </c>
      <c r="J71" s="16">
        <f t="shared" si="11"/>
        <v>0</v>
      </c>
      <c r="K71" s="16">
        <f t="shared" si="9"/>
        <v>0</v>
      </c>
      <c r="L71" s="16">
        <v>75</v>
      </c>
    </row>
    <row r="72" spans="1:16">
      <c r="C72" s="16" t="s">
        <v>223</v>
      </c>
      <c r="F72" s="16">
        <f t="shared" si="10"/>
        <v>0</v>
      </c>
      <c r="G72" s="16">
        <f t="shared" si="10"/>
        <v>0</v>
      </c>
      <c r="H72" s="16">
        <f t="shared" si="12"/>
        <v>0</v>
      </c>
      <c r="I72" s="16">
        <f t="shared" si="11"/>
        <v>0</v>
      </c>
      <c r="J72" s="16">
        <f t="shared" si="11"/>
        <v>0</v>
      </c>
      <c r="K72" s="16">
        <f t="shared" si="9"/>
        <v>0</v>
      </c>
      <c r="L72" s="16">
        <v>75</v>
      </c>
    </row>
    <row r="73" spans="1:16">
      <c r="C73" s="16" t="s">
        <v>214</v>
      </c>
      <c r="F73" s="16">
        <f t="shared" si="10"/>
        <v>0</v>
      </c>
      <c r="G73" s="16">
        <f t="shared" si="10"/>
        <v>0</v>
      </c>
      <c r="H73" s="16">
        <f t="shared" si="12"/>
        <v>0</v>
      </c>
      <c r="I73" s="16">
        <f t="shared" si="11"/>
        <v>0</v>
      </c>
      <c r="J73" s="16">
        <f t="shared" si="11"/>
        <v>0</v>
      </c>
      <c r="K73" s="16">
        <f t="shared" si="9"/>
        <v>0</v>
      </c>
      <c r="L73" s="16">
        <v>75</v>
      </c>
    </row>
    <row r="74" spans="1:16">
      <c r="C74" s="16" t="s">
        <v>224</v>
      </c>
      <c r="F74" s="16">
        <f t="shared" si="10"/>
        <v>0</v>
      </c>
      <c r="G74" s="16">
        <f t="shared" si="10"/>
        <v>0</v>
      </c>
      <c r="H74" s="16">
        <f t="shared" si="12"/>
        <v>0</v>
      </c>
      <c r="I74" s="16">
        <f t="shared" si="11"/>
        <v>0</v>
      </c>
      <c r="J74" s="16">
        <f t="shared" si="11"/>
        <v>0</v>
      </c>
      <c r="K74" s="16">
        <f t="shared" si="9"/>
        <v>0</v>
      </c>
      <c r="L74" s="16">
        <v>75</v>
      </c>
    </row>
    <row r="75" spans="1:16">
      <c r="C75" s="16" t="s">
        <v>225</v>
      </c>
      <c r="F75" s="16">
        <f t="shared" si="10"/>
        <v>0</v>
      </c>
      <c r="G75" s="16">
        <f t="shared" si="10"/>
        <v>0</v>
      </c>
      <c r="H75" s="16">
        <f t="shared" si="12"/>
        <v>0</v>
      </c>
      <c r="I75" s="16">
        <f t="shared" si="11"/>
        <v>0</v>
      </c>
      <c r="J75" s="16">
        <f t="shared" si="11"/>
        <v>0</v>
      </c>
      <c r="K75" s="16">
        <f t="shared" si="9"/>
        <v>0</v>
      </c>
      <c r="L75" s="16">
        <v>75</v>
      </c>
    </row>
    <row r="76" spans="1:16">
      <c r="C76" s="16" t="s">
        <v>226</v>
      </c>
      <c r="F76" s="16">
        <f t="shared" si="10"/>
        <v>0</v>
      </c>
      <c r="G76" s="16">
        <f t="shared" si="10"/>
        <v>0</v>
      </c>
      <c r="H76" s="16">
        <f t="shared" si="12"/>
        <v>0</v>
      </c>
      <c r="I76" s="16">
        <f t="shared" si="11"/>
        <v>0</v>
      </c>
      <c r="J76" s="16">
        <f t="shared" si="11"/>
        <v>0</v>
      </c>
      <c r="K76" s="16">
        <f t="shared" si="9"/>
        <v>0</v>
      </c>
      <c r="L76" s="16">
        <v>75</v>
      </c>
    </row>
    <row r="77" spans="1:16">
      <c r="C77" s="16" t="s">
        <v>227</v>
      </c>
      <c r="F77" s="16">
        <f t="shared" si="10"/>
        <v>0</v>
      </c>
      <c r="G77" s="16">
        <f t="shared" si="10"/>
        <v>0</v>
      </c>
      <c r="H77" s="16">
        <f t="shared" si="12"/>
        <v>0</v>
      </c>
      <c r="I77" s="16">
        <f t="shared" si="11"/>
        <v>0</v>
      </c>
      <c r="J77" s="16">
        <f t="shared" si="11"/>
        <v>0</v>
      </c>
      <c r="K77" s="16">
        <f t="shared" si="9"/>
        <v>0</v>
      </c>
      <c r="L77" s="16">
        <v>75</v>
      </c>
    </row>
    <row r="78" spans="1:16">
      <c r="C78" s="16" t="s">
        <v>228</v>
      </c>
      <c r="F78" s="16">
        <f t="shared" si="10"/>
        <v>0</v>
      </c>
      <c r="G78" s="16">
        <f t="shared" si="10"/>
        <v>0</v>
      </c>
      <c r="H78" s="16">
        <f t="shared" si="12"/>
        <v>0</v>
      </c>
      <c r="I78" s="16">
        <f t="shared" si="11"/>
        <v>0</v>
      </c>
      <c r="J78" s="16">
        <f t="shared" si="11"/>
        <v>0</v>
      </c>
      <c r="K78" s="16">
        <f t="shared" si="9"/>
        <v>0</v>
      </c>
      <c r="L78" s="16">
        <v>75</v>
      </c>
    </row>
    <row r="79" spans="1:16">
      <c r="C79" s="16" t="s">
        <v>229</v>
      </c>
      <c r="F79" s="16">
        <f t="shared" si="10"/>
        <v>0</v>
      </c>
      <c r="G79" s="16">
        <f t="shared" si="10"/>
        <v>0</v>
      </c>
      <c r="H79" s="16">
        <f t="shared" si="12"/>
        <v>0</v>
      </c>
      <c r="I79" s="16">
        <f t="shared" si="11"/>
        <v>0</v>
      </c>
      <c r="J79" s="16">
        <f t="shared" si="11"/>
        <v>0</v>
      </c>
      <c r="K79" s="16">
        <f t="shared" si="9"/>
        <v>0</v>
      </c>
      <c r="L79" s="16">
        <v>75</v>
      </c>
    </row>
    <row r="80" spans="1:16">
      <c r="C80" s="16" t="s">
        <v>230</v>
      </c>
      <c r="F80" s="16">
        <f t="shared" si="10"/>
        <v>0</v>
      </c>
      <c r="G80" s="16">
        <f t="shared" si="10"/>
        <v>0</v>
      </c>
      <c r="H80" s="16">
        <f t="shared" si="12"/>
        <v>0</v>
      </c>
      <c r="I80" s="16">
        <f t="shared" si="11"/>
        <v>0</v>
      </c>
      <c r="J80" s="16">
        <f t="shared" si="11"/>
        <v>0</v>
      </c>
      <c r="K80" s="16">
        <f t="shared" si="9"/>
        <v>0</v>
      </c>
      <c r="L80" s="16">
        <v>75</v>
      </c>
    </row>
    <row r="81" spans="3:16">
      <c r="C81" s="16" t="s">
        <v>231</v>
      </c>
      <c r="F81" s="16">
        <f t="shared" si="10"/>
        <v>0</v>
      </c>
      <c r="G81" s="16">
        <f t="shared" si="10"/>
        <v>0</v>
      </c>
      <c r="H81" s="16">
        <f t="shared" si="12"/>
        <v>0</v>
      </c>
      <c r="I81" s="16">
        <f t="shared" si="11"/>
        <v>0</v>
      </c>
      <c r="J81" s="16">
        <f t="shared" si="11"/>
        <v>0</v>
      </c>
      <c r="K81" s="16">
        <f t="shared" si="9"/>
        <v>0</v>
      </c>
      <c r="L81" s="16">
        <v>75</v>
      </c>
    </row>
    <row r="82" spans="3:16">
      <c r="C82" s="16" t="s">
        <v>232</v>
      </c>
      <c r="F82" s="16">
        <f t="shared" ref="F82:G100" si="13">$E82</f>
        <v>0</v>
      </c>
      <c r="G82" s="16">
        <f t="shared" si="13"/>
        <v>0</v>
      </c>
      <c r="H82" s="16">
        <f t="shared" si="12"/>
        <v>0</v>
      </c>
      <c r="I82" s="16">
        <f t="shared" si="11"/>
        <v>0</v>
      </c>
      <c r="J82" s="16">
        <f t="shared" si="11"/>
        <v>0</v>
      </c>
      <c r="K82" s="16">
        <f t="shared" si="9"/>
        <v>0</v>
      </c>
      <c r="L82" s="16">
        <v>75</v>
      </c>
    </row>
    <row r="83" spans="3:16">
      <c r="C83" s="16" t="s">
        <v>233</v>
      </c>
      <c r="F83" s="16">
        <f t="shared" si="13"/>
        <v>0</v>
      </c>
      <c r="G83" s="16">
        <f t="shared" si="13"/>
        <v>0</v>
      </c>
      <c r="H83" s="16">
        <f t="shared" si="12"/>
        <v>0</v>
      </c>
      <c r="I83" s="16">
        <f t="shared" si="11"/>
        <v>0</v>
      </c>
      <c r="J83" s="16">
        <f t="shared" si="11"/>
        <v>0</v>
      </c>
      <c r="K83" s="16">
        <f t="shared" si="9"/>
        <v>0</v>
      </c>
      <c r="L83" s="16">
        <v>75</v>
      </c>
    </row>
    <row r="84" spans="3:16">
      <c r="C84" s="16" t="s">
        <v>215</v>
      </c>
      <c r="F84" s="16">
        <f t="shared" si="13"/>
        <v>0</v>
      </c>
      <c r="G84" s="16">
        <f t="shared" si="13"/>
        <v>0</v>
      </c>
      <c r="H84" s="16">
        <f t="shared" si="12"/>
        <v>0</v>
      </c>
      <c r="I84" s="16">
        <f t="shared" si="11"/>
        <v>0</v>
      </c>
      <c r="J84" s="16">
        <f t="shared" si="11"/>
        <v>0</v>
      </c>
      <c r="K84" s="16">
        <f t="shared" si="9"/>
        <v>0</v>
      </c>
      <c r="L84" s="16">
        <v>75</v>
      </c>
      <c r="O84" s="16"/>
      <c r="P84" s="16"/>
    </row>
    <row r="85" spans="3:16">
      <c r="C85" s="16" t="s">
        <v>234</v>
      </c>
      <c r="F85" s="16">
        <f t="shared" si="13"/>
        <v>0</v>
      </c>
      <c r="G85" s="16">
        <f t="shared" si="13"/>
        <v>0</v>
      </c>
      <c r="H85" s="16">
        <f t="shared" si="12"/>
        <v>0</v>
      </c>
      <c r="I85" s="16">
        <f t="shared" si="11"/>
        <v>0</v>
      </c>
      <c r="J85" s="16">
        <f t="shared" si="11"/>
        <v>0</v>
      </c>
      <c r="K85" s="16">
        <f t="shared" si="9"/>
        <v>0</v>
      </c>
      <c r="L85" s="16">
        <v>75</v>
      </c>
    </row>
    <row r="86" spans="3:16">
      <c r="C86" s="16" t="s">
        <v>235</v>
      </c>
      <c r="F86" s="16">
        <f t="shared" si="13"/>
        <v>0</v>
      </c>
      <c r="G86" s="16">
        <f t="shared" si="13"/>
        <v>0</v>
      </c>
      <c r="H86" s="16">
        <f t="shared" si="12"/>
        <v>0</v>
      </c>
      <c r="I86" s="16">
        <f t="shared" ref="I86:J100" si="14">$E86</f>
        <v>0</v>
      </c>
      <c r="J86" s="16">
        <f t="shared" si="14"/>
        <v>0</v>
      </c>
      <c r="K86" s="16">
        <f t="shared" ref="K86:K100" si="15">ROUND($E86*0.9,0)</f>
        <v>0</v>
      </c>
      <c r="L86" s="16">
        <v>75</v>
      </c>
    </row>
    <row r="87" spans="3:16">
      <c r="C87" s="16" t="s">
        <v>236</v>
      </c>
      <c r="F87" s="16">
        <f t="shared" si="13"/>
        <v>0</v>
      </c>
      <c r="G87" s="16">
        <f t="shared" si="13"/>
        <v>0</v>
      </c>
      <c r="H87" s="16">
        <f t="shared" si="12"/>
        <v>0</v>
      </c>
      <c r="I87" s="16">
        <f t="shared" si="14"/>
        <v>0</v>
      </c>
      <c r="J87" s="16">
        <f t="shared" si="14"/>
        <v>0</v>
      </c>
      <c r="K87" s="16">
        <f t="shared" si="15"/>
        <v>0</v>
      </c>
      <c r="L87" s="16">
        <v>75</v>
      </c>
    </row>
    <row r="88" spans="3:16">
      <c r="C88" s="16" t="s">
        <v>237</v>
      </c>
      <c r="F88" s="16">
        <f t="shared" si="13"/>
        <v>0</v>
      </c>
      <c r="G88" s="16">
        <f t="shared" si="13"/>
        <v>0</v>
      </c>
      <c r="H88" s="16">
        <f t="shared" si="12"/>
        <v>0</v>
      </c>
      <c r="I88" s="16">
        <f t="shared" si="14"/>
        <v>0</v>
      </c>
      <c r="J88" s="16">
        <f t="shared" si="14"/>
        <v>0</v>
      </c>
      <c r="K88" s="16">
        <f t="shared" si="15"/>
        <v>0</v>
      </c>
      <c r="L88" s="16">
        <v>75</v>
      </c>
    </row>
    <row r="89" spans="3:16">
      <c r="C89" s="16" t="s">
        <v>238</v>
      </c>
      <c r="F89" s="16">
        <f t="shared" si="13"/>
        <v>0</v>
      </c>
      <c r="G89" s="16">
        <f t="shared" si="13"/>
        <v>0</v>
      </c>
      <c r="H89" s="16">
        <f t="shared" si="12"/>
        <v>0</v>
      </c>
      <c r="I89" s="16">
        <f t="shared" si="14"/>
        <v>0</v>
      </c>
      <c r="J89" s="16">
        <f t="shared" si="14"/>
        <v>0</v>
      </c>
      <c r="K89" s="16">
        <f t="shared" si="15"/>
        <v>0</v>
      </c>
      <c r="L89" s="16">
        <v>75</v>
      </c>
    </row>
    <row r="90" spans="3:16">
      <c r="C90" s="16" t="s">
        <v>239</v>
      </c>
      <c r="F90" s="16">
        <f t="shared" si="13"/>
        <v>0</v>
      </c>
      <c r="G90" s="16">
        <f t="shared" si="13"/>
        <v>0</v>
      </c>
      <c r="H90" s="16">
        <f t="shared" si="12"/>
        <v>0</v>
      </c>
      <c r="I90" s="16">
        <f t="shared" si="14"/>
        <v>0</v>
      </c>
      <c r="J90" s="16">
        <f t="shared" si="14"/>
        <v>0</v>
      </c>
      <c r="K90" s="16">
        <f t="shared" si="15"/>
        <v>0</v>
      </c>
      <c r="L90" s="16">
        <v>75</v>
      </c>
    </row>
    <row r="91" spans="3:16">
      <c r="C91" s="16" t="s">
        <v>240</v>
      </c>
      <c r="F91" s="16">
        <f t="shared" si="13"/>
        <v>0</v>
      </c>
      <c r="G91" s="16">
        <f t="shared" si="13"/>
        <v>0</v>
      </c>
      <c r="H91" s="16">
        <f t="shared" si="12"/>
        <v>0</v>
      </c>
      <c r="I91" s="16">
        <f t="shared" si="14"/>
        <v>0</v>
      </c>
      <c r="J91" s="16">
        <f t="shared" si="14"/>
        <v>0</v>
      </c>
      <c r="K91" s="16">
        <f t="shared" si="15"/>
        <v>0</v>
      </c>
      <c r="L91" s="16">
        <v>75</v>
      </c>
    </row>
    <row r="92" spans="3:16">
      <c r="C92" s="16" t="s">
        <v>241</v>
      </c>
      <c r="F92" s="16">
        <f t="shared" si="13"/>
        <v>0</v>
      </c>
      <c r="G92" s="16">
        <f t="shared" si="13"/>
        <v>0</v>
      </c>
      <c r="H92" s="16">
        <f t="shared" si="12"/>
        <v>0</v>
      </c>
      <c r="I92" s="16">
        <f t="shared" si="14"/>
        <v>0</v>
      </c>
      <c r="J92" s="16">
        <f t="shared" si="14"/>
        <v>0</v>
      </c>
      <c r="K92" s="16">
        <f t="shared" si="15"/>
        <v>0</v>
      </c>
      <c r="L92" s="16">
        <v>75</v>
      </c>
    </row>
    <row r="93" spans="3:16">
      <c r="C93" s="16" t="s">
        <v>242</v>
      </c>
      <c r="F93" s="16">
        <f t="shared" si="13"/>
        <v>0</v>
      </c>
      <c r="G93" s="16">
        <f t="shared" si="13"/>
        <v>0</v>
      </c>
      <c r="H93" s="16">
        <f t="shared" si="12"/>
        <v>0</v>
      </c>
      <c r="I93" s="16">
        <f t="shared" si="14"/>
        <v>0</v>
      </c>
      <c r="J93" s="16">
        <f t="shared" si="14"/>
        <v>0</v>
      </c>
      <c r="K93" s="16">
        <f t="shared" si="15"/>
        <v>0</v>
      </c>
      <c r="L93" s="16">
        <v>75</v>
      </c>
    </row>
    <row r="94" spans="3:16">
      <c r="C94" s="16" t="s">
        <v>243</v>
      </c>
      <c r="F94" s="16">
        <f t="shared" si="13"/>
        <v>0</v>
      </c>
      <c r="G94" s="16">
        <f t="shared" si="13"/>
        <v>0</v>
      </c>
      <c r="H94" s="16">
        <f t="shared" si="12"/>
        <v>0</v>
      </c>
      <c r="I94" s="16">
        <f t="shared" si="14"/>
        <v>0</v>
      </c>
      <c r="J94" s="16">
        <f t="shared" si="14"/>
        <v>0</v>
      </c>
      <c r="K94" s="16">
        <f t="shared" si="15"/>
        <v>0</v>
      </c>
      <c r="L94" s="16">
        <v>75</v>
      </c>
    </row>
    <row r="95" spans="3:16">
      <c r="C95" s="16" t="s">
        <v>216</v>
      </c>
      <c r="F95" s="16">
        <f t="shared" si="13"/>
        <v>0</v>
      </c>
      <c r="G95" s="16">
        <f t="shared" si="13"/>
        <v>0</v>
      </c>
      <c r="H95" s="16">
        <f t="shared" si="12"/>
        <v>0</v>
      </c>
      <c r="I95" s="16">
        <f t="shared" si="14"/>
        <v>0</v>
      </c>
      <c r="J95" s="16">
        <f t="shared" si="14"/>
        <v>0</v>
      </c>
      <c r="K95" s="16">
        <f t="shared" si="15"/>
        <v>0</v>
      </c>
      <c r="L95" s="16">
        <v>75</v>
      </c>
    </row>
    <row r="96" spans="3:16">
      <c r="C96" s="16" t="s">
        <v>217</v>
      </c>
      <c r="F96" s="16">
        <f t="shared" si="13"/>
        <v>0</v>
      </c>
      <c r="G96" s="16">
        <f t="shared" si="13"/>
        <v>0</v>
      </c>
      <c r="H96" s="16">
        <f t="shared" si="12"/>
        <v>0</v>
      </c>
      <c r="I96" s="16">
        <f t="shared" si="14"/>
        <v>0</v>
      </c>
      <c r="J96" s="16">
        <f t="shared" si="14"/>
        <v>0</v>
      </c>
      <c r="K96" s="16">
        <f t="shared" si="15"/>
        <v>0</v>
      </c>
      <c r="L96" s="16">
        <v>75</v>
      </c>
    </row>
    <row r="97" spans="3:12">
      <c r="C97" s="16" t="s">
        <v>218</v>
      </c>
      <c r="F97" s="16">
        <f t="shared" si="13"/>
        <v>0</v>
      </c>
      <c r="G97" s="16">
        <f t="shared" si="13"/>
        <v>0</v>
      </c>
      <c r="H97" s="16">
        <f t="shared" si="12"/>
        <v>0</v>
      </c>
      <c r="I97" s="16">
        <f t="shared" si="14"/>
        <v>0</v>
      </c>
      <c r="J97" s="16">
        <f t="shared" si="14"/>
        <v>0</v>
      </c>
      <c r="K97" s="16">
        <f t="shared" si="15"/>
        <v>0</v>
      </c>
      <c r="L97" s="16">
        <v>75</v>
      </c>
    </row>
    <row r="98" spans="3:12">
      <c r="C98" s="16" t="s">
        <v>219</v>
      </c>
      <c r="F98" s="16">
        <f t="shared" si="13"/>
        <v>0</v>
      </c>
      <c r="G98" s="16">
        <f t="shared" si="13"/>
        <v>0</v>
      </c>
      <c r="H98" s="16">
        <f t="shared" si="12"/>
        <v>0</v>
      </c>
      <c r="I98" s="16">
        <f t="shared" si="14"/>
        <v>0</v>
      </c>
      <c r="J98" s="16">
        <f t="shared" si="14"/>
        <v>0</v>
      </c>
      <c r="K98" s="16">
        <f t="shared" si="15"/>
        <v>0</v>
      </c>
      <c r="L98" s="16">
        <v>75</v>
      </c>
    </row>
    <row r="99" spans="3:12">
      <c r="C99" s="16" t="s">
        <v>220</v>
      </c>
      <c r="F99" s="16">
        <f t="shared" si="13"/>
        <v>0</v>
      </c>
      <c r="G99" s="16">
        <f t="shared" si="13"/>
        <v>0</v>
      </c>
      <c r="H99" s="16">
        <f t="shared" si="12"/>
        <v>0</v>
      </c>
      <c r="I99" s="16">
        <f t="shared" si="14"/>
        <v>0</v>
      </c>
      <c r="J99" s="16">
        <f t="shared" si="14"/>
        <v>0</v>
      </c>
      <c r="K99" s="16">
        <f t="shared" si="15"/>
        <v>0</v>
      </c>
      <c r="L99" s="16">
        <v>75</v>
      </c>
    </row>
    <row r="100" spans="3:12">
      <c r="C100" s="16" t="s">
        <v>221</v>
      </c>
      <c r="F100" s="16">
        <f t="shared" si="13"/>
        <v>0</v>
      </c>
      <c r="G100" s="16">
        <f t="shared" si="13"/>
        <v>0</v>
      </c>
      <c r="H100" s="16">
        <f t="shared" si="12"/>
        <v>0</v>
      </c>
      <c r="I100" s="16">
        <f t="shared" si="14"/>
        <v>0</v>
      </c>
      <c r="J100" s="16">
        <f t="shared" si="14"/>
        <v>0</v>
      </c>
      <c r="K100" s="16">
        <f t="shared" si="15"/>
        <v>0</v>
      </c>
      <c r="L100" s="16">
        <v>75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opLeftCell="A6" workbookViewId="0">
      <selection activeCell="E15" sqref="E15"/>
    </sheetView>
  </sheetViews>
  <sheetFormatPr defaultRowHeight="13.5"/>
  <cols>
    <col min="2" max="2" width="14.75" customWidth="1"/>
    <col min="3" max="3" width="12" customWidth="1"/>
    <col min="4" max="4" width="11.75" customWidth="1"/>
    <col min="7" max="7" width="9" customWidth="1"/>
    <col min="8" max="8" width="14.125" customWidth="1"/>
    <col min="9" max="9" width="13.5" customWidth="1"/>
    <col min="10" max="10" width="10.75" customWidth="1"/>
  </cols>
  <sheetData>
    <row r="1" spans="2:10" ht="14.25" thickBot="1">
      <c r="B1" s="16" t="str">
        <f>VLOOKUP(H1,B4:G55,2,FALSE)</f>
        <v>I</v>
      </c>
      <c r="C1" s="16">
        <f>VLOOKUP(H1,B4:G55,6,FALSE)</f>
        <v>1.65</v>
      </c>
      <c r="D1" s="16"/>
      <c r="E1" s="16"/>
      <c r="F1" s="16"/>
      <c r="G1" s="16"/>
      <c r="H1" s="16" t="str">
        <f>TOP!B16</f>
        <v>黒霧</v>
      </c>
      <c r="I1" s="16"/>
    </row>
    <row r="2" spans="2:10">
      <c r="B2" s="137" t="s">
        <v>16</v>
      </c>
      <c r="C2" s="138"/>
      <c r="D2" s="138"/>
      <c r="E2" s="138"/>
      <c r="F2" s="139"/>
      <c r="G2" s="16"/>
      <c r="H2" s="16"/>
      <c r="I2" s="16"/>
    </row>
    <row r="3" spans="2:10">
      <c r="B3" s="4" t="s">
        <v>11</v>
      </c>
      <c r="C3" s="5" t="s">
        <v>12</v>
      </c>
      <c r="D3" s="5" t="s">
        <v>13</v>
      </c>
      <c r="E3" s="5" t="s">
        <v>14</v>
      </c>
      <c r="F3" s="6" t="s">
        <v>15</v>
      </c>
      <c r="G3" s="10" t="s">
        <v>152</v>
      </c>
      <c r="H3" s="10" t="s">
        <v>354</v>
      </c>
      <c r="I3" s="10" t="s">
        <v>358</v>
      </c>
      <c r="J3" s="10" t="s">
        <v>548</v>
      </c>
    </row>
    <row r="4" spans="2:10">
      <c r="B4" s="16" t="s">
        <v>499</v>
      </c>
      <c r="C4" s="16" t="s">
        <v>500</v>
      </c>
      <c r="D4" s="16">
        <v>0.39</v>
      </c>
      <c r="E4" s="16">
        <v>10</v>
      </c>
      <c r="F4" s="16">
        <v>85</v>
      </c>
      <c r="G4" s="16">
        <v>2.2999999999999998</v>
      </c>
      <c r="H4" s="16">
        <v>8</v>
      </c>
      <c r="I4" s="16">
        <v>2</v>
      </c>
      <c r="J4" t="s">
        <v>556</v>
      </c>
    </row>
    <row r="5" spans="2:10">
      <c r="B5" s="16" t="s">
        <v>140</v>
      </c>
      <c r="C5" s="16" t="s">
        <v>143</v>
      </c>
      <c r="D5" s="16">
        <v>2.78</v>
      </c>
      <c r="E5" s="16">
        <v>1</v>
      </c>
      <c r="F5" s="16">
        <v>70</v>
      </c>
      <c r="G5" s="16">
        <v>4.5</v>
      </c>
      <c r="H5" s="16">
        <v>8</v>
      </c>
      <c r="I5" s="16">
        <v>2</v>
      </c>
      <c r="J5" t="s">
        <v>556</v>
      </c>
    </row>
    <row r="6" spans="2:10">
      <c r="B6" s="16" t="s">
        <v>139</v>
      </c>
      <c r="C6" s="16" t="s">
        <v>143</v>
      </c>
      <c r="D6" s="16">
        <v>3</v>
      </c>
      <c r="E6" s="16">
        <v>1</v>
      </c>
      <c r="F6" s="16">
        <v>65</v>
      </c>
      <c r="G6" s="16">
        <v>4.7</v>
      </c>
      <c r="H6" s="16">
        <v>10</v>
      </c>
      <c r="I6" s="16">
        <v>2</v>
      </c>
      <c r="J6" t="s">
        <v>556</v>
      </c>
    </row>
    <row r="7" spans="2:10">
      <c r="B7" s="16" t="s">
        <v>264</v>
      </c>
      <c r="C7" s="16" t="s">
        <v>265</v>
      </c>
      <c r="D7" s="16">
        <v>1.79</v>
      </c>
      <c r="E7" s="16">
        <v>10</v>
      </c>
      <c r="F7" s="16">
        <v>80</v>
      </c>
      <c r="G7" s="16">
        <v>1.8</v>
      </c>
      <c r="H7" s="16">
        <v>12</v>
      </c>
      <c r="I7" s="16">
        <v>2</v>
      </c>
      <c r="J7" t="s">
        <v>554</v>
      </c>
    </row>
    <row r="8" spans="2:10">
      <c r="B8" s="16" t="s">
        <v>281</v>
      </c>
      <c r="C8" s="16" t="s">
        <v>282</v>
      </c>
      <c r="D8" s="16">
        <v>0.7</v>
      </c>
      <c r="E8" s="16">
        <v>5</v>
      </c>
      <c r="F8" s="16">
        <v>75</v>
      </c>
      <c r="G8" s="16">
        <v>1.65</v>
      </c>
      <c r="H8" s="16">
        <v>7</v>
      </c>
      <c r="I8" s="16">
        <v>2</v>
      </c>
      <c r="J8" t="s">
        <v>554</v>
      </c>
    </row>
    <row r="9" spans="2:10">
      <c r="B9" s="16" t="s">
        <v>162</v>
      </c>
      <c r="C9" s="16" t="s">
        <v>156</v>
      </c>
      <c r="D9" s="16">
        <f>0.72</f>
        <v>0.72</v>
      </c>
      <c r="E9" s="16">
        <v>5</v>
      </c>
      <c r="F9" s="16">
        <v>74</v>
      </c>
      <c r="G9" s="16">
        <v>1.8</v>
      </c>
      <c r="H9" s="16">
        <v>7</v>
      </c>
      <c r="I9" s="16">
        <v>2.5</v>
      </c>
      <c r="J9" t="s">
        <v>554</v>
      </c>
    </row>
    <row r="10" spans="2:10">
      <c r="B10" s="16" t="s">
        <v>161</v>
      </c>
      <c r="C10" s="16" t="s">
        <v>156</v>
      </c>
      <c r="D10" s="16">
        <f>1.14</f>
        <v>1.1399999999999999</v>
      </c>
      <c r="E10" s="16">
        <v>6</v>
      </c>
      <c r="F10" s="16">
        <v>76</v>
      </c>
      <c r="G10" s="16">
        <v>0.8</v>
      </c>
      <c r="H10" s="16">
        <v>6</v>
      </c>
      <c r="I10" s="16">
        <v>2.5</v>
      </c>
      <c r="J10" t="s">
        <v>554</v>
      </c>
    </row>
    <row r="11" spans="2:10">
      <c r="B11" s="16" t="s">
        <v>36</v>
      </c>
      <c r="C11" s="16" t="s">
        <v>37</v>
      </c>
      <c r="D11" s="16">
        <v>1.9</v>
      </c>
      <c r="E11" s="16">
        <v>2</v>
      </c>
      <c r="F11" s="16">
        <v>75</v>
      </c>
      <c r="G11" s="16">
        <v>0.1</v>
      </c>
      <c r="H11" s="16">
        <v>6</v>
      </c>
      <c r="I11" s="16">
        <v>2</v>
      </c>
      <c r="J11" t="s">
        <v>554</v>
      </c>
    </row>
    <row r="12" spans="2:10">
      <c r="B12" s="16" t="s">
        <v>331</v>
      </c>
      <c r="C12" s="16" t="s">
        <v>332</v>
      </c>
      <c r="D12" s="16">
        <v>1.35</v>
      </c>
      <c r="E12" s="16">
        <v>8</v>
      </c>
      <c r="F12" s="16">
        <v>75</v>
      </c>
      <c r="G12" s="16">
        <v>1.42</v>
      </c>
      <c r="H12" s="16">
        <v>13</v>
      </c>
      <c r="I12" s="16">
        <v>2</v>
      </c>
      <c r="J12" t="s">
        <v>553</v>
      </c>
    </row>
    <row r="13" spans="2:10">
      <c r="B13" s="16" t="s">
        <v>134</v>
      </c>
      <c r="C13" s="16" t="s">
        <v>143</v>
      </c>
      <c r="D13" s="16">
        <v>1.18</v>
      </c>
      <c r="E13" s="16">
        <v>10</v>
      </c>
      <c r="F13" s="16">
        <v>84</v>
      </c>
      <c r="G13" s="16"/>
      <c r="H13" s="16">
        <v>5</v>
      </c>
      <c r="I13" s="16">
        <v>1.5</v>
      </c>
      <c r="J13" t="s">
        <v>553</v>
      </c>
    </row>
    <row r="14" spans="2:10">
      <c r="B14" s="16" t="s">
        <v>336</v>
      </c>
      <c r="C14" s="16" t="s">
        <v>337</v>
      </c>
      <c r="D14" s="16">
        <v>2.58</v>
      </c>
      <c r="E14" s="16">
        <v>2</v>
      </c>
      <c r="F14" s="16">
        <v>85</v>
      </c>
      <c r="G14" s="16">
        <v>1.4</v>
      </c>
      <c r="H14" s="16">
        <v>10</v>
      </c>
      <c r="I14" s="16">
        <v>2</v>
      </c>
      <c r="J14" t="s">
        <v>553</v>
      </c>
    </row>
    <row r="15" spans="2:10">
      <c r="B15" s="16" t="s">
        <v>416</v>
      </c>
      <c r="C15" s="16" t="s">
        <v>143</v>
      </c>
      <c r="D15" s="16">
        <v>2.46</v>
      </c>
      <c r="E15" s="16">
        <v>2</v>
      </c>
      <c r="F15" s="16">
        <v>82</v>
      </c>
      <c r="G15" s="16">
        <v>1.68</v>
      </c>
      <c r="H15" s="16">
        <v>10</v>
      </c>
      <c r="I15" s="16">
        <v>2</v>
      </c>
      <c r="J15" t="s">
        <v>553</v>
      </c>
    </row>
    <row r="16" spans="2:10">
      <c r="B16" s="16" t="s">
        <v>135</v>
      </c>
      <c r="C16" s="16" t="s">
        <v>143</v>
      </c>
      <c r="D16" s="16">
        <v>1.1299999999999999</v>
      </c>
      <c r="E16" s="16">
        <v>10</v>
      </c>
      <c r="F16" s="16">
        <v>95</v>
      </c>
      <c r="G16" s="16">
        <v>1.58</v>
      </c>
      <c r="H16" s="16">
        <v>5</v>
      </c>
      <c r="I16" s="16">
        <v>1.5</v>
      </c>
      <c r="J16" t="s">
        <v>553</v>
      </c>
    </row>
    <row r="17" spans="2:10">
      <c r="B17" s="16" t="s">
        <v>138</v>
      </c>
      <c r="C17" s="16" t="s">
        <v>143</v>
      </c>
      <c r="D17" s="16">
        <v>1.37</v>
      </c>
      <c r="E17" s="16">
        <v>8</v>
      </c>
      <c r="F17" s="16">
        <v>82</v>
      </c>
      <c r="G17" s="16"/>
      <c r="H17" s="16">
        <v>12</v>
      </c>
      <c r="I17" s="16">
        <v>2</v>
      </c>
      <c r="J17" t="s">
        <v>553</v>
      </c>
    </row>
    <row r="18" spans="2:10">
      <c r="B18" s="16" t="s">
        <v>136</v>
      </c>
      <c r="C18" s="16" t="s">
        <v>143</v>
      </c>
      <c r="D18" s="16">
        <v>1.08</v>
      </c>
      <c r="E18" s="16">
        <v>10</v>
      </c>
      <c r="F18" s="16">
        <v>90</v>
      </c>
      <c r="G18" s="16"/>
      <c r="H18" s="16">
        <v>4</v>
      </c>
      <c r="I18" s="16">
        <v>1.5</v>
      </c>
      <c r="J18" t="s">
        <v>553</v>
      </c>
    </row>
    <row r="19" spans="2:10">
      <c r="B19" s="16" t="s">
        <v>137</v>
      </c>
      <c r="C19" s="16" t="s">
        <v>143</v>
      </c>
      <c r="D19" s="16">
        <v>1.45</v>
      </c>
      <c r="E19" s="16">
        <v>8</v>
      </c>
      <c r="F19" s="16">
        <v>78</v>
      </c>
      <c r="G19" s="16">
        <v>1.7</v>
      </c>
      <c r="H19" s="16">
        <v>13</v>
      </c>
      <c r="I19" s="16">
        <v>2</v>
      </c>
      <c r="J19" t="s">
        <v>553</v>
      </c>
    </row>
    <row r="20" spans="2:10">
      <c r="B20" s="16" t="s">
        <v>330</v>
      </c>
      <c r="C20" s="16" t="s">
        <v>332</v>
      </c>
      <c r="D20" s="16">
        <v>2.36</v>
      </c>
      <c r="E20" s="16">
        <v>2</v>
      </c>
      <c r="F20" s="16">
        <v>79</v>
      </c>
      <c r="G20" s="16">
        <v>1.58</v>
      </c>
      <c r="H20" s="16">
        <v>10</v>
      </c>
      <c r="I20" s="16">
        <v>2</v>
      </c>
      <c r="J20" t="s">
        <v>553</v>
      </c>
    </row>
    <row r="21" spans="2:10">
      <c r="B21" s="16" t="s">
        <v>160</v>
      </c>
      <c r="C21" s="16" t="s">
        <v>155</v>
      </c>
      <c r="D21" s="16">
        <v>1.3</v>
      </c>
      <c r="E21" s="16">
        <v>10</v>
      </c>
      <c r="F21" s="16">
        <v>65</v>
      </c>
      <c r="G21" s="16">
        <v>1.5</v>
      </c>
      <c r="H21" s="16">
        <v>15</v>
      </c>
      <c r="I21" s="16">
        <v>2</v>
      </c>
      <c r="J21" t="s">
        <v>553</v>
      </c>
    </row>
    <row r="22" spans="2:10">
      <c r="B22" s="16" t="s">
        <v>159</v>
      </c>
      <c r="C22" s="16" t="s">
        <v>155</v>
      </c>
      <c r="D22" s="16">
        <v>1.1299999999999999</v>
      </c>
      <c r="E22" s="16">
        <v>10</v>
      </c>
      <c r="F22" s="16">
        <v>80</v>
      </c>
      <c r="G22" s="16">
        <v>1.3</v>
      </c>
      <c r="H22" s="16">
        <v>6</v>
      </c>
      <c r="I22" s="16">
        <v>2</v>
      </c>
      <c r="J22" t="s">
        <v>558</v>
      </c>
    </row>
    <row r="23" spans="2:10">
      <c r="B23" s="16" t="s">
        <v>158</v>
      </c>
      <c r="C23" s="16" t="s">
        <v>155</v>
      </c>
      <c r="D23" s="16">
        <v>3.4</v>
      </c>
      <c r="E23" s="16">
        <v>1</v>
      </c>
      <c r="F23" s="16">
        <v>85</v>
      </c>
      <c r="G23" s="16">
        <v>1.45</v>
      </c>
      <c r="H23" s="16">
        <v>6</v>
      </c>
      <c r="I23" s="16">
        <v>2.5</v>
      </c>
      <c r="J23" t="s">
        <v>558</v>
      </c>
    </row>
    <row r="24" spans="2:10">
      <c r="B24" s="16" t="s">
        <v>322</v>
      </c>
      <c r="C24" s="16" t="s">
        <v>157</v>
      </c>
      <c r="D24" s="16">
        <v>1.1000000000000001</v>
      </c>
      <c r="E24" s="16">
        <v>4</v>
      </c>
      <c r="F24" s="16">
        <v>85</v>
      </c>
      <c r="G24" s="16">
        <v>1</v>
      </c>
      <c r="H24" s="16"/>
      <c r="I24" s="16">
        <v>2.25</v>
      </c>
      <c r="J24" t="s">
        <v>550</v>
      </c>
    </row>
    <row r="25" spans="2:10">
      <c r="B25" s="16" t="s">
        <v>34</v>
      </c>
      <c r="C25" s="16" t="s">
        <v>38</v>
      </c>
      <c r="D25" s="16">
        <v>4.5</v>
      </c>
      <c r="E25" s="16">
        <v>1</v>
      </c>
      <c r="F25" s="16">
        <v>95</v>
      </c>
      <c r="G25" s="16">
        <v>1.25</v>
      </c>
      <c r="H25" s="16"/>
      <c r="I25" s="16">
        <v>2</v>
      </c>
      <c r="J25" t="s">
        <v>550</v>
      </c>
    </row>
    <row r="26" spans="2:10">
      <c r="B26" s="16" t="s">
        <v>513</v>
      </c>
      <c r="C26" s="16" t="s">
        <v>38</v>
      </c>
      <c r="D26" s="16">
        <v>1.1499999999999999</v>
      </c>
      <c r="E26" s="16">
        <v>4</v>
      </c>
      <c r="F26" s="16">
        <v>78</v>
      </c>
      <c r="G26" s="16">
        <v>1.4</v>
      </c>
      <c r="H26" s="16">
        <v>5</v>
      </c>
      <c r="I26" s="16">
        <v>2</v>
      </c>
      <c r="J26" t="s">
        <v>550</v>
      </c>
    </row>
    <row r="27" spans="2:10">
      <c r="B27" s="16" t="s">
        <v>323</v>
      </c>
      <c r="C27" s="16" t="s">
        <v>324</v>
      </c>
      <c r="D27" s="16">
        <v>1.25</v>
      </c>
      <c r="E27" s="16">
        <v>4</v>
      </c>
      <c r="F27" s="16">
        <v>70</v>
      </c>
      <c r="G27" s="16">
        <v>1.25</v>
      </c>
      <c r="H27" s="16"/>
      <c r="I27" s="16">
        <v>2</v>
      </c>
      <c r="J27" t="s">
        <v>550</v>
      </c>
    </row>
    <row r="28" spans="2:10">
      <c r="B28" s="16" t="s">
        <v>418</v>
      </c>
      <c r="C28" s="16" t="s">
        <v>266</v>
      </c>
      <c r="D28" s="16">
        <v>2.25</v>
      </c>
      <c r="E28" s="16">
        <v>1</v>
      </c>
      <c r="F28" s="16">
        <v>95</v>
      </c>
      <c r="G28" s="16">
        <v>1</v>
      </c>
      <c r="H28" s="16">
        <v>5</v>
      </c>
      <c r="I28" s="16">
        <v>2</v>
      </c>
      <c r="J28" t="s">
        <v>552</v>
      </c>
    </row>
    <row r="29" spans="2:10">
      <c r="B29" s="16" t="s">
        <v>148</v>
      </c>
      <c r="C29" s="16" t="s">
        <v>266</v>
      </c>
      <c r="D29" s="16">
        <v>2.2000000000000002</v>
      </c>
      <c r="E29" s="16">
        <v>3</v>
      </c>
      <c r="F29" s="16">
        <v>77</v>
      </c>
      <c r="G29" s="16">
        <v>1.06</v>
      </c>
      <c r="H29" s="16">
        <v>13</v>
      </c>
      <c r="I29" s="16">
        <v>2</v>
      </c>
      <c r="J29" t="s">
        <v>552</v>
      </c>
    </row>
    <row r="30" spans="2:10">
      <c r="B30" s="16" t="s">
        <v>149</v>
      </c>
      <c r="C30" s="16" t="s">
        <v>266</v>
      </c>
      <c r="D30" s="16">
        <v>1.25</v>
      </c>
      <c r="E30" s="16">
        <v>4</v>
      </c>
      <c r="F30" s="16">
        <v>78</v>
      </c>
      <c r="G30" s="16">
        <v>1.1000000000000001</v>
      </c>
      <c r="H30" s="16">
        <v>5</v>
      </c>
      <c r="I30" s="16">
        <v>2</v>
      </c>
      <c r="J30" t="s">
        <v>552</v>
      </c>
    </row>
    <row r="31" spans="2:10">
      <c r="B31" s="16" t="s">
        <v>393</v>
      </c>
      <c r="C31" s="16" t="s">
        <v>394</v>
      </c>
      <c r="D31" s="16">
        <v>3.9</v>
      </c>
      <c r="E31" s="16">
        <v>1</v>
      </c>
      <c r="F31" s="16">
        <v>75</v>
      </c>
      <c r="G31" s="16">
        <v>2.5</v>
      </c>
      <c r="H31" s="16">
        <v>8</v>
      </c>
      <c r="I31" s="16"/>
      <c r="J31" t="s">
        <v>552</v>
      </c>
    </row>
    <row r="32" spans="2:10">
      <c r="B32" s="16" t="s">
        <v>147</v>
      </c>
      <c r="C32" s="16" t="s">
        <v>155</v>
      </c>
      <c r="D32" s="16">
        <v>2.4</v>
      </c>
      <c r="E32" s="16">
        <v>2</v>
      </c>
      <c r="F32" s="16">
        <v>65</v>
      </c>
      <c r="G32" s="16">
        <v>1.8</v>
      </c>
      <c r="H32" s="16">
        <v>5</v>
      </c>
      <c r="I32" s="16">
        <v>2</v>
      </c>
      <c r="J32" t="s">
        <v>552</v>
      </c>
    </row>
    <row r="33" spans="1:10">
      <c r="B33" s="16" t="s">
        <v>17</v>
      </c>
      <c r="C33" s="16" t="s">
        <v>157</v>
      </c>
      <c r="D33" s="16">
        <v>1.4</v>
      </c>
      <c r="E33" s="16">
        <v>6</v>
      </c>
      <c r="F33" s="16">
        <v>76</v>
      </c>
      <c r="G33" s="16">
        <v>0.8</v>
      </c>
      <c r="H33" s="16">
        <v>6</v>
      </c>
      <c r="I33" s="16">
        <v>2</v>
      </c>
      <c r="J33" t="s">
        <v>551</v>
      </c>
    </row>
    <row r="34" spans="1:10">
      <c r="B34" s="16" t="s">
        <v>35</v>
      </c>
      <c r="C34" s="16" t="s">
        <v>266</v>
      </c>
      <c r="D34" s="16">
        <v>1.8</v>
      </c>
      <c r="E34" s="16">
        <v>5</v>
      </c>
      <c r="F34" s="16">
        <v>75</v>
      </c>
      <c r="G34" s="16">
        <v>1.2</v>
      </c>
      <c r="H34" s="16">
        <v>7</v>
      </c>
      <c r="I34" s="16">
        <v>2.75</v>
      </c>
      <c r="J34" t="s">
        <v>551</v>
      </c>
    </row>
    <row r="35" spans="1:10">
      <c r="A35">
        <f>2.46*1.15</f>
        <v>2.8289999999999997</v>
      </c>
      <c r="B35" s="16" t="s">
        <v>146</v>
      </c>
      <c r="C35" s="16" t="s">
        <v>155</v>
      </c>
      <c r="D35" s="16">
        <v>1.85</v>
      </c>
      <c r="E35" s="16">
        <v>2</v>
      </c>
      <c r="F35" s="16">
        <v>65</v>
      </c>
      <c r="G35" s="16">
        <v>2.4500000000000002</v>
      </c>
      <c r="H35" s="16">
        <v>7</v>
      </c>
      <c r="I35" s="16">
        <v>3</v>
      </c>
      <c r="J35" t="s">
        <v>551</v>
      </c>
    </row>
    <row r="36" spans="1:10">
      <c r="B36" s="16" t="s">
        <v>315</v>
      </c>
      <c r="C36" s="16" t="s">
        <v>316</v>
      </c>
      <c r="D36" s="16">
        <v>1.6</v>
      </c>
      <c r="E36" s="16">
        <v>4</v>
      </c>
      <c r="F36" s="16">
        <v>65</v>
      </c>
      <c r="G36" s="16">
        <v>1</v>
      </c>
      <c r="H36" s="16">
        <v>6</v>
      </c>
      <c r="I36" s="16">
        <v>2</v>
      </c>
      <c r="J36" t="s">
        <v>549</v>
      </c>
    </row>
    <row r="37" spans="1:10">
      <c r="B37" s="16" t="s">
        <v>317</v>
      </c>
      <c r="C37" s="16" t="s">
        <v>318</v>
      </c>
      <c r="D37" s="16">
        <f>1.08*1.2</f>
        <v>1.296</v>
      </c>
      <c r="E37" s="16">
        <v>10</v>
      </c>
      <c r="F37" s="16">
        <v>75</v>
      </c>
      <c r="G37" s="16">
        <v>1</v>
      </c>
      <c r="H37" s="16">
        <v>5</v>
      </c>
      <c r="I37" s="16">
        <v>2</v>
      </c>
      <c r="J37" t="s">
        <v>549</v>
      </c>
    </row>
    <row r="38" spans="1:10">
      <c r="B38" s="16" t="s">
        <v>141</v>
      </c>
      <c r="C38" s="16" t="s">
        <v>143</v>
      </c>
      <c r="D38" s="16">
        <v>1.45</v>
      </c>
      <c r="E38" s="16">
        <v>8</v>
      </c>
      <c r="F38" s="16">
        <v>85</v>
      </c>
      <c r="G38" s="16">
        <v>1.7</v>
      </c>
      <c r="H38" s="16">
        <v>14</v>
      </c>
      <c r="I38" s="16">
        <v>2</v>
      </c>
      <c r="J38" t="s">
        <v>555</v>
      </c>
    </row>
    <row r="39" spans="1:10">
      <c r="B39" s="16" t="s">
        <v>142</v>
      </c>
      <c r="C39" s="16" t="s">
        <v>143</v>
      </c>
      <c r="D39" s="16">
        <v>1.1299999999999999</v>
      </c>
      <c r="E39" s="16">
        <v>10</v>
      </c>
      <c r="F39" s="16">
        <v>95</v>
      </c>
      <c r="G39" s="16">
        <v>1.58</v>
      </c>
      <c r="H39" s="16">
        <v>6</v>
      </c>
      <c r="I39" s="16">
        <v>1.5</v>
      </c>
      <c r="J39" t="s">
        <v>555</v>
      </c>
    </row>
    <row r="40" spans="1:10">
      <c r="B40" s="16" t="s">
        <v>302</v>
      </c>
      <c r="C40" s="16" t="s">
        <v>143</v>
      </c>
      <c r="D40" s="16">
        <v>2.46</v>
      </c>
      <c r="E40" s="16">
        <v>2</v>
      </c>
      <c r="F40" s="16">
        <v>74</v>
      </c>
      <c r="G40" s="16">
        <v>1.6</v>
      </c>
      <c r="H40" s="16">
        <v>10</v>
      </c>
      <c r="I40" s="16">
        <v>2</v>
      </c>
      <c r="J40" t="s">
        <v>555</v>
      </c>
    </row>
    <row r="41" spans="1:10">
      <c r="B41" s="16" t="s">
        <v>293</v>
      </c>
      <c r="C41" s="16" t="s">
        <v>294</v>
      </c>
      <c r="D41" s="16">
        <f>1.33*1.15</f>
        <v>1.5294999999999999</v>
      </c>
      <c r="E41" s="16">
        <v>3</v>
      </c>
      <c r="F41" s="16">
        <v>75</v>
      </c>
      <c r="G41" s="16">
        <v>1.4</v>
      </c>
      <c r="H41" s="16">
        <v>8</v>
      </c>
      <c r="I41" s="16">
        <v>2</v>
      </c>
      <c r="J41" t="s">
        <v>555</v>
      </c>
    </row>
    <row r="42" spans="1:10">
      <c r="B42" s="16" t="s">
        <v>145</v>
      </c>
      <c r="C42" s="16" t="s">
        <v>156</v>
      </c>
      <c r="D42" s="16"/>
      <c r="E42" s="16">
        <v>1</v>
      </c>
      <c r="F42" s="16">
        <v>95</v>
      </c>
      <c r="G42" s="16"/>
      <c r="H42" s="16"/>
      <c r="I42" s="16">
        <v>2</v>
      </c>
      <c r="J42" t="s">
        <v>557</v>
      </c>
    </row>
    <row r="43" spans="1:10">
      <c r="B43" s="16" t="s">
        <v>144</v>
      </c>
      <c r="C43" s="16" t="s">
        <v>155</v>
      </c>
      <c r="D43" s="16">
        <v>4.5</v>
      </c>
      <c r="E43" s="16">
        <v>1</v>
      </c>
      <c r="F43" s="16">
        <v>95</v>
      </c>
      <c r="G43" s="16"/>
      <c r="H43" s="16"/>
      <c r="I43" s="16">
        <v>2</v>
      </c>
      <c r="J43" t="s">
        <v>557</v>
      </c>
    </row>
    <row r="44" spans="1:10">
      <c r="B44" s="16"/>
      <c r="C44" s="16"/>
      <c r="D44" s="62"/>
      <c r="E44" s="16"/>
      <c r="F44" s="16"/>
      <c r="G44" s="16"/>
      <c r="H44" s="16"/>
      <c r="I44" s="16"/>
    </row>
    <row r="45" spans="1:10">
      <c r="B45" s="16"/>
      <c r="C45" s="16"/>
      <c r="D45" s="16"/>
      <c r="E45" s="16"/>
      <c r="F45" s="16"/>
      <c r="G45" s="16"/>
      <c r="H45" s="16"/>
      <c r="I45" s="16"/>
    </row>
    <row r="46" spans="1:10">
      <c r="C46" s="16"/>
    </row>
  </sheetData>
  <sortState ref="B4:J45">
    <sortCondition ref="J4:J45"/>
  </sortState>
  <mergeCells count="1">
    <mergeCell ref="B2:F2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topLeftCell="G1" workbookViewId="0">
      <pane ySplit="2160" topLeftCell="A28" activePane="bottomLeft"/>
      <selection activeCell="G27" sqref="G27"/>
      <selection pane="bottomLeft" activeCell="H38" sqref="H38"/>
    </sheetView>
  </sheetViews>
  <sheetFormatPr defaultRowHeight="13.5"/>
  <cols>
    <col min="2" max="2" width="9.875" customWidth="1"/>
    <col min="3" max="3" width="10.5" bestFit="1" customWidth="1"/>
    <col min="7" max="7" width="13.5" customWidth="1"/>
    <col min="8" max="8" width="13" customWidth="1"/>
    <col min="9" max="9" width="10.25" customWidth="1"/>
    <col min="10" max="10" width="9.875" customWidth="1"/>
  </cols>
  <sheetData>
    <row r="1" spans="1:17" ht="13.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39" t="s">
        <v>256</v>
      </c>
    </row>
    <row r="2" spans="1:17">
      <c r="A2" s="140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2" t="s">
        <v>257</v>
      </c>
    </row>
    <row r="3" spans="1:17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2"/>
    </row>
    <row r="4" spans="1:17">
      <c r="A4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>
      <c r="A5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</row>
    <row r="6" spans="1:17">
      <c r="A6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7">
      <c r="A7" t="s">
        <v>6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7" ht="15.75">
      <c r="A8" t="s">
        <v>7</v>
      </c>
      <c r="B8" s="1"/>
      <c r="C8" s="1"/>
      <c r="D8" s="1"/>
      <c r="E8" s="1"/>
      <c r="F8" s="1"/>
      <c r="G8" s="1"/>
      <c r="H8" s="1"/>
      <c r="I8" s="1"/>
      <c r="J8" s="1"/>
      <c r="K8" s="17" t="s">
        <v>91</v>
      </c>
    </row>
    <row r="9" spans="1:17">
      <c r="A9" t="s">
        <v>8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7">
      <c r="A10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7">
      <c r="A11" t="s">
        <v>10</v>
      </c>
      <c r="B11" s="1"/>
      <c r="C11" s="1"/>
      <c r="D11" s="1"/>
      <c r="E11" s="1"/>
      <c r="F11" s="1"/>
      <c r="G11" s="1"/>
      <c r="H11" s="1">
        <f>65+128*0.06</f>
        <v>72.680000000000007</v>
      </c>
      <c r="I11" s="1"/>
      <c r="J11" s="1"/>
      <c r="K11" s="1"/>
    </row>
    <row r="13" spans="1:17">
      <c r="C13" t="s">
        <v>93</v>
      </c>
      <c r="D13" t="s">
        <v>94</v>
      </c>
      <c r="E13" t="s">
        <v>95</v>
      </c>
      <c r="F13" t="s">
        <v>96</v>
      </c>
      <c r="G13" t="s">
        <v>97</v>
      </c>
      <c r="H13" t="s">
        <v>98</v>
      </c>
      <c r="I13" t="s">
        <v>99</v>
      </c>
      <c r="J13" t="s">
        <v>169</v>
      </c>
    </row>
    <row r="14" spans="1:17">
      <c r="B14" t="s">
        <v>92</v>
      </c>
      <c r="C14" s="16">
        <f>TOP!$F4</f>
        <v>2</v>
      </c>
      <c r="D14" s="16">
        <f>TOP!$F5</f>
        <v>1</v>
      </c>
      <c r="E14" s="16">
        <f>TOP!$F6</f>
        <v>76</v>
      </c>
      <c r="F14" s="16">
        <f>TOP!F7</f>
        <v>58</v>
      </c>
      <c r="G14" s="16">
        <f>TOP!$F8</f>
        <v>186</v>
      </c>
      <c r="H14" s="16">
        <f>TOP!$F9</f>
        <v>239</v>
      </c>
      <c r="I14" s="16">
        <f>TOP!$F10</f>
        <v>170</v>
      </c>
      <c r="J14" s="16"/>
      <c r="K14" t="s">
        <v>163</v>
      </c>
      <c r="O14">
        <f>IF(K28="TRUE",30*装備!C12-6*C16-2*D16-6*H16-6*J18,30*装備!C12-6*G16-6*G18)</f>
        <v>-6</v>
      </c>
    </row>
    <row r="15" spans="1:17">
      <c r="C15" s="16"/>
      <c r="D15" s="16"/>
      <c r="E15" s="16"/>
      <c r="F15" s="16"/>
      <c r="G15" s="16"/>
      <c r="H15" s="16"/>
      <c r="I15" s="16"/>
      <c r="J15" s="16"/>
      <c r="K15">
        <f>VLOOKUP(TOP!$B$16,スキル!$B$4:$F$152,5,)</f>
        <v>75</v>
      </c>
    </row>
    <row r="16" spans="1:17">
      <c r="B16" t="s">
        <v>121</v>
      </c>
      <c r="C16" s="16">
        <f>TOP!F4+TOP!$R4</f>
        <v>2</v>
      </c>
      <c r="D16" s="16">
        <f>TOP!$F5+TOP!$R5</f>
        <v>1</v>
      </c>
      <c r="E16" s="16">
        <f>TOP!$F6+TOP!$R6</f>
        <v>76</v>
      </c>
      <c r="F16" s="16">
        <f>TOP!$F7+TOP!$R7</f>
        <v>58</v>
      </c>
      <c r="G16" s="16">
        <f>TOP!$F8+TOP!$R8</f>
        <v>186</v>
      </c>
      <c r="H16" s="16">
        <f>TOP!$F9+TOP!$R9</f>
        <v>239</v>
      </c>
      <c r="I16" s="16">
        <f>TOP!$F10+TOP!$R10</f>
        <v>170</v>
      </c>
      <c r="J16" s="16"/>
      <c r="K16" t="s">
        <v>164</v>
      </c>
      <c r="O16">
        <f>狩場!M2</f>
        <v>85</v>
      </c>
    </row>
    <row r="17" spans="1:16">
      <c r="C17" s="16"/>
      <c r="D17" s="16"/>
      <c r="E17" s="16"/>
      <c r="F17" s="16"/>
      <c r="G17" s="16"/>
      <c r="H17" s="16"/>
      <c r="I17" s="16"/>
      <c r="J17" s="16"/>
      <c r="K17">
        <f>VLOOKUP(TOP!$B$16,スキル!$B$4:$F$152,3,FALSE)</f>
        <v>0.7</v>
      </c>
    </row>
    <row r="18" spans="1:16">
      <c r="B18" t="s">
        <v>168</v>
      </c>
      <c r="C18" s="16">
        <f>装備!$L4</f>
        <v>80</v>
      </c>
      <c r="D18" s="16">
        <f>装備!$L5</f>
        <v>72</v>
      </c>
      <c r="E18" s="16">
        <f>装備!$L6</f>
        <v>223</v>
      </c>
      <c r="F18" s="16">
        <f>装備!$L7</f>
        <v>99</v>
      </c>
      <c r="G18" s="16">
        <f>装備!$L8</f>
        <v>215</v>
      </c>
      <c r="H18" s="16">
        <f>装備!$L9</f>
        <v>38</v>
      </c>
      <c r="I18" s="16">
        <f>装備!$L10</f>
        <v>34</v>
      </c>
      <c r="J18" s="16">
        <f>装備!$L11</f>
        <v>24</v>
      </c>
      <c r="K18" t="s">
        <v>165</v>
      </c>
      <c r="O18">
        <f>INT(($C$20*6.67+$D$20*2.01-($F$16+$F$18)*3)*($O$16/100))</f>
        <v>1516</v>
      </c>
      <c r="P18">
        <f>INT((D20*6.67+E20*2.01-(G16+G18)*3)*(P16/100))</f>
        <v>0</v>
      </c>
    </row>
    <row r="19" spans="1:16">
      <c r="C19" s="16"/>
      <c r="D19" s="16"/>
      <c r="E19" s="16"/>
      <c r="F19" s="16"/>
      <c r="G19" s="16"/>
      <c r="H19" s="16"/>
      <c r="I19" s="16"/>
      <c r="J19" s="16"/>
      <c r="K19">
        <f>VLOOKUP(TOP!$B$16,スキル!$B$4:$G$152,6,FALSE)</f>
        <v>1.65</v>
      </c>
      <c r="O19">
        <f>INT($E$20*6.67-($G$16+$G$18)*3)</f>
        <v>605</v>
      </c>
      <c r="P19">
        <f>INT($E$20*6.67-($G$16+$G$18)*3)</f>
        <v>605</v>
      </c>
    </row>
    <row r="20" spans="1:16">
      <c r="B20" t="s">
        <v>170</v>
      </c>
      <c r="C20" s="42">
        <f>狩場!F2</f>
        <v>293.8</v>
      </c>
      <c r="D20" s="16">
        <f>C20/2</f>
        <v>146.9</v>
      </c>
      <c r="E20" s="42">
        <f>狩場!G2</f>
        <v>271.2</v>
      </c>
      <c r="F20" s="16">
        <f>狩場!H2</f>
        <v>226</v>
      </c>
      <c r="G20" s="16">
        <f>狩場!I2</f>
        <v>226</v>
      </c>
      <c r="H20" s="16">
        <f>狩場!J2</f>
        <v>226</v>
      </c>
      <c r="I20" s="16">
        <f>狩場!K2</f>
        <v>194</v>
      </c>
      <c r="J20" s="16"/>
      <c r="K20" t="s">
        <v>166</v>
      </c>
    </row>
    <row r="21" spans="1:16">
      <c r="C21" s="16" t="s">
        <v>255</v>
      </c>
      <c r="D21" s="16" t="s">
        <v>249</v>
      </c>
      <c r="E21" s="16" t="s">
        <v>250</v>
      </c>
      <c r="F21" s="16" t="s">
        <v>251</v>
      </c>
      <c r="G21" s="16" t="s">
        <v>252</v>
      </c>
      <c r="H21" s="16"/>
      <c r="I21" s="16"/>
      <c r="J21" s="16"/>
    </row>
    <row r="22" spans="1:16">
      <c r="B22" t="s">
        <v>248</v>
      </c>
      <c r="C22" s="36">
        <f>5+($D$28+10)/21</f>
        <v>16.561904761904763</v>
      </c>
      <c r="D22" s="36">
        <f>10+($D$28+6)/12</f>
        <v>29.9</v>
      </c>
      <c r="E22" s="36">
        <f>15+($D$28)/8</f>
        <v>44.099999999999994</v>
      </c>
      <c r="F22" s="36">
        <f>19+($D$28)/6</f>
        <v>57.8</v>
      </c>
      <c r="G22" s="36">
        <f>23+($D$28)/5</f>
        <v>69.56</v>
      </c>
      <c r="I22">
        <f>IF(TOP!L12="○",10,0)</f>
        <v>0</v>
      </c>
      <c r="K22" s="16" t="str">
        <f>VLOOKUP(TOP!$B$16,スキル!$B$4:$F$52,2,FALSE)</f>
        <v>I</v>
      </c>
      <c r="M22">
        <f>VLOOKUP(TOP!$B$16,スキル!$B$4:$I$152,8,FALSE)</f>
        <v>2</v>
      </c>
    </row>
    <row r="23" spans="1:16">
      <c r="C23" s="36">
        <f>5+($E$28+10)/21</f>
        <v>18.406802721088436</v>
      </c>
      <c r="D23" s="36">
        <f>10+($E$28+6)/12</f>
        <v>33.128571428571433</v>
      </c>
      <c r="E23" s="36">
        <f>15+($E$28)/8</f>
        <v>48.942857142857143</v>
      </c>
      <c r="F23" s="36">
        <f>19+($E$28)/6</f>
        <v>64.257142857142867</v>
      </c>
      <c r="G23" s="36">
        <f>23+($E$28)/5</f>
        <v>77.308571428571426</v>
      </c>
      <c r="I23" s="38"/>
      <c r="K23" s="35"/>
      <c r="M23">
        <f>VLOOKUP(TOP!$B$16,スキル!$B$4:$H$152,4,FALSE)</f>
        <v>5</v>
      </c>
    </row>
    <row r="24" spans="1:16">
      <c r="C24" s="36">
        <f>IF($K28="TRUE",C22,C23)</f>
        <v>18.406802721088436</v>
      </c>
      <c r="D24" s="36">
        <f t="shared" ref="D24:G24" si="0">IF($K28="TRUE",D22,D23)</f>
        <v>33.128571428571433</v>
      </c>
      <c r="E24" s="36">
        <f t="shared" si="0"/>
        <v>48.942857142857143</v>
      </c>
      <c r="F24" s="36">
        <f t="shared" si="0"/>
        <v>64.257142857142867</v>
      </c>
      <c r="G24" s="36">
        <f t="shared" si="0"/>
        <v>77.308571428571426</v>
      </c>
      <c r="I24" s="36">
        <f>IF(TOP!K12="×",0,HLOOKUP(TOP!K12,C21:G24,4))</f>
        <v>18.406802721088436</v>
      </c>
      <c r="K24" s="35"/>
      <c r="M24">
        <f>VLOOKUP(TOP!$B$16,スキル!$B$4:$H$152,7,FALSE)</f>
        <v>7</v>
      </c>
    </row>
    <row r="25" spans="1:16">
      <c r="C25" s="36" t="s">
        <v>530</v>
      </c>
      <c r="D25" s="36" t="s">
        <v>531</v>
      </c>
      <c r="E25" s="36" t="s">
        <v>532</v>
      </c>
      <c r="F25" s="36"/>
      <c r="G25" s="36"/>
      <c r="I25" s="68">
        <f>IF(TOP!M12="○",2.5,0)</f>
        <v>0</v>
      </c>
      <c r="K25" s="35"/>
      <c r="M25">
        <f>IF(TOP!H14="○",100,M24+装備!L13*((I16+I16)/(I16+I20)))</f>
        <v>22.87912087912088</v>
      </c>
    </row>
    <row r="26" spans="1:16">
      <c r="C26">
        <f>H16+K15+H18-D16/100+D16*0.06+I24+I25</f>
        <v>370.45680272108842</v>
      </c>
      <c r="D26" s="36">
        <f>(H16+K15+H18-C16/100+C16*0.1+I24)+I25</f>
        <v>370.58680272108842</v>
      </c>
      <c r="E26" s="36">
        <f>(H16+H18+K15-((C16+D16)/100))+I24+I25</f>
        <v>370.37680272108844</v>
      </c>
      <c r="F26" s="36"/>
      <c r="G26" s="36"/>
      <c r="I26" s="36"/>
      <c r="K26" s="35"/>
    </row>
    <row r="27" spans="1:16">
      <c r="B27" t="s">
        <v>175</v>
      </c>
      <c r="C27" t="s">
        <v>176</v>
      </c>
      <c r="D27" t="s">
        <v>171</v>
      </c>
      <c r="E27" t="s">
        <v>172</v>
      </c>
      <c r="G27" t="s">
        <v>465</v>
      </c>
      <c r="H27" t="s">
        <v>454</v>
      </c>
      <c r="K27" t="s">
        <v>246</v>
      </c>
      <c r="M27" t="s">
        <v>259</v>
      </c>
    </row>
    <row r="28" spans="1:16">
      <c r="A28" t="s">
        <v>173</v>
      </c>
      <c r="B28" s="69">
        <f>H20+75-C20/100+C20*0.1</f>
        <v>327.44200000000001</v>
      </c>
      <c r="C28" s="69">
        <f>H20+75-E20/100</f>
        <v>298.28800000000001</v>
      </c>
      <c r="D28" s="69">
        <f>1.2*(I20)</f>
        <v>232.79999999999998</v>
      </c>
      <c r="E28" s="69">
        <f>1.2*I20+E20/7</f>
        <v>271.54285714285714</v>
      </c>
      <c r="G28">
        <f>IF(TOP!M14="なし",0,TOP!M14)</f>
        <v>0</v>
      </c>
      <c r="H28">
        <f>IF(TOP!I14="○",1.1,IF(TOP!J14="○",1.25,IF(TOP!K14="○",1.15,1)))</f>
        <v>1.1499999999999999</v>
      </c>
      <c r="K28" t="str">
        <f>IF(OR(K22="S",K22="H",K22="SH"),"TRUE","FALSE")</f>
        <v>FALSE</v>
      </c>
      <c r="M28">
        <f>装備!C12</f>
        <v>80</v>
      </c>
    </row>
    <row r="29" spans="1:16">
      <c r="A29" t="s">
        <v>174</v>
      </c>
      <c r="B29" s="69">
        <f>IF(K22="S",D26,IF(K22="H",C26,E26))</f>
        <v>370.37680272108844</v>
      </c>
      <c r="C29" s="69">
        <f>(H16+K15+H18-E16/100+I24)+I25</f>
        <v>369.64680272108842</v>
      </c>
      <c r="D29" s="69">
        <f>(I16+I18)*1.2+F16*2/7+I22</f>
        <v>261.37142857142857</v>
      </c>
      <c r="E29" s="69">
        <f>(I16+I18)*1.2+(E16+G16*2)/7+I22</f>
        <v>308.79999999999995</v>
      </c>
      <c r="K29" t="s">
        <v>390</v>
      </c>
    </row>
    <row r="30" spans="1:16">
      <c r="B30" s="69">
        <f>B28-D29</f>
        <v>66.070571428571441</v>
      </c>
      <c r="C30" s="69">
        <f>C28-E29</f>
        <v>-10.511999999999944</v>
      </c>
      <c r="K30">
        <f>IF(K28="TRUE",(3000*(M28/100)-6*C16-2*D14-6*H16-6*J18)/3000,(500*(M28/100)-G16-G18)/500)</f>
        <v>-2E-3</v>
      </c>
      <c r="L30">
        <f>10*INT((スキル!C1*1000)*K30/10)</f>
        <v>-10</v>
      </c>
      <c r="M30" t="str">
        <f>IF(L30&lt;=0,"陣消し",L30)</f>
        <v>陣消し</v>
      </c>
    </row>
    <row r="31" spans="1:16">
      <c r="B31" t="s">
        <v>244</v>
      </c>
      <c r="C31" t="s">
        <v>245</v>
      </c>
      <c r="G31" t="s">
        <v>271</v>
      </c>
      <c r="H31" t="s">
        <v>273</v>
      </c>
      <c r="I31" t="s">
        <v>272</v>
      </c>
      <c r="J31" t="s">
        <v>274</v>
      </c>
      <c r="M31" t="s">
        <v>426</v>
      </c>
    </row>
    <row r="32" spans="1:16">
      <c r="B32" s="69">
        <f>INT(IF(K28="TRUE",B29-D28,C29-E28))</f>
        <v>98</v>
      </c>
      <c r="C32" s="36">
        <f>IF(B32&gt;=100,"必中",B32)</f>
        <v>98</v>
      </c>
      <c r="F32" t="s">
        <v>269</v>
      </c>
      <c r="G32">
        <f>INT(C20+2.1)</f>
        <v>295</v>
      </c>
      <c r="H32">
        <f>3*F20</f>
        <v>678</v>
      </c>
      <c r="J32">
        <f>3*G20</f>
        <v>678</v>
      </c>
      <c r="M32">
        <f>10*INT(スキル!C1*((5*M28-I16-J18)/5))</f>
        <v>670</v>
      </c>
    </row>
    <row r="33" spans="2:12">
      <c r="F33" t="s">
        <v>270</v>
      </c>
      <c r="G33" s="16" t="s">
        <v>276</v>
      </c>
      <c r="H33">
        <f>INT(2.1*$C$16+1.08*$D$16+6.67*$C$18+$D$18)</f>
        <v>610</v>
      </c>
      <c r="I33">
        <f>INT((2.1*$C$16+1.08*$D$16+6.66*$C$18+$D$18)+3*H16/18+1)</f>
        <v>650</v>
      </c>
    </row>
    <row r="34" spans="2:12">
      <c r="B34" t="s">
        <v>247</v>
      </c>
      <c r="G34" s="16" t="s">
        <v>277</v>
      </c>
      <c r="H34">
        <f>INT(1.08*$C$16+2.1*$D$16+$C$18+$D$18*6.67)</f>
        <v>564</v>
      </c>
      <c r="I34">
        <f>INT(1.08*$C$16+2.1*$D$16+$C$18+$D$18*6.67+3*H16/18+1)</f>
        <v>605</v>
      </c>
      <c r="J34" t="s">
        <v>275</v>
      </c>
      <c r="L34">
        <f>6.67*$C$18+$D$18</f>
        <v>605.6</v>
      </c>
    </row>
    <row r="35" spans="2:12">
      <c r="B35" s="36">
        <f>IF(B30&gt;C30,(IF(B28-D29&lt;15,"回避上限",B28-D29)),(IF(C28-E29&lt;15,"回避上限",C28-E29)))</f>
        <v>66.070571428571441</v>
      </c>
      <c r="D35" t="s">
        <v>382</v>
      </c>
      <c r="E35" t="s">
        <v>383</v>
      </c>
      <c r="F35" t="s">
        <v>384</v>
      </c>
      <c r="G35" s="16" t="s">
        <v>278</v>
      </c>
      <c r="H35">
        <f>INT(1.65*$C$16+1.65*$D$16+4.2*$C$18+4.2*$D$18)</f>
        <v>643</v>
      </c>
      <c r="I35">
        <f>INT(1.65*$C$16+1.65*$D$16+4.2*$C$18+4.2*D$18+3*H16/18+1)</f>
        <v>684</v>
      </c>
      <c r="J35">
        <f>I33-J32</f>
        <v>-28</v>
      </c>
      <c r="L35">
        <v>1189.8699999999999</v>
      </c>
    </row>
    <row r="36" spans="2:12">
      <c r="C36" t="s">
        <v>380</v>
      </c>
      <c r="D36">
        <v>14</v>
      </c>
      <c r="F36">
        <f>5.95*D36+1.05*E36</f>
        <v>83.3</v>
      </c>
      <c r="G36" s="16" t="s">
        <v>279</v>
      </c>
      <c r="H36">
        <f>INT(1.8*$C$16+1.5*$E$16+4.2*$C$18+$E$18*3.5)</f>
        <v>1234</v>
      </c>
      <c r="I36">
        <f>INT(1.8*$C$16+1.5*$E$16+4.2*$C$18+$E$18*3.5+(3*$H$16/18+1))</f>
        <v>1274</v>
      </c>
      <c r="J36">
        <f>INT(1.8*$C$16+1.5*$E$16+4.2*$C$18+$E$18*3.5+$C$16+$H$16/18+1)</f>
        <v>1250</v>
      </c>
    </row>
    <row r="37" spans="2:12">
      <c r="C37" t="s">
        <v>381</v>
      </c>
      <c r="E37">
        <v>30</v>
      </c>
      <c r="F37">
        <f>5.95*D37+1.05*E37</f>
        <v>31.5</v>
      </c>
      <c r="G37" s="16" t="s">
        <v>266</v>
      </c>
      <c r="H37">
        <f>INT(1.8*$D$16+1.5*$E$16+4.2*$D$18+$E$18*3.5)</f>
        <v>1198</v>
      </c>
      <c r="I37">
        <f>INT(1.8*$D$16+1.5*$E$16+4.2*$D$18+$E$18*3.5+(3*$H$16/18+1))</f>
        <v>1239</v>
      </c>
    </row>
    <row r="38" spans="2:12">
      <c r="G38" s="16" t="s">
        <v>265</v>
      </c>
      <c r="H38">
        <f>INT($E$16*2.4+$G$16*0.6+5.95*$E$18+1.05*$G$18)</f>
        <v>1846</v>
      </c>
      <c r="I38">
        <f>INT($E$16*2.4+$G$16*0.6+5.95*$E$18+1.05*$G$18+(($E$16*2.4+$G$16*0.6+3*H16)/18+1))</f>
        <v>1903</v>
      </c>
    </row>
    <row r="39" spans="2:12">
      <c r="D39" t="s">
        <v>379</v>
      </c>
      <c r="G39">
        <f>VLOOKUP(K22,G33:H38,2,FALSE)</f>
        <v>1846</v>
      </c>
      <c r="H39">
        <f>VLOOKUP(K22,G33:I38,3,FALSE)</f>
        <v>1903</v>
      </c>
      <c r="L39">
        <f>INT(100*2.4+193*0.6+5.95*290+1.05*180)*1.45*1.15</f>
        <v>3785.2249999999999</v>
      </c>
    </row>
    <row r="40" spans="2:12">
      <c r="G40">
        <f>IF(TOP!M12="○",1.3,1)</f>
        <v>1</v>
      </c>
      <c r="L40">
        <f>INT(100*2.4+173*0.6+5.95*260+1.05*210)*1.79*1.15</f>
        <v>4345.4934999999996</v>
      </c>
    </row>
    <row r="41" spans="2:12">
      <c r="D41" s="44" t="s">
        <v>360</v>
      </c>
      <c r="H41" s="36">
        <f>IF(G28=0.03,IF(K28="TRUE",((G39-H32)*K17)*G40*H28*(1+G28),((G39-J32)*K17)*G40*H28*(1+G28)),IF(K28="TRUE",((G39-H32)*K17)*G40*H28+G28,((G39-J32)*K17)*G40*H28+G28))</f>
        <v>940.23999999999978</v>
      </c>
      <c r="I41" s="40">
        <f>IF(G28=0.03,IF(K$28="TRUE",(H$39-H$32)*K$17*G40*H28*(1+G28),(H$39-J$32)*K$17*G40*H28*(1+G28)),IF(K$28="TRUE",(H$39-H$32)*K$17*G40*H28+G28,(H$39-J$32)*K$17*G40*H28+G28))</f>
        <v>986.12499999999989</v>
      </c>
    </row>
    <row r="42" spans="2:12">
      <c r="H42" s="36">
        <f>IF(K28="TRUE",(G39-H32)*K17,(G39-J32)*K17)</f>
        <v>817.59999999999991</v>
      </c>
      <c r="I42" s="40">
        <f>IF(K$28="TRUE",(H$39-H$32)*K$17,(H$39-J$32)*K$17)</f>
        <v>857.5</v>
      </c>
    </row>
    <row r="43" spans="2:12">
      <c r="H43" s="36"/>
      <c r="I43" s="40"/>
    </row>
  </sheetData>
  <mergeCells count="3">
    <mergeCell ref="A1:P1"/>
    <mergeCell ref="A2:P2"/>
    <mergeCell ref="A3:P3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O115"/>
  <sheetViews>
    <sheetView workbookViewId="0">
      <selection activeCell="D9" sqref="D9"/>
    </sheetView>
  </sheetViews>
  <sheetFormatPr defaultRowHeight="13.5"/>
  <cols>
    <col min="2" max="2" width="11.25" customWidth="1"/>
    <col min="10" max="10" width="13.75" customWidth="1"/>
    <col min="11" max="11" width="10.25" bestFit="1" customWidth="1"/>
  </cols>
  <sheetData>
    <row r="3" spans="2:15" ht="14.25">
      <c r="B3" s="13" t="s">
        <v>71</v>
      </c>
      <c r="C3" s="13" t="s">
        <v>72</v>
      </c>
      <c r="D3" s="13" t="s">
        <v>73</v>
      </c>
      <c r="E3" s="13" t="s">
        <v>74</v>
      </c>
      <c r="F3" s="13" t="s">
        <v>75</v>
      </c>
      <c r="G3" s="13" t="s">
        <v>76</v>
      </c>
      <c r="H3" s="13" t="s">
        <v>77</v>
      </c>
      <c r="I3" s="13" t="s">
        <v>78</v>
      </c>
      <c r="J3" s="13" t="s">
        <v>69</v>
      </c>
    </row>
    <row r="4" spans="2:15" ht="15">
      <c r="B4" s="14" t="s">
        <v>79</v>
      </c>
      <c r="C4" s="14" t="s">
        <v>80</v>
      </c>
      <c r="D4" s="14">
        <v>1</v>
      </c>
      <c r="E4" s="14" t="s">
        <v>80</v>
      </c>
      <c r="F4" s="14" t="s">
        <v>80</v>
      </c>
      <c r="G4" s="14" t="s">
        <v>80</v>
      </c>
      <c r="H4" s="14" t="s">
        <v>80</v>
      </c>
      <c r="I4" s="14" t="s">
        <v>81</v>
      </c>
      <c r="J4" s="14">
        <v>75</v>
      </c>
    </row>
    <row r="5" spans="2:15" ht="30">
      <c r="B5" s="14" t="s">
        <v>82</v>
      </c>
      <c r="C5" s="14" t="s">
        <v>83</v>
      </c>
      <c r="D5" s="14">
        <v>1</v>
      </c>
      <c r="E5" s="14" t="s">
        <v>83</v>
      </c>
      <c r="F5" s="14" t="s">
        <v>80</v>
      </c>
      <c r="G5" s="14" t="s">
        <v>80</v>
      </c>
      <c r="H5" s="14" t="s">
        <v>80</v>
      </c>
      <c r="I5" s="14" t="s">
        <v>81</v>
      </c>
      <c r="J5" s="14">
        <v>75</v>
      </c>
    </row>
    <row r="6" spans="2:15" ht="30">
      <c r="B6" s="14" t="s">
        <v>84</v>
      </c>
      <c r="C6" s="14" t="s">
        <v>83</v>
      </c>
      <c r="D6" s="14">
        <v>1</v>
      </c>
      <c r="E6" s="14" t="s">
        <v>83</v>
      </c>
      <c r="F6" s="14" t="s">
        <v>80</v>
      </c>
      <c r="G6" s="14" t="s">
        <v>80</v>
      </c>
      <c r="H6" s="14" t="s">
        <v>80</v>
      </c>
      <c r="I6" s="14" t="s">
        <v>85</v>
      </c>
      <c r="J6" s="14">
        <v>75</v>
      </c>
    </row>
    <row r="8" spans="2:15">
      <c r="B8" s="20" t="s">
        <v>151</v>
      </c>
    </row>
    <row r="9" spans="2:15">
      <c r="B9" s="19" t="s">
        <v>150</v>
      </c>
      <c r="J9" t="s">
        <v>325</v>
      </c>
      <c r="K9" t="s">
        <v>377</v>
      </c>
      <c r="L9" t="s">
        <v>326</v>
      </c>
      <c r="M9" t="s">
        <v>327</v>
      </c>
      <c r="N9" t="s">
        <v>328</v>
      </c>
      <c r="O9" t="s">
        <v>375</v>
      </c>
    </row>
    <row r="10" spans="2:15">
      <c r="J10" t="s">
        <v>372</v>
      </c>
      <c r="K10" s="43">
        <f>L10/$N$14</f>
        <v>85.348506401137982</v>
      </c>
      <c r="L10">
        <v>2000</v>
      </c>
      <c r="O10" s="36">
        <f>100*(L10-100)/110</f>
        <v>1727.2727272727273</v>
      </c>
    </row>
    <row r="11" spans="2:15">
      <c r="B11" s="140"/>
      <c r="C11" s="141"/>
      <c r="D11" s="141"/>
      <c r="E11" s="141"/>
      <c r="F11" s="141"/>
      <c r="G11" s="141"/>
      <c r="H11" s="141"/>
      <c r="J11" t="s">
        <v>373</v>
      </c>
      <c r="K11" s="43">
        <f t="shared" ref="K11:K13" si="0">L11/$N$14</f>
        <v>405.40540540540542</v>
      </c>
      <c r="L11">
        <v>9500</v>
      </c>
      <c r="O11" s="36">
        <f t="shared" ref="O11:O24" si="1">100*(L11-100)/110</f>
        <v>8545.454545454546</v>
      </c>
    </row>
    <row r="12" spans="2:15">
      <c r="B12" s="141"/>
      <c r="C12" s="141"/>
      <c r="D12" s="141"/>
      <c r="E12" s="141"/>
      <c r="F12" s="141"/>
      <c r="G12" s="141"/>
      <c r="H12" s="141"/>
      <c r="J12" t="s">
        <v>374</v>
      </c>
      <c r="K12" s="43">
        <f t="shared" si="0"/>
        <v>379.80085348506401</v>
      </c>
      <c r="L12">
        <v>8900</v>
      </c>
      <c r="O12" s="36">
        <f t="shared" si="1"/>
        <v>8000</v>
      </c>
    </row>
    <row r="13" spans="2:15">
      <c r="B13" s="141"/>
      <c r="C13" s="141"/>
      <c r="D13" s="141"/>
      <c r="E13" s="141"/>
      <c r="F13" s="141"/>
      <c r="G13" s="141"/>
      <c r="H13" s="141"/>
      <c r="J13" t="s">
        <v>378</v>
      </c>
      <c r="K13" s="43">
        <f t="shared" si="0"/>
        <v>187.76671408250354</v>
      </c>
      <c r="L13">
        <v>4400</v>
      </c>
      <c r="O13" s="36">
        <f t="shared" si="1"/>
        <v>3909.090909090909</v>
      </c>
    </row>
    <row r="14" spans="2:15">
      <c r="B14" s="141"/>
      <c r="C14" s="141"/>
      <c r="D14" s="141"/>
      <c r="E14" s="141"/>
      <c r="F14" s="141"/>
      <c r="G14" s="141"/>
      <c r="H14" s="141"/>
      <c r="J14" t="s">
        <v>376</v>
      </c>
      <c r="K14">
        <v>30</v>
      </c>
      <c r="L14">
        <v>703</v>
      </c>
      <c r="M14">
        <v>2</v>
      </c>
      <c r="N14">
        <f>L14/K14</f>
        <v>23.433333333333334</v>
      </c>
      <c r="O14" s="36">
        <f t="shared" si="1"/>
        <v>548.18181818181813</v>
      </c>
    </row>
    <row r="15" spans="2:15">
      <c r="B15" s="141"/>
      <c r="C15" s="141"/>
      <c r="D15" s="141"/>
      <c r="E15" s="141"/>
      <c r="F15" s="141"/>
      <c r="G15" s="141"/>
      <c r="H15" s="141"/>
      <c r="O15" s="36">
        <f t="shared" si="1"/>
        <v>-90.909090909090907</v>
      </c>
    </row>
    <row r="16" spans="2:15">
      <c r="B16" s="141"/>
      <c r="C16" s="141"/>
      <c r="D16" s="141"/>
      <c r="E16" s="141"/>
      <c r="F16" s="141"/>
      <c r="G16" s="141"/>
      <c r="H16" s="141"/>
      <c r="O16" s="36">
        <f t="shared" si="1"/>
        <v>-90.909090909090907</v>
      </c>
    </row>
    <row r="17" spans="2:15">
      <c r="B17" s="141"/>
      <c r="C17" s="141"/>
      <c r="D17" s="141"/>
      <c r="E17" s="141"/>
      <c r="F17" s="141"/>
      <c r="G17" s="141"/>
      <c r="H17" s="141"/>
      <c r="O17" s="36">
        <f t="shared" si="1"/>
        <v>-90.909090909090907</v>
      </c>
    </row>
    <row r="18" spans="2:15">
      <c r="B18" s="141"/>
      <c r="C18" s="141"/>
      <c r="D18" s="141"/>
      <c r="E18" s="141"/>
      <c r="F18" s="141"/>
      <c r="G18" s="141"/>
      <c r="H18" s="141"/>
      <c r="O18" s="36">
        <f t="shared" si="1"/>
        <v>-90.909090909090907</v>
      </c>
    </row>
    <row r="19" spans="2:15">
      <c r="B19" s="141"/>
      <c r="C19" s="141"/>
      <c r="D19" s="141"/>
      <c r="E19" s="141"/>
      <c r="F19" s="141"/>
      <c r="G19" s="141"/>
      <c r="H19" s="141"/>
      <c r="O19" s="36">
        <f t="shared" si="1"/>
        <v>-90.909090909090907</v>
      </c>
    </row>
    <row r="20" spans="2:15">
      <c r="B20" s="141"/>
      <c r="C20" s="141"/>
      <c r="D20" s="141"/>
      <c r="E20" s="141"/>
      <c r="F20" s="141"/>
      <c r="G20" s="141"/>
      <c r="H20" s="141"/>
      <c r="O20" s="36">
        <f t="shared" si="1"/>
        <v>-90.909090909090907</v>
      </c>
    </row>
    <row r="21" spans="2:15">
      <c r="B21" s="141"/>
      <c r="C21" s="141"/>
      <c r="D21" s="141"/>
      <c r="E21" s="141"/>
      <c r="F21" s="141"/>
      <c r="G21" s="141"/>
      <c r="H21" s="141"/>
      <c r="O21" s="36">
        <f t="shared" si="1"/>
        <v>-90.909090909090907</v>
      </c>
    </row>
    <row r="22" spans="2:15">
      <c r="B22" s="141"/>
      <c r="C22" s="141"/>
      <c r="D22" s="141"/>
      <c r="E22" s="141"/>
      <c r="F22" s="141"/>
      <c r="G22" s="141"/>
      <c r="H22" s="141"/>
      <c r="O22" s="36">
        <f t="shared" si="1"/>
        <v>-90.909090909090907</v>
      </c>
    </row>
    <row r="23" spans="2:15">
      <c r="B23" s="141"/>
      <c r="C23" s="141"/>
      <c r="D23" s="141"/>
      <c r="E23" s="141"/>
      <c r="F23" s="141"/>
      <c r="G23" s="141"/>
      <c r="H23" s="141"/>
      <c r="O23" s="36">
        <f t="shared" si="1"/>
        <v>-90.909090909090907</v>
      </c>
    </row>
    <row r="24" spans="2:15">
      <c r="B24" s="141"/>
      <c r="C24" s="141"/>
      <c r="D24" s="141"/>
      <c r="E24" s="141"/>
      <c r="F24" s="141"/>
      <c r="G24" s="141"/>
      <c r="H24" s="141"/>
      <c r="O24" s="36">
        <f t="shared" si="1"/>
        <v>-90.909090909090907</v>
      </c>
    </row>
    <row r="25" spans="2:15">
      <c r="B25" s="141"/>
      <c r="C25" s="141"/>
      <c r="D25" s="141"/>
      <c r="E25" s="141"/>
      <c r="F25" s="141"/>
      <c r="G25" s="141"/>
      <c r="H25" s="141"/>
      <c r="K25" s="43">
        <f>SUM(K10:K24)</f>
        <v>1088.3214793741108</v>
      </c>
      <c r="L25" s="43">
        <f>SUM(L10:L24)</f>
        <v>25503</v>
      </c>
      <c r="M25" s="43">
        <f t="shared" ref="M25:O25" si="2">SUM(M10:M24)</f>
        <v>2</v>
      </c>
      <c r="N25" s="43">
        <f t="shared" si="2"/>
        <v>23.433333333333334</v>
      </c>
      <c r="O25" s="43">
        <f t="shared" si="2"/>
        <v>21820.909090909081</v>
      </c>
    </row>
    <row r="26" spans="2:15">
      <c r="B26" s="141"/>
      <c r="C26" s="141"/>
      <c r="D26" s="141"/>
      <c r="E26" s="141"/>
      <c r="F26" s="141"/>
      <c r="G26" s="141"/>
      <c r="H26" s="141"/>
    </row>
    <row r="27" spans="2:15">
      <c r="B27" s="141"/>
      <c r="C27" s="141"/>
      <c r="D27" s="141"/>
      <c r="E27" s="141"/>
      <c r="F27" s="141"/>
      <c r="G27" s="141"/>
      <c r="H27" s="141"/>
    </row>
    <row r="28" spans="2:15">
      <c r="B28" s="141"/>
      <c r="C28" s="141"/>
      <c r="D28" s="141"/>
      <c r="E28" s="141"/>
      <c r="F28" s="141"/>
      <c r="G28" s="141"/>
      <c r="H28" s="141"/>
    </row>
    <row r="29" spans="2:15">
      <c r="B29" s="141"/>
      <c r="C29" s="141"/>
      <c r="D29" s="141"/>
      <c r="E29" s="141"/>
      <c r="F29" s="141"/>
      <c r="G29" s="141"/>
      <c r="H29" s="141"/>
    </row>
    <row r="30" spans="2:15">
      <c r="B30" s="141"/>
      <c r="C30" s="141"/>
      <c r="D30" s="141"/>
      <c r="E30" s="141"/>
      <c r="F30" s="141"/>
      <c r="G30" s="141"/>
      <c r="H30" s="141"/>
    </row>
    <row r="31" spans="2:15">
      <c r="B31" s="141"/>
      <c r="C31" s="141"/>
      <c r="D31" s="141"/>
      <c r="E31" s="141"/>
      <c r="F31" s="141"/>
      <c r="G31" s="141"/>
      <c r="H31" s="141"/>
    </row>
    <row r="32" spans="2:15">
      <c r="B32" s="141"/>
      <c r="C32" s="141"/>
      <c r="D32" s="141"/>
      <c r="E32" s="141"/>
      <c r="F32" s="141"/>
      <c r="G32" s="141"/>
      <c r="H32" s="141"/>
    </row>
    <row r="33" spans="2:8">
      <c r="B33" s="141"/>
      <c r="C33" s="141"/>
      <c r="D33" s="141"/>
      <c r="E33" s="141"/>
      <c r="F33" s="141"/>
      <c r="G33" s="141"/>
      <c r="H33" s="141"/>
    </row>
    <row r="34" spans="2:8">
      <c r="B34" s="141"/>
      <c r="C34" s="141"/>
      <c r="D34" s="141"/>
      <c r="E34" s="141"/>
      <c r="F34" s="141"/>
      <c r="G34" s="141"/>
      <c r="H34" s="141"/>
    </row>
    <row r="35" spans="2:8">
      <c r="B35" s="141"/>
      <c r="C35" s="141"/>
      <c r="D35" s="141"/>
      <c r="E35" s="141"/>
      <c r="F35" s="141"/>
      <c r="G35" s="141"/>
      <c r="H35" s="141"/>
    </row>
    <row r="36" spans="2:8">
      <c r="B36" s="141"/>
      <c r="C36" s="141"/>
      <c r="D36" s="141"/>
      <c r="E36" s="141"/>
      <c r="F36" s="141"/>
      <c r="G36" s="141"/>
      <c r="H36" s="141"/>
    </row>
    <row r="37" spans="2:8">
      <c r="B37" s="141"/>
      <c r="C37" s="141"/>
      <c r="D37" s="141"/>
      <c r="E37" s="141"/>
      <c r="F37" s="141"/>
      <c r="G37" s="141"/>
      <c r="H37" s="141"/>
    </row>
    <row r="38" spans="2:8">
      <c r="B38" s="141"/>
      <c r="C38" s="141"/>
      <c r="D38" s="141"/>
      <c r="E38" s="141"/>
      <c r="F38" s="141"/>
      <c r="G38" s="141"/>
      <c r="H38" s="141"/>
    </row>
    <row r="39" spans="2:8">
      <c r="B39" s="141"/>
      <c r="C39" s="141"/>
      <c r="D39" s="141"/>
      <c r="E39" s="141"/>
      <c r="F39" s="141"/>
      <c r="G39" s="141"/>
      <c r="H39" s="141"/>
    </row>
    <row r="40" spans="2:8">
      <c r="B40" s="141"/>
      <c r="C40" s="141"/>
      <c r="D40" s="141"/>
      <c r="E40" s="141"/>
      <c r="F40" s="141"/>
      <c r="G40" s="141"/>
      <c r="H40" s="141"/>
    </row>
    <row r="41" spans="2:8">
      <c r="B41" s="141"/>
      <c r="C41" s="141"/>
      <c r="D41" s="141"/>
      <c r="E41" s="141"/>
      <c r="F41" s="141"/>
      <c r="G41" s="141"/>
      <c r="H41" s="141"/>
    </row>
    <row r="42" spans="2:8">
      <c r="B42" s="141"/>
      <c r="C42" s="141"/>
      <c r="D42" s="141"/>
      <c r="E42" s="141"/>
      <c r="F42" s="141"/>
      <c r="G42" s="141"/>
      <c r="H42" s="141"/>
    </row>
    <row r="43" spans="2:8">
      <c r="B43" s="141"/>
      <c r="C43" s="141"/>
      <c r="D43" s="141"/>
      <c r="E43" s="141"/>
      <c r="F43" s="141"/>
      <c r="G43" s="141"/>
      <c r="H43" s="141"/>
    </row>
    <row r="44" spans="2:8">
      <c r="B44" s="141"/>
      <c r="C44" s="141"/>
      <c r="D44" s="141"/>
      <c r="E44" s="141"/>
      <c r="F44" s="141"/>
      <c r="G44" s="141"/>
      <c r="H44" s="141"/>
    </row>
    <row r="45" spans="2:8">
      <c r="B45" s="141"/>
      <c r="C45" s="141"/>
      <c r="D45" s="141"/>
      <c r="E45" s="141"/>
      <c r="F45" s="141"/>
      <c r="G45" s="141"/>
      <c r="H45" s="141"/>
    </row>
    <row r="46" spans="2:8">
      <c r="B46" s="141"/>
      <c r="C46" s="141"/>
      <c r="D46" s="141"/>
      <c r="E46" s="141"/>
      <c r="F46" s="141"/>
      <c r="G46" s="141"/>
      <c r="H46" s="141"/>
    </row>
    <row r="47" spans="2:8">
      <c r="B47" s="141"/>
      <c r="C47" s="141"/>
      <c r="D47" s="141"/>
      <c r="E47" s="141"/>
      <c r="F47" s="141"/>
      <c r="G47" s="141"/>
      <c r="H47" s="141"/>
    </row>
    <row r="48" spans="2:8">
      <c r="B48" s="141"/>
      <c r="C48" s="141"/>
      <c r="D48" s="141"/>
      <c r="E48" s="141"/>
      <c r="F48" s="141"/>
      <c r="G48" s="141"/>
      <c r="H48" s="141"/>
    </row>
    <row r="49" spans="2:8">
      <c r="B49" s="141"/>
      <c r="C49" s="141"/>
      <c r="D49" s="141"/>
      <c r="E49" s="141"/>
      <c r="F49" s="141"/>
      <c r="G49" s="141"/>
      <c r="H49" s="141"/>
    </row>
    <row r="50" spans="2:8">
      <c r="B50" s="141"/>
      <c r="C50" s="141"/>
      <c r="D50" s="141"/>
      <c r="E50" s="141"/>
      <c r="F50" s="141"/>
      <c r="G50" s="141"/>
      <c r="H50" s="141"/>
    </row>
    <row r="51" spans="2:8">
      <c r="B51" s="141"/>
      <c r="C51" s="141"/>
      <c r="D51" s="141"/>
      <c r="E51" s="141"/>
      <c r="F51" s="141"/>
      <c r="G51" s="141"/>
      <c r="H51" s="141"/>
    </row>
    <row r="52" spans="2:8">
      <c r="B52" s="141"/>
      <c r="C52" s="141"/>
      <c r="D52" s="141"/>
      <c r="E52" s="141"/>
      <c r="F52" s="141"/>
      <c r="G52" s="141"/>
      <c r="H52" s="141"/>
    </row>
    <row r="53" spans="2:8">
      <c r="B53" s="141"/>
      <c r="C53" s="141"/>
      <c r="D53" s="141"/>
      <c r="E53" s="141"/>
      <c r="F53" s="141"/>
      <c r="G53" s="141"/>
      <c r="H53" s="141"/>
    </row>
    <row r="54" spans="2:8">
      <c r="B54" s="141"/>
      <c r="C54" s="141"/>
      <c r="D54" s="141"/>
      <c r="E54" s="141"/>
      <c r="F54" s="141"/>
      <c r="G54" s="141"/>
      <c r="H54" s="141"/>
    </row>
    <row r="55" spans="2:8">
      <c r="B55" s="141"/>
      <c r="C55" s="141"/>
      <c r="D55" s="141"/>
      <c r="E55" s="141"/>
      <c r="F55" s="141"/>
      <c r="G55" s="141"/>
      <c r="H55" s="141"/>
    </row>
    <row r="56" spans="2:8">
      <c r="B56" s="141"/>
      <c r="C56" s="141"/>
      <c r="D56" s="141"/>
      <c r="E56" s="141"/>
      <c r="F56" s="141"/>
      <c r="G56" s="141"/>
      <c r="H56" s="141"/>
    </row>
    <row r="57" spans="2:8">
      <c r="B57" s="141"/>
      <c r="C57" s="141"/>
      <c r="D57" s="141"/>
      <c r="E57" s="141"/>
      <c r="F57" s="141"/>
      <c r="G57" s="141"/>
      <c r="H57" s="141"/>
    </row>
    <row r="58" spans="2:8">
      <c r="B58" s="141"/>
      <c r="C58" s="141"/>
      <c r="D58" s="141"/>
      <c r="E58" s="141"/>
      <c r="F58" s="141"/>
      <c r="G58" s="141"/>
      <c r="H58" s="141"/>
    </row>
    <row r="59" spans="2:8">
      <c r="B59" s="141"/>
      <c r="C59" s="141"/>
      <c r="D59" s="141"/>
      <c r="E59" s="141"/>
      <c r="F59" s="141"/>
      <c r="G59" s="141"/>
      <c r="H59" s="141"/>
    </row>
    <row r="60" spans="2:8">
      <c r="B60" s="141"/>
      <c r="C60" s="141"/>
      <c r="D60" s="141"/>
      <c r="E60" s="141"/>
      <c r="F60" s="141"/>
      <c r="G60" s="141"/>
      <c r="H60" s="141"/>
    </row>
    <row r="61" spans="2:8">
      <c r="B61" s="141"/>
      <c r="C61" s="141"/>
      <c r="D61" s="141"/>
      <c r="E61" s="141"/>
      <c r="F61" s="141"/>
      <c r="G61" s="141"/>
      <c r="H61" s="141"/>
    </row>
    <row r="62" spans="2:8">
      <c r="B62" s="141"/>
      <c r="C62" s="141"/>
      <c r="D62" s="141"/>
      <c r="E62" s="141"/>
      <c r="F62" s="141"/>
      <c r="G62" s="141"/>
      <c r="H62" s="141"/>
    </row>
    <row r="63" spans="2:8">
      <c r="B63" s="141"/>
      <c r="C63" s="141"/>
      <c r="D63" s="141"/>
      <c r="E63" s="141"/>
      <c r="F63" s="141"/>
      <c r="G63" s="141"/>
      <c r="H63" s="141"/>
    </row>
    <row r="64" spans="2:8">
      <c r="B64" s="141"/>
      <c r="C64" s="141"/>
      <c r="D64" s="141"/>
      <c r="E64" s="141"/>
      <c r="F64" s="141"/>
      <c r="G64" s="141"/>
      <c r="H64" s="141"/>
    </row>
    <row r="65" spans="2:8">
      <c r="B65" s="141"/>
      <c r="C65" s="141"/>
      <c r="D65" s="141"/>
      <c r="E65" s="141"/>
      <c r="F65" s="141"/>
      <c r="G65" s="141"/>
      <c r="H65" s="141"/>
    </row>
    <row r="66" spans="2:8">
      <c r="B66" s="141"/>
      <c r="C66" s="141"/>
      <c r="D66" s="141"/>
      <c r="E66" s="141"/>
      <c r="F66" s="141"/>
      <c r="G66" s="141"/>
      <c r="H66" s="141"/>
    </row>
    <row r="67" spans="2:8">
      <c r="B67" s="141"/>
      <c r="C67" s="141"/>
      <c r="D67" s="141"/>
      <c r="E67" s="141"/>
      <c r="F67" s="141"/>
      <c r="G67" s="141"/>
      <c r="H67" s="141"/>
    </row>
    <row r="68" spans="2:8">
      <c r="B68" s="141"/>
      <c r="C68" s="141"/>
      <c r="D68" s="141"/>
      <c r="E68" s="141"/>
      <c r="F68" s="141"/>
      <c r="G68" s="141"/>
      <c r="H68" s="141"/>
    </row>
    <row r="69" spans="2:8">
      <c r="B69" s="141"/>
      <c r="C69" s="141"/>
      <c r="D69" s="141"/>
      <c r="E69" s="141"/>
      <c r="F69" s="141"/>
      <c r="G69" s="141"/>
      <c r="H69" s="141"/>
    </row>
    <row r="70" spans="2:8">
      <c r="B70" s="141"/>
      <c r="C70" s="141"/>
      <c r="D70" s="141"/>
      <c r="E70" s="141"/>
      <c r="F70" s="141"/>
      <c r="G70" s="141"/>
      <c r="H70" s="141"/>
    </row>
    <row r="71" spans="2:8">
      <c r="B71" s="141"/>
      <c r="C71" s="141"/>
      <c r="D71" s="141"/>
      <c r="E71" s="141"/>
      <c r="F71" s="141"/>
      <c r="G71" s="141"/>
      <c r="H71" s="141"/>
    </row>
    <row r="72" spans="2:8">
      <c r="B72" s="141"/>
      <c r="C72" s="141"/>
      <c r="D72" s="141"/>
      <c r="E72" s="141"/>
      <c r="F72" s="141"/>
      <c r="G72" s="141"/>
      <c r="H72" s="141"/>
    </row>
    <row r="73" spans="2:8">
      <c r="B73" s="141"/>
      <c r="C73" s="141"/>
      <c r="D73" s="141"/>
      <c r="E73" s="141"/>
      <c r="F73" s="141"/>
      <c r="G73" s="141"/>
      <c r="H73" s="141"/>
    </row>
    <row r="74" spans="2:8">
      <c r="B74" s="141"/>
      <c r="C74" s="141"/>
      <c r="D74" s="141"/>
      <c r="E74" s="141"/>
      <c r="F74" s="141"/>
      <c r="G74" s="141"/>
      <c r="H74" s="141"/>
    </row>
    <row r="75" spans="2:8">
      <c r="B75" s="141"/>
      <c r="C75" s="141"/>
      <c r="D75" s="141"/>
      <c r="E75" s="141"/>
      <c r="F75" s="141"/>
      <c r="G75" s="141"/>
      <c r="H75" s="141"/>
    </row>
    <row r="76" spans="2:8">
      <c r="B76" s="141"/>
      <c r="C76" s="141"/>
      <c r="D76" s="141"/>
      <c r="E76" s="141"/>
      <c r="F76" s="141"/>
      <c r="G76" s="141"/>
      <c r="H76" s="141"/>
    </row>
    <row r="77" spans="2:8">
      <c r="B77" s="141"/>
      <c r="C77" s="141"/>
      <c r="D77" s="141"/>
      <c r="E77" s="141"/>
      <c r="F77" s="141"/>
      <c r="G77" s="141"/>
      <c r="H77" s="141"/>
    </row>
    <row r="78" spans="2:8">
      <c r="B78" s="141"/>
      <c r="C78" s="141"/>
      <c r="D78" s="141"/>
      <c r="E78" s="141"/>
      <c r="F78" s="141"/>
      <c r="G78" s="141"/>
      <c r="H78" s="141"/>
    </row>
    <row r="79" spans="2:8">
      <c r="B79" s="141"/>
      <c r="C79" s="141"/>
      <c r="D79" s="141"/>
      <c r="E79" s="141"/>
      <c r="F79" s="141"/>
      <c r="G79" s="141"/>
      <c r="H79" s="141"/>
    </row>
    <row r="80" spans="2:8">
      <c r="B80" s="141"/>
      <c r="C80" s="141"/>
      <c r="D80" s="141"/>
      <c r="E80" s="141"/>
      <c r="F80" s="141"/>
      <c r="G80" s="141"/>
      <c r="H80" s="141"/>
    </row>
    <row r="81" spans="2:8">
      <c r="B81" s="141"/>
      <c r="C81" s="141"/>
      <c r="D81" s="141"/>
      <c r="E81" s="141"/>
      <c r="F81" s="141"/>
      <c r="G81" s="141"/>
      <c r="H81" s="141"/>
    </row>
    <row r="82" spans="2:8">
      <c r="B82" s="141"/>
      <c r="C82" s="141"/>
      <c r="D82" s="141"/>
      <c r="E82" s="141"/>
      <c r="F82" s="141"/>
      <c r="G82" s="141"/>
      <c r="H82" s="141"/>
    </row>
    <row r="83" spans="2:8">
      <c r="B83" s="141"/>
      <c r="C83" s="141"/>
      <c r="D83" s="141"/>
      <c r="E83" s="141"/>
      <c r="F83" s="141"/>
      <c r="G83" s="141"/>
      <c r="H83" s="141"/>
    </row>
    <row r="84" spans="2:8">
      <c r="B84" s="141"/>
      <c r="C84" s="141"/>
      <c r="D84" s="141"/>
      <c r="E84" s="141"/>
      <c r="F84" s="141"/>
      <c r="G84" s="141"/>
      <c r="H84" s="141"/>
    </row>
    <row r="85" spans="2:8">
      <c r="B85" s="141"/>
      <c r="C85" s="141"/>
      <c r="D85" s="141"/>
      <c r="E85" s="141"/>
      <c r="F85" s="141"/>
      <c r="G85" s="141"/>
      <c r="H85" s="141"/>
    </row>
    <row r="86" spans="2:8">
      <c r="B86" s="141"/>
      <c r="C86" s="141"/>
      <c r="D86" s="141"/>
      <c r="E86" s="141"/>
      <c r="F86" s="141"/>
      <c r="G86" s="141"/>
      <c r="H86" s="141"/>
    </row>
    <row r="87" spans="2:8">
      <c r="B87" s="141"/>
      <c r="C87" s="141"/>
      <c r="D87" s="141"/>
      <c r="E87" s="141"/>
      <c r="F87" s="141"/>
      <c r="G87" s="141"/>
      <c r="H87" s="141"/>
    </row>
    <row r="88" spans="2:8">
      <c r="B88" s="141"/>
      <c r="C88" s="141"/>
      <c r="D88" s="141"/>
      <c r="E88" s="141"/>
      <c r="F88" s="141"/>
      <c r="G88" s="141"/>
      <c r="H88" s="141"/>
    </row>
    <row r="89" spans="2:8">
      <c r="B89" s="141"/>
      <c r="C89" s="141"/>
      <c r="D89" s="141"/>
      <c r="E89" s="141"/>
      <c r="F89" s="141"/>
      <c r="G89" s="141"/>
      <c r="H89" s="141"/>
    </row>
    <row r="90" spans="2:8">
      <c r="B90" s="141"/>
      <c r="C90" s="141"/>
      <c r="D90" s="141"/>
      <c r="E90" s="141"/>
      <c r="F90" s="141"/>
      <c r="G90" s="141"/>
      <c r="H90" s="141"/>
    </row>
    <row r="91" spans="2:8">
      <c r="B91" s="141"/>
      <c r="C91" s="141"/>
      <c r="D91" s="141"/>
      <c r="E91" s="141"/>
      <c r="F91" s="141"/>
      <c r="G91" s="141"/>
      <c r="H91" s="141"/>
    </row>
    <row r="92" spans="2:8">
      <c r="B92" s="141"/>
      <c r="C92" s="141"/>
      <c r="D92" s="141"/>
      <c r="E92" s="141"/>
      <c r="F92" s="141"/>
      <c r="G92" s="141"/>
      <c r="H92" s="141"/>
    </row>
    <row r="93" spans="2:8">
      <c r="B93" s="141"/>
      <c r="C93" s="141"/>
      <c r="D93" s="141"/>
      <c r="E93" s="141"/>
      <c r="F93" s="141"/>
      <c r="G93" s="141"/>
      <c r="H93" s="141"/>
    </row>
    <row r="94" spans="2:8">
      <c r="B94" s="141"/>
      <c r="C94" s="141"/>
      <c r="D94" s="141"/>
      <c r="E94" s="141"/>
      <c r="F94" s="141"/>
      <c r="G94" s="141"/>
      <c r="H94" s="141"/>
    </row>
    <row r="95" spans="2:8">
      <c r="B95" s="141"/>
      <c r="C95" s="141"/>
      <c r="D95" s="141"/>
      <c r="E95" s="141"/>
      <c r="F95" s="141"/>
      <c r="G95" s="141"/>
      <c r="H95" s="141"/>
    </row>
    <row r="96" spans="2:8">
      <c r="B96" s="141"/>
      <c r="C96" s="141"/>
      <c r="D96" s="141"/>
      <c r="E96" s="141"/>
      <c r="F96" s="141"/>
      <c r="G96" s="141"/>
      <c r="H96" s="141"/>
    </row>
    <row r="97" spans="2:8">
      <c r="B97" s="141"/>
      <c r="C97" s="141"/>
      <c r="D97" s="141"/>
      <c r="E97" s="141"/>
      <c r="F97" s="141"/>
      <c r="G97" s="141"/>
      <c r="H97" s="141"/>
    </row>
    <row r="98" spans="2:8">
      <c r="B98" s="141"/>
      <c r="C98" s="141"/>
      <c r="D98" s="141"/>
      <c r="E98" s="141"/>
      <c r="F98" s="141"/>
      <c r="G98" s="141"/>
      <c r="H98" s="141"/>
    </row>
    <row r="99" spans="2:8">
      <c r="B99" s="141"/>
      <c r="C99" s="141"/>
      <c r="D99" s="141"/>
      <c r="E99" s="141"/>
      <c r="F99" s="141"/>
      <c r="G99" s="141"/>
      <c r="H99" s="141"/>
    </row>
    <row r="100" spans="2:8">
      <c r="B100" s="141"/>
      <c r="C100" s="141"/>
      <c r="D100" s="141"/>
      <c r="E100" s="141"/>
      <c r="F100" s="141"/>
      <c r="G100" s="141"/>
      <c r="H100" s="141"/>
    </row>
    <row r="101" spans="2:8">
      <c r="B101" s="141"/>
      <c r="C101" s="141"/>
      <c r="D101" s="141"/>
      <c r="E101" s="141"/>
      <c r="F101" s="141"/>
      <c r="G101" s="141"/>
      <c r="H101" s="141"/>
    </row>
    <row r="102" spans="2:8">
      <c r="B102" s="141"/>
      <c r="C102" s="141"/>
      <c r="D102" s="141"/>
      <c r="E102" s="141"/>
      <c r="F102" s="141"/>
      <c r="G102" s="141"/>
      <c r="H102" s="141"/>
    </row>
    <row r="103" spans="2:8">
      <c r="B103" s="141"/>
      <c r="C103" s="141"/>
      <c r="D103" s="141"/>
      <c r="E103" s="141"/>
      <c r="F103" s="141"/>
      <c r="G103" s="141"/>
      <c r="H103" s="141"/>
    </row>
    <row r="104" spans="2:8">
      <c r="B104" s="141"/>
      <c r="C104" s="141"/>
      <c r="D104" s="141"/>
      <c r="E104" s="141"/>
      <c r="F104" s="141"/>
      <c r="G104" s="141"/>
      <c r="H104" s="141"/>
    </row>
    <row r="105" spans="2:8">
      <c r="B105" s="141"/>
      <c r="C105" s="141"/>
      <c r="D105" s="141"/>
      <c r="E105" s="141"/>
      <c r="F105" s="141"/>
      <c r="G105" s="141"/>
      <c r="H105" s="141"/>
    </row>
    <row r="106" spans="2:8">
      <c r="B106" s="141"/>
      <c r="C106" s="141"/>
      <c r="D106" s="141"/>
      <c r="E106" s="141"/>
      <c r="F106" s="141"/>
      <c r="G106" s="141"/>
      <c r="H106" s="141"/>
    </row>
    <row r="107" spans="2:8">
      <c r="B107" s="141"/>
      <c r="C107" s="141"/>
      <c r="D107" s="141"/>
      <c r="E107" s="141"/>
      <c r="F107" s="141"/>
      <c r="G107" s="141"/>
      <c r="H107" s="141"/>
    </row>
    <row r="108" spans="2:8">
      <c r="B108" s="141"/>
      <c r="C108" s="141"/>
      <c r="D108" s="141"/>
      <c r="E108" s="141"/>
      <c r="F108" s="141"/>
      <c r="G108" s="141"/>
      <c r="H108" s="141"/>
    </row>
    <row r="109" spans="2:8">
      <c r="B109" s="141"/>
      <c r="C109" s="141"/>
      <c r="D109" s="141"/>
      <c r="E109" s="141"/>
      <c r="F109" s="141"/>
      <c r="G109" s="141"/>
      <c r="H109" s="141"/>
    </row>
    <row r="110" spans="2:8">
      <c r="B110" s="141"/>
      <c r="C110" s="141"/>
      <c r="D110" s="141"/>
      <c r="E110" s="141"/>
      <c r="F110" s="141"/>
      <c r="G110" s="141"/>
      <c r="H110" s="141"/>
    </row>
    <row r="111" spans="2:8">
      <c r="B111" s="141"/>
      <c r="C111" s="141"/>
      <c r="D111" s="141"/>
      <c r="E111" s="141"/>
      <c r="F111" s="141"/>
      <c r="G111" s="141"/>
      <c r="H111" s="141"/>
    </row>
    <row r="112" spans="2:8">
      <c r="B112" s="141"/>
      <c r="C112" s="141"/>
      <c r="D112" s="141"/>
      <c r="E112" s="141"/>
      <c r="F112" s="141"/>
      <c r="G112" s="141"/>
      <c r="H112" s="141"/>
    </row>
    <row r="113" spans="2:8">
      <c r="B113" s="141"/>
      <c r="C113" s="141"/>
      <c r="D113" s="141"/>
      <c r="E113" s="141"/>
      <c r="F113" s="141"/>
      <c r="G113" s="141"/>
      <c r="H113" s="141"/>
    </row>
    <row r="114" spans="2:8">
      <c r="B114" s="141"/>
      <c r="C114" s="141"/>
      <c r="D114" s="141"/>
      <c r="E114" s="141"/>
      <c r="F114" s="141"/>
      <c r="G114" s="141"/>
      <c r="H114" s="141"/>
    </row>
    <row r="115" spans="2:8">
      <c r="B115" s="141"/>
      <c r="C115" s="141"/>
      <c r="D115" s="141"/>
      <c r="E115" s="141"/>
      <c r="F115" s="141"/>
      <c r="G115" s="141"/>
      <c r="H115" s="141"/>
    </row>
  </sheetData>
  <mergeCells count="1">
    <mergeCell ref="B11:H115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5"/>
  <sheetViews>
    <sheetView workbookViewId="0">
      <selection activeCell="C8" sqref="C8"/>
    </sheetView>
  </sheetViews>
  <sheetFormatPr defaultRowHeight="13.5"/>
  <cols>
    <col min="1" max="2" width="9" style="58"/>
    <col min="3" max="3" width="9.125" style="58" bestFit="1" customWidth="1"/>
    <col min="4" max="4" width="16.375" style="58" customWidth="1"/>
    <col min="5" max="6" width="9" style="58"/>
    <col min="7" max="7" width="14" style="58" customWidth="1"/>
    <col min="8" max="8" width="23.25" style="58" customWidth="1"/>
    <col min="9" max="16384" width="9" style="58"/>
  </cols>
  <sheetData>
    <row r="1" spans="2:10">
      <c r="H1" s="58" t="s">
        <v>409</v>
      </c>
    </row>
    <row r="2" spans="2:10">
      <c r="C2" s="58" t="s">
        <v>405</v>
      </c>
      <c r="D2" s="58" t="s">
        <v>406</v>
      </c>
      <c r="E2" s="58" t="s">
        <v>328</v>
      </c>
      <c r="G2" s="58" t="s">
        <v>407</v>
      </c>
      <c r="H2" s="58" t="s">
        <v>408</v>
      </c>
    </row>
    <row r="3" spans="2:10">
      <c r="B3" s="58" t="s">
        <v>376</v>
      </c>
      <c r="C3" s="58">
        <v>600</v>
      </c>
      <c r="D3" s="58">
        <v>30</v>
      </c>
      <c r="E3" s="58">
        <f>C3/D3</f>
        <v>20</v>
      </c>
      <c r="G3" s="58">
        <v>210</v>
      </c>
      <c r="H3" s="58">
        <f>(G3-100)/1.1</f>
        <v>99.999999999999986</v>
      </c>
      <c r="J3" s="58" t="s">
        <v>411</v>
      </c>
    </row>
    <row r="4" spans="2:10">
      <c r="C4" s="58">
        <f>E3*D4</f>
        <v>2200</v>
      </c>
      <c r="D4" s="58">
        <v>110</v>
      </c>
      <c r="H4" s="58">
        <f t="shared" ref="H4" si="0">(G4-100)/1.1</f>
        <v>-90.909090909090907</v>
      </c>
    </row>
    <row r="5" spans="2:10">
      <c r="C5" s="58">
        <v>4909</v>
      </c>
      <c r="D5" s="58">
        <f>C5/E$3</f>
        <v>245.45</v>
      </c>
      <c r="F5" s="58" t="s">
        <v>280</v>
      </c>
      <c r="H5" s="58">
        <f>IF(((G5-100)/1.1)&gt;0,((G5-100)/1.1),0)</f>
        <v>0</v>
      </c>
    </row>
    <row r="6" spans="2:10">
      <c r="C6" s="58">
        <v>4005</v>
      </c>
      <c r="D6" s="58">
        <f t="shared" ref="D6:D25" si="1">C6/E$3</f>
        <v>200.25</v>
      </c>
      <c r="F6" s="58" t="s">
        <v>410</v>
      </c>
      <c r="H6" s="58">
        <f t="shared" ref="H6:H19" si="2">IF(((G6-100)/1.1)&gt;0,((G6-100)/1.1),0)</f>
        <v>0</v>
      </c>
    </row>
    <row r="7" spans="2:10">
      <c r="C7" s="58">
        <v>2000</v>
      </c>
      <c r="D7" s="58">
        <f t="shared" si="1"/>
        <v>100</v>
      </c>
      <c r="H7" s="58">
        <f t="shared" si="2"/>
        <v>0</v>
      </c>
      <c r="J7" s="58" t="s">
        <v>33</v>
      </c>
    </row>
    <row r="8" spans="2:10">
      <c r="C8" s="58">
        <v>1650</v>
      </c>
      <c r="D8" s="58">
        <f t="shared" si="1"/>
        <v>82.5</v>
      </c>
      <c r="E8" s="58">
        <f>D5-D6</f>
        <v>45.199999999999989</v>
      </c>
      <c r="F8" s="58" t="s">
        <v>490</v>
      </c>
      <c r="G8" s="58">
        <v>2200</v>
      </c>
      <c r="H8" s="58">
        <f t="shared" si="2"/>
        <v>1909.090909090909</v>
      </c>
      <c r="J8" s="58">
        <f>SUM(H5:H19)+J4</f>
        <v>4909.0909090909081</v>
      </c>
    </row>
    <row r="9" spans="2:10">
      <c r="B9" s="58" t="s">
        <v>438</v>
      </c>
      <c r="C9" s="58">
        <v>1900</v>
      </c>
      <c r="D9" s="58">
        <f t="shared" si="1"/>
        <v>95</v>
      </c>
      <c r="G9" s="58">
        <v>3400</v>
      </c>
      <c r="H9" s="58">
        <f t="shared" si="2"/>
        <v>2999.9999999999995</v>
      </c>
      <c r="J9" s="58">
        <f>J8-C9-C8-C7</f>
        <v>-640.9090909090919</v>
      </c>
    </row>
    <row r="10" spans="2:10">
      <c r="B10" s="58" t="s">
        <v>439</v>
      </c>
      <c r="C10" s="58">
        <v>2500</v>
      </c>
      <c r="D10" s="58">
        <f t="shared" si="1"/>
        <v>125</v>
      </c>
      <c r="H10" s="58">
        <f t="shared" si="2"/>
        <v>0</v>
      </c>
    </row>
    <row r="11" spans="2:10">
      <c r="B11" s="58" t="s">
        <v>440</v>
      </c>
      <c r="C11" s="58">
        <v>2300</v>
      </c>
      <c r="D11" s="58">
        <f t="shared" si="1"/>
        <v>115</v>
      </c>
      <c r="H11" s="58">
        <f t="shared" si="2"/>
        <v>0</v>
      </c>
    </row>
    <row r="12" spans="2:10">
      <c r="B12" s="58" t="s">
        <v>441</v>
      </c>
      <c r="C12" s="58">
        <v>2300</v>
      </c>
      <c r="D12" s="58">
        <f t="shared" si="1"/>
        <v>115</v>
      </c>
      <c r="H12" s="58">
        <f t="shared" si="2"/>
        <v>0</v>
      </c>
    </row>
    <row r="13" spans="2:10">
      <c r="D13" s="58">
        <f t="shared" si="1"/>
        <v>0</v>
      </c>
      <c r="H13" s="58">
        <f t="shared" si="2"/>
        <v>0</v>
      </c>
    </row>
    <row r="14" spans="2:10">
      <c r="D14" s="58">
        <f t="shared" si="1"/>
        <v>0</v>
      </c>
      <c r="H14" s="58">
        <f t="shared" si="2"/>
        <v>0</v>
      </c>
    </row>
    <row r="15" spans="2:10">
      <c r="D15" s="58">
        <f t="shared" si="1"/>
        <v>0</v>
      </c>
      <c r="H15" s="58">
        <f t="shared" si="2"/>
        <v>0</v>
      </c>
    </row>
    <row r="16" spans="2:10">
      <c r="D16" s="58">
        <f t="shared" si="1"/>
        <v>0</v>
      </c>
      <c r="H16" s="58">
        <f t="shared" si="2"/>
        <v>0</v>
      </c>
    </row>
    <row r="17" spans="4:8">
      <c r="D17" s="58">
        <f t="shared" si="1"/>
        <v>0</v>
      </c>
      <c r="H17" s="58">
        <f t="shared" si="2"/>
        <v>0</v>
      </c>
    </row>
    <row r="18" spans="4:8">
      <c r="D18" s="58">
        <f t="shared" si="1"/>
        <v>0</v>
      </c>
      <c r="H18" s="58">
        <f t="shared" si="2"/>
        <v>0</v>
      </c>
    </row>
    <row r="19" spans="4:8">
      <c r="D19" s="58">
        <f t="shared" si="1"/>
        <v>0</v>
      </c>
      <c r="H19" s="58">
        <f t="shared" si="2"/>
        <v>0</v>
      </c>
    </row>
    <row r="20" spans="4:8">
      <c r="D20" s="58">
        <f t="shared" si="1"/>
        <v>0</v>
      </c>
    </row>
    <row r="21" spans="4:8">
      <c r="D21" s="58">
        <f t="shared" si="1"/>
        <v>0</v>
      </c>
    </row>
    <row r="22" spans="4:8">
      <c r="D22" s="58">
        <f t="shared" si="1"/>
        <v>0</v>
      </c>
    </row>
    <row r="23" spans="4:8">
      <c r="D23" s="58">
        <f t="shared" si="1"/>
        <v>0</v>
      </c>
    </row>
    <row r="24" spans="4:8">
      <c r="D24" s="58">
        <f t="shared" si="1"/>
        <v>0</v>
      </c>
    </row>
    <row r="25" spans="4:8">
      <c r="D25" s="58">
        <f t="shared" si="1"/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TOP</vt:lpstr>
      <vt:lpstr>装備</vt:lpstr>
      <vt:lpstr>狩場</vt:lpstr>
      <vt:lpstr>スキル</vt:lpstr>
      <vt:lpstr>計算式</vt:lpstr>
      <vt:lpstr>memo</vt:lpstr>
      <vt:lpstr>そうば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hayato</cp:lastModifiedBy>
  <dcterms:created xsi:type="dcterms:W3CDTF">2010-05-11T04:40:34Z</dcterms:created>
  <dcterms:modified xsi:type="dcterms:W3CDTF">2011-05-09T12:15:20Z</dcterms:modified>
</cp:coreProperties>
</file>