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714"/>
  </bookViews>
  <sheets>
    <sheet name="LP" sheetId="1" r:id="rId1"/>
  </sheets>
  <calcPr calcId="145621" iterateDelta="1E-4"/>
</workbook>
</file>

<file path=xl/calcChain.xml><?xml version="1.0" encoding="utf-8"?>
<calcChain xmlns="http://schemas.openxmlformats.org/spreadsheetml/2006/main">
  <c r="K157" i="1" l="1"/>
  <c r="J157" i="1"/>
  <c r="I157" i="1"/>
  <c r="H157" i="1"/>
  <c r="G157" i="1"/>
  <c r="K178" i="1" l="1"/>
  <c r="K179" i="1"/>
  <c r="K186" i="1"/>
  <c r="K187" i="1"/>
  <c r="K180" i="1"/>
  <c r="K181" i="1"/>
  <c r="K182" i="1"/>
  <c r="K183" i="1"/>
  <c r="K184" i="1"/>
  <c r="K185" i="1"/>
  <c r="J178" i="1"/>
  <c r="J179" i="1"/>
  <c r="J180" i="1"/>
  <c r="J181" i="1"/>
  <c r="J182" i="1"/>
  <c r="J183" i="1"/>
  <c r="J184" i="1"/>
  <c r="J185" i="1"/>
  <c r="I178" i="1"/>
  <c r="I179" i="1"/>
  <c r="I186" i="1"/>
  <c r="I187" i="1"/>
  <c r="I180" i="1"/>
  <c r="I181" i="1"/>
  <c r="I182" i="1"/>
  <c r="I183" i="1"/>
  <c r="I184" i="1"/>
  <c r="I185" i="1"/>
  <c r="G178" i="1"/>
  <c r="G179" i="1"/>
  <c r="G180" i="1"/>
  <c r="H178" i="1"/>
  <c r="H179" i="1"/>
  <c r="H186" i="1"/>
  <c r="H187" i="1"/>
  <c r="H180" i="1"/>
  <c r="H181" i="1"/>
  <c r="H182" i="1"/>
  <c r="H183" i="1"/>
  <c r="H184" i="1"/>
  <c r="H185" i="1"/>
  <c r="K61" i="1"/>
  <c r="J61" i="1"/>
  <c r="I61" i="1"/>
  <c r="H61" i="1"/>
  <c r="G61" i="1"/>
  <c r="K77" i="1"/>
  <c r="J77" i="1"/>
  <c r="I77" i="1"/>
  <c r="H77" i="1"/>
  <c r="G77" i="1"/>
  <c r="K93" i="1"/>
  <c r="J93" i="1"/>
  <c r="I93" i="1"/>
  <c r="H93" i="1"/>
  <c r="G93" i="1"/>
  <c r="K109" i="1"/>
  <c r="J109" i="1"/>
  <c r="I109" i="1"/>
  <c r="H109" i="1"/>
  <c r="G109" i="1"/>
  <c r="K125" i="1"/>
  <c r="J125" i="1"/>
  <c r="I125" i="1"/>
  <c r="H125" i="1"/>
  <c r="G125" i="1"/>
  <c r="K141" i="1"/>
  <c r="J141" i="1"/>
  <c r="I141" i="1"/>
  <c r="H141" i="1"/>
  <c r="G141" i="1"/>
  <c r="K173" i="1"/>
  <c r="J173" i="1"/>
  <c r="I173" i="1"/>
  <c r="H173" i="1"/>
  <c r="G173" i="1"/>
  <c r="G186" i="1"/>
  <c r="G187" i="1"/>
  <c r="G181" i="1"/>
  <c r="G182" i="1"/>
  <c r="G183" i="1"/>
  <c r="G184" i="1"/>
  <c r="G185" i="1"/>
  <c r="K164" i="1"/>
  <c r="K165" i="1"/>
  <c r="K166" i="1"/>
  <c r="K167" i="1"/>
  <c r="K168" i="1"/>
  <c r="K169" i="1"/>
  <c r="K170" i="1"/>
  <c r="K171" i="1"/>
  <c r="J164" i="1"/>
  <c r="J165" i="1"/>
  <c r="J166" i="1"/>
  <c r="J167" i="1"/>
  <c r="J169" i="1"/>
  <c r="J168" i="1"/>
  <c r="J170" i="1"/>
  <c r="J171" i="1"/>
  <c r="I164" i="1"/>
  <c r="I165" i="1"/>
  <c r="I166" i="1"/>
  <c r="I167" i="1"/>
  <c r="I168" i="1"/>
  <c r="I169" i="1"/>
  <c r="I170" i="1"/>
  <c r="I171" i="1"/>
  <c r="H165" i="1"/>
  <c r="H166" i="1"/>
  <c r="H167" i="1"/>
  <c r="H168" i="1"/>
  <c r="H169" i="1"/>
  <c r="H170" i="1"/>
  <c r="H171" i="1"/>
  <c r="H164" i="1"/>
  <c r="G167" i="1"/>
  <c r="G164" i="1"/>
  <c r="G165" i="1"/>
  <c r="G166" i="1"/>
  <c r="G168" i="1"/>
  <c r="G169" i="1"/>
  <c r="G170" i="1"/>
  <c r="G171" i="1"/>
  <c r="G172" i="1"/>
  <c r="K148" i="1"/>
  <c r="K149" i="1"/>
  <c r="K150" i="1"/>
  <c r="K151" i="1"/>
  <c r="K152" i="1"/>
  <c r="K153" i="1"/>
  <c r="K154" i="1"/>
  <c r="K155" i="1"/>
  <c r="J148" i="1"/>
  <c r="J149" i="1"/>
  <c r="J150" i="1"/>
  <c r="J151" i="1"/>
  <c r="J152" i="1"/>
  <c r="J153" i="1"/>
  <c r="J154" i="1"/>
  <c r="J155" i="1"/>
  <c r="I148" i="1"/>
  <c r="I149" i="1"/>
  <c r="I150" i="1"/>
  <c r="I151" i="1"/>
  <c r="I152" i="1"/>
  <c r="I153" i="1"/>
  <c r="I154" i="1"/>
  <c r="I155" i="1"/>
  <c r="H148" i="1"/>
  <c r="H149" i="1"/>
  <c r="H150" i="1"/>
  <c r="H151" i="1"/>
  <c r="H152" i="1"/>
  <c r="H153" i="1"/>
  <c r="H154" i="1"/>
  <c r="H155" i="1"/>
  <c r="G148" i="1"/>
  <c r="G149" i="1"/>
  <c r="G150" i="1"/>
  <c r="G151" i="1"/>
  <c r="G152" i="1"/>
  <c r="G153" i="1"/>
  <c r="G154" i="1"/>
  <c r="G155" i="1"/>
  <c r="K135" i="1"/>
  <c r="K132" i="1"/>
  <c r="K133" i="1"/>
  <c r="K134" i="1"/>
  <c r="K136" i="1"/>
  <c r="K137" i="1"/>
  <c r="K138" i="1"/>
  <c r="K139" i="1"/>
  <c r="J132" i="1"/>
  <c r="J133" i="1"/>
  <c r="J134" i="1"/>
  <c r="J135" i="1"/>
  <c r="J136" i="1"/>
  <c r="J137" i="1"/>
  <c r="J138" i="1"/>
  <c r="J139" i="1"/>
  <c r="I132" i="1"/>
  <c r="I133" i="1"/>
  <c r="I134" i="1"/>
  <c r="G132" i="1"/>
  <c r="G133" i="1"/>
  <c r="H132" i="1"/>
  <c r="H133" i="1"/>
  <c r="H134" i="1"/>
  <c r="H135" i="1"/>
  <c r="I136" i="1"/>
  <c r="I137" i="1"/>
  <c r="I138" i="1"/>
  <c r="I139" i="1"/>
  <c r="I135" i="1"/>
  <c r="H136" i="1"/>
  <c r="H137" i="1"/>
  <c r="H138" i="1"/>
  <c r="H139" i="1"/>
  <c r="G134" i="1"/>
  <c r="G135" i="1"/>
  <c r="G136" i="1"/>
  <c r="G137" i="1"/>
  <c r="G138" i="1"/>
  <c r="G139" i="1"/>
  <c r="K116" i="1"/>
  <c r="K117" i="1"/>
  <c r="K118" i="1"/>
  <c r="K119" i="1"/>
  <c r="K120" i="1"/>
  <c r="K121" i="1"/>
  <c r="K122" i="1"/>
  <c r="K123" i="1"/>
  <c r="J116" i="1"/>
  <c r="J117" i="1"/>
  <c r="J118" i="1"/>
  <c r="J119" i="1"/>
  <c r="J120" i="1"/>
  <c r="J121" i="1"/>
  <c r="J122" i="1"/>
  <c r="J123" i="1"/>
  <c r="I116" i="1"/>
  <c r="I117" i="1"/>
  <c r="I118" i="1"/>
  <c r="I119" i="1"/>
  <c r="I120" i="1"/>
  <c r="I121" i="1"/>
  <c r="I122" i="1"/>
  <c r="I123" i="1"/>
  <c r="H116" i="1"/>
  <c r="H117" i="1"/>
  <c r="H118" i="1"/>
  <c r="H119" i="1"/>
  <c r="H120" i="1"/>
  <c r="H121" i="1"/>
  <c r="H122" i="1"/>
  <c r="H123" i="1"/>
  <c r="G116" i="1"/>
  <c r="G117" i="1"/>
  <c r="G118" i="1"/>
  <c r="G119" i="1"/>
  <c r="G120" i="1"/>
  <c r="G121" i="1"/>
  <c r="G122" i="1"/>
  <c r="G123" i="1"/>
  <c r="K104" i="1"/>
  <c r="K100" i="1"/>
  <c r="K101" i="1"/>
  <c r="K102" i="1"/>
  <c r="K103" i="1"/>
  <c r="K105" i="1"/>
  <c r="K106" i="1"/>
  <c r="K107" i="1"/>
  <c r="J100" i="1"/>
  <c r="J101" i="1"/>
  <c r="J102" i="1"/>
  <c r="J103" i="1"/>
  <c r="J104" i="1"/>
  <c r="J105" i="1"/>
  <c r="J106" i="1"/>
  <c r="J107" i="1"/>
  <c r="I101" i="1"/>
  <c r="I102" i="1"/>
  <c r="I103" i="1"/>
  <c r="I104" i="1"/>
  <c r="I105" i="1"/>
  <c r="I106" i="1"/>
  <c r="I107" i="1"/>
  <c r="I100" i="1"/>
  <c r="H101" i="1"/>
  <c r="H102" i="1"/>
  <c r="H103" i="1"/>
  <c r="H104" i="1"/>
  <c r="H105" i="1"/>
  <c r="H106" i="1"/>
  <c r="H107" i="1"/>
  <c r="H100" i="1"/>
  <c r="G101" i="1"/>
  <c r="G102" i="1"/>
  <c r="G103" i="1"/>
  <c r="G104" i="1"/>
  <c r="G105" i="1"/>
  <c r="G106" i="1"/>
  <c r="G107" i="1"/>
  <c r="G100" i="1"/>
  <c r="K84" i="1"/>
  <c r="K85" i="1"/>
  <c r="K86" i="1"/>
  <c r="K87" i="1"/>
  <c r="K88" i="1"/>
  <c r="K89" i="1"/>
  <c r="K90" i="1"/>
  <c r="K91" i="1"/>
  <c r="J84" i="1"/>
  <c r="J85" i="1"/>
  <c r="J86" i="1"/>
  <c r="J87" i="1"/>
  <c r="J88" i="1"/>
  <c r="J89" i="1"/>
  <c r="J90" i="1"/>
  <c r="J91" i="1"/>
  <c r="I84" i="1"/>
  <c r="I85" i="1"/>
  <c r="I86" i="1"/>
  <c r="I87" i="1"/>
  <c r="I88" i="1"/>
  <c r="I89" i="1"/>
  <c r="I90" i="1"/>
  <c r="I91" i="1"/>
  <c r="H84" i="1"/>
  <c r="H85" i="1"/>
  <c r="H86" i="1"/>
  <c r="H87" i="1"/>
  <c r="H88" i="1"/>
  <c r="H89" i="1"/>
  <c r="H90" i="1"/>
  <c r="H91" i="1"/>
  <c r="G85" i="1"/>
  <c r="G86" i="1"/>
  <c r="G87" i="1"/>
  <c r="G88" i="1"/>
  <c r="G89" i="1"/>
  <c r="G90" i="1"/>
  <c r="G84" i="1"/>
  <c r="G91" i="1"/>
  <c r="K71" i="1"/>
  <c r="K68" i="1"/>
  <c r="K69" i="1"/>
  <c r="K70" i="1"/>
  <c r="K72" i="1"/>
  <c r="K73" i="1"/>
  <c r="K74" i="1"/>
  <c r="K75" i="1"/>
  <c r="J68" i="1"/>
  <c r="J69" i="1"/>
  <c r="J70" i="1"/>
  <c r="J71" i="1"/>
  <c r="J72" i="1"/>
  <c r="J73" i="1"/>
  <c r="J74" i="1"/>
  <c r="J75" i="1"/>
  <c r="I69" i="1"/>
  <c r="I70" i="1"/>
  <c r="I71" i="1"/>
  <c r="I72" i="1"/>
  <c r="I73" i="1"/>
  <c r="I74" i="1"/>
  <c r="I75" i="1"/>
  <c r="I68" i="1"/>
  <c r="H71" i="1"/>
  <c r="H69" i="1"/>
  <c r="H70" i="1"/>
  <c r="H72" i="1"/>
  <c r="H73" i="1"/>
  <c r="H74" i="1"/>
  <c r="H75" i="1"/>
  <c r="H68" i="1"/>
  <c r="G69" i="1"/>
  <c r="G70" i="1"/>
  <c r="G71" i="1"/>
  <c r="G72" i="1"/>
  <c r="G75" i="1"/>
  <c r="G73" i="1"/>
  <c r="G74" i="1"/>
  <c r="G68" i="1"/>
  <c r="K53" i="1"/>
  <c r="K54" i="1"/>
  <c r="K55" i="1"/>
  <c r="K56" i="1"/>
  <c r="K57" i="1"/>
  <c r="K58" i="1"/>
  <c r="K59" i="1"/>
  <c r="K52" i="1"/>
  <c r="J53" i="1"/>
  <c r="J54" i="1"/>
  <c r="J55" i="1"/>
  <c r="J56" i="1"/>
  <c r="J57" i="1"/>
  <c r="J58" i="1"/>
  <c r="J59" i="1"/>
  <c r="J52" i="1"/>
  <c r="I53" i="1"/>
  <c r="I54" i="1"/>
  <c r="I55" i="1"/>
  <c r="I56" i="1"/>
  <c r="I57" i="1"/>
  <c r="I58" i="1"/>
  <c r="I59" i="1"/>
  <c r="I52" i="1"/>
  <c r="H53" i="1"/>
  <c r="H54" i="1"/>
  <c r="H55" i="1"/>
  <c r="H56" i="1"/>
  <c r="H57" i="1"/>
  <c r="H58" i="1"/>
  <c r="H59" i="1"/>
  <c r="G53" i="1"/>
  <c r="H52" i="1"/>
  <c r="G54" i="1"/>
  <c r="G55" i="1"/>
  <c r="G56" i="1"/>
  <c r="G57" i="1"/>
  <c r="G58" i="1"/>
  <c r="G59" i="1"/>
  <c r="G52" i="1"/>
  <c r="K40" i="1"/>
  <c r="K41" i="1"/>
  <c r="K42" i="1"/>
  <c r="K43" i="1"/>
  <c r="J39" i="1"/>
  <c r="J40" i="1"/>
  <c r="J41" i="1"/>
  <c r="J42" i="1"/>
  <c r="J43" i="1"/>
  <c r="I41" i="1"/>
  <c r="I42" i="1"/>
  <c r="I43" i="1"/>
  <c r="I40" i="1"/>
  <c r="H43" i="1"/>
  <c r="H42" i="1"/>
  <c r="G42" i="1"/>
  <c r="G43" i="1"/>
  <c r="G41" i="1"/>
  <c r="H41" i="1"/>
  <c r="H40" i="1"/>
  <c r="G40" i="1"/>
  <c r="K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H5" i="1"/>
  <c r="J5" i="1"/>
  <c r="K5" i="1"/>
  <c r="I5" i="1"/>
  <c r="G5" i="1"/>
  <c r="J7" i="1"/>
  <c r="K7" i="1"/>
  <c r="I7" i="1"/>
  <c r="H7" i="1"/>
  <c r="G7" i="1"/>
  <c r="U182" i="1"/>
  <c r="T182" i="1"/>
  <c r="S182" i="1"/>
  <c r="R182" i="1"/>
  <c r="Q182" i="1"/>
  <c r="P182" i="1"/>
  <c r="O182" i="1"/>
  <c r="N182" i="1"/>
  <c r="U181" i="1"/>
  <c r="T181" i="1"/>
  <c r="S181" i="1"/>
  <c r="R181" i="1"/>
  <c r="Q181" i="1"/>
  <c r="P181" i="1"/>
  <c r="O181" i="1"/>
  <c r="N181" i="1"/>
  <c r="U180" i="1"/>
  <c r="T180" i="1"/>
  <c r="S180" i="1"/>
  <c r="R180" i="1"/>
  <c r="Q180" i="1"/>
  <c r="P180" i="1"/>
  <c r="O180" i="1"/>
  <c r="N180" i="1"/>
  <c r="U179" i="1"/>
  <c r="T179" i="1"/>
  <c r="S179" i="1"/>
  <c r="R179" i="1"/>
  <c r="Q179" i="1"/>
  <c r="P179" i="1"/>
  <c r="O179" i="1"/>
  <c r="N179" i="1"/>
  <c r="U178" i="1"/>
  <c r="U183" i="1"/>
  <c r="T178" i="1"/>
  <c r="T183" i="1"/>
  <c r="S178" i="1"/>
  <c r="S183" i="1"/>
  <c r="R178" i="1"/>
  <c r="R183" i="1"/>
  <c r="Q178" i="1"/>
  <c r="Q183" i="1"/>
  <c r="P178" i="1"/>
  <c r="P183" i="1"/>
  <c r="O178" i="1"/>
  <c r="O183" i="1"/>
  <c r="N178" i="1"/>
  <c r="N183" i="1"/>
  <c r="J24" i="1"/>
  <c r="K24" i="1"/>
  <c r="G24" i="1"/>
  <c r="U40" i="1"/>
  <c r="T40" i="1"/>
  <c r="S40" i="1"/>
  <c r="R40" i="1"/>
  <c r="Q40" i="1"/>
  <c r="P40" i="1"/>
  <c r="O40" i="1"/>
  <c r="N40" i="1"/>
  <c r="U39" i="1"/>
  <c r="T39" i="1"/>
  <c r="S39" i="1"/>
  <c r="R39" i="1"/>
  <c r="Q39" i="1"/>
  <c r="P39" i="1"/>
  <c r="O39" i="1"/>
  <c r="N39" i="1"/>
  <c r="U38" i="1"/>
  <c r="T38" i="1"/>
  <c r="S38" i="1"/>
  <c r="R38" i="1"/>
  <c r="Q38" i="1"/>
  <c r="P38" i="1"/>
  <c r="O38" i="1"/>
  <c r="N38" i="1"/>
  <c r="U37" i="1"/>
  <c r="T37" i="1"/>
  <c r="S37" i="1"/>
  <c r="R37" i="1"/>
  <c r="Q37" i="1"/>
  <c r="P37" i="1"/>
  <c r="O37" i="1"/>
  <c r="N37" i="1"/>
  <c r="U36" i="1"/>
  <c r="T36" i="1"/>
  <c r="T41" i="1"/>
  <c r="S36" i="1"/>
  <c r="S41" i="1"/>
  <c r="R36" i="1"/>
  <c r="R41" i="1"/>
  <c r="Q36" i="1"/>
  <c r="P36" i="1"/>
  <c r="P41" i="1"/>
  <c r="O36" i="1"/>
  <c r="O41" i="1"/>
  <c r="N36" i="1"/>
  <c r="N41" i="1"/>
  <c r="G36" i="1"/>
  <c r="N4" i="1"/>
  <c r="O4" i="1"/>
  <c r="P4" i="1"/>
  <c r="Q4" i="1"/>
  <c r="R4" i="1"/>
  <c r="S4" i="1"/>
  <c r="T4" i="1"/>
  <c r="U4" i="1"/>
  <c r="N5" i="1"/>
  <c r="O5" i="1"/>
  <c r="P5" i="1"/>
  <c r="Q5" i="1"/>
  <c r="R5" i="1"/>
  <c r="S5" i="1"/>
  <c r="T5" i="1"/>
  <c r="U5" i="1"/>
  <c r="N6" i="1"/>
  <c r="O6" i="1"/>
  <c r="P6" i="1"/>
  <c r="Q6" i="1"/>
  <c r="R6" i="1"/>
  <c r="S6" i="1"/>
  <c r="T6" i="1"/>
  <c r="U6" i="1"/>
  <c r="N7" i="1"/>
  <c r="O7" i="1"/>
  <c r="P7" i="1"/>
  <c r="Q7" i="1"/>
  <c r="R7" i="1"/>
  <c r="S7" i="1"/>
  <c r="T7" i="1"/>
  <c r="U7" i="1"/>
  <c r="N8" i="1"/>
  <c r="O8" i="1"/>
  <c r="P8" i="1"/>
  <c r="Q8" i="1"/>
  <c r="R8" i="1"/>
  <c r="S8" i="1"/>
  <c r="T8" i="1"/>
  <c r="U8" i="1"/>
  <c r="N20" i="1"/>
  <c r="O20" i="1"/>
  <c r="P20" i="1"/>
  <c r="Q20" i="1"/>
  <c r="R20" i="1"/>
  <c r="S20" i="1"/>
  <c r="T20" i="1"/>
  <c r="U20" i="1"/>
  <c r="N21" i="1"/>
  <c r="O21" i="1"/>
  <c r="P21" i="1"/>
  <c r="Q21" i="1"/>
  <c r="R21" i="1"/>
  <c r="S21" i="1"/>
  <c r="T21" i="1"/>
  <c r="U21" i="1"/>
  <c r="N22" i="1"/>
  <c r="O22" i="1"/>
  <c r="P22" i="1"/>
  <c r="Q22" i="1"/>
  <c r="R22" i="1"/>
  <c r="S22" i="1"/>
  <c r="T22" i="1"/>
  <c r="U22" i="1"/>
  <c r="N23" i="1"/>
  <c r="O23" i="1"/>
  <c r="P23" i="1"/>
  <c r="Q23" i="1"/>
  <c r="R23" i="1"/>
  <c r="S23" i="1"/>
  <c r="T23" i="1"/>
  <c r="U23" i="1"/>
  <c r="N24" i="1"/>
  <c r="N25" i="1"/>
  <c r="J20" i="1"/>
  <c r="O24" i="1"/>
  <c r="P24" i="1"/>
  <c r="Q24" i="1"/>
  <c r="R24" i="1"/>
  <c r="R25" i="1"/>
  <c r="I24" i="1"/>
  <c r="S24" i="1"/>
  <c r="S25" i="1"/>
  <c r="T24" i="1"/>
  <c r="U24" i="1"/>
  <c r="N52" i="1"/>
  <c r="O52" i="1"/>
  <c r="P52" i="1"/>
  <c r="Q52" i="1"/>
  <c r="R52" i="1"/>
  <c r="S52" i="1"/>
  <c r="T52" i="1"/>
  <c r="U52" i="1"/>
  <c r="N53" i="1"/>
  <c r="O53" i="1"/>
  <c r="P53" i="1"/>
  <c r="Q53" i="1"/>
  <c r="R53" i="1"/>
  <c r="S53" i="1"/>
  <c r="T53" i="1"/>
  <c r="U53" i="1"/>
  <c r="N54" i="1"/>
  <c r="O54" i="1"/>
  <c r="P54" i="1"/>
  <c r="Q54" i="1"/>
  <c r="R54" i="1"/>
  <c r="S54" i="1"/>
  <c r="T54" i="1"/>
  <c r="U54" i="1"/>
  <c r="N55" i="1"/>
  <c r="O55" i="1"/>
  <c r="P55" i="1"/>
  <c r="Q55" i="1"/>
  <c r="R55" i="1"/>
  <c r="S55" i="1"/>
  <c r="T55" i="1"/>
  <c r="U55" i="1"/>
  <c r="N56" i="1"/>
  <c r="O56" i="1"/>
  <c r="P56" i="1"/>
  <c r="Q56" i="1"/>
  <c r="R56" i="1"/>
  <c r="S56" i="1"/>
  <c r="T56" i="1"/>
  <c r="U56" i="1"/>
  <c r="N68" i="1"/>
  <c r="O68" i="1"/>
  <c r="P68" i="1"/>
  <c r="Q68" i="1"/>
  <c r="R68" i="1"/>
  <c r="S68" i="1"/>
  <c r="T68" i="1"/>
  <c r="U68" i="1"/>
  <c r="N69" i="1"/>
  <c r="O69" i="1"/>
  <c r="P69" i="1"/>
  <c r="Q69" i="1"/>
  <c r="R69" i="1"/>
  <c r="S69" i="1"/>
  <c r="T69" i="1"/>
  <c r="U69" i="1"/>
  <c r="N70" i="1"/>
  <c r="O70" i="1"/>
  <c r="P70" i="1"/>
  <c r="Q70" i="1"/>
  <c r="R70" i="1"/>
  <c r="S70" i="1"/>
  <c r="T70" i="1"/>
  <c r="U70" i="1"/>
  <c r="N71" i="1"/>
  <c r="O71" i="1"/>
  <c r="P71" i="1"/>
  <c r="Q71" i="1"/>
  <c r="R71" i="1"/>
  <c r="S71" i="1"/>
  <c r="T71" i="1"/>
  <c r="U71" i="1"/>
  <c r="N72" i="1"/>
  <c r="O72" i="1"/>
  <c r="P72" i="1"/>
  <c r="Q72" i="1"/>
  <c r="R72" i="1"/>
  <c r="S72" i="1"/>
  <c r="T72" i="1"/>
  <c r="U72" i="1"/>
  <c r="N73" i="1"/>
  <c r="N84" i="1"/>
  <c r="O84" i="1"/>
  <c r="P84" i="1"/>
  <c r="Q84" i="1"/>
  <c r="R84" i="1"/>
  <c r="S84" i="1"/>
  <c r="T84" i="1"/>
  <c r="U84" i="1"/>
  <c r="N85" i="1"/>
  <c r="O85" i="1"/>
  <c r="P85" i="1"/>
  <c r="Q85" i="1"/>
  <c r="R85" i="1"/>
  <c r="S85" i="1"/>
  <c r="T85" i="1"/>
  <c r="U85" i="1"/>
  <c r="N86" i="1"/>
  <c r="O86" i="1"/>
  <c r="P86" i="1"/>
  <c r="Q86" i="1"/>
  <c r="R86" i="1"/>
  <c r="S86" i="1"/>
  <c r="T86" i="1"/>
  <c r="U86" i="1"/>
  <c r="N87" i="1"/>
  <c r="O87" i="1"/>
  <c r="P87" i="1"/>
  <c r="Q87" i="1"/>
  <c r="R87" i="1"/>
  <c r="S87" i="1"/>
  <c r="T87" i="1"/>
  <c r="U87" i="1"/>
  <c r="N88" i="1"/>
  <c r="O88" i="1"/>
  <c r="O89" i="1"/>
  <c r="P88" i="1"/>
  <c r="Q88" i="1"/>
  <c r="R88" i="1"/>
  <c r="S88" i="1"/>
  <c r="S89" i="1"/>
  <c r="T88" i="1"/>
  <c r="U88" i="1"/>
  <c r="N100" i="1"/>
  <c r="O100" i="1"/>
  <c r="P100" i="1"/>
  <c r="Q100" i="1"/>
  <c r="R100" i="1"/>
  <c r="S100" i="1"/>
  <c r="T100" i="1"/>
  <c r="U100" i="1"/>
  <c r="N101" i="1"/>
  <c r="O101" i="1"/>
  <c r="P101" i="1"/>
  <c r="Q101" i="1"/>
  <c r="R101" i="1"/>
  <c r="S101" i="1"/>
  <c r="T101" i="1"/>
  <c r="U101" i="1"/>
  <c r="N102" i="1"/>
  <c r="O102" i="1"/>
  <c r="P102" i="1"/>
  <c r="Q102" i="1"/>
  <c r="R102" i="1"/>
  <c r="S102" i="1"/>
  <c r="T102" i="1"/>
  <c r="U102" i="1"/>
  <c r="N103" i="1"/>
  <c r="O103" i="1"/>
  <c r="P103" i="1"/>
  <c r="Q103" i="1"/>
  <c r="R103" i="1"/>
  <c r="S103" i="1"/>
  <c r="T103" i="1"/>
  <c r="U103" i="1"/>
  <c r="N104" i="1"/>
  <c r="O104" i="1"/>
  <c r="P104" i="1"/>
  <c r="Q104" i="1"/>
  <c r="R104" i="1"/>
  <c r="S104" i="1"/>
  <c r="T104" i="1"/>
  <c r="U104" i="1"/>
  <c r="Q105" i="1"/>
  <c r="N116" i="1"/>
  <c r="O116" i="1"/>
  <c r="P116" i="1"/>
  <c r="Q116" i="1"/>
  <c r="R116" i="1"/>
  <c r="S116" i="1"/>
  <c r="T116" i="1"/>
  <c r="U116" i="1"/>
  <c r="N117" i="1"/>
  <c r="O117" i="1"/>
  <c r="P117" i="1"/>
  <c r="Q117" i="1"/>
  <c r="R117" i="1"/>
  <c r="S117" i="1"/>
  <c r="T117" i="1"/>
  <c r="U117" i="1"/>
  <c r="N118" i="1"/>
  <c r="O118" i="1"/>
  <c r="P118" i="1"/>
  <c r="Q118" i="1"/>
  <c r="R118" i="1"/>
  <c r="S118" i="1"/>
  <c r="T118" i="1"/>
  <c r="U118" i="1"/>
  <c r="N119" i="1"/>
  <c r="O119" i="1"/>
  <c r="P119" i="1"/>
  <c r="Q119" i="1"/>
  <c r="R119" i="1"/>
  <c r="S119" i="1"/>
  <c r="T119" i="1"/>
  <c r="U119" i="1"/>
  <c r="N120" i="1"/>
  <c r="O120" i="1"/>
  <c r="P120" i="1"/>
  <c r="Q120" i="1"/>
  <c r="R120" i="1"/>
  <c r="S120" i="1"/>
  <c r="T120" i="1"/>
  <c r="U120" i="1"/>
  <c r="N132" i="1"/>
  <c r="O132" i="1"/>
  <c r="P132" i="1"/>
  <c r="Q132" i="1"/>
  <c r="R132" i="1"/>
  <c r="S132" i="1"/>
  <c r="T132" i="1"/>
  <c r="U132" i="1"/>
  <c r="N133" i="1"/>
  <c r="O133" i="1"/>
  <c r="P133" i="1"/>
  <c r="Q133" i="1"/>
  <c r="R133" i="1"/>
  <c r="S133" i="1"/>
  <c r="T133" i="1"/>
  <c r="U133" i="1"/>
  <c r="N134" i="1"/>
  <c r="O134" i="1"/>
  <c r="P134" i="1"/>
  <c r="Q134" i="1"/>
  <c r="R134" i="1"/>
  <c r="S134" i="1"/>
  <c r="T134" i="1"/>
  <c r="U134" i="1"/>
  <c r="N135" i="1"/>
  <c r="O135" i="1"/>
  <c r="P135" i="1"/>
  <c r="Q135" i="1"/>
  <c r="R135" i="1"/>
  <c r="S135" i="1"/>
  <c r="T135" i="1"/>
  <c r="U135" i="1"/>
  <c r="N136" i="1"/>
  <c r="O136" i="1"/>
  <c r="P136" i="1"/>
  <c r="Q136" i="1"/>
  <c r="R136" i="1"/>
  <c r="S136" i="1"/>
  <c r="T136" i="1"/>
  <c r="U136" i="1"/>
  <c r="N148" i="1"/>
  <c r="O148" i="1"/>
  <c r="P148" i="1"/>
  <c r="Q148" i="1"/>
  <c r="R148" i="1"/>
  <c r="S148" i="1"/>
  <c r="T148" i="1"/>
  <c r="U148" i="1"/>
  <c r="N149" i="1"/>
  <c r="O149" i="1"/>
  <c r="P149" i="1"/>
  <c r="Q149" i="1"/>
  <c r="R149" i="1"/>
  <c r="S149" i="1"/>
  <c r="T149" i="1"/>
  <c r="U149" i="1"/>
  <c r="N150" i="1"/>
  <c r="O150" i="1"/>
  <c r="P150" i="1"/>
  <c r="Q150" i="1"/>
  <c r="R150" i="1"/>
  <c r="S150" i="1"/>
  <c r="T150" i="1"/>
  <c r="U150" i="1"/>
  <c r="N151" i="1"/>
  <c r="O151" i="1"/>
  <c r="P151" i="1"/>
  <c r="Q151" i="1"/>
  <c r="R151" i="1"/>
  <c r="S151" i="1"/>
  <c r="T151" i="1"/>
  <c r="U151" i="1"/>
  <c r="N152" i="1"/>
  <c r="N153" i="1"/>
  <c r="O152" i="1"/>
  <c r="O153" i="1"/>
  <c r="P152" i="1"/>
  <c r="Q152" i="1"/>
  <c r="R152" i="1"/>
  <c r="S152" i="1"/>
  <c r="T152" i="1"/>
  <c r="U152" i="1"/>
  <c r="R153" i="1"/>
  <c r="S153" i="1"/>
  <c r="N164" i="1"/>
  <c r="O164" i="1"/>
  <c r="P164" i="1"/>
  <c r="Q164" i="1"/>
  <c r="R164" i="1"/>
  <c r="S164" i="1"/>
  <c r="T164" i="1"/>
  <c r="U164" i="1"/>
  <c r="N165" i="1"/>
  <c r="O165" i="1"/>
  <c r="P165" i="1"/>
  <c r="Q165" i="1"/>
  <c r="R165" i="1"/>
  <c r="S165" i="1"/>
  <c r="T165" i="1"/>
  <c r="U165" i="1"/>
  <c r="N166" i="1"/>
  <c r="O166" i="1"/>
  <c r="P166" i="1"/>
  <c r="Q166" i="1"/>
  <c r="R166" i="1"/>
  <c r="S166" i="1"/>
  <c r="T166" i="1"/>
  <c r="U166" i="1"/>
  <c r="N167" i="1"/>
  <c r="O167" i="1"/>
  <c r="P167" i="1"/>
  <c r="Q167" i="1"/>
  <c r="R167" i="1"/>
  <c r="S167" i="1"/>
  <c r="T167" i="1"/>
  <c r="U167" i="1"/>
  <c r="N168" i="1"/>
  <c r="O168" i="1"/>
  <c r="P168" i="1"/>
  <c r="Q168" i="1"/>
  <c r="R168" i="1"/>
  <c r="S168" i="1"/>
  <c r="T168" i="1"/>
  <c r="U168" i="1"/>
  <c r="J186" i="1"/>
  <c r="J187" i="1"/>
  <c r="K25" i="1"/>
  <c r="I25" i="1"/>
  <c r="H25" i="1"/>
  <c r="G25" i="1"/>
  <c r="J25" i="1"/>
  <c r="N121" i="1"/>
  <c r="S73" i="1"/>
  <c r="O25" i="1"/>
  <c r="S9" i="1"/>
  <c r="H9" i="1"/>
  <c r="O9" i="1"/>
  <c r="H20" i="1"/>
  <c r="I20" i="1"/>
  <c r="K20" i="1"/>
  <c r="H24" i="1"/>
  <c r="R121" i="1"/>
  <c r="T73" i="1"/>
  <c r="O73" i="1"/>
  <c r="P89" i="1"/>
  <c r="N9" i="1"/>
  <c r="G4" i="1"/>
  <c r="Q41" i="1"/>
  <c r="U41" i="1"/>
  <c r="G20" i="1"/>
  <c r="U153" i="1"/>
  <c r="Q153" i="1"/>
  <c r="T153" i="1"/>
  <c r="P153" i="1"/>
  <c r="T169" i="1"/>
  <c r="P169" i="1"/>
  <c r="Q137" i="1"/>
  <c r="U137" i="1"/>
  <c r="R137" i="1"/>
  <c r="N137" i="1"/>
  <c r="U121" i="1"/>
  <c r="Q121" i="1"/>
  <c r="P105" i="1"/>
  <c r="N89" i="1"/>
  <c r="U89" i="1"/>
  <c r="Q89" i="1"/>
  <c r="R89" i="1"/>
  <c r="U105" i="1"/>
  <c r="P73" i="1"/>
  <c r="R73" i="1"/>
  <c r="S57" i="1"/>
  <c r="T57" i="1"/>
  <c r="P57" i="1"/>
  <c r="R57" i="1"/>
  <c r="O57" i="1"/>
  <c r="U25" i="1"/>
  <c r="Q25" i="1"/>
  <c r="U9" i="1"/>
  <c r="I11" i="1"/>
  <c r="Q9" i="1"/>
  <c r="R9" i="1"/>
  <c r="J8" i="1"/>
  <c r="S169" i="1"/>
  <c r="O169" i="1"/>
  <c r="R169" i="1"/>
  <c r="N169" i="1"/>
  <c r="K8" i="1"/>
  <c r="U169" i="1"/>
  <c r="Q169" i="1"/>
  <c r="S121" i="1"/>
  <c r="T121" i="1"/>
  <c r="T105" i="1"/>
  <c r="T89" i="1"/>
  <c r="O121" i="1"/>
  <c r="P121" i="1"/>
  <c r="S137" i="1"/>
  <c r="O137" i="1"/>
  <c r="T137" i="1"/>
  <c r="P137" i="1"/>
  <c r="S105" i="1"/>
  <c r="O105" i="1"/>
  <c r="U73" i="1"/>
  <c r="Q73" i="1"/>
  <c r="T25" i="1"/>
  <c r="P25" i="1"/>
  <c r="R105" i="1"/>
  <c r="N105" i="1"/>
  <c r="N57" i="1"/>
  <c r="U57" i="1"/>
  <c r="Q57" i="1"/>
  <c r="H4" i="1"/>
  <c r="J4" i="1"/>
  <c r="T9" i="1"/>
  <c r="P9" i="1"/>
  <c r="J9" i="1"/>
  <c r="G9" i="1"/>
  <c r="K9" i="1"/>
  <c r="I9" i="1"/>
  <c r="I4" i="1"/>
  <c r="G11" i="1"/>
  <c r="I8" i="1"/>
  <c r="K23" i="1"/>
  <c r="I23" i="1"/>
  <c r="G23" i="1"/>
  <c r="J23" i="1"/>
  <c r="H23" i="1"/>
  <c r="K22" i="1"/>
  <c r="I22" i="1"/>
  <c r="G22" i="1"/>
  <c r="J22" i="1"/>
  <c r="H22" i="1"/>
  <c r="I27" i="1"/>
  <c r="H27" i="1"/>
  <c r="J27" i="1"/>
  <c r="K27" i="1"/>
  <c r="G27" i="1"/>
  <c r="K21" i="1"/>
  <c r="I21" i="1"/>
  <c r="H21" i="1"/>
  <c r="G21" i="1"/>
  <c r="J21" i="1"/>
  <c r="K4" i="1"/>
  <c r="I26" i="1"/>
  <c r="J26" i="1"/>
  <c r="H26" i="1"/>
  <c r="K26" i="1"/>
  <c r="G26" i="1"/>
  <c r="H8" i="1"/>
  <c r="G8" i="1"/>
  <c r="J11" i="1"/>
  <c r="H11" i="1"/>
  <c r="K11" i="1"/>
  <c r="G10" i="1"/>
  <c r="K10" i="1"/>
  <c r="H10" i="1"/>
  <c r="H12" i="1"/>
  <c r="J10" i="1"/>
  <c r="I10" i="1"/>
  <c r="G6" i="1"/>
  <c r="K6" i="1"/>
  <c r="H6" i="1"/>
  <c r="I6" i="1"/>
  <c r="J6" i="1"/>
  <c r="I12" i="1"/>
  <c r="I13" i="1"/>
  <c r="G12" i="1"/>
  <c r="G13" i="1"/>
  <c r="J12" i="1"/>
  <c r="J13" i="1"/>
  <c r="K12" i="1"/>
  <c r="K13" i="1"/>
  <c r="I28" i="1"/>
  <c r="I44" i="1"/>
  <c r="H13" i="1"/>
  <c r="H28" i="1"/>
  <c r="H44" i="1"/>
  <c r="H45" i="1"/>
  <c r="K28" i="1"/>
  <c r="K44" i="1"/>
  <c r="J28" i="1"/>
  <c r="J44" i="1"/>
  <c r="J45" i="1"/>
  <c r="G28" i="1"/>
  <c r="G44" i="1"/>
  <c r="G60" i="1"/>
  <c r="G76" i="1"/>
  <c r="I45" i="1"/>
  <c r="I60" i="1"/>
  <c r="I76" i="1"/>
  <c r="I92" i="1"/>
  <c r="I108" i="1"/>
  <c r="K45" i="1"/>
  <c r="K60" i="1"/>
  <c r="K76" i="1"/>
  <c r="K92" i="1"/>
  <c r="K108" i="1"/>
  <c r="H60" i="1"/>
  <c r="H76" i="1"/>
  <c r="H92" i="1"/>
  <c r="H108" i="1"/>
  <c r="K29" i="1"/>
  <c r="H29" i="1"/>
  <c r="I29" i="1"/>
  <c r="G29" i="1"/>
  <c r="J29" i="1"/>
  <c r="J60" i="1"/>
  <c r="J76" i="1"/>
  <c r="J92" i="1"/>
  <c r="J108" i="1"/>
  <c r="G45" i="1"/>
  <c r="H124" i="1"/>
  <c r="K124" i="1"/>
  <c r="I124" i="1"/>
  <c r="J124" i="1"/>
  <c r="K140" i="1"/>
  <c r="I140" i="1"/>
  <c r="H140" i="1"/>
  <c r="G92" i="1"/>
  <c r="J140" i="1"/>
  <c r="G108" i="1"/>
  <c r="H156" i="1"/>
  <c r="K156" i="1"/>
  <c r="I156" i="1"/>
  <c r="J156" i="1"/>
  <c r="I172" i="1"/>
  <c r="K172" i="1"/>
  <c r="H172" i="1"/>
  <c r="G124" i="1"/>
  <c r="J172" i="1"/>
  <c r="G140" i="1"/>
  <c r="G156" i="1"/>
</calcChain>
</file>

<file path=xl/sharedStrings.xml><?xml version="1.0" encoding="utf-8"?>
<sst xmlns="http://schemas.openxmlformats.org/spreadsheetml/2006/main" count="372" uniqueCount="153">
  <si>
    <t>初段</t>
  </si>
  <si>
    <t>獲得LP</t>
  </si>
  <si>
    <t>楽曲名</t>
  </si>
  <si>
    <t>Level</t>
  </si>
  <si>
    <t>判定</t>
  </si>
  <si>
    <t>紫(A)</t>
  </si>
  <si>
    <t>緑(S)</t>
  </si>
  <si>
    <t>赤(SS)</t>
  </si>
  <si>
    <t>白(SSS)</t>
  </si>
  <si>
    <t>輝(EXC)</t>
  </si>
  <si>
    <t>3LP</t>
  </si>
  <si>
    <t>LP</t>
  </si>
  <si>
    <t>五段</t>
  </si>
  <si>
    <t>六段</t>
  </si>
  <si>
    <t>七段</t>
  </si>
  <si>
    <t>八段</t>
  </si>
  <si>
    <t>九段</t>
  </si>
  <si>
    <t>S</t>
  </si>
  <si>
    <t>十段</t>
  </si>
  <si>
    <t>yellow head joe</t>
  </si>
  <si>
    <t>皆伝</t>
  </si>
  <si>
    <t>2LP</t>
    <phoneticPr fontId="3"/>
  </si>
  <si>
    <t>1LP</t>
    <phoneticPr fontId="3"/>
  </si>
  <si>
    <t>SS</t>
    <phoneticPr fontId="3"/>
  </si>
  <si>
    <t>SS</t>
    <phoneticPr fontId="3"/>
  </si>
  <si>
    <t>Good-bye Chalon</t>
    <phoneticPr fontId="3"/>
  </si>
  <si>
    <t>天国と地獄</t>
    <rPh sb="0" eb="2">
      <t>テンゴク</t>
    </rPh>
    <rPh sb="3" eb="5">
      <t>ジゴク</t>
    </rPh>
    <phoneticPr fontId="3"/>
  </si>
  <si>
    <t>hammer ska</t>
    <phoneticPr fontId="3"/>
  </si>
  <si>
    <t>Lead Me</t>
    <phoneticPr fontId="3"/>
  </si>
  <si>
    <t>ダダパラ!!</t>
    <phoneticPr fontId="3"/>
  </si>
  <si>
    <t>Heart of Gold</t>
    <phoneticPr fontId="3"/>
  </si>
  <si>
    <t>polygon</t>
    <phoneticPr fontId="3"/>
  </si>
  <si>
    <t>瞬</t>
    <phoneticPr fontId="3"/>
  </si>
  <si>
    <t>判定(6)</t>
    <phoneticPr fontId="3"/>
  </si>
  <si>
    <t>二段</t>
    <rPh sb="0" eb="2">
      <t>ニダン</t>
    </rPh>
    <phoneticPr fontId="3"/>
  </si>
  <si>
    <t>女々しくて</t>
    <rPh sb="0" eb="2">
      <t>メメ</t>
    </rPh>
    <phoneticPr fontId="3"/>
  </si>
  <si>
    <t>4LP</t>
    <phoneticPr fontId="3"/>
  </si>
  <si>
    <t>3LP</t>
    <phoneticPr fontId="3"/>
  </si>
  <si>
    <t>Icicles</t>
    <phoneticPr fontId="3"/>
  </si>
  <si>
    <t>愛と勇気の三度笠ポン太</t>
    <rPh sb="0" eb="1">
      <t>アイ</t>
    </rPh>
    <rPh sb="2" eb="4">
      <t>ユウキ</t>
    </rPh>
    <rPh sb="5" eb="8">
      <t>サンドガサ</t>
    </rPh>
    <rPh sb="10" eb="11">
      <t>タ</t>
    </rPh>
    <phoneticPr fontId="3"/>
  </si>
  <si>
    <t>HOT LIMIT</t>
    <phoneticPr fontId="3"/>
  </si>
  <si>
    <t>On and On</t>
    <phoneticPr fontId="3"/>
  </si>
  <si>
    <t>コイノチカラ</t>
    <phoneticPr fontId="3"/>
  </si>
  <si>
    <t>サマータイム</t>
    <phoneticPr fontId="3"/>
  </si>
  <si>
    <t>NEU!</t>
    <phoneticPr fontId="3"/>
  </si>
  <si>
    <t>判定(18)</t>
    <phoneticPr fontId="3"/>
  </si>
  <si>
    <t>5LP</t>
    <phoneticPr fontId="3"/>
  </si>
  <si>
    <t>R.P.G.～Rockin' Playing Game</t>
    <phoneticPr fontId="3"/>
  </si>
  <si>
    <t>銀河</t>
    <rPh sb="0" eb="2">
      <t>ギンガ</t>
    </rPh>
    <phoneticPr fontId="3"/>
  </si>
  <si>
    <t>Kiss &amp; Ride</t>
    <phoneticPr fontId="3"/>
  </si>
  <si>
    <t>防衛本能</t>
    <rPh sb="0" eb="2">
      <t>ボウエイ</t>
    </rPh>
    <rPh sb="2" eb="4">
      <t>ホンノウ</t>
    </rPh>
    <phoneticPr fontId="3"/>
  </si>
  <si>
    <t>君をのせて feat.sayurina</t>
    <phoneticPr fontId="3"/>
  </si>
  <si>
    <t>キラキラ☆</t>
    <phoneticPr fontId="3"/>
  </si>
  <si>
    <t>くちばしにチェリー</t>
    <phoneticPr fontId="3"/>
  </si>
  <si>
    <t>this storyends</t>
    <phoneticPr fontId="3"/>
  </si>
  <si>
    <t>三段</t>
    <rPh sb="0" eb="2">
      <t>サンダン</t>
    </rPh>
    <phoneticPr fontId="3"/>
  </si>
  <si>
    <t>四段</t>
    <rPh sb="0" eb="2">
      <t>ヨンダン</t>
    </rPh>
    <phoneticPr fontId="3"/>
  </si>
  <si>
    <t>判定(74)</t>
    <phoneticPr fontId="3"/>
  </si>
  <si>
    <t>判定(42)</t>
    <phoneticPr fontId="3"/>
  </si>
  <si>
    <t>Polaris</t>
    <phoneticPr fontId="3"/>
  </si>
  <si>
    <t>INVISIBLE WORLD</t>
    <phoneticPr fontId="3"/>
  </si>
  <si>
    <t>Musical Messenger</t>
    <phoneticPr fontId="3"/>
  </si>
  <si>
    <t>オリオンをなぞる</t>
    <phoneticPr fontId="3"/>
  </si>
  <si>
    <t>さよならトリップ</t>
    <phoneticPr fontId="3"/>
  </si>
  <si>
    <t xml:space="preserve"> Love ♡ km</t>
    <phoneticPr fontId="3"/>
  </si>
  <si>
    <t>凛として咲く花の如く</t>
    <rPh sb="0" eb="1">
      <t>リン</t>
    </rPh>
    <rPh sb="4" eb="5">
      <t>サ</t>
    </rPh>
    <rPh sb="6" eb="7">
      <t>ハナ</t>
    </rPh>
    <rPh sb="8" eb="9">
      <t>ゴト</t>
    </rPh>
    <phoneticPr fontId="3"/>
  </si>
  <si>
    <t>6LP</t>
    <phoneticPr fontId="3"/>
  </si>
  <si>
    <t>7LP</t>
    <phoneticPr fontId="3"/>
  </si>
  <si>
    <t>Snow Goose</t>
    <phoneticPr fontId="3"/>
  </si>
  <si>
    <t>判定(114)</t>
    <phoneticPr fontId="3"/>
  </si>
  <si>
    <t>IN THE NAME OF LOVE</t>
    <phoneticPr fontId="3"/>
  </si>
  <si>
    <t>ALL MY HEART</t>
    <phoneticPr fontId="3"/>
  </si>
  <si>
    <t>maximum the hormone</t>
    <phoneticPr fontId="3"/>
  </si>
  <si>
    <t>流砂の嵐</t>
    <rPh sb="0" eb="2">
      <t>リュウサ</t>
    </rPh>
    <rPh sb="3" eb="4">
      <t>アラシ</t>
    </rPh>
    <phoneticPr fontId="3"/>
  </si>
  <si>
    <t>情熱大陸</t>
    <rPh sb="0" eb="2">
      <t>ジョウネツ</t>
    </rPh>
    <rPh sb="2" eb="4">
      <t>タイリク</t>
    </rPh>
    <phoneticPr fontId="3"/>
  </si>
  <si>
    <t>Sweet Rain</t>
    <phoneticPr fontId="3"/>
  </si>
  <si>
    <t>PRIME TIME</t>
    <phoneticPr fontId="3"/>
  </si>
  <si>
    <t>FLOWER(ADV)</t>
    <phoneticPr fontId="3"/>
  </si>
  <si>
    <t>Love at First Sight</t>
    <phoneticPr fontId="3"/>
  </si>
  <si>
    <t>Let's ダバダバ</t>
    <phoneticPr fontId="3"/>
  </si>
  <si>
    <t>electro peaceful</t>
    <phoneticPr fontId="3"/>
  </si>
  <si>
    <t>カーニバる？</t>
    <phoneticPr fontId="3"/>
  </si>
  <si>
    <t>SOS</t>
    <phoneticPr fontId="3"/>
  </si>
  <si>
    <t>FIGHTERS</t>
    <phoneticPr fontId="3"/>
  </si>
  <si>
    <t>やさしくなりたい</t>
    <phoneticPr fontId="3"/>
  </si>
  <si>
    <t>判定(162)</t>
    <phoneticPr fontId="3"/>
  </si>
  <si>
    <t>9LP</t>
    <phoneticPr fontId="3"/>
  </si>
  <si>
    <t>8LP</t>
    <phoneticPr fontId="3"/>
  </si>
  <si>
    <t>マスターピース</t>
    <phoneticPr fontId="3"/>
  </si>
  <si>
    <t>Theory of Eternity</t>
    <phoneticPr fontId="3"/>
  </si>
  <si>
    <t>Prophet Vibe</t>
    <phoneticPr fontId="3"/>
  </si>
  <si>
    <t>SigSig</t>
    <phoneticPr fontId="3"/>
  </si>
  <si>
    <t>KUNG-FU MAMA</t>
    <phoneticPr fontId="3"/>
  </si>
  <si>
    <t>少年リップルズ</t>
    <rPh sb="0" eb="2">
      <t>ショウネン</t>
    </rPh>
    <phoneticPr fontId="3"/>
  </si>
  <si>
    <t>Universe Universe</t>
    <phoneticPr fontId="3"/>
  </si>
  <si>
    <t>判定(218)</t>
    <phoneticPr fontId="3"/>
  </si>
  <si>
    <t>10LP</t>
    <phoneticPr fontId="3"/>
  </si>
  <si>
    <t>元気でやってるのかい？</t>
    <rPh sb="0" eb="2">
      <t>ゲンキ</t>
    </rPh>
    <phoneticPr fontId="3"/>
  </si>
  <si>
    <t>白鳥の湖</t>
    <rPh sb="0" eb="2">
      <t>ハクチョウ</t>
    </rPh>
    <rPh sb="3" eb="4">
      <t>ミズウミ</t>
    </rPh>
    <phoneticPr fontId="3"/>
  </si>
  <si>
    <t>coming true</t>
    <phoneticPr fontId="3"/>
  </si>
  <si>
    <t>TRUE♥LOVE</t>
    <phoneticPr fontId="3"/>
  </si>
  <si>
    <t>うらもからだも落下微塵</t>
    <rPh sb="7" eb="9">
      <t>ラッカ</t>
    </rPh>
    <rPh sb="9" eb="11">
      <t>ミジン</t>
    </rPh>
    <phoneticPr fontId="3"/>
  </si>
  <si>
    <t>キルト</t>
    <phoneticPr fontId="3"/>
  </si>
  <si>
    <t>SWEET ANGEL</t>
    <phoneticPr fontId="3"/>
  </si>
  <si>
    <t>纏</t>
    <rPh sb="0" eb="1">
      <t>マトイ</t>
    </rPh>
    <phoneticPr fontId="3"/>
  </si>
  <si>
    <t>判定(282)</t>
    <phoneticPr fontId="3"/>
  </si>
  <si>
    <t>11LP</t>
    <phoneticPr fontId="3"/>
  </si>
  <si>
    <t>Devil Fish Dumpling</t>
    <phoneticPr fontId="3"/>
  </si>
  <si>
    <t>トルコ行進曲</t>
    <rPh sb="3" eb="6">
      <t>コウシンキョク</t>
    </rPh>
    <phoneticPr fontId="3"/>
  </si>
  <si>
    <t>隅田川夏恋歌</t>
    <rPh sb="0" eb="3">
      <t>スミダガワ</t>
    </rPh>
    <rPh sb="3" eb="4">
      <t>ナツ</t>
    </rPh>
    <rPh sb="4" eb="5">
      <t>コイ</t>
    </rPh>
    <rPh sb="5" eb="6">
      <t>ウタ</t>
    </rPh>
    <phoneticPr fontId="3"/>
  </si>
  <si>
    <t>Far east nightbird</t>
    <phoneticPr fontId="3"/>
  </si>
  <si>
    <t>In Scottish Highlands</t>
    <phoneticPr fontId="3"/>
  </si>
  <si>
    <t>Jailbreak</t>
    <phoneticPr fontId="3"/>
  </si>
  <si>
    <t>SWEET CUBE</t>
    <phoneticPr fontId="3"/>
  </si>
  <si>
    <t>ナナホシ</t>
    <phoneticPr fontId="3"/>
  </si>
  <si>
    <t>判定(474)</t>
    <phoneticPr fontId="3"/>
  </si>
  <si>
    <t>判定(354)</t>
    <phoneticPr fontId="3"/>
  </si>
  <si>
    <t>12LP</t>
    <phoneticPr fontId="3"/>
  </si>
  <si>
    <t>11LP</t>
    <phoneticPr fontId="3"/>
  </si>
  <si>
    <t>The Wind of Gold</t>
    <phoneticPr fontId="3"/>
  </si>
  <si>
    <t>HEAVENLY MOON</t>
    <phoneticPr fontId="3"/>
  </si>
  <si>
    <t>532nm</t>
    <phoneticPr fontId="3"/>
  </si>
  <si>
    <t>WONDER WALKER</t>
    <phoneticPr fontId="3"/>
  </si>
  <si>
    <t>10LP</t>
    <phoneticPr fontId="3"/>
  </si>
  <si>
    <t>[E]</t>
    <phoneticPr fontId="3"/>
  </si>
  <si>
    <t>ダイナマイト</t>
    <phoneticPr fontId="3"/>
  </si>
  <si>
    <t>HEAT-BIT-HIT-BEAT</t>
    <phoneticPr fontId="3"/>
  </si>
  <si>
    <t>Russian Snowy Dance</t>
    <phoneticPr fontId="3"/>
  </si>
  <si>
    <t>13LP</t>
    <phoneticPr fontId="3"/>
  </si>
  <si>
    <t>12LP</t>
    <phoneticPr fontId="3"/>
  </si>
  <si>
    <t>11LP</t>
    <phoneticPr fontId="3"/>
  </si>
  <si>
    <t>FLOWER</t>
    <phoneticPr fontId="3"/>
  </si>
  <si>
    <t>I'm soHappy</t>
    <phoneticPr fontId="3"/>
  </si>
  <si>
    <t>ALBIDA</t>
    <phoneticPr fontId="3"/>
  </si>
  <si>
    <t>yellow head joe(ADV)</t>
    <phoneticPr fontId="3"/>
  </si>
  <si>
    <t>AREA51</t>
    <phoneticPr fontId="3"/>
  </si>
  <si>
    <t>GIGA BREAK</t>
    <phoneticPr fontId="3"/>
  </si>
  <si>
    <t>Shining Wizard</t>
    <phoneticPr fontId="3"/>
  </si>
  <si>
    <t>判定(573)</t>
    <phoneticPr fontId="3"/>
  </si>
  <si>
    <t>14LP</t>
    <phoneticPr fontId="3"/>
  </si>
  <si>
    <t>13LP</t>
    <phoneticPr fontId="3"/>
  </si>
  <si>
    <t>AIR RAID FROM THA UNDAGROUND</t>
    <phoneticPr fontId="3"/>
  </si>
  <si>
    <t>Evans</t>
    <phoneticPr fontId="3"/>
  </si>
  <si>
    <t>JOMANDA</t>
    <phoneticPr fontId="3"/>
  </si>
  <si>
    <t>concon</t>
    <phoneticPr fontId="3"/>
  </si>
  <si>
    <t>STELLAR WIND</t>
    <phoneticPr fontId="3"/>
  </si>
  <si>
    <t>Macuilxochitl</t>
    <phoneticPr fontId="3"/>
  </si>
  <si>
    <t>量子の海のリントヴルム</t>
    <rPh sb="0" eb="2">
      <t>リョウシ</t>
    </rPh>
    <rPh sb="3" eb="4">
      <t>ウミ</t>
    </rPh>
    <phoneticPr fontId="3"/>
  </si>
  <si>
    <t>Red Goose</t>
    <phoneticPr fontId="3"/>
  </si>
  <si>
    <t>判定(681)</t>
    <phoneticPr fontId="3"/>
  </si>
  <si>
    <t>HEKIREKI</t>
    <phoneticPr fontId="3"/>
  </si>
  <si>
    <t>eyes</t>
    <phoneticPr fontId="3"/>
  </si>
  <si>
    <t>EX皆伝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</si>
</sst>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7">
    <xf numFmtId="0" fontId="0" fillId="0" borderId="0" xfId="0"/>
    <xf numFmtId="0" fontId="1" fillId="0" borderId="0" xfId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18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21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1" fillId="0" borderId="43" xfId="1" applyBorder="1">
      <alignment vertical="center"/>
    </xf>
    <xf numFmtId="0" fontId="1" fillId="0" borderId="44" xfId="1" applyBorder="1">
      <alignment vertical="center"/>
    </xf>
    <xf numFmtId="0" fontId="1" fillId="0" borderId="45" xfId="1" applyBorder="1">
      <alignment vertical="center"/>
    </xf>
    <xf numFmtId="0" fontId="1" fillId="0" borderId="46" xfId="1" applyBorder="1">
      <alignment vertical="center"/>
    </xf>
    <xf numFmtId="0" fontId="1" fillId="0" borderId="47" xfId="1" applyBorder="1">
      <alignment vertical="center"/>
    </xf>
    <xf numFmtId="0" fontId="1" fillId="0" borderId="48" xfId="1" applyBorder="1">
      <alignment vertical="center"/>
    </xf>
    <xf numFmtId="0" fontId="1" fillId="0" borderId="49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55" xfId="1" applyFont="1" applyFill="1" applyBorder="1" applyAlignment="1">
      <alignment horizontal="center" vertical="center"/>
    </xf>
    <xf numFmtId="0" fontId="1" fillId="0" borderId="56" xfId="1" applyFont="1" applyFill="1" applyBorder="1" applyAlignment="1">
      <alignment horizontal="center" vertical="center"/>
    </xf>
    <xf numFmtId="0" fontId="1" fillId="0" borderId="56" xfId="1" applyFont="1" applyBorder="1" applyAlignment="1">
      <alignment horizontal="center" vertical="center"/>
    </xf>
    <xf numFmtId="0" fontId="1" fillId="0" borderId="57" xfId="1" applyFont="1" applyFill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4" xfId="1" applyBorder="1" applyAlignment="1">
      <alignment horizontal="center" vertical="center"/>
    </xf>
    <xf numFmtId="0" fontId="1" fillId="0" borderId="65" xfId="1" applyBorder="1" applyAlignment="1">
      <alignment horizontal="center" vertical="center"/>
    </xf>
    <xf numFmtId="0" fontId="7" fillId="0" borderId="0" xfId="1" applyFont="1">
      <alignment vertical="center"/>
    </xf>
    <xf numFmtId="0" fontId="1" fillId="0" borderId="66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1" fillId="0" borderId="76" xfId="1" applyBorder="1">
      <alignment vertical="center"/>
    </xf>
    <xf numFmtId="0" fontId="1" fillId="0" borderId="77" xfId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78" xfId="1" applyFont="1" applyBorder="1" applyAlignment="1">
      <alignment horizontal="center" vertical="center"/>
    </xf>
    <xf numFmtId="0" fontId="1" fillId="0" borderId="68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1" fillId="0" borderId="75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69" xfId="1" applyFont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1" fillId="0" borderId="72" xfId="1" applyFont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1" fillId="0" borderId="74" xfId="1" applyFont="1" applyBorder="1" applyAlignment="1">
      <alignment horizontal="center" vertical="center"/>
    </xf>
    <xf numFmtId="0" fontId="1" fillId="0" borderId="79" xfId="1" applyBorder="1" applyAlignment="1">
      <alignment horizontal="center" vertical="center"/>
    </xf>
    <xf numFmtId="0" fontId="1" fillId="0" borderId="80" xfId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9" fillId="0" borderId="70" xfId="1" applyFont="1" applyBorder="1" applyAlignment="1">
      <alignment horizontal="center" vertical="center"/>
    </xf>
  </cellXfs>
  <cellStyles count="2">
    <cellStyle name="Excel Built-in Normal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7"/>
  <sheetViews>
    <sheetView tabSelected="1" topLeftCell="A141" zoomScale="115" zoomScaleNormal="115" workbookViewId="0">
      <selection activeCell="J161" sqref="J161"/>
    </sheetView>
  </sheetViews>
  <sheetFormatPr defaultColWidth="9.5703125" defaultRowHeight="13.5" x14ac:dyDescent="0.15"/>
  <cols>
    <col min="1" max="1" width="4" style="1" customWidth="1"/>
    <col min="2" max="2" width="9.5703125" style="1"/>
    <col min="3" max="4" width="11.42578125" style="1" customWidth="1"/>
    <col min="5" max="5" width="6.42578125" style="1" customWidth="1"/>
    <col min="6" max="6" width="6.5703125" style="1" customWidth="1"/>
    <col min="7" max="13" width="9.5703125" style="1"/>
    <col min="14" max="23" width="2.28515625" style="1" customWidth="1"/>
    <col min="24" max="16384" width="9.5703125" style="1"/>
  </cols>
  <sheetData>
    <row r="1" spans="1:29" ht="14.25" thickBot="1" x14ac:dyDescent="0.2"/>
    <row r="2" spans="1:29" ht="14.25" thickBot="1" x14ac:dyDescent="0.2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3"/>
    </row>
    <row r="3" spans="1:29" ht="14.25" thickBot="1" x14ac:dyDescent="0.2">
      <c r="B3" s="37" t="s">
        <v>1</v>
      </c>
      <c r="C3" s="71" t="s">
        <v>2</v>
      </c>
      <c r="D3" s="74"/>
      <c r="E3" s="26" t="s">
        <v>3</v>
      </c>
      <c r="F3" s="26" t="s">
        <v>4</v>
      </c>
      <c r="G3" s="27" t="s">
        <v>5</v>
      </c>
      <c r="H3" s="28" t="s">
        <v>6</v>
      </c>
      <c r="I3" s="29" t="s">
        <v>7</v>
      </c>
      <c r="J3" s="28" t="s">
        <v>8</v>
      </c>
      <c r="K3" s="30" t="s">
        <v>9</v>
      </c>
    </row>
    <row r="4" spans="1:29" x14ac:dyDescent="0.15">
      <c r="A4" s="16"/>
      <c r="B4" s="102" t="s">
        <v>10</v>
      </c>
      <c r="C4" s="75" t="s">
        <v>25</v>
      </c>
      <c r="D4" s="76"/>
      <c r="E4" s="7">
        <v>9</v>
      </c>
      <c r="F4" s="7" t="s">
        <v>23</v>
      </c>
      <c r="G4" s="8" t="str">
        <f>IF(N9&gt;=1,"3","0")</f>
        <v>3</v>
      </c>
      <c r="H4" s="9" t="str">
        <f>IF(N9&gt;=2,"3","0")</f>
        <v>3</v>
      </c>
      <c r="I4" s="9" t="str">
        <f>IF(N9&gt;=3,"3","0")</f>
        <v>3</v>
      </c>
      <c r="J4" s="9" t="str">
        <f>IF(N9&gt;=4,"3","0")</f>
        <v>0</v>
      </c>
      <c r="K4" s="31" t="str">
        <f>IF(N9&gt;=5,"3","0")</f>
        <v>0</v>
      </c>
      <c r="N4" s="38">
        <f>COUNTIF(F4,"*A*")</f>
        <v>0</v>
      </c>
      <c r="O4" s="39">
        <f>COUNTIF(F5,"*A*")</f>
        <v>0</v>
      </c>
      <c r="P4" s="39">
        <f>COUNTIF(F6,"*A*")</f>
        <v>0</v>
      </c>
      <c r="Q4" s="39">
        <f>COUNTIF(F7,"*A*")</f>
        <v>0</v>
      </c>
      <c r="R4" s="39">
        <f>COUNTIF(F8,"*A*")</f>
        <v>0</v>
      </c>
      <c r="S4" s="39">
        <f>COUNTIF(F9,"*A*")</f>
        <v>0</v>
      </c>
      <c r="T4" s="39">
        <f>COUNTIF(F10,"*A*")</f>
        <v>0</v>
      </c>
      <c r="U4" s="40">
        <f>COUNTIF(F11,"*A*")</f>
        <v>0</v>
      </c>
      <c r="V4" s="22"/>
      <c r="W4" s="22"/>
      <c r="AC4" s="22"/>
    </row>
    <row r="5" spans="1:29" x14ac:dyDescent="0.15">
      <c r="A5" s="16"/>
      <c r="B5" s="91"/>
      <c r="C5" s="77" t="s">
        <v>26</v>
      </c>
      <c r="D5" s="78"/>
      <c r="E5" s="12">
        <v>9</v>
      </c>
      <c r="F5" s="12" t="s">
        <v>24</v>
      </c>
      <c r="G5" s="13" t="str">
        <f>IF(O9&gt;=1,"3","0")</f>
        <v>3</v>
      </c>
      <c r="H5" s="14" t="str">
        <f>IF(O9&gt;=2,"3","0")</f>
        <v>3</v>
      </c>
      <c r="I5" s="14" t="str">
        <f>IF(O9&gt;=3,"3","0")</f>
        <v>3</v>
      </c>
      <c r="J5" s="14" t="str">
        <f>IF(O9&gt;=4,"3","0")</f>
        <v>0</v>
      </c>
      <c r="K5" s="32" t="str">
        <f>IF(O9&gt;=5,"3","0")</f>
        <v>0</v>
      </c>
      <c r="N5" s="41">
        <f>COUNTIF(F4,"S")*2</f>
        <v>0</v>
      </c>
      <c r="O5" s="11">
        <f>COUNTIF(F5,"S")*2</f>
        <v>0</v>
      </c>
      <c r="P5" s="11">
        <f>COUNTIF(F6,"S")*2</f>
        <v>0</v>
      </c>
      <c r="Q5" s="11">
        <f>COUNTIF(F7,"S")*2</f>
        <v>0</v>
      </c>
      <c r="R5" s="11">
        <f>COUNTIF(F8,"S")*2</f>
        <v>0</v>
      </c>
      <c r="S5" s="11">
        <f>COUNTIF(F9,"S")*2</f>
        <v>0</v>
      </c>
      <c r="T5" s="11">
        <f>COUNTIF(F10,"S")*2</f>
        <v>0</v>
      </c>
      <c r="U5" s="42">
        <f>COUNTIF(F11,"S")*2</f>
        <v>0</v>
      </c>
      <c r="V5" s="22"/>
      <c r="W5" s="22"/>
      <c r="AC5" s="22"/>
    </row>
    <row r="6" spans="1:29" x14ac:dyDescent="0.15">
      <c r="B6" s="89" t="s">
        <v>21</v>
      </c>
      <c r="C6" s="77" t="s">
        <v>27</v>
      </c>
      <c r="D6" s="78"/>
      <c r="E6" s="12">
        <v>9</v>
      </c>
      <c r="F6" s="12" t="s">
        <v>24</v>
      </c>
      <c r="G6" s="13" t="str">
        <f>IF(P9&gt;=1,"2","0")</f>
        <v>2</v>
      </c>
      <c r="H6" s="14" t="str">
        <f>IF(P9&gt;=2,"2","0")</f>
        <v>2</v>
      </c>
      <c r="I6" s="14" t="str">
        <f>IF(P9&gt;=3,"2","0")</f>
        <v>2</v>
      </c>
      <c r="J6" s="14" t="str">
        <f>IF(P9&gt;=4,"2","0")</f>
        <v>0</v>
      </c>
      <c r="K6" s="32" t="str">
        <f>IF(P9&gt;=5,"2","0")</f>
        <v>0</v>
      </c>
      <c r="N6" s="41">
        <f>COUNTIF(F4,"SS")*3</f>
        <v>3</v>
      </c>
      <c r="O6" s="11">
        <f>COUNTIF(F5,"SS")*3</f>
        <v>3</v>
      </c>
      <c r="P6" s="11">
        <f>COUNTIF(F6,"SS")*3</f>
        <v>3</v>
      </c>
      <c r="Q6" s="11">
        <f>COUNTIF(F7,"SS")*3</f>
        <v>3</v>
      </c>
      <c r="R6" s="11">
        <f>COUNTIF(F8,"SS")*3</f>
        <v>3</v>
      </c>
      <c r="S6" s="11">
        <f>COUNTIF(F9,"SS")*3</f>
        <v>3</v>
      </c>
      <c r="T6" s="11">
        <f>COUNTIF(F10,"SS")*3</f>
        <v>3</v>
      </c>
      <c r="U6" s="42">
        <f>COUNTIF(F11,"SS")*3</f>
        <v>3</v>
      </c>
      <c r="V6" s="22"/>
      <c r="W6" s="22"/>
    </row>
    <row r="7" spans="1:29" x14ac:dyDescent="0.15">
      <c r="B7" s="90"/>
      <c r="C7" s="77" t="s">
        <v>28</v>
      </c>
      <c r="D7" s="78"/>
      <c r="E7" s="12">
        <v>9</v>
      </c>
      <c r="F7" s="12" t="s">
        <v>24</v>
      </c>
      <c r="G7" s="13" t="str">
        <f>IF(Q9&gt;=1,"2","0")</f>
        <v>2</v>
      </c>
      <c r="H7" s="14" t="str">
        <f>IF(Q9&gt;=2,"2",0)</f>
        <v>2</v>
      </c>
      <c r="I7" s="14" t="str">
        <f>IF(Q9&gt;=3,"2","0")</f>
        <v>2</v>
      </c>
      <c r="J7" s="14" t="str">
        <f>IF(Q9&gt;=4,"2","0")</f>
        <v>0</v>
      </c>
      <c r="K7" s="32" t="str">
        <f>IF(Q9&gt;=5,"2","0")</f>
        <v>0</v>
      </c>
      <c r="N7" s="41">
        <f>COUNTIF(F4,"SSS")*4</f>
        <v>0</v>
      </c>
      <c r="O7" s="11">
        <f>COUNTIF(F5,"SSS")*4</f>
        <v>0</v>
      </c>
      <c r="P7" s="11">
        <f>COUNTIF(F6,"SSS")*4</f>
        <v>0</v>
      </c>
      <c r="Q7" s="11">
        <f>COUNTIF(F7,"SSS")*4</f>
        <v>0</v>
      </c>
      <c r="R7" s="11">
        <f>COUNTIF(F8,"SSS")*4</f>
        <v>0</v>
      </c>
      <c r="S7" s="11">
        <f>COUNTIF(F9,"SSS")*4</f>
        <v>0</v>
      </c>
      <c r="T7" s="11">
        <f>COUNTIF(F10,"SSS")*4</f>
        <v>0</v>
      </c>
      <c r="U7" s="42">
        <f>COUNTIF(F11,"SSS")*4</f>
        <v>0</v>
      </c>
      <c r="V7" s="22"/>
      <c r="W7" s="22"/>
    </row>
    <row r="8" spans="1:29" x14ac:dyDescent="0.15">
      <c r="B8" s="91" t="s">
        <v>22</v>
      </c>
      <c r="C8" s="77" t="s">
        <v>29</v>
      </c>
      <c r="D8" s="78"/>
      <c r="E8" s="12">
        <v>9</v>
      </c>
      <c r="F8" s="12" t="s">
        <v>24</v>
      </c>
      <c r="G8" s="13" t="str">
        <f>IF(R9&gt;=1,"1","0")</f>
        <v>1</v>
      </c>
      <c r="H8" s="14" t="str">
        <f>IF(R9&gt;=2,"1","0")</f>
        <v>1</v>
      </c>
      <c r="I8" s="14" t="str">
        <f>IF(R9&gt;=3,"1","0")</f>
        <v>1</v>
      </c>
      <c r="J8" s="14" t="str">
        <f>IF(R9&gt;=4,"1","0")</f>
        <v>0</v>
      </c>
      <c r="K8" s="32" t="str">
        <f>IF(R9&gt;=5,"1","0")</f>
        <v>0</v>
      </c>
      <c r="N8" s="41">
        <f>COUNTIF(F4,"EXC")*5</f>
        <v>0</v>
      </c>
      <c r="O8" s="11">
        <f>COUNTIF(F5,"EXC")*5</f>
        <v>0</v>
      </c>
      <c r="P8" s="11">
        <f>COUNTIF(F6,"EXC")*5</f>
        <v>0</v>
      </c>
      <c r="Q8" s="11">
        <f>COUNTIF(F7,"EXC")*5</f>
        <v>0</v>
      </c>
      <c r="R8" s="11">
        <f>COUNTIF(F8,"EXC")*5</f>
        <v>0</v>
      </c>
      <c r="S8" s="11">
        <f>COUNTIF(F9,"EXC")*5</f>
        <v>0</v>
      </c>
      <c r="T8" s="11">
        <f>COUNTIF(F10,"EXC")*5</f>
        <v>0</v>
      </c>
      <c r="U8" s="42">
        <f>COUNTIF(F11,"EXC")*5</f>
        <v>0</v>
      </c>
      <c r="V8" s="22"/>
      <c r="W8" s="22"/>
    </row>
    <row r="9" spans="1:29" x14ac:dyDescent="0.15">
      <c r="B9" s="91"/>
      <c r="C9" s="77" t="s">
        <v>30</v>
      </c>
      <c r="D9" s="78"/>
      <c r="E9" s="12">
        <v>9</v>
      </c>
      <c r="F9" s="12" t="s">
        <v>24</v>
      </c>
      <c r="G9" s="13" t="str">
        <f>IF(S9&gt;=1,"1","0")</f>
        <v>1</v>
      </c>
      <c r="H9" s="14" t="str">
        <f>IF(S9&gt;=2,"1","0")</f>
        <v>1</v>
      </c>
      <c r="I9" s="14" t="str">
        <f>IF(S9&gt;=3,"1","0")</f>
        <v>1</v>
      </c>
      <c r="J9" s="14" t="str">
        <f>IF(S9&gt;=4,"1","0")</f>
        <v>0</v>
      </c>
      <c r="K9" s="32" t="str">
        <f>IF(S9&gt;=5,"1","0")</f>
        <v>0</v>
      </c>
      <c r="N9" s="43">
        <f t="shared" ref="N9:U9" si="0">SUM(N4:N8)</f>
        <v>3</v>
      </c>
      <c r="O9" s="44">
        <f t="shared" si="0"/>
        <v>3</v>
      </c>
      <c r="P9" s="44">
        <f t="shared" si="0"/>
        <v>3</v>
      </c>
      <c r="Q9" s="44">
        <f t="shared" si="0"/>
        <v>3</v>
      </c>
      <c r="R9" s="44">
        <f t="shared" si="0"/>
        <v>3</v>
      </c>
      <c r="S9" s="44">
        <f t="shared" si="0"/>
        <v>3</v>
      </c>
      <c r="T9" s="44">
        <f t="shared" si="0"/>
        <v>3</v>
      </c>
      <c r="U9" s="45">
        <f t="shared" si="0"/>
        <v>3</v>
      </c>
      <c r="V9" s="22"/>
      <c r="W9" s="22"/>
    </row>
    <row r="10" spans="1:29" x14ac:dyDescent="0.15">
      <c r="B10" s="91"/>
      <c r="C10" s="77" t="s">
        <v>31</v>
      </c>
      <c r="D10" s="78"/>
      <c r="E10" s="12">
        <v>9</v>
      </c>
      <c r="F10" s="12" t="s">
        <v>23</v>
      </c>
      <c r="G10" s="13" t="str">
        <f>IF(T9&gt;=1,"1","0")</f>
        <v>1</v>
      </c>
      <c r="H10" s="14" t="str">
        <f>IF(T9&gt;=2,"1","0")</f>
        <v>1</v>
      </c>
      <c r="I10" s="14" t="str">
        <f>IF(T9&gt;=3,"1","0")</f>
        <v>1</v>
      </c>
      <c r="J10" s="14" t="str">
        <f>IF(T9&gt;=4,"1","0")</f>
        <v>0</v>
      </c>
      <c r="K10" s="32" t="str">
        <f>IF(T9&gt;=5,"1","0")</f>
        <v>0</v>
      </c>
    </row>
    <row r="11" spans="1:29" ht="14.25" thickBot="1" x14ac:dyDescent="0.2">
      <c r="B11" s="92"/>
      <c r="C11" s="81" t="s">
        <v>32</v>
      </c>
      <c r="D11" s="82"/>
      <c r="E11" s="33">
        <v>9</v>
      </c>
      <c r="F11" s="33" t="s">
        <v>24</v>
      </c>
      <c r="G11" s="34" t="str">
        <f>IF(U9&gt;=1,"1","0")</f>
        <v>1</v>
      </c>
      <c r="H11" s="35" t="str">
        <f>IF(U9&gt;=2,"1","0")</f>
        <v>1</v>
      </c>
      <c r="I11" s="35" t="str">
        <f>IF(U9&gt;=3,"1","0")</f>
        <v>1</v>
      </c>
      <c r="J11" s="35" t="str">
        <f>IF(U9&gt;=4,"1","0")</f>
        <v>0</v>
      </c>
      <c r="K11" s="36" t="str">
        <f>IF(U9&gt;=5,"1","0")</f>
        <v>0</v>
      </c>
    </row>
    <row r="12" spans="1:29" ht="14.25" thickBot="1" x14ac:dyDescent="0.2">
      <c r="B12" s="24"/>
      <c r="C12" s="83"/>
      <c r="D12" s="83"/>
      <c r="E12" s="84" t="s">
        <v>11</v>
      </c>
      <c r="F12" s="84"/>
      <c r="G12" s="23">
        <f>SUM(G4+G5+G6+G7+G8+G9+G10+G11)</f>
        <v>14</v>
      </c>
      <c r="H12" s="23">
        <f>SUM(H4+H5+H6+H7+H8+H9+H10+H11)</f>
        <v>14</v>
      </c>
      <c r="I12" s="23">
        <f>SUM(I4+I5+I6+I7+I8+I9+I10+I11)</f>
        <v>14</v>
      </c>
      <c r="J12" s="23">
        <f>SUM(J4+J5+J6+J7+J8+J9+J10+J11)</f>
        <v>0</v>
      </c>
      <c r="K12" s="23">
        <f>SUM(K4+K5+K6+K7+K8+K9+K10+K11)</f>
        <v>0</v>
      </c>
    </row>
    <row r="13" spans="1:29" ht="14.25" thickBot="1" x14ac:dyDescent="0.2">
      <c r="B13" s="24"/>
      <c r="C13" s="83"/>
      <c r="D13" s="83"/>
      <c r="E13" s="85" t="s">
        <v>33</v>
      </c>
      <c r="F13" s="85"/>
      <c r="G13" s="2" t="str">
        <f>IF(G12&gt;=6,"合格","不合格")</f>
        <v>合格</v>
      </c>
      <c r="H13" s="2" t="str">
        <f>IF(H12&gt;=6,"合格","不合格")</f>
        <v>合格</v>
      </c>
      <c r="I13" s="2" t="str">
        <f>IF(I12&gt;=6,"合格","不合格")</f>
        <v>合格</v>
      </c>
      <c r="J13" s="2" t="str">
        <f>IF(J12&gt;=6,"合格","不合格")</f>
        <v>不合格</v>
      </c>
      <c r="K13" s="2" t="str">
        <f>IF(K12&gt;=6,"合格","不合格")</f>
        <v>不合格</v>
      </c>
    </row>
    <row r="14" spans="1:29" x14ac:dyDescent="0.15">
      <c r="B14" s="16"/>
      <c r="C14" s="16"/>
      <c r="D14" s="16"/>
    </row>
    <row r="17" spans="2:23" ht="14.25" thickBot="1" x14ac:dyDescent="0.2">
      <c r="I17" s="17"/>
      <c r="J17" s="17"/>
      <c r="K17" s="17"/>
    </row>
    <row r="18" spans="2:23" ht="14.25" thickBot="1" x14ac:dyDescent="0.2">
      <c r="B18" s="71" t="s">
        <v>34</v>
      </c>
      <c r="C18" s="72"/>
      <c r="D18" s="72"/>
      <c r="E18" s="72"/>
      <c r="F18" s="72"/>
      <c r="G18" s="72"/>
      <c r="H18" s="72"/>
      <c r="I18" s="72"/>
      <c r="J18" s="72"/>
      <c r="K18" s="73"/>
    </row>
    <row r="19" spans="2:23" ht="14.25" thickBot="1" x14ac:dyDescent="0.2">
      <c r="B19" s="37" t="s">
        <v>1</v>
      </c>
      <c r="C19" s="71" t="s">
        <v>2</v>
      </c>
      <c r="D19" s="74"/>
      <c r="E19" s="26" t="s">
        <v>3</v>
      </c>
      <c r="F19" s="26" t="s">
        <v>4</v>
      </c>
      <c r="G19" s="52" t="s">
        <v>5</v>
      </c>
      <c r="H19" s="53" t="s">
        <v>6</v>
      </c>
      <c r="I19" s="54" t="s">
        <v>7</v>
      </c>
      <c r="J19" s="53" t="s">
        <v>8</v>
      </c>
      <c r="K19" s="55" t="s">
        <v>9</v>
      </c>
      <c r="M19" s="17"/>
    </row>
    <row r="20" spans="2:23" x14ac:dyDescent="0.15">
      <c r="B20" s="102" t="s">
        <v>36</v>
      </c>
      <c r="C20" s="75" t="s">
        <v>35</v>
      </c>
      <c r="D20" s="76"/>
      <c r="E20" s="7">
        <v>8</v>
      </c>
      <c r="F20" s="50" t="s">
        <v>23</v>
      </c>
      <c r="G20" s="56" t="str">
        <f>IF(N25&gt;=1,"4","0")</f>
        <v>4</v>
      </c>
      <c r="H20" s="57" t="str">
        <f>IF(N25&gt;=2,"4","0")</f>
        <v>4</v>
      </c>
      <c r="I20" s="57" t="str">
        <f>IF(N25&gt;=3,"4","0")</f>
        <v>4</v>
      </c>
      <c r="J20" s="57" t="str">
        <f>IF(N25&gt;=4,"4","0")</f>
        <v>0</v>
      </c>
      <c r="K20" s="58" t="str">
        <f>IF(N25&gt;=5,"4","0")</f>
        <v>0</v>
      </c>
      <c r="M20" s="17"/>
      <c r="N20" s="38">
        <f>COUNTIF(F20,"*A*")</f>
        <v>0</v>
      </c>
      <c r="O20" s="39">
        <f>COUNTIF(F21,"*A*")</f>
        <v>0</v>
      </c>
      <c r="P20" s="39">
        <f>COUNTIF(F22,"*A*")</f>
        <v>0</v>
      </c>
      <c r="Q20" s="39">
        <f>COUNTIF(F23,"*A*")</f>
        <v>0</v>
      </c>
      <c r="R20" s="39">
        <f>COUNTIF(F24,"*A*")</f>
        <v>0</v>
      </c>
      <c r="S20" s="39">
        <f>COUNTIF(F25,"*A*")</f>
        <v>0</v>
      </c>
      <c r="T20" s="39">
        <f>COUNTIF(F26,"*A*")</f>
        <v>0</v>
      </c>
      <c r="U20" s="40">
        <f>COUNTIF(F27,"*A*")</f>
        <v>0</v>
      </c>
      <c r="V20" s="22"/>
      <c r="W20" s="22"/>
    </row>
    <row r="21" spans="2:23" x14ac:dyDescent="0.15">
      <c r="B21" s="91"/>
      <c r="C21" s="77" t="s">
        <v>38</v>
      </c>
      <c r="D21" s="78"/>
      <c r="E21" s="12">
        <v>8</v>
      </c>
      <c r="F21" s="48" t="s">
        <v>24</v>
      </c>
      <c r="G21" s="59" t="str">
        <f>IF(O25&gt;=1,"4","0")</f>
        <v>4</v>
      </c>
      <c r="H21" s="14" t="str">
        <f>IF(O25&gt;=2,"4","0")</f>
        <v>4</v>
      </c>
      <c r="I21" s="14" t="str">
        <f>IF(O25&gt;=3,"4","0")</f>
        <v>4</v>
      </c>
      <c r="J21" s="14" t="str">
        <f>IF(O25&gt;=4,"4","0")</f>
        <v>0</v>
      </c>
      <c r="K21" s="32" t="str">
        <f>IF(O25&gt;=5,"4","0")</f>
        <v>0</v>
      </c>
      <c r="M21" s="17"/>
      <c r="N21" s="41">
        <f>COUNTIF(F20,"S")*2</f>
        <v>0</v>
      </c>
      <c r="O21" s="11">
        <f>COUNTIF(F21,"S")*2</f>
        <v>0</v>
      </c>
      <c r="P21" s="11">
        <f>COUNTIF(F22,"S")*2</f>
        <v>0</v>
      </c>
      <c r="Q21" s="11">
        <f>COUNTIF(F23,"S")*2</f>
        <v>0</v>
      </c>
      <c r="R21" s="11">
        <f>COUNTIF(F24,"S")*2</f>
        <v>0</v>
      </c>
      <c r="S21" s="11">
        <f>COUNTIF(F25,"S")*2</f>
        <v>0</v>
      </c>
      <c r="T21" s="11">
        <f>COUNTIF(F26,"S")*2</f>
        <v>0</v>
      </c>
      <c r="U21" s="42">
        <f>COUNTIF(F27,"S")*2</f>
        <v>0</v>
      </c>
      <c r="V21" s="22"/>
      <c r="W21" s="22"/>
    </row>
    <row r="22" spans="2:23" x14ac:dyDescent="0.15">
      <c r="B22" s="89" t="s">
        <v>37</v>
      </c>
      <c r="C22" s="77" t="s">
        <v>39</v>
      </c>
      <c r="D22" s="78"/>
      <c r="E22" s="12">
        <v>8</v>
      </c>
      <c r="F22" s="48" t="s">
        <v>24</v>
      </c>
      <c r="G22" s="60" t="str">
        <f>IF(P25&gt;=1,"3","0")</f>
        <v>3</v>
      </c>
      <c r="H22" s="14" t="str">
        <f>IF(P25&gt;=2,"3","0")</f>
        <v>3</v>
      </c>
      <c r="I22" s="14" t="str">
        <f>IF(P25&gt;=3,"3","0")</f>
        <v>3</v>
      </c>
      <c r="J22" s="14" t="str">
        <f>IF(P25&gt;=4,"3","0")</f>
        <v>0</v>
      </c>
      <c r="K22" s="32" t="str">
        <f>IF(P25&gt;=5,"3","0")</f>
        <v>0</v>
      </c>
      <c r="M22" s="17"/>
      <c r="N22" s="41">
        <f>COUNTIF(F20,"SS")*3</f>
        <v>3</v>
      </c>
      <c r="O22" s="11">
        <f>COUNTIF(F21,"SS")*3</f>
        <v>3</v>
      </c>
      <c r="P22" s="11">
        <f>COUNTIF(F22,"SS")*3</f>
        <v>3</v>
      </c>
      <c r="Q22" s="11">
        <f>COUNTIF(F23,"SS")*3</f>
        <v>3</v>
      </c>
      <c r="R22" s="11">
        <f>COUNTIF(F24,"SS")*3</f>
        <v>3</v>
      </c>
      <c r="S22" s="11">
        <f>COUNTIF(F25,"SS")*3</f>
        <v>3</v>
      </c>
      <c r="T22" s="11">
        <f>COUNTIF(F26,"SS")*3</f>
        <v>3</v>
      </c>
      <c r="U22" s="42">
        <f>COUNTIF(F27,"SS")*3</f>
        <v>3</v>
      </c>
      <c r="V22" s="22"/>
      <c r="W22" s="22"/>
    </row>
    <row r="23" spans="2:23" x14ac:dyDescent="0.15">
      <c r="B23" s="90"/>
      <c r="C23" s="77" t="s">
        <v>40</v>
      </c>
      <c r="D23" s="78"/>
      <c r="E23" s="12">
        <v>8</v>
      </c>
      <c r="F23" s="48" t="s">
        <v>24</v>
      </c>
      <c r="G23" s="61" t="str">
        <f>IF(Q25&gt;=1,"3","0")</f>
        <v>3</v>
      </c>
      <c r="H23" s="49" t="str">
        <f>IF(Q25&gt;=2,"3","0")</f>
        <v>3</v>
      </c>
      <c r="I23" s="14" t="str">
        <f>IF(Q25&gt;=3,"3","0")</f>
        <v>3</v>
      </c>
      <c r="J23" s="14" t="str">
        <f>IF(Q25&gt;=4,"3","0")</f>
        <v>0</v>
      </c>
      <c r="K23" s="32" t="str">
        <f>IF(Q25&gt;=5,"3","0")</f>
        <v>0</v>
      </c>
      <c r="M23" s="17"/>
      <c r="N23" s="41">
        <f>COUNTIF(F20,"SSS")*4</f>
        <v>0</v>
      </c>
      <c r="O23" s="11">
        <f>COUNTIF(F21,"SSS")*4</f>
        <v>0</v>
      </c>
      <c r="P23" s="11">
        <f>COUNTIF(F22,"SSS")*4</f>
        <v>0</v>
      </c>
      <c r="Q23" s="11">
        <f>COUNTIF(F23,"SSS")*4</f>
        <v>0</v>
      </c>
      <c r="R23" s="11">
        <f>COUNTIF(F24,"SSS")*4</f>
        <v>0</v>
      </c>
      <c r="S23" s="11">
        <f>COUNTIF(F25,"SSS")*4</f>
        <v>0</v>
      </c>
      <c r="T23" s="11">
        <f>COUNTIF(F26,"SSS")*4</f>
        <v>0</v>
      </c>
      <c r="U23" s="42">
        <f>COUNTIF(F27,"SSS")*4</f>
        <v>0</v>
      </c>
      <c r="V23" s="22"/>
      <c r="W23" s="22"/>
    </row>
    <row r="24" spans="2:23" x14ac:dyDescent="0.15">
      <c r="B24" s="91" t="s">
        <v>21</v>
      </c>
      <c r="C24" s="77" t="s">
        <v>41</v>
      </c>
      <c r="D24" s="78"/>
      <c r="E24" s="12">
        <v>8</v>
      </c>
      <c r="F24" s="48" t="s">
        <v>24</v>
      </c>
      <c r="G24" s="62" t="str">
        <f>IF(R25&gt;=1,"2","0")</f>
        <v>2</v>
      </c>
      <c r="H24" s="14" t="str">
        <f>IF(R25&gt;=2,"2","0")</f>
        <v>2</v>
      </c>
      <c r="I24" s="14" t="str">
        <f>IF(R25&gt;=3,"2","0")</f>
        <v>2</v>
      </c>
      <c r="J24" s="14" t="str">
        <f>IF(R25&gt;=4,"2","0")</f>
        <v>0</v>
      </c>
      <c r="K24" s="32" t="str">
        <f>IF(R25&gt;=5,"2","0")</f>
        <v>0</v>
      </c>
      <c r="M24" s="17"/>
      <c r="N24" s="41">
        <f>COUNTIF(F20,"EXC")*5</f>
        <v>0</v>
      </c>
      <c r="O24" s="11">
        <f>COUNTIF(F21,"EXC")*5</f>
        <v>0</v>
      </c>
      <c r="P24" s="11">
        <f>COUNTIF(F22,"EXC")*5</f>
        <v>0</v>
      </c>
      <c r="Q24" s="11">
        <f>COUNTIF(F23,"EXC")*5</f>
        <v>0</v>
      </c>
      <c r="R24" s="11">
        <f>COUNTIF(F24,"EXC")*5</f>
        <v>0</v>
      </c>
      <c r="S24" s="11">
        <f>COUNTIF(F25,"EXC")*5</f>
        <v>0</v>
      </c>
      <c r="T24" s="11">
        <f>COUNTIF(F26,"EXC")*5</f>
        <v>0</v>
      </c>
      <c r="U24" s="42">
        <f>COUNTIF(F27,"EXC")*5</f>
        <v>0</v>
      </c>
      <c r="V24" s="22"/>
      <c r="W24" s="22"/>
    </row>
    <row r="25" spans="2:23" x14ac:dyDescent="0.15">
      <c r="B25" s="91"/>
      <c r="C25" s="77" t="s">
        <v>42</v>
      </c>
      <c r="D25" s="78"/>
      <c r="E25" s="12">
        <v>8</v>
      </c>
      <c r="F25" s="48" t="s">
        <v>24</v>
      </c>
      <c r="G25" s="59" t="str">
        <f>IF(S25&gt;=1,"2","0")</f>
        <v>2</v>
      </c>
      <c r="H25" s="14" t="str">
        <f>IF(S25&gt;=2,"2","0")</f>
        <v>2</v>
      </c>
      <c r="I25" s="14" t="str">
        <f>IF(S25&gt;=3,"2","0")</f>
        <v>2</v>
      </c>
      <c r="J25" s="14" t="str">
        <f>IF(S25&gt;=4,"2","0")</f>
        <v>0</v>
      </c>
      <c r="K25" s="32" t="str">
        <f>IF(S25&gt;=5,"2","0")</f>
        <v>0</v>
      </c>
      <c r="M25" s="17"/>
      <c r="N25" s="43">
        <f t="shared" ref="N25:U25" si="1">SUM(N20:N24)</f>
        <v>3</v>
      </c>
      <c r="O25" s="44">
        <f t="shared" si="1"/>
        <v>3</v>
      </c>
      <c r="P25" s="44">
        <f t="shared" si="1"/>
        <v>3</v>
      </c>
      <c r="Q25" s="44">
        <f t="shared" si="1"/>
        <v>3</v>
      </c>
      <c r="R25" s="44">
        <f t="shared" si="1"/>
        <v>3</v>
      </c>
      <c r="S25" s="44">
        <f t="shared" si="1"/>
        <v>3</v>
      </c>
      <c r="T25" s="44">
        <f t="shared" si="1"/>
        <v>3</v>
      </c>
      <c r="U25" s="45">
        <f t="shared" si="1"/>
        <v>3</v>
      </c>
      <c r="V25" s="22"/>
      <c r="W25" s="22"/>
    </row>
    <row r="26" spans="2:23" x14ac:dyDescent="0.15">
      <c r="B26" s="91"/>
      <c r="C26" s="77" t="s">
        <v>43</v>
      </c>
      <c r="D26" s="78"/>
      <c r="E26" s="12">
        <v>8</v>
      </c>
      <c r="F26" s="48" t="s">
        <v>24</v>
      </c>
      <c r="G26" s="59" t="str">
        <f>IF(T25&gt;=1,"2","0")</f>
        <v>2</v>
      </c>
      <c r="H26" s="14" t="str">
        <f>IF(T25&gt;=2,"2","0")</f>
        <v>2</v>
      </c>
      <c r="I26" s="14" t="str">
        <f>IF(T25&gt;=3,"2","0")</f>
        <v>2</v>
      </c>
      <c r="J26" s="14" t="str">
        <f>IF(T25&gt;=4,"2","0")</f>
        <v>0</v>
      </c>
      <c r="K26" s="32" t="str">
        <f>IF(T25&gt;=5,"2","0")</f>
        <v>0</v>
      </c>
      <c r="M26" s="17"/>
    </row>
    <row r="27" spans="2:23" ht="14.25" thickBot="1" x14ac:dyDescent="0.2">
      <c r="B27" s="92"/>
      <c r="C27" s="81" t="s">
        <v>44</v>
      </c>
      <c r="D27" s="82"/>
      <c r="E27" s="33">
        <v>8</v>
      </c>
      <c r="F27" s="51" t="s">
        <v>24</v>
      </c>
      <c r="G27" s="63" t="str">
        <f>IF(U25&gt;=1,"2","0")</f>
        <v>2</v>
      </c>
      <c r="H27" s="35" t="str">
        <f>IF(U25&gt;=2,"2","0")</f>
        <v>2</v>
      </c>
      <c r="I27" s="35" t="str">
        <f>IF(U25&gt;=3,"2","0")</f>
        <v>2</v>
      </c>
      <c r="J27" s="35" t="str">
        <f>IF(U25&gt;=4,"2","0")</f>
        <v>0</v>
      </c>
      <c r="K27" s="36" t="str">
        <f>IF(U25&gt;=5,"2","0")</f>
        <v>0</v>
      </c>
      <c r="M27" s="17"/>
    </row>
    <row r="28" spans="2:23" ht="14.25" thickBot="1" x14ac:dyDescent="0.2">
      <c r="B28" s="24"/>
      <c r="C28" s="83"/>
      <c r="D28" s="83"/>
      <c r="E28" s="79" t="s">
        <v>11</v>
      </c>
      <c r="F28" s="80"/>
      <c r="G28" s="26">
        <f>SUM(G20+G21+G22+G23+G24+G25+G26+G27+G12)</f>
        <v>36</v>
      </c>
      <c r="H28" s="26">
        <f>SUM(H20+H21+H22+H23+H24+H25+H26+H27+H12)</f>
        <v>36</v>
      </c>
      <c r="I28" s="26">
        <f>SUM(I20+I21+I22+I23+I24+I25+I26+I27+I12)</f>
        <v>36</v>
      </c>
      <c r="J28" s="26">
        <f>SUM(J20+J21+J22+J23+J24+J25+J26+J27+J12)</f>
        <v>0</v>
      </c>
      <c r="K28" s="46">
        <f>SUM(K20+K21+K22+K23+K24+K25+K26+K27+K12)</f>
        <v>0</v>
      </c>
      <c r="M28" s="17"/>
    </row>
    <row r="29" spans="2:23" ht="14.25" thickBot="1" x14ac:dyDescent="0.2">
      <c r="B29" s="24"/>
      <c r="C29" s="83"/>
      <c r="D29" s="83"/>
      <c r="E29" s="108" t="s">
        <v>45</v>
      </c>
      <c r="F29" s="109"/>
      <c r="G29" s="47" t="str">
        <f>IF(G28&gt;=18,"合格","不合格")</f>
        <v>合格</v>
      </c>
      <c r="H29" s="47" t="str">
        <f>IF(H28&gt;=18,"合格","不合格")</f>
        <v>合格</v>
      </c>
      <c r="I29" s="47" t="str">
        <f>IF(I28&gt;=18,"合格","不合格")</f>
        <v>合格</v>
      </c>
      <c r="J29" s="47" t="str">
        <f>IF(J28&gt;=18,"合格","不合格")</f>
        <v>不合格</v>
      </c>
      <c r="K29" s="47" t="str">
        <f>IF(K28&gt;=18,"合格","不合格")</f>
        <v>不合格</v>
      </c>
      <c r="M29" s="17"/>
    </row>
    <row r="30" spans="2:23" x14ac:dyDescent="0.15">
      <c r="E30" s="86"/>
      <c r="F30" s="86"/>
      <c r="G30" s="21"/>
      <c r="H30" s="21"/>
      <c r="I30" s="21"/>
      <c r="J30" s="21"/>
      <c r="K30" s="21"/>
      <c r="M30" s="17"/>
    </row>
    <row r="31" spans="2:23" x14ac:dyDescent="0.15">
      <c r="E31" s="83"/>
      <c r="F31" s="83"/>
      <c r="G31" s="21"/>
      <c r="H31" s="21"/>
      <c r="I31" s="21"/>
      <c r="J31" s="21"/>
      <c r="K31" s="21"/>
    </row>
    <row r="33" spans="2:23" ht="14.25" thickBot="1" x14ac:dyDescent="0.2"/>
    <row r="34" spans="2:23" ht="14.25" thickBot="1" x14ac:dyDescent="0.2">
      <c r="B34" s="71" t="s">
        <v>55</v>
      </c>
      <c r="C34" s="72"/>
      <c r="D34" s="72"/>
      <c r="E34" s="72"/>
      <c r="F34" s="72"/>
      <c r="G34" s="72"/>
      <c r="H34" s="72"/>
      <c r="I34" s="72"/>
      <c r="J34" s="72"/>
      <c r="K34" s="73"/>
    </row>
    <row r="35" spans="2:23" ht="14.25" thickBot="1" x14ac:dyDescent="0.2">
      <c r="B35" s="37" t="s">
        <v>1</v>
      </c>
      <c r="C35" s="71" t="s">
        <v>2</v>
      </c>
      <c r="D35" s="74"/>
      <c r="E35" s="26" t="s">
        <v>3</v>
      </c>
      <c r="F35" s="26" t="s">
        <v>4</v>
      </c>
      <c r="G35" s="27" t="s">
        <v>5</v>
      </c>
      <c r="H35" s="28" t="s">
        <v>6</v>
      </c>
      <c r="I35" s="29" t="s">
        <v>7</v>
      </c>
      <c r="J35" s="28" t="s">
        <v>8</v>
      </c>
      <c r="K35" s="30" t="s">
        <v>9</v>
      </c>
      <c r="M35" s="17"/>
    </row>
    <row r="36" spans="2:23" x14ac:dyDescent="0.15">
      <c r="B36" s="102" t="s">
        <v>46</v>
      </c>
      <c r="C36" s="87" t="s">
        <v>47</v>
      </c>
      <c r="D36" s="88"/>
      <c r="E36" s="7">
        <v>9</v>
      </c>
      <c r="F36" s="7" t="s">
        <v>23</v>
      </c>
      <c r="G36" s="8" t="str">
        <f>IF(N41&gt;=1,"5","0")</f>
        <v>5</v>
      </c>
      <c r="H36" s="9" t="str">
        <f>IF(N41&gt;=2,"5","0")</f>
        <v>5</v>
      </c>
      <c r="I36" s="9" t="str">
        <f>IF(N41&gt;=3,"5","0")</f>
        <v>5</v>
      </c>
      <c r="J36" s="9" t="str">
        <f>IF(N41&gt;=4,"5","0")</f>
        <v>0</v>
      </c>
      <c r="K36" s="31" t="str">
        <f>IF(N41&gt;=5,"5","0")</f>
        <v>0</v>
      </c>
      <c r="M36" s="17"/>
      <c r="N36" s="68">
        <f>COUNTIF(F36,"*A*")</f>
        <v>0</v>
      </c>
      <c r="O36" s="68">
        <f>COUNTIF(F37,"*A*")</f>
        <v>0</v>
      </c>
      <c r="P36" s="68">
        <f>COUNTIF(F38,"*A*")</f>
        <v>0</v>
      </c>
      <c r="Q36" s="68">
        <f>COUNTIF(F39,"*A*")</f>
        <v>0</v>
      </c>
      <c r="R36" s="68">
        <f>COUNTIF(F40,"*A*")</f>
        <v>0</v>
      </c>
      <c r="S36" s="68">
        <f>COUNTIF(F41,"*A*")</f>
        <v>0</v>
      </c>
      <c r="T36" s="68">
        <f>COUNTIF(F42,"*A*")</f>
        <v>0</v>
      </c>
      <c r="U36" s="68">
        <f>COUNTIF(F43,"*A*")</f>
        <v>0</v>
      </c>
      <c r="V36" s="16"/>
      <c r="W36" s="16"/>
    </row>
    <row r="37" spans="2:23" x14ac:dyDescent="0.15">
      <c r="B37" s="91"/>
      <c r="C37" s="77" t="s">
        <v>48</v>
      </c>
      <c r="D37" s="78"/>
      <c r="E37" s="12">
        <v>9</v>
      </c>
      <c r="F37" s="12" t="s">
        <v>24</v>
      </c>
      <c r="G37" s="13" t="str">
        <f>IF(O41&gt;=1,"5","0")</f>
        <v>5</v>
      </c>
      <c r="H37" s="14" t="str">
        <f>IF(O41&gt;=2,"5","0")</f>
        <v>5</v>
      </c>
      <c r="I37" s="14" t="str">
        <f>IF(O41&gt;=3,"5","0")</f>
        <v>5</v>
      </c>
      <c r="J37" s="14" t="str">
        <f>IF(O41&gt;=4,"5","0")</f>
        <v>0</v>
      </c>
      <c r="K37" s="32" t="str">
        <f>IF(O41&gt;=5,"5","0")</f>
        <v>0</v>
      </c>
      <c r="M37" s="17"/>
      <c r="N37" s="68">
        <f>COUNTIF(F36,"S")*2</f>
        <v>0</v>
      </c>
      <c r="O37" s="68">
        <f>COUNTIF(F37,"S")*2</f>
        <v>0</v>
      </c>
      <c r="P37" s="68">
        <f>COUNTIF(F38,"S")*2</f>
        <v>0</v>
      </c>
      <c r="Q37" s="68">
        <f>COUNTIF(F39,"S")*2</f>
        <v>0</v>
      </c>
      <c r="R37" s="68">
        <f>COUNTIF(F40,"S")*2</f>
        <v>0</v>
      </c>
      <c r="S37" s="68">
        <f>COUNTIF(F41,"S")*2</f>
        <v>0</v>
      </c>
      <c r="T37" s="68">
        <f>COUNTIF(F42,"S")*2</f>
        <v>0</v>
      </c>
      <c r="U37" s="68">
        <f>COUNTIF(F43,"S")*2</f>
        <v>0</v>
      </c>
      <c r="V37" s="16"/>
      <c r="W37" s="16"/>
    </row>
    <row r="38" spans="2:23" x14ac:dyDescent="0.15">
      <c r="B38" s="89" t="s">
        <v>36</v>
      </c>
      <c r="C38" s="77" t="s">
        <v>49</v>
      </c>
      <c r="D38" s="78"/>
      <c r="E38" s="12">
        <v>9</v>
      </c>
      <c r="F38" s="12" t="s">
        <v>24</v>
      </c>
      <c r="G38" s="13" t="str">
        <f>IF(P41&gt;=1,"4","0")</f>
        <v>4</v>
      </c>
      <c r="H38" s="14" t="str">
        <f>IF(P41&gt;=2,"4","0")</f>
        <v>4</v>
      </c>
      <c r="I38" s="14" t="str">
        <f>IF(P41&gt;=3,"4","0")</f>
        <v>4</v>
      </c>
      <c r="J38" s="14" t="str">
        <f>IF(P41&gt;=4,"4","0")</f>
        <v>0</v>
      </c>
      <c r="K38" s="32" t="str">
        <f>IF(P41&gt;=5,"4","0")</f>
        <v>0</v>
      </c>
      <c r="M38" s="17"/>
      <c r="N38" s="68">
        <f>COUNTIF(F36,"SS")*3</f>
        <v>3</v>
      </c>
      <c r="O38" s="68">
        <f>COUNTIF(F37,"SS")*3</f>
        <v>3</v>
      </c>
      <c r="P38" s="68">
        <f>COUNTIF(F38,"SS")*3</f>
        <v>3</v>
      </c>
      <c r="Q38" s="68">
        <f>COUNTIF(F39,"SS")*3</f>
        <v>3</v>
      </c>
      <c r="R38" s="68">
        <f>COUNTIF(F40,"SS")*3</f>
        <v>3</v>
      </c>
      <c r="S38" s="68">
        <f>COUNTIF(F41,"SS")*3</f>
        <v>3</v>
      </c>
      <c r="T38" s="68">
        <f>COUNTIF(F42,"SS")*3</f>
        <v>3</v>
      </c>
      <c r="U38" s="68">
        <f>COUNTIF(F43,"SS")*3</f>
        <v>3</v>
      </c>
      <c r="V38" s="16"/>
      <c r="W38" s="16"/>
    </row>
    <row r="39" spans="2:23" x14ac:dyDescent="0.15">
      <c r="B39" s="90"/>
      <c r="C39" s="77" t="s">
        <v>50</v>
      </c>
      <c r="D39" s="78"/>
      <c r="E39" s="12">
        <v>9</v>
      </c>
      <c r="F39" s="12" t="s">
        <v>24</v>
      </c>
      <c r="G39" s="13" t="str">
        <f>IF(Q41&gt;=1,"4","0")</f>
        <v>4</v>
      </c>
      <c r="H39" s="14" t="str">
        <f>IF(Q41&gt;=2,"4","0")</f>
        <v>4</v>
      </c>
      <c r="I39" s="14" t="str">
        <f>IF(Q41&gt;=3,"4","0")</f>
        <v>4</v>
      </c>
      <c r="J39" s="14" t="str">
        <f>IF(Q41&gt;=4,"4","0")</f>
        <v>0</v>
      </c>
      <c r="K39" s="32" t="str">
        <f>IF(Q41&gt;=5,"4","0")</f>
        <v>0</v>
      </c>
      <c r="M39" s="17"/>
      <c r="N39" s="68">
        <f>COUNTIF(F36,"SSS")*4</f>
        <v>0</v>
      </c>
      <c r="O39" s="68">
        <f>COUNTIF(F37,"SSS")*4</f>
        <v>0</v>
      </c>
      <c r="P39" s="68">
        <f>COUNTIF(F38,"SSS")*4</f>
        <v>0</v>
      </c>
      <c r="Q39" s="68">
        <f>COUNTIF(F39,"SSS")*4</f>
        <v>0</v>
      </c>
      <c r="R39" s="68">
        <f>COUNTIF(F40,"SSS")*4</f>
        <v>0</v>
      </c>
      <c r="S39" s="68">
        <f>COUNTIF(F41,"SSS")*4</f>
        <v>0</v>
      </c>
      <c r="T39" s="68">
        <f>COUNTIF(F42,"SSS")*4</f>
        <v>0</v>
      </c>
      <c r="U39" s="68">
        <f>COUNTIF(F43,"SSS")*4</f>
        <v>0</v>
      </c>
      <c r="V39" s="16"/>
      <c r="W39" s="16"/>
    </row>
    <row r="40" spans="2:23" x14ac:dyDescent="0.15">
      <c r="B40" s="91" t="s">
        <v>37</v>
      </c>
      <c r="C40" s="77" t="s">
        <v>51</v>
      </c>
      <c r="D40" s="78"/>
      <c r="E40" s="12">
        <v>8</v>
      </c>
      <c r="F40" s="12" t="s">
        <v>24</v>
      </c>
      <c r="G40" s="13" t="str">
        <f>IF(R41&gt;=1,"3","0")</f>
        <v>3</v>
      </c>
      <c r="H40" s="14" t="str">
        <f>IF(R41&gt;=2,"3","0")</f>
        <v>3</v>
      </c>
      <c r="I40" s="14" t="str">
        <f>IF(R41&gt;=3,"3","0")</f>
        <v>3</v>
      </c>
      <c r="J40" s="14" t="str">
        <f>IF(R41&gt;=4,"3","0")</f>
        <v>0</v>
      </c>
      <c r="K40" s="32" t="str">
        <f>IF(R41&gt;=5,"3","0")</f>
        <v>0</v>
      </c>
      <c r="M40" s="17"/>
      <c r="N40" s="68">
        <f>COUNTIF(F36,"EXC")*5</f>
        <v>0</v>
      </c>
      <c r="O40" s="68">
        <f>COUNTIF(F37,"EXC")*5</f>
        <v>0</v>
      </c>
      <c r="P40" s="68">
        <f>COUNTIF(F38,"EXC")*5</f>
        <v>0</v>
      </c>
      <c r="Q40" s="68">
        <f>COUNTIF(F39,"EXC")*5</f>
        <v>0</v>
      </c>
      <c r="R40" s="68">
        <f>COUNTIF(F40,"EXC")*5</f>
        <v>0</v>
      </c>
      <c r="S40" s="68">
        <f>COUNTIF(F41,"EXC")*5</f>
        <v>0</v>
      </c>
      <c r="T40" s="68">
        <f>COUNTIF(F42,"EXC")*5</f>
        <v>0</v>
      </c>
      <c r="U40" s="68">
        <f>COUNTIF(F43,"EXC")*5</f>
        <v>0</v>
      </c>
      <c r="V40" s="16"/>
      <c r="W40" s="16"/>
    </row>
    <row r="41" spans="2:23" x14ac:dyDescent="0.15">
      <c r="B41" s="91"/>
      <c r="C41" s="77" t="s">
        <v>52</v>
      </c>
      <c r="D41" s="78"/>
      <c r="E41" s="12">
        <v>8</v>
      </c>
      <c r="F41" s="12" t="s">
        <v>24</v>
      </c>
      <c r="G41" s="13" t="str">
        <f>IF(S41&gt;=1,"3","0")</f>
        <v>3</v>
      </c>
      <c r="H41" s="14" t="str">
        <f>IF(S41&gt;=2,"3","0")</f>
        <v>3</v>
      </c>
      <c r="I41" s="14" t="str">
        <f>IF(S41&gt;=3,"3","0")</f>
        <v>3</v>
      </c>
      <c r="J41" s="14" t="str">
        <f>IF(S41&gt;=4,"3","0")</f>
        <v>0</v>
      </c>
      <c r="K41" s="32" t="str">
        <f>IF(S41&gt;=5,"3","0")</f>
        <v>0</v>
      </c>
      <c r="M41" s="17"/>
      <c r="N41" s="68">
        <f t="shared" ref="N41:U41" si="2">SUM(N36:N40)</f>
        <v>3</v>
      </c>
      <c r="O41" s="68">
        <f t="shared" si="2"/>
        <v>3</v>
      </c>
      <c r="P41" s="68">
        <f t="shared" si="2"/>
        <v>3</v>
      </c>
      <c r="Q41" s="68">
        <f t="shared" si="2"/>
        <v>3</v>
      </c>
      <c r="R41" s="68">
        <f t="shared" si="2"/>
        <v>3</v>
      </c>
      <c r="S41" s="68">
        <f t="shared" si="2"/>
        <v>3</v>
      </c>
      <c r="T41" s="68">
        <f t="shared" si="2"/>
        <v>3</v>
      </c>
      <c r="U41" s="68">
        <f t="shared" si="2"/>
        <v>3</v>
      </c>
      <c r="V41" s="16"/>
      <c r="W41" s="16"/>
    </row>
    <row r="42" spans="2:23" x14ac:dyDescent="0.15">
      <c r="B42" s="91"/>
      <c r="C42" s="77" t="s">
        <v>53</v>
      </c>
      <c r="D42" s="78"/>
      <c r="E42" s="12">
        <v>8</v>
      </c>
      <c r="F42" s="12" t="s">
        <v>24</v>
      </c>
      <c r="G42" s="13" t="str">
        <f>IF(T41&gt;=1,"3","0")</f>
        <v>3</v>
      </c>
      <c r="H42" s="14" t="str">
        <f>IF(T41&gt;=2,"3","0")</f>
        <v>3</v>
      </c>
      <c r="I42" s="14" t="str">
        <f>IF(T41&gt;=3,"3","0")</f>
        <v>3</v>
      </c>
      <c r="J42" s="14" t="str">
        <f>IF(T41&gt;=4,"3","0")</f>
        <v>0</v>
      </c>
      <c r="K42" s="32" t="str">
        <f>IF(T41&gt;=5,"3","0")</f>
        <v>0</v>
      </c>
      <c r="M42" s="17"/>
      <c r="V42" s="16"/>
      <c r="W42" s="16"/>
    </row>
    <row r="43" spans="2:23" ht="14.25" thickBot="1" x14ac:dyDescent="0.2">
      <c r="B43" s="92"/>
      <c r="C43" s="81" t="s">
        <v>54</v>
      </c>
      <c r="D43" s="82"/>
      <c r="E43" s="33">
        <v>8</v>
      </c>
      <c r="F43" s="33" t="s">
        <v>24</v>
      </c>
      <c r="G43" s="34" t="str">
        <f>IF(U41&gt;=1,"3","0")</f>
        <v>3</v>
      </c>
      <c r="H43" s="35" t="str">
        <f>IF(U41&gt;=2,"3","0")</f>
        <v>3</v>
      </c>
      <c r="I43" s="35" t="str">
        <f>IF(U41&gt;=3,"3","0")</f>
        <v>3</v>
      </c>
      <c r="J43" s="35" t="str">
        <f>IF(U41&gt;=4,"3","0")</f>
        <v>0</v>
      </c>
      <c r="K43" s="36" t="str">
        <f>IF(U41&gt;=5,"3","0")</f>
        <v>0</v>
      </c>
      <c r="M43" s="17"/>
      <c r="V43" s="16"/>
      <c r="W43" s="16"/>
    </row>
    <row r="44" spans="2:23" ht="14.25" thickBot="1" x14ac:dyDescent="0.2">
      <c r="B44" s="24"/>
      <c r="C44" s="83"/>
      <c r="D44" s="83"/>
      <c r="E44" s="79" t="s">
        <v>11</v>
      </c>
      <c r="F44" s="80"/>
      <c r="G44" s="26">
        <f>SUM(G36+G37+G38+G39+G40+G41+G42+G43+G28)</f>
        <v>66</v>
      </c>
      <c r="H44" s="26">
        <f>SUM(H36+H37+H38+H39+H40+H41+H42+H43+H28)</f>
        <v>66</v>
      </c>
      <c r="I44" s="26">
        <f>SUM(I36+I37+I38+I39+I40+I41+I42+I43+I28)</f>
        <v>66</v>
      </c>
      <c r="J44" s="26">
        <f>SUM(J36+J37+J38+J39+J40+J41+J42+J43+J28)</f>
        <v>0</v>
      </c>
      <c r="K44" s="26">
        <f>SUM(K36+K37+K38+K39+K40+K41+K42+K43+K28)</f>
        <v>0</v>
      </c>
      <c r="M44" s="17"/>
      <c r="V44" s="16"/>
      <c r="W44" s="16"/>
    </row>
    <row r="45" spans="2:23" ht="14.25" thickBot="1" x14ac:dyDescent="0.2">
      <c r="B45" s="24"/>
      <c r="C45" s="83"/>
      <c r="D45" s="83"/>
      <c r="E45" s="108" t="s">
        <v>58</v>
      </c>
      <c r="F45" s="109"/>
      <c r="G45" s="47" t="str">
        <f>IF(G44&gt;=42,"合格","不合格")</f>
        <v>合格</v>
      </c>
      <c r="H45" s="47" t="str">
        <f>IF(H44&gt;=42,"合格","不合格")</f>
        <v>合格</v>
      </c>
      <c r="I45" s="47" t="str">
        <f>IF(I44&gt;=42,"合格","不合格")</f>
        <v>合格</v>
      </c>
      <c r="J45" s="47" t="str">
        <f>IF(J44&gt;=42,"合格","不合格")</f>
        <v>不合格</v>
      </c>
      <c r="K45" s="47" t="str">
        <f>IF(K44&gt;=42,"合格","不合格")</f>
        <v>不合格</v>
      </c>
      <c r="M45" s="17"/>
      <c r="V45" s="16"/>
      <c r="W45" s="16"/>
    </row>
    <row r="46" spans="2:23" x14ac:dyDescent="0.15">
      <c r="E46" s="86"/>
      <c r="F46" s="86"/>
      <c r="G46" s="21"/>
      <c r="H46" s="21"/>
      <c r="I46" s="21"/>
      <c r="J46" s="21"/>
      <c r="K46" s="21"/>
      <c r="V46" s="16"/>
      <c r="W46" s="16"/>
    </row>
    <row r="47" spans="2:23" x14ac:dyDescent="0.15">
      <c r="E47" s="83"/>
      <c r="F47" s="83"/>
      <c r="G47" s="21"/>
      <c r="H47" s="21"/>
      <c r="I47" s="21"/>
      <c r="J47" s="21"/>
      <c r="K47" s="21"/>
      <c r="V47" s="16"/>
      <c r="W47" s="16"/>
    </row>
    <row r="48" spans="2:23" x14ac:dyDescent="0.15">
      <c r="V48" s="16"/>
      <c r="W48" s="16"/>
    </row>
    <row r="49" spans="2:23" ht="14.25" thickBot="1" x14ac:dyDescent="0.2">
      <c r="V49" s="16"/>
      <c r="W49" s="16"/>
    </row>
    <row r="50" spans="2:23" ht="14.25" thickBot="1" x14ac:dyDescent="0.2">
      <c r="B50" s="71" t="s">
        <v>56</v>
      </c>
      <c r="C50" s="72"/>
      <c r="D50" s="72"/>
      <c r="E50" s="72"/>
      <c r="F50" s="72"/>
      <c r="G50" s="72"/>
      <c r="H50" s="72"/>
      <c r="I50" s="72"/>
      <c r="J50" s="72"/>
      <c r="K50" s="73"/>
      <c r="V50" s="16"/>
      <c r="W50" s="16"/>
    </row>
    <row r="51" spans="2:23" ht="14.25" thickBot="1" x14ac:dyDescent="0.2">
      <c r="B51" s="37" t="s">
        <v>1</v>
      </c>
      <c r="C51" s="71" t="s">
        <v>2</v>
      </c>
      <c r="D51" s="74"/>
      <c r="E51" s="26" t="s">
        <v>3</v>
      </c>
      <c r="F51" s="26" t="s">
        <v>4</v>
      </c>
      <c r="G51" s="27" t="s">
        <v>5</v>
      </c>
      <c r="H51" s="28" t="s">
        <v>6</v>
      </c>
      <c r="I51" s="29" t="s">
        <v>7</v>
      </c>
      <c r="J51" s="28" t="s">
        <v>8</v>
      </c>
      <c r="K51" s="30" t="s">
        <v>9</v>
      </c>
      <c r="V51" s="16"/>
      <c r="W51" s="16"/>
    </row>
    <row r="52" spans="2:23" x14ac:dyDescent="0.15">
      <c r="B52" s="102" t="s">
        <v>66</v>
      </c>
      <c r="C52" s="75" t="s">
        <v>68</v>
      </c>
      <c r="D52" s="93"/>
      <c r="E52" s="7">
        <v>8</v>
      </c>
      <c r="F52" s="7" t="s">
        <v>23</v>
      </c>
      <c r="G52" s="8" t="str">
        <f>IF(N57&gt;=1,"6","0")</f>
        <v>6</v>
      </c>
      <c r="H52" s="9" t="str">
        <f>IF(N57&gt;=2,"6","0")</f>
        <v>6</v>
      </c>
      <c r="I52" s="9" t="str">
        <f>IF(N57&gt;=3,"6","0")</f>
        <v>6</v>
      </c>
      <c r="J52" s="9" t="str">
        <f>IF(N57&gt;=4,"6","0")</f>
        <v>0</v>
      </c>
      <c r="K52" s="31" t="str">
        <f>IF(N57&gt;=5,"6","0")</f>
        <v>0</v>
      </c>
      <c r="N52" s="68">
        <f>COUNTIF(F52,"*A*")</f>
        <v>0</v>
      </c>
      <c r="O52" s="68">
        <f>COUNTIF(F53,"*A*")</f>
        <v>0</v>
      </c>
      <c r="P52" s="68">
        <f>COUNTIF(F54,"*A*")</f>
        <v>0</v>
      </c>
      <c r="Q52" s="68">
        <f>COUNTIF(F55,"*A*")</f>
        <v>0</v>
      </c>
      <c r="R52" s="68">
        <f>COUNTIF(F56,"*A*")</f>
        <v>0</v>
      </c>
      <c r="S52" s="68">
        <f>COUNTIF(F57,"*A*")</f>
        <v>0</v>
      </c>
      <c r="T52" s="68">
        <f>COUNTIF(F58,"*A*")</f>
        <v>0</v>
      </c>
      <c r="U52" s="68">
        <f>COUNTIF(F59,"*A*")</f>
        <v>0</v>
      </c>
      <c r="V52" s="16"/>
      <c r="W52" s="16"/>
    </row>
    <row r="53" spans="2:23" x14ac:dyDescent="0.15">
      <c r="B53" s="91"/>
      <c r="C53" s="77" t="s">
        <v>59</v>
      </c>
      <c r="D53" s="78"/>
      <c r="E53" s="12">
        <v>8</v>
      </c>
      <c r="F53" s="12" t="s">
        <v>24</v>
      </c>
      <c r="G53" s="13" t="str">
        <f>IF(O57&gt;=1,"6","0")</f>
        <v>6</v>
      </c>
      <c r="H53" s="14" t="str">
        <f>IF(O57&gt;=2,"6","0")</f>
        <v>6</v>
      </c>
      <c r="I53" s="14" t="str">
        <f>IF(O57&gt;=3,"6","0")</f>
        <v>6</v>
      </c>
      <c r="J53" s="14" t="str">
        <f>IF(O57&gt;=4,"6","0")</f>
        <v>0</v>
      </c>
      <c r="K53" s="32" t="str">
        <f>IF(O57&gt;=5,"6","0")</f>
        <v>0</v>
      </c>
      <c r="N53" s="68">
        <f>COUNTIF(F52,"S")*2</f>
        <v>0</v>
      </c>
      <c r="O53" s="68">
        <f>COUNTIF(F53,"S")*2</f>
        <v>0</v>
      </c>
      <c r="P53" s="68">
        <f>COUNTIF(F54,"S")*2</f>
        <v>0</v>
      </c>
      <c r="Q53" s="68">
        <f>COUNTIF(F55,"S")*2</f>
        <v>0</v>
      </c>
      <c r="R53" s="68">
        <f>COUNTIF(F56,"S")*2</f>
        <v>0</v>
      </c>
      <c r="S53" s="68">
        <f>COUNTIF(F57,"S")*2</f>
        <v>0</v>
      </c>
      <c r="T53" s="68">
        <f>COUNTIF(F58,"S")*2</f>
        <v>0</v>
      </c>
      <c r="U53" s="68">
        <f>COUNTIF(F59,"S")*2</f>
        <v>0</v>
      </c>
      <c r="V53" s="16"/>
      <c r="W53" s="16"/>
    </row>
    <row r="54" spans="2:23" x14ac:dyDescent="0.15">
      <c r="B54" s="89" t="s">
        <v>46</v>
      </c>
      <c r="C54" s="77" t="s">
        <v>60</v>
      </c>
      <c r="D54" s="78"/>
      <c r="E54" s="12">
        <v>8</v>
      </c>
      <c r="F54" s="12" t="s">
        <v>24</v>
      </c>
      <c r="G54" s="13" t="str">
        <f>IF(P57&gt;=1,"5","0")</f>
        <v>5</v>
      </c>
      <c r="H54" s="14" t="str">
        <f>IF(P57&gt;=2,"5","0")</f>
        <v>5</v>
      </c>
      <c r="I54" s="14" t="str">
        <f>IF(P57&gt;=3,"5","0")</f>
        <v>5</v>
      </c>
      <c r="J54" s="14" t="str">
        <f>IF(P57&gt;=4,"5","0")</f>
        <v>0</v>
      </c>
      <c r="K54" s="32" t="str">
        <f>IF(P57&gt;=5,"5","0")</f>
        <v>0</v>
      </c>
      <c r="N54" s="68">
        <f>COUNTIF(F52,"SS")*3</f>
        <v>3</v>
      </c>
      <c r="O54" s="68">
        <f>COUNTIF(F53,"SS")*3</f>
        <v>3</v>
      </c>
      <c r="P54" s="68">
        <f>COUNTIF(F54,"SS")*3</f>
        <v>3</v>
      </c>
      <c r="Q54" s="68">
        <f>COUNTIF(F55,"SS")*3</f>
        <v>3</v>
      </c>
      <c r="R54" s="68">
        <f>COUNTIF(F56,"SS")*3</f>
        <v>3</v>
      </c>
      <c r="S54" s="68">
        <f>COUNTIF(F57,"SS")*3</f>
        <v>3</v>
      </c>
      <c r="T54" s="68">
        <f>COUNTIF(F58,"SS")*3</f>
        <v>3</v>
      </c>
      <c r="U54" s="68">
        <f>COUNTIF(F59,"SS")*3</f>
        <v>3</v>
      </c>
      <c r="V54" s="16"/>
      <c r="W54" s="16"/>
    </row>
    <row r="55" spans="2:23" x14ac:dyDescent="0.15">
      <c r="B55" s="90"/>
      <c r="C55" s="77" t="s">
        <v>61</v>
      </c>
      <c r="D55" s="78"/>
      <c r="E55" s="12">
        <v>8</v>
      </c>
      <c r="F55" s="12" t="s">
        <v>24</v>
      </c>
      <c r="G55" s="13" t="str">
        <f>IF(Q57&gt;=1,"5","0")</f>
        <v>5</v>
      </c>
      <c r="H55" s="14" t="str">
        <f>IF(Q57&gt;=2,"5","0")</f>
        <v>5</v>
      </c>
      <c r="I55" s="14" t="str">
        <f>IF(Q57&gt;=3,"5","0")</f>
        <v>5</v>
      </c>
      <c r="J55" s="14" t="str">
        <f>IF(Q57&gt;=4,"5","0")</f>
        <v>0</v>
      </c>
      <c r="K55" s="32" t="str">
        <f>IF(Q57&gt;=5,"5","0")</f>
        <v>0</v>
      </c>
      <c r="N55" s="68">
        <f>COUNTIF(F52,"SSS")*4</f>
        <v>0</v>
      </c>
      <c r="O55" s="68">
        <f>COUNTIF(F53,"SSS")*4</f>
        <v>0</v>
      </c>
      <c r="P55" s="68">
        <f>COUNTIF(F54,"SSS")*4</f>
        <v>0</v>
      </c>
      <c r="Q55" s="68">
        <f>COUNTIF(F55,"SSS")*4</f>
        <v>0</v>
      </c>
      <c r="R55" s="68">
        <f>COUNTIF(F56,"SSS")*4</f>
        <v>0</v>
      </c>
      <c r="S55" s="68">
        <f>COUNTIF(F57,"SSS")*4</f>
        <v>0</v>
      </c>
      <c r="T55" s="68">
        <f>COUNTIF(F58,"SSS")*4</f>
        <v>0</v>
      </c>
      <c r="U55" s="68">
        <f>COUNTIF(F59,"SSS")*4</f>
        <v>0</v>
      </c>
      <c r="V55" s="16"/>
      <c r="W55" s="16"/>
    </row>
    <row r="56" spans="2:23" x14ac:dyDescent="0.15">
      <c r="B56" s="91" t="s">
        <v>36</v>
      </c>
      <c r="C56" s="77" t="s">
        <v>62</v>
      </c>
      <c r="D56" s="78"/>
      <c r="E56" s="12">
        <v>9</v>
      </c>
      <c r="F56" s="12" t="s">
        <v>24</v>
      </c>
      <c r="G56" s="13" t="str">
        <f>IF(R57&gt;=1,"4","0")</f>
        <v>4</v>
      </c>
      <c r="H56" s="14" t="str">
        <f>IF(R57&gt;=2,"4","0")</f>
        <v>4</v>
      </c>
      <c r="I56" s="14" t="str">
        <f>IF(R57&gt;=3,"4","0")</f>
        <v>4</v>
      </c>
      <c r="J56" s="14" t="str">
        <f>IF(R57&gt;=4,"4","0")</f>
        <v>0</v>
      </c>
      <c r="K56" s="32" t="str">
        <f>IF(R57&gt;=5,"4","0")</f>
        <v>0</v>
      </c>
      <c r="N56" s="68">
        <f>COUNTIF(F52,"EXC")*5</f>
        <v>0</v>
      </c>
      <c r="O56" s="68">
        <f>COUNTIF(F53,"EXC")*5</f>
        <v>0</v>
      </c>
      <c r="P56" s="68">
        <f>COUNTIF(F54,"EXC")*5</f>
        <v>0</v>
      </c>
      <c r="Q56" s="68">
        <f>COUNTIF(F55,"EXC")*5</f>
        <v>0</v>
      </c>
      <c r="R56" s="68">
        <f>COUNTIF(F56,"EXC")*5</f>
        <v>0</v>
      </c>
      <c r="S56" s="68">
        <f>COUNTIF(F57,"EXC")*5</f>
        <v>0</v>
      </c>
      <c r="T56" s="68">
        <f>COUNTIF(F58,"EXC")*5</f>
        <v>0</v>
      </c>
      <c r="U56" s="68">
        <f>COUNTIF(F59,"EXC")*5</f>
        <v>0</v>
      </c>
      <c r="V56" s="16"/>
      <c r="W56" s="16"/>
    </row>
    <row r="57" spans="2:23" x14ac:dyDescent="0.15">
      <c r="B57" s="91"/>
      <c r="C57" s="77" t="s">
        <v>63</v>
      </c>
      <c r="D57" s="78"/>
      <c r="E57" s="12">
        <v>9</v>
      </c>
      <c r="F57" s="12" t="s">
        <v>24</v>
      </c>
      <c r="G57" s="13" t="str">
        <f>IF(S57&gt;=1,"4","0")</f>
        <v>4</v>
      </c>
      <c r="H57" s="14" t="str">
        <f>IF(S57&gt;=2,"4","0")</f>
        <v>4</v>
      </c>
      <c r="I57" s="14" t="str">
        <f>IF(S57&gt;=3,"4","0")</f>
        <v>4</v>
      </c>
      <c r="J57" s="14" t="str">
        <f>IF(S57&gt;=4,"4","0")</f>
        <v>0</v>
      </c>
      <c r="K57" s="32" t="str">
        <f>IF(S57&gt;=5,"4","0")</f>
        <v>0</v>
      </c>
      <c r="N57" s="68">
        <f t="shared" ref="N57:U57" si="3">SUM(N52:N56)</f>
        <v>3</v>
      </c>
      <c r="O57" s="68">
        <f t="shared" si="3"/>
        <v>3</v>
      </c>
      <c r="P57" s="68">
        <f t="shared" si="3"/>
        <v>3</v>
      </c>
      <c r="Q57" s="68">
        <f t="shared" si="3"/>
        <v>3</v>
      </c>
      <c r="R57" s="68">
        <f t="shared" si="3"/>
        <v>3</v>
      </c>
      <c r="S57" s="68">
        <f t="shared" si="3"/>
        <v>3</v>
      </c>
      <c r="T57" s="68">
        <f t="shared" si="3"/>
        <v>3</v>
      </c>
      <c r="U57" s="68">
        <f t="shared" si="3"/>
        <v>3</v>
      </c>
      <c r="V57" s="16"/>
      <c r="W57" s="16"/>
    </row>
    <row r="58" spans="2:23" x14ac:dyDescent="0.15">
      <c r="B58" s="91"/>
      <c r="C58" s="77" t="s">
        <v>64</v>
      </c>
      <c r="D58" s="78"/>
      <c r="E58" s="12">
        <v>9</v>
      </c>
      <c r="F58" s="12" t="s">
        <v>24</v>
      </c>
      <c r="G58" s="13" t="str">
        <f>IF(T57&gt;=1,"4","0")</f>
        <v>4</v>
      </c>
      <c r="H58" s="14" t="str">
        <f>IF(T57&gt;=2,"4","0")</f>
        <v>4</v>
      </c>
      <c r="I58" s="14" t="str">
        <f>IF(T57&gt;=3,"4","0")</f>
        <v>4</v>
      </c>
      <c r="J58" s="14" t="str">
        <f>IF(T57&gt;=4,"4","0")</f>
        <v>0</v>
      </c>
      <c r="K58" s="32" t="str">
        <f>IF(T57&gt;=5,"4","0")</f>
        <v>0</v>
      </c>
      <c r="V58" s="16"/>
      <c r="W58" s="16"/>
    </row>
    <row r="59" spans="2:23" ht="14.25" thickBot="1" x14ac:dyDescent="0.2">
      <c r="B59" s="92"/>
      <c r="C59" s="81" t="s">
        <v>65</v>
      </c>
      <c r="D59" s="82"/>
      <c r="E59" s="33">
        <v>9</v>
      </c>
      <c r="F59" s="33" t="s">
        <v>24</v>
      </c>
      <c r="G59" s="34" t="str">
        <f>IF(U57&gt;=1,"4","0")</f>
        <v>4</v>
      </c>
      <c r="H59" s="35" t="str">
        <f>IF(U57&gt;=2,"4","0")</f>
        <v>4</v>
      </c>
      <c r="I59" s="35" t="str">
        <f>IF(U57&gt;=3,"4","0")</f>
        <v>4</v>
      </c>
      <c r="J59" s="35" t="str">
        <f>IF(U57&gt;=4,"4","0")</f>
        <v>0</v>
      </c>
      <c r="K59" s="36" t="str">
        <f>IF(U57&gt;=5,"4","0")</f>
        <v>0</v>
      </c>
      <c r="V59" s="16"/>
      <c r="W59" s="16"/>
    </row>
    <row r="60" spans="2:23" ht="14.25" thickBot="1" x14ac:dyDescent="0.2">
      <c r="B60" s="24"/>
      <c r="C60" s="83"/>
      <c r="D60" s="83"/>
      <c r="E60" s="79" t="s">
        <v>11</v>
      </c>
      <c r="F60" s="80"/>
      <c r="G60" s="26">
        <f>SUM(G52+G53+G54+G55+G56+G57+G58+G59+G44)</f>
        <v>104</v>
      </c>
      <c r="H60" s="26">
        <f>SUM(H52+H53+H54+H55+H56+H57+H58+H59+H44)</f>
        <v>104</v>
      </c>
      <c r="I60" s="26">
        <f>SUM(I52+I53+I54+I55+I56+I57+I58+I59+I44)</f>
        <v>104</v>
      </c>
      <c r="J60" s="26">
        <f>SUM(J52+J53+J54+J55+J56+J57+J58+J59+J44)</f>
        <v>0</v>
      </c>
      <c r="K60" s="26">
        <f>SUM(K52+K53+K54+K55+K56+K57+K58+K59+K44)</f>
        <v>0</v>
      </c>
      <c r="V60" s="16"/>
      <c r="W60" s="16"/>
    </row>
    <row r="61" spans="2:23" ht="14.25" thickBot="1" x14ac:dyDescent="0.2">
      <c r="B61" s="24"/>
      <c r="C61" s="83"/>
      <c r="D61" s="83"/>
      <c r="E61" s="108" t="s">
        <v>57</v>
      </c>
      <c r="F61" s="109"/>
      <c r="G61" s="47" t="str">
        <f>IF(G60&gt;=74,"合格","不合格")</f>
        <v>合格</v>
      </c>
      <c r="H61" s="47" t="str">
        <f>IF(H60&gt;=74,"合格","不合格")</f>
        <v>合格</v>
      </c>
      <c r="I61" s="47" t="str">
        <f>IF(I60&gt;=74,"合格","不合格")</f>
        <v>合格</v>
      </c>
      <c r="J61" s="47" t="str">
        <f>IF(J60&gt;=74,"合格","不合格")</f>
        <v>不合格</v>
      </c>
      <c r="K61" s="47" t="str">
        <f>IF(K60&gt;=74,"合格","不合格")</f>
        <v>不合格</v>
      </c>
      <c r="V61" s="16"/>
      <c r="W61" s="16"/>
    </row>
    <row r="62" spans="2:23" x14ac:dyDescent="0.15">
      <c r="E62" s="86"/>
      <c r="F62" s="86"/>
      <c r="G62" s="21"/>
      <c r="H62" s="21"/>
      <c r="I62" s="21"/>
      <c r="J62" s="21"/>
      <c r="K62" s="21"/>
      <c r="V62" s="16"/>
      <c r="W62" s="16"/>
    </row>
    <row r="63" spans="2:23" x14ac:dyDescent="0.15">
      <c r="E63" s="83"/>
      <c r="F63" s="83"/>
      <c r="G63" s="21"/>
      <c r="H63" s="21"/>
      <c r="I63" s="21"/>
      <c r="J63" s="21"/>
      <c r="K63" s="21"/>
      <c r="V63" s="16"/>
      <c r="W63" s="16"/>
    </row>
    <row r="64" spans="2:23" x14ac:dyDescent="0.15">
      <c r="D64" s="64"/>
      <c r="I64" s="16"/>
      <c r="J64" s="16"/>
      <c r="V64" s="16"/>
      <c r="W64" s="16"/>
    </row>
    <row r="65" spans="2:23" x14ac:dyDescent="0.15">
      <c r="I65" s="16"/>
      <c r="J65" s="16"/>
      <c r="V65" s="16"/>
      <c r="W65" s="16"/>
    </row>
    <row r="66" spans="2:23" ht="14.25" thickBot="1" x14ac:dyDescent="0.2">
      <c r="B66" s="85" t="s">
        <v>12</v>
      </c>
      <c r="C66" s="85"/>
      <c r="D66" s="85"/>
      <c r="E66" s="85"/>
      <c r="F66" s="85"/>
      <c r="G66" s="85"/>
      <c r="H66" s="85"/>
      <c r="I66" s="85"/>
      <c r="J66" s="85"/>
      <c r="K66" s="85"/>
      <c r="V66" s="16"/>
      <c r="W66" s="16"/>
    </row>
    <row r="67" spans="2:23" ht="14.25" thickBot="1" x14ac:dyDescent="0.2">
      <c r="B67" s="37" t="s">
        <v>1</v>
      </c>
      <c r="C67" s="71" t="s">
        <v>2</v>
      </c>
      <c r="D67" s="74"/>
      <c r="E67" s="26" t="s">
        <v>3</v>
      </c>
      <c r="F67" s="26" t="s">
        <v>4</v>
      </c>
      <c r="G67" s="27" t="s">
        <v>5</v>
      </c>
      <c r="H67" s="28" t="s">
        <v>6</v>
      </c>
      <c r="I67" s="29" t="s">
        <v>7</v>
      </c>
      <c r="J67" s="28" t="s">
        <v>8</v>
      </c>
      <c r="K67" s="30" t="s">
        <v>9</v>
      </c>
      <c r="V67" s="16"/>
      <c r="W67" s="16"/>
    </row>
    <row r="68" spans="2:23" x14ac:dyDescent="0.15">
      <c r="B68" s="102" t="s">
        <v>67</v>
      </c>
      <c r="C68" s="75" t="s">
        <v>70</v>
      </c>
      <c r="D68" s="93"/>
      <c r="E68" s="7">
        <v>9</v>
      </c>
      <c r="F68" s="7" t="s">
        <v>23</v>
      </c>
      <c r="G68" s="8" t="str">
        <f>IF(N73&gt;=1,"7","0")</f>
        <v>7</v>
      </c>
      <c r="H68" s="9" t="str">
        <f>IF(N73&gt;=2,"7","0")</f>
        <v>7</v>
      </c>
      <c r="I68" s="9" t="str">
        <f>IF(N73&gt;=3,"7","0")</f>
        <v>7</v>
      </c>
      <c r="J68" s="9" t="str">
        <f>IF(N73&gt;=4,"7","0")</f>
        <v>0</v>
      </c>
      <c r="K68" s="31" t="str">
        <f>IF(N73&gt;=5,"7","0")</f>
        <v>0</v>
      </c>
      <c r="N68" s="68">
        <f>COUNTIF(F68,"*A*")</f>
        <v>0</v>
      </c>
      <c r="O68" s="68">
        <f>COUNTIF(F69,"*A*")</f>
        <v>0</v>
      </c>
      <c r="P68" s="68">
        <f>COUNTIF(F70,"*A*")</f>
        <v>0</v>
      </c>
      <c r="Q68" s="68">
        <f>COUNTIF(F71,"*A*")</f>
        <v>0</v>
      </c>
      <c r="R68" s="68">
        <f>COUNTIF(F72,"*A*")</f>
        <v>0</v>
      </c>
      <c r="S68" s="68">
        <f>COUNTIF(F73,"*A*")</f>
        <v>0</v>
      </c>
      <c r="T68" s="68">
        <f>COUNTIF(F74,"*A*")</f>
        <v>0</v>
      </c>
      <c r="U68" s="68">
        <f>COUNTIF(F75,"*A*")</f>
        <v>0</v>
      </c>
      <c r="V68" s="16"/>
      <c r="W68" s="16"/>
    </row>
    <row r="69" spans="2:23" x14ac:dyDescent="0.15">
      <c r="B69" s="91"/>
      <c r="C69" s="94" t="s">
        <v>71</v>
      </c>
      <c r="D69" s="95"/>
      <c r="E69" s="12">
        <v>9</v>
      </c>
      <c r="F69" s="12" t="s">
        <v>24</v>
      </c>
      <c r="G69" s="13" t="str">
        <f>IF(O73&gt;=1,"7","0")</f>
        <v>7</v>
      </c>
      <c r="H69" s="14" t="str">
        <f>IF(O73&gt;=2,"7","0")</f>
        <v>7</v>
      </c>
      <c r="I69" s="14" t="str">
        <f>IF(O73&gt;=3,"7","0")</f>
        <v>7</v>
      </c>
      <c r="J69" s="14" t="str">
        <f>IF(O73&gt;=4,"7","0")</f>
        <v>0</v>
      </c>
      <c r="K69" s="32" t="str">
        <f>IF(O73&gt;=5,"7","0")</f>
        <v>0</v>
      </c>
      <c r="N69" s="68">
        <f>COUNTIF(F68,"S")*2</f>
        <v>0</v>
      </c>
      <c r="O69" s="68">
        <f>COUNTIF(F69,"S")*2</f>
        <v>0</v>
      </c>
      <c r="P69" s="68">
        <f>COUNTIF(F70,"S")*2</f>
        <v>0</v>
      </c>
      <c r="Q69" s="68">
        <f>COUNTIF(F71,"S")*2</f>
        <v>0</v>
      </c>
      <c r="R69" s="68">
        <f>COUNTIF(F72,"S")*2</f>
        <v>0</v>
      </c>
      <c r="S69" s="68">
        <f>COUNTIF(F73,"S")*2</f>
        <v>0</v>
      </c>
      <c r="T69" s="68">
        <f>COUNTIF(F74,"S")*2</f>
        <v>0</v>
      </c>
      <c r="U69" s="68">
        <f>COUNTIF(F75,"S")*2</f>
        <v>0</v>
      </c>
      <c r="V69" s="16"/>
      <c r="W69" s="16"/>
    </row>
    <row r="70" spans="2:23" x14ac:dyDescent="0.15">
      <c r="B70" s="89" t="s">
        <v>66</v>
      </c>
      <c r="C70" s="77" t="s">
        <v>72</v>
      </c>
      <c r="D70" s="78"/>
      <c r="E70" s="12">
        <v>9</v>
      </c>
      <c r="F70" s="12" t="s">
        <v>24</v>
      </c>
      <c r="G70" s="13" t="str">
        <f>IF(P73&gt;=1,"6","0")</f>
        <v>6</v>
      </c>
      <c r="H70" s="14" t="str">
        <f>IF(P73&gt;=2,"6","0")</f>
        <v>6</v>
      </c>
      <c r="I70" s="14" t="str">
        <f>IF(P73&gt;=3,"6","0")</f>
        <v>6</v>
      </c>
      <c r="J70" s="14" t="str">
        <f>IF(P73&gt;=4,"6","0")</f>
        <v>0</v>
      </c>
      <c r="K70" s="32" t="str">
        <f>IF(P73&gt;=5,"6","0")</f>
        <v>0</v>
      </c>
      <c r="N70" s="68">
        <f>COUNTIF(F68,"SS")*3</f>
        <v>3</v>
      </c>
      <c r="O70" s="68">
        <f>COUNTIF(F69,"SS")*3</f>
        <v>3</v>
      </c>
      <c r="P70" s="68">
        <f>COUNTIF(F70,"SS")*3</f>
        <v>3</v>
      </c>
      <c r="Q70" s="68">
        <f>COUNTIF(F71,"SS")*3</f>
        <v>3</v>
      </c>
      <c r="R70" s="68">
        <f>COUNTIF(F72,"SS")*3</f>
        <v>3</v>
      </c>
      <c r="S70" s="68">
        <f>COUNTIF(F73,"SS")*3</f>
        <v>3</v>
      </c>
      <c r="T70" s="68">
        <f>COUNTIF(F74,"SS")*3</f>
        <v>3</v>
      </c>
      <c r="U70" s="68">
        <f>COUNTIF(F75,"SS")*3</f>
        <v>3</v>
      </c>
      <c r="V70" s="16"/>
      <c r="W70" s="16"/>
    </row>
    <row r="71" spans="2:23" x14ac:dyDescent="0.15">
      <c r="B71" s="90"/>
      <c r="C71" s="77" t="s">
        <v>73</v>
      </c>
      <c r="D71" s="78"/>
      <c r="E71" s="12">
        <v>9</v>
      </c>
      <c r="F71" s="12" t="s">
        <v>24</v>
      </c>
      <c r="G71" s="13" t="str">
        <f>IF(Q73&gt;=1,"6","0")</f>
        <v>6</v>
      </c>
      <c r="H71" s="14" t="str">
        <f>IF(Q73&gt;=2,"6","0")</f>
        <v>6</v>
      </c>
      <c r="I71" s="14" t="str">
        <f>IF(Q73&gt;=3,"6","0")</f>
        <v>6</v>
      </c>
      <c r="J71" s="14" t="str">
        <f>IF(Q73&gt;=4,"6","0")</f>
        <v>0</v>
      </c>
      <c r="K71" s="32" t="str">
        <f>IF(Q73&gt;=5,"6","0")</f>
        <v>0</v>
      </c>
      <c r="N71" s="68">
        <f>COUNTIF(F68,"SSS")*4</f>
        <v>0</v>
      </c>
      <c r="O71" s="68">
        <f>COUNTIF(F69,"SSS")*4</f>
        <v>0</v>
      </c>
      <c r="P71" s="68">
        <f>COUNTIF(F70,"SSS")*4</f>
        <v>0</v>
      </c>
      <c r="Q71" s="68">
        <f>COUNTIF(F71,"SSS")*4</f>
        <v>0</v>
      </c>
      <c r="R71" s="68">
        <f>COUNTIF(F72,"SSS")*4</f>
        <v>0</v>
      </c>
      <c r="S71" s="68">
        <f>COUNTIF(F73,"SSS")*4</f>
        <v>0</v>
      </c>
      <c r="T71" s="68">
        <f>COUNTIF(F74,"SSS")*4</f>
        <v>0</v>
      </c>
      <c r="U71" s="68">
        <f>COUNTIF(F75,"SSS")*4</f>
        <v>0</v>
      </c>
      <c r="V71" s="16"/>
      <c r="W71" s="16"/>
    </row>
    <row r="72" spans="2:23" x14ac:dyDescent="0.15">
      <c r="B72" s="91" t="s">
        <v>46</v>
      </c>
      <c r="C72" s="77" t="s">
        <v>74</v>
      </c>
      <c r="D72" s="78"/>
      <c r="E72" s="12">
        <v>9</v>
      </c>
      <c r="F72" s="12" t="s">
        <v>24</v>
      </c>
      <c r="G72" s="13" t="str">
        <f>IF(R73&gt;=1,"5","0")</f>
        <v>5</v>
      </c>
      <c r="H72" s="14" t="str">
        <f>IF(R73&gt;=2,"5","0")</f>
        <v>5</v>
      </c>
      <c r="I72" s="14" t="str">
        <f>IF(R73&gt;=3,"5","0")</f>
        <v>5</v>
      </c>
      <c r="J72" s="14" t="str">
        <f>IF(R73&gt;=4,"5","0")</f>
        <v>0</v>
      </c>
      <c r="K72" s="32" t="str">
        <f>IF(R73&gt;=5,"5","0")</f>
        <v>0</v>
      </c>
      <c r="N72" s="68">
        <f>COUNTIF(F68,"EXC")*5</f>
        <v>0</v>
      </c>
      <c r="O72" s="68">
        <f>COUNTIF(F69,"EXC")*5</f>
        <v>0</v>
      </c>
      <c r="P72" s="68">
        <f>COUNTIF(F70,"EXC")*5</f>
        <v>0</v>
      </c>
      <c r="Q72" s="68">
        <f>COUNTIF(F71,"EXC")*5</f>
        <v>0</v>
      </c>
      <c r="R72" s="68">
        <f>COUNTIF(F72,"EXC")*5</f>
        <v>0</v>
      </c>
      <c r="S72" s="68">
        <f>COUNTIF(F73,"EXC")*5</f>
        <v>0</v>
      </c>
      <c r="T72" s="68">
        <f>COUNTIF(F74,"EXC")*5</f>
        <v>0</v>
      </c>
      <c r="U72" s="68">
        <f>COUNTIF(F75,"EXC")*5</f>
        <v>0</v>
      </c>
      <c r="V72" s="16"/>
      <c r="W72" s="16"/>
    </row>
    <row r="73" spans="2:23" x14ac:dyDescent="0.15">
      <c r="B73" s="91"/>
      <c r="C73" s="77" t="s">
        <v>75</v>
      </c>
      <c r="D73" s="78"/>
      <c r="E73" s="12">
        <v>9</v>
      </c>
      <c r="F73" s="12" t="s">
        <v>24</v>
      </c>
      <c r="G73" s="13" t="str">
        <f>IF(S73&gt;=1,"5","0")</f>
        <v>5</v>
      </c>
      <c r="H73" s="14" t="str">
        <f>IF(S73&gt;=2,"5","0")</f>
        <v>5</v>
      </c>
      <c r="I73" s="14" t="str">
        <f>IF(S73&gt;=3,"5","0")</f>
        <v>5</v>
      </c>
      <c r="J73" s="14" t="str">
        <f>IF(S73&gt;=4,"5","0")</f>
        <v>0</v>
      </c>
      <c r="K73" s="32" t="str">
        <f>IF(S73&gt;=5,"5","0")</f>
        <v>0</v>
      </c>
      <c r="N73" s="68">
        <f t="shared" ref="N73:U73" si="4">SUM(N68:N72)</f>
        <v>3</v>
      </c>
      <c r="O73" s="68">
        <f t="shared" si="4"/>
        <v>3</v>
      </c>
      <c r="P73" s="68">
        <f t="shared" si="4"/>
        <v>3</v>
      </c>
      <c r="Q73" s="68">
        <f t="shared" si="4"/>
        <v>3</v>
      </c>
      <c r="R73" s="68">
        <f t="shared" si="4"/>
        <v>3</v>
      </c>
      <c r="S73" s="68">
        <f t="shared" si="4"/>
        <v>3</v>
      </c>
      <c r="T73" s="68">
        <f t="shared" si="4"/>
        <v>3</v>
      </c>
      <c r="U73" s="68">
        <f t="shared" si="4"/>
        <v>3</v>
      </c>
      <c r="V73" s="16"/>
      <c r="W73" s="16"/>
    </row>
    <row r="74" spans="2:23" x14ac:dyDescent="0.15">
      <c r="B74" s="91"/>
      <c r="C74" s="77" t="s">
        <v>76</v>
      </c>
      <c r="D74" s="78"/>
      <c r="E74" s="12">
        <v>9</v>
      </c>
      <c r="F74" s="12" t="s">
        <v>24</v>
      </c>
      <c r="G74" s="13" t="str">
        <f>IF(T73&gt;=1,"5","0")</f>
        <v>5</v>
      </c>
      <c r="H74" s="14" t="str">
        <f>IF(T73&gt;=2,"5","0")</f>
        <v>5</v>
      </c>
      <c r="I74" s="14" t="str">
        <f>IF(T73&gt;=3,"5","0")</f>
        <v>5</v>
      </c>
      <c r="J74" s="14" t="str">
        <f>IF(T73&gt;=4,"5","0")</f>
        <v>0</v>
      </c>
      <c r="K74" s="32" t="str">
        <f>IF(T73&gt;=5,"5","0")</f>
        <v>0</v>
      </c>
      <c r="V74" s="16"/>
      <c r="W74" s="16"/>
    </row>
    <row r="75" spans="2:23" ht="14.25" thickBot="1" x14ac:dyDescent="0.2">
      <c r="B75" s="92"/>
      <c r="C75" s="81" t="s">
        <v>77</v>
      </c>
      <c r="D75" s="82"/>
      <c r="E75" s="33">
        <v>9</v>
      </c>
      <c r="F75" s="33" t="s">
        <v>24</v>
      </c>
      <c r="G75" s="34" t="str">
        <f>IF(U73&gt;=1,"5","0")</f>
        <v>5</v>
      </c>
      <c r="H75" s="35" t="str">
        <f>IF(U73&gt;=2,"5","0")</f>
        <v>5</v>
      </c>
      <c r="I75" s="35" t="str">
        <f>IF(U73&gt;=3,"5","0")</f>
        <v>5</v>
      </c>
      <c r="J75" s="35" t="str">
        <f>IF(U73&gt;=4,"5","0")</f>
        <v>0</v>
      </c>
      <c r="K75" s="36" t="str">
        <f>IF(U73&gt;=5,"5","0")</f>
        <v>0</v>
      </c>
      <c r="V75" s="16"/>
      <c r="W75" s="16"/>
    </row>
    <row r="76" spans="2:23" ht="14.25" thickBot="1" x14ac:dyDescent="0.2">
      <c r="B76" s="24"/>
      <c r="C76" s="83"/>
      <c r="D76" s="83"/>
      <c r="E76" s="79" t="s">
        <v>11</v>
      </c>
      <c r="F76" s="80"/>
      <c r="G76" s="26">
        <f>SUM(G68+G69+G70+G71+G72+G73+G74+G75+G60)</f>
        <v>150</v>
      </c>
      <c r="H76" s="26">
        <f>SUM(H68+H69+H70+H71+H72+H73+H74+H75+H60)</f>
        <v>150</v>
      </c>
      <c r="I76" s="26">
        <f>SUM(I68+I69+I70+I71+I72+I73+I74+I75+I60)</f>
        <v>150</v>
      </c>
      <c r="J76" s="26">
        <f>SUM(J68+J69+J70+J71+J72+J73+J74+J75+J60)</f>
        <v>0</v>
      </c>
      <c r="K76" s="26">
        <f>SUM(K68+K69+K70+K71+K72+K73+K74+K75+K60)</f>
        <v>0</v>
      </c>
      <c r="V76" s="16"/>
      <c r="W76" s="16"/>
    </row>
    <row r="77" spans="2:23" ht="14.25" thickBot="1" x14ac:dyDescent="0.2">
      <c r="B77" s="24"/>
      <c r="C77" s="83"/>
      <c r="D77" s="83"/>
      <c r="E77" s="108" t="s">
        <v>69</v>
      </c>
      <c r="F77" s="109"/>
      <c r="G77" s="47" t="str">
        <f>IF(G76&gt;=114,"合格","不合格")</f>
        <v>合格</v>
      </c>
      <c r="H77" s="47" t="str">
        <f>IF(H76&gt;=114,"合格","不合格")</f>
        <v>合格</v>
      </c>
      <c r="I77" s="47" t="str">
        <f>IF(I76&gt;=114,"合格","不合格")</f>
        <v>合格</v>
      </c>
      <c r="J77" s="47" t="str">
        <f>IF(J76&gt;=114,"合格","不合格")</f>
        <v>不合格</v>
      </c>
      <c r="K77" s="47" t="str">
        <f>IF(K76&gt;=114,"合格","不合格")</f>
        <v>不合格</v>
      </c>
      <c r="V77" s="16"/>
      <c r="W77" s="16"/>
    </row>
    <row r="78" spans="2:23" x14ac:dyDescent="0.15">
      <c r="E78" s="86"/>
      <c r="F78" s="86"/>
      <c r="G78" s="21"/>
      <c r="H78" s="21"/>
      <c r="I78" s="21"/>
      <c r="J78" s="21"/>
      <c r="K78" s="21"/>
      <c r="V78" s="16"/>
      <c r="W78" s="16"/>
    </row>
    <row r="79" spans="2:23" x14ac:dyDescent="0.15">
      <c r="E79" s="83"/>
      <c r="F79" s="83"/>
      <c r="G79" s="21"/>
      <c r="H79" s="21"/>
      <c r="I79" s="21"/>
      <c r="J79" s="21"/>
      <c r="K79" s="21"/>
      <c r="V79" s="16"/>
      <c r="W79" s="16"/>
    </row>
    <row r="80" spans="2:23" x14ac:dyDescent="0.15">
      <c r="I80" s="16"/>
      <c r="J80" s="16"/>
      <c r="V80" s="16"/>
      <c r="W80" s="16"/>
    </row>
    <row r="81" spans="2:23" x14ac:dyDescent="0.15">
      <c r="I81" s="16"/>
      <c r="J81" s="16"/>
      <c r="V81" s="16"/>
      <c r="W81" s="16"/>
    </row>
    <row r="82" spans="2:23" ht="14.25" thickBot="1" x14ac:dyDescent="0.2">
      <c r="B82" s="85" t="s">
        <v>13</v>
      </c>
      <c r="C82" s="85"/>
      <c r="D82" s="85"/>
      <c r="E82" s="85"/>
      <c r="F82" s="85"/>
      <c r="G82" s="85"/>
      <c r="H82" s="85"/>
      <c r="I82" s="85"/>
      <c r="J82" s="85"/>
      <c r="K82" s="85"/>
      <c r="V82" s="16"/>
      <c r="W82" s="16"/>
    </row>
    <row r="83" spans="2:23" ht="14.25" thickBot="1" x14ac:dyDescent="0.2">
      <c r="B83" s="37" t="s">
        <v>1</v>
      </c>
      <c r="C83" s="97" t="s">
        <v>2</v>
      </c>
      <c r="D83" s="72"/>
      <c r="E83" s="26" t="s">
        <v>3</v>
      </c>
      <c r="F83" s="26" t="s">
        <v>4</v>
      </c>
      <c r="G83" s="27" t="s">
        <v>5</v>
      </c>
      <c r="H83" s="28" t="s">
        <v>6</v>
      </c>
      <c r="I83" s="29" t="s">
        <v>7</v>
      </c>
      <c r="J83" s="28" t="s">
        <v>8</v>
      </c>
      <c r="K83" s="30" t="s">
        <v>9</v>
      </c>
      <c r="V83" s="16"/>
      <c r="W83" s="16"/>
    </row>
    <row r="84" spans="2:23" x14ac:dyDescent="0.15">
      <c r="B84" s="102" t="s">
        <v>87</v>
      </c>
      <c r="C84" s="98" t="s">
        <v>78</v>
      </c>
      <c r="D84" s="99"/>
      <c r="E84" s="65">
        <v>9</v>
      </c>
      <c r="F84" s="7" t="s">
        <v>23</v>
      </c>
      <c r="G84" s="8" t="str">
        <f>IF(N89&gt;=1,"8","0")</f>
        <v>8</v>
      </c>
      <c r="H84" s="9" t="str">
        <f>IF(N89&gt;=2,"8","0")</f>
        <v>8</v>
      </c>
      <c r="I84" s="9" t="str">
        <f>IF(N89&gt;=3,"8","0")</f>
        <v>8</v>
      </c>
      <c r="J84" s="9" t="str">
        <f>IF(N89&gt;=4,"8","0")</f>
        <v>0</v>
      </c>
      <c r="K84" s="31" t="str">
        <f>IF(N89&gt;=5,"8","0")</f>
        <v>0</v>
      </c>
      <c r="N84" s="68">
        <f>COUNTIF(F84,"*A*")</f>
        <v>0</v>
      </c>
      <c r="O84" s="68">
        <f>COUNTIF(F85,"*A*")</f>
        <v>0</v>
      </c>
      <c r="P84" s="68">
        <f>COUNTIF(F86,"*A*")</f>
        <v>0</v>
      </c>
      <c r="Q84" s="68">
        <f>COUNTIF(F87,"*A*")</f>
        <v>0</v>
      </c>
      <c r="R84" s="68">
        <f>COUNTIF(F88,"*A*")</f>
        <v>0</v>
      </c>
      <c r="S84" s="68">
        <f>COUNTIF(F89,"*A*")</f>
        <v>0</v>
      </c>
      <c r="T84" s="68">
        <f>COUNTIF(F90,"*A*")</f>
        <v>0</v>
      </c>
      <c r="U84" s="68">
        <f>COUNTIF(F91,"*A*")</f>
        <v>0</v>
      </c>
      <c r="V84" s="16"/>
      <c r="W84" s="16"/>
    </row>
    <row r="85" spans="2:23" x14ac:dyDescent="0.15">
      <c r="B85" s="91"/>
      <c r="C85" s="94" t="s">
        <v>79</v>
      </c>
      <c r="D85" s="100"/>
      <c r="E85" s="66">
        <v>9</v>
      </c>
      <c r="F85" s="12" t="s">
        <v>24</v>
      </c>
      <c r="G85" s="13" t="str">
        <f>IF(O89&gt;=1,"8","0")</f>
        <v>8</v>
      </c>
      <c r="H85" s="14" t="str">
        <f>IF(O89&gt;=2,"8","0")</f>
        <v>8</v>
      </c>
      <c r="I85" s="14" t="str">
        <f>IF(O89&gt;=3,"8","0")</f>
        <v>8</v>
      </c>
      <c r="J85" s="14" t="str">
        <f>IF(O89&gt;=4,"8","0")</f>
        <v>0</v>
      </c>
      <c r="K85" s="32" t="str">
        <f>IF(O89&gt;=5,"8","0")</f>
        <v>0</v>
      </c>
      <c r="N85" s="68">
        <f>COUNTIF(F84,"S")*2</f>
        <v>0</v>
      </c>
      <c r="O85" s="68">
        <f>COUNTIF(F85,"S")*2</f>
        <v>0</v>
      </c>
      <c r="P85" s="68">
        <f>COUNTIF(F86,"S")*2</f>
        <v>0</v>
      </c>
      <c r="Q85" s="68">
        <f>COUNTIF(F87,"S")*2</f>
        <v>0</v>
      </c>
      <c r="R85" s="68">
        <f>COUNTIF(F88,"S")*2</f>
        <v>0</v>
      </c>
      <c r="S85" s="68">
        <f>COUNTIF(F89,"S")*2</f>
        <v>0</v>
      </c>
      <c r="T85" s="68">
        <f>COUNTIF(F90,"S")*2</f>
        <v>0</v>
      </c>
      <c r="U85" s="68">
        <f>COUNTIF(F91,"S")*2</f>
        <v>0</v>
      </c>
      <c r="V85" s="16"/>
      <c r="W85" s="16"/>
    </row>
    <row r="86" spans="2:23" x14ac:dyDescent="0.15">
      <c r="B86" s="89" t="s">
        <v>67</v>
      </c>
      <c r="C86" s="77" t="s">
        <v>80</v>
      </c>
      <c r="D86" s="96"/>
      <c r="E86" s="66">
        <v>9</v>
      </c>
      <c r="F86" s="12" t="s">
        <v>24</v>
      </c>
      <c r="G86" s="13" t="str">
        <f>IF(P89&gt;=1,"7","0")</f>
        <v>7</v>
      </c>
      <c r="H86" s="14" t="str">
        <f>IF(P89&gt;=2,"7","0")</f>
        <v>7</v>
      </c>
      <c r="I86" s="14" t="str">
        <f>IF(P89&gt;=3,"7","0")</f>
        <v>7</v>
      </c>
      <c r="J86" s="14" t="str">
        <f>IF(P89&gt;=4,"7","0")</f>
        <v>0</v>
      </c>
      <c r="K86" s="32" t="str">
        <f>IF(P89&gt;=5,"7","0")</f>
        <v>0</v>
      </c>
      <c r="N86" s="68">
        <f>COUNTIF(F84,"SS")*3</f>
        <v>3</v>
      </c>
      <c r="O86" s="68">
        <f>COUNTIF(F85,"SS")*3</f>
        <v>3</v>
      </c>
      <c r="P86" s="68">
        <f>COUNTIF(F86,"SS")*3</f>
        <v>3</v>
      </c>
      <c r="Q86" s="68">
        <f>COUNTIF(F87,"SS")*3</f>
        <v>3</v>
      </c>
      <c r="R86" s="68">
        <f>COUNTIF(F88,"SS")*3</f>
        <v>3</v>
      </c>
      <c r="S86" s="68">
        <f>COUNTIF(F89,"SS")*3</f>
        <v>3</v>
      </c>
      <c r="T86" s="68">
        <f>COUNTIF(F90,"SS")*3</f>
        <v>3</v>
      </c>
      <c r="U86" s="68">
        <f>COUNTIF(F91,"SS")*3</f>
        <v>3</v>
      </c>
      <c r="V86" s="16"/>
      <c r="W86" s="16"/>
    </row>
    <row r="87" spans="2:23" x14ac:dyDescent="0.15">
      <c r="B87" s="90"/>
      <c r="C87" s="77" t="s">
        <v>81</v>
      </c>
      <c r="D87" s="96"/>
      <c r="E87" s="66">
        <v>9</v>
      </c>
      <c r="F87" s="12" t="s">
        <v>24</v>
      </c>
      <c r="G87" s="13" t="str">
        <f>IF(Q89&gt;=1,"7","0")</f>
        <v>7</v>
      </c>
      <c r="H87" s="14" t="str">
        <f>IF(Q89&gt;=2,"7","0")</f>
        <v>7</v>
      </c>
      <c r="I87" s="14" t="str">
        <f>IF(Q89&gt;=3,"7","0")</f>
        <v>7</v>
      </c>
      <c r="J87" s="14" t="str">
        <f>IF(Q89&gt;=4,"7","0")</f>
        <v>0</v>
      </c>
      <c r="K87" s="32" t="str">
        <f>IF(Q89&gt;=5,"7","0")</f>
        <v>0</v>
      </c>
      <c r="N87" s="68">
        <f>COUNTIF(F84,"SSS")*4</f>
        <v>0</v>
      </c>
      <c r="O87" s="68">
        <f>COUNTIF(F85,"SSS")*4</f>
        <v>0</v>
      </c>
      <c r="P87" s="68">
        <f>COUNTIF(F86,"SSS")*4</f>
        <v>0</v>
      </c>
      <c r="Q87" s="68">
        <f>COUNTIF(F87,"SSS")*4</f>
        <v>0</v>
      </c>
      <c r="R87" s="68">
        <f>COUNTIF(F88,"SSS")*4</f>
        <v>0</v>
      </c>
      <c r="S87" s="68">
        <f>COUNTIF(F89,"SSS")*4</f>
        <v>0</v>
      </c>
      <c r="T87" s="68">
        <f>COUNTIF(F90,"SSS")*4</f>
        <v>0</v>
      </c>
      <c r="U87" s="68">
        <f>COUNTIF(F91,"SSS")*4</f>
        <v>0</v>
      </c>
      <c r="V87" s="16"/>
      <c r="W87" s="16"/>
    </row>
    <row r="88" spans="2:23" x14ac:dyDescent="0.15">
      <c r="B88" s="91" t="s">
        <v>66</v>
      </c>
      <c r="C88" s="113" t="s">
        <v>151</v>
      </c>
      <c r="D88" s="114"/>
      <c r="E88" s="66">
        <v>9</v>
      </c>
      <c r="F88" s="12" t="s">
        <v>24</v>
      </c>
      <c r="G88" s="13" t="str">
        <f>IF(R89&gt;=1,"6","0")</f>
        <v>6</v>
      </c>
      <c r="H88" s="14" t="str">
        <f>IF(R89&gt;=2,"6","0")</f>
        <v>6</v>
      </c>
      <c r="I88" s="14" t="str">
        <f>IF(R89&gt;=3,"6","0")</f>
        <v>6</v>
      </c>
      <c r="J88" s="14" t="str">
        <f>IF(R89&gt;=4,"6","0")</f>
        <v>0</v>
      </c>
      <c r="K88" s="32" t="str">
        <f>IF(R89&gt;=5,"6","0")</f>
        <v>0</v>
      </c>
      <c r="N88" s="68">
        <f>COUNTIF(F84,"EXC")*5</f>
        <v>0</v>
      </c>
      <c r="O88" s="68">
        <f>COUNTIF(F85,"EXC")*5</f>
        <v>0</v>
      </c>
      <c r="P88" s="68">
        <f>COUNTIF(F86,"EXC")*5</f>
        <v>0</v>
      </c>
      <c r="Q88" s="68">
        <f>COUNTIF(F87,"EXC")*5</f>
        <v>0</v>
      </c>
      <c r="R88" s="68">
        <f>COUNTIF(F88,"EXC")*5</f>
        <v>0</v>
      </c>
      <c r="S88" s="68">
        <f>COUNTIF(F89,"EXC")*5</f>
        <v>0</v>
      </c>
      <c r="T88" s="68">
        <f>COUNTIF(F90,"EXC")*5</f>
        <v>0</v>
      </c>
      <c r="U88" s="68">
        <f>COUNTIF(F91,"EXC")*5</f>
        <v>0</v>
      </c>
      <c r="V88" s="16"/>
      <c r="W88" s="16"/>
    </row>
    <row r="89" spans="2:23" x14ac:dyDescent="0.15">
      <c r="B89" s="91"/>
      <c r="C89" s="77" t="s">
        <v>82</v>
      </c>
      <c r="D89" s="96"/>
      <c r="E89" s="66">
        <v>9</v>
      </c>
      <c r="F89" s="12" t="s">
        <v>24</v>
      </c>
      <c r="G89" s="13" t="str">
        <f>IF(S89&gt;=1,"6","0")</f>
        <v>6</v>
      </c>
      <c r="H89" s="14" t="str">
        <f>IF(S89&gt;=2,"6","0")</f>
        <v>6</v>
      </c>
      <c r="I89" s="14" t="str">
        <f>IF(S89&gt;=3,"6","0")</f>
        <v>6</v>
      </c>
      <c r="J89" s="14" t="str">
        <f>IF(S89&gt;=4,"6","0")</f>
        <v>0</v>
      </c>
      <c r="K89" s="32" t="str">
        <f>IF(S89&gt;=5,"6","0")</f>
        <v>0</v>
      </c>
      <c r="N89" s="68">
        <f t="shared" ref="N89:U89" si="5">SUM(N84:N88)</f>
        <v>3</v>
      </c>
      <c r="O89" s="68">
        <f t="shared" si="5"/>
        <v>3</v>
      </c>
      <c r="P89" s="68">
        <f t="shared" si="5"/>
        <v>3</v>
      </c>
      <c r="Q89" s="68">
        <f t="shared" si="5"/>
        <v>3</v>
      </c>
      <c r="R89" s="68">
        <f t="shared" si="5"/>
        <v>3</v>
      </c>
      <c r="S89" s="68">
        <f t="shared" si="5"/>
        <v>3</v>
      </c>
      <c r="T89" s="68">
        <f t="shared" si="5"/>
        <v>3</v>
      </c>
      <c r="U89" s="68">
        <f t="shared" si="5"/>
        <v>3</v>
      </c>
      <c r="V89" s="16"/>
      <c r="W89" s="16"/>
    </row>
    <row r="90" spans="2:23" x14ac:dyDescent="0.15">
      <c r="B90" s="91"/>
      <c r="C90" s="77" t="s">
        <v>83</v>
      </c>
      <c r="D90" s="96"/>
      <c r="E90" s="66">
        <v>9</v>
      </c>
      <c r="F90" s="12" t="s">
        <v>24</v>
      </c>
      <c r="G90" s="14" t="str">
        <f>IF(T89&gt;=1,"6","0")</f>
        <v>6</v>
      </c>
      <c r="H90" s="14" t="str">
        <f>IF(T89&gt;=2,"6","0")</f>
        <v>6</v>
      </c>
      <c r="I90" s="14" t="str">
        <f>IF(T89&gt;=3,"6","0")</f>
        <v>6</v>
      </c>
      <c r="J90" s="14" t="str">
        <f>IF(T89&gt;=4,"6","0")</f>
        <v>0</v>
      </c>
      <c r="K90" s="32" t="str">
        <f>IF(T89&gt;=5,"6","0")</f>
        <v>0</v>
      </c>
      <c r="V90" s="16"/>
      <c r="W90" s="16"/>
    </row>
    <row r="91" spans="2:23" ht="14.25" thickBot="1" x14ac:dyDescent="0.2">
      <c r="B91" s="92"/>
      <c r="C91" s="81" t="s">
        <v>84</v>
      </c>
      <c r="D91" s="101"/>
      <c r="E91" s="69">
        <v>9</v>
      </c>
      <c r="F91" s="33" t="s">
        <v>24</v>
      </c>
      <c r="G91" s="34" t="str">
        <f>IF(U89&gt;=1,"6","0")</f>
        <v>6</v>
      </c>
      <c r="H91" s="35" t="str">
        <f>IF(U89&gt;=2,"6","0")</f>
        <v>6</v>
      </c>
      <c r="I91" s="35" t="str">
        <f>IF(U89&gt;=3,"6","0")</f>
        <v>6</v>
      </c>
      <c r="J91" s="35" t="str">
        <f>IF(U89&gt;=4,"6","0")</f>
        <v>0</v>
      </c>
      <c r="K91" s="36" t="str">
        <f>IF(U89&gt;=5,"6","0")</f>
        <v>0</v>
      </c>
      <c r="V91" s="16"/>
      <c r="W91" s="16"/>
    </row>
    <row r="92" spans="2:23" ht="14.25" thickBot="1" x14ac:dyDescent="0.2">
      <c r="B92" s="24"/>
      <c r="C92" s="83"/>
      <c r="D92" s="83"/>
      <c r="E92" s="79" t="s">
        <v>11</v>
      </c>
      <c r="F92" s="80"/>
      <c r="G92" s="26">
        <f>SUM(G84+G85+G86+G87+G88+G89+G90+G91+G76)</f>
        <v>204</v>
      </c>
      <c r="H92" s="26">
        <f>SUM(H84+H85+H86+H87+H88+H89+H90+H91+H76)</f>
        <v>204</v>
      </c>
      <c r="I92" s="26">
        <f>SUM(I84+I85+I86+I87+I88+I89+I90+I91+I76)</f>
        <v>204</v>
      </c>
      <c r="J92" s="26">
        <f>SUM(J84+J85+J86+J87+J88+J89+J90+J91+J76)</f>
        <v>0</v>
      </c>
      <c r="K92" s="26">
        <f>SUM(K84+K85+K86+K87+K88+K89+K90+K91+K76)</f>
        <v>0</v>
      </c>
      <c r="V92" s="16"/>
      <c r="W92" s="16"/>
    </row>
    <row r="93" spans="2:23" ht="14.25" thickBot="1" x14ac:dyDescent="0.2">
      <c r="B93" s="24"/>
      <c r="C93" s="83"/>
      <c r="D93" s="83"/>
      <c r="E93" s="108" t="s">
        <v>85</v>
      </c>
      <c r="F93" s="109"/>
      <c r="G93" s="47" t="str">
        <f>IF(G92&gt;=162,"合格","不合格")</f>
        <v>合格</v>
      </c>
      <c r="H93" s="47" t="str">
        <f>IF(H92&gt;=162,"合格","不合格")</f>
        <v>合格</v>
      </c>
      <c r="I93" s="47" t="str">
        <f>IF(I92&gt;=162,"合格","不合格")</f>
        <v>合格</v>
      </c>
      <c r="J93" s="47" t="str">
        <f>IF(J92&gt;=162,"合格","不合格")</f>
        <v>不合格</v>
      </c>
      <c r="K93" s="47" t="str">
        <f>IF(K92&gt;=162,"合格","不合格")</f>
        <v>不合格</v>
      </c>
      <c r="V93" s="16"/>
      <c r="W93" s="16"/>
    </row>
    <row r="94" spans="2:23" x14ac:dyDescent="0.15">
      <c r="E94" s="86"/>
      <c r="F94" s="86"/>
      <c r="G94" s="21"/>
      <c r="H94" s="21"/>
      <c r="I94" s="21"/>
      <c r="J94" s="21"/>
      <c r="K94" s="21"/>
      <c r="V94" s="16"/>
      <c r="W94" s="16"/>
    </row>
    <row r="95" spans="2:23" x14ac:dyDescent="0.15">
      <c r="E95" s="83"/>
      <c r="F95" s="83"/>
      <c r="G95" s="21"/>
      <c r="H95" s="21"/>
      <c r="I95" s="21"/>
      <c r="J95" s="21"/>
      <c r="K95" s="21"/>
      <c r="V95" s="16"/>
      <c r="W95" s="16"/>
    </row>
    <row r="96" spans="2:23" x14ac:dyDescent="0.15">
      <c r="I96" s="16"/>
      <c r="J96" s="16"/>
      <c r="V96" s="16"/>
      <c r="W96" s="16"/>
    </row>
    <row r="97" spans="2:23" x14ac:dyDescent="0.15">
      <c r="I97" s="16"/>
      <c r="J97" s="16"/>
      <c r="V97" s="16"/>
      <c r="W97" s="16"/>
    </row>
    <row r="98" spans="2:23" ht="14.25" thickBot="1" x14ac:dyDescent="0.2">
      <c r="B98" s="85" t="s">
        <v>14</v>
      </c>
      <c r="C98" s="85"/>
      <c r="D98" s="85"/>
      <c r="E98" s="85"/>
      <c r="F98" s="85"/>
      <c r="G98" s="85"/>
      <c r="H98" s="85"/>
      <c r="I98" s="85"/>
      <c r="J98" s="85"/>
      <c r="K98" s="85"/>
      <c r="V98" s="16"/>
      <c r="W98" s="16"/>
    </row>
    <row r="99" spans="2:23" ht="14.25" thickBot="1" x14ac:dyDescent="0.2">
      <c r="B99" s="37" t="s">
        <v>1</v>
      </c>
      <c r="C99" s="97" t="s">
        <v>2</v>
      </c>
      <c r="D99" s="72"/>
      <c r="E99" s="26" t="s">
        <v>3</v>
      </c>
      <c r="F99" s="26" t="s">
        <v>4</v>
      </c>
      <c r="G99" s="27" t="s">
        <v>5</v>
      </c>
      <c r="H99" s="28" t="s">
        <v>6</v>
      </c>
      <c r="I99" s="29" t="s">
        <v>7</v>
      </c>
      <c r="J99" s="28" t="s">
        <v>8</v>
      </c>
      <c r="K99" s="30" t="s">
        <v>9</v>
      </c>
      <c r="V99" s="16"/>
      <c r="W99" s="16"/>
    </row>
    <row r="100" spans="2:23" x14ac:dyDescent="0.15">
      <c r="B100" s="102" t="s">
        <v>86</v>
      </c>
      <c r="C100" s="98" t="s">
        <v>88</v>
      </c>
      <c r="D100" s="99"/>
      <c r="E100" s="65">
        <v>9</v>
      </c>
      <c r="F100" s="7" t="s">
        <v>23</v>
      </c>
      <c r="G100" s="8" t="str">
        <f>IF(N105&gt;=1,"9","0")</f>
        <v>9</v>
      </c>
      <c r="H100" s="9" t="str">
        <f>IF(N105&gt;=2,"9","0")</f>
        <v>9</v>
      </c>
      <c r="I100" s="9" t="str">
        <f>IF(N105&gt;=3,"9","0")</f>
        <v>9</v>
      </c>
      <c r="J100" s="9" t="str">
        <f>IF(N105&gt;=4,"9","0")</f>
        <v>0</v>
      </c>
      <c r="K100" s="31" t="str">
        <f>IF(N105&gt;=5,"9","0")</f>
        <v>0</v>
      </c>
      <c r="N100" s="68">
        <f>COUNTIF(F100,"*A*")</f>
        <v>0</v>
      </c>
      <c r="O100" s="68">
        <f>COUNTIF(F101,"*A*")</f>
        <v>0</v>
      </c>
      <c r="P100" s="68">
        <f>COUNTIF(F102,"*A*")</f>
        <v>0</v>
      </c>
      <c r="Q100" s="68">
        <f>COUNTIF(F103,"*A*")</f>
        <v>0</v>
      </c>
      <c r="R100" s="68">
        <f>COUNTIF(F104,"*A*")</f>
        <v>0</v>
      </c>
      <c r="S100" s="68">
        <f>COUNTIF(F105,"*A*")</f>
        <v>0</v>
      </c>
      <c r="T100" s="68">
        <f>COUNTIF(F106,"*A*")</f>
        <v>0</v>
      </c>
      <c r="U100" s="68">
        <f>COUNTIF(F107,"*A*")</f>
        <v>0</v>
      </c>
      <c r="V100" s="16"/>
      <c r="W100" s="16"/>
    </row>
    <row r="101" spans="2:23" x14ac:dyDescent="0.15">
      <c r="B101" s="91"/>
      <c r="C101" s="94" t="s">
        <v>89</v>
      </c>
      <c r="D101" s="100"/>
      <c r="E101" s="66">
        <v>9</v>
      </c>
      <c r="F101" s="12" t="s">
        <v>24</v>
      </c>
      <c r="G101" s="13" t="str">
        <f>IF(O105&gt;=1,"9","0")</f>
        <v>9</v>
      </c>
      <c r="H101" s="14" t="str">
        <f>IF(O105&gt;=2,"9","0")</f>
        <v>9</v>
      </c>
      <c r="I101" s="14" t="str">
        <f>IF(O105&gt;=3,"9","0")</f>
        <v>9</v>
      </c>
      <c r="J101" s="14" t="str">
        <f>IF(O105&gt;=4,"9","0")</f>
        <v>0</v>
      </c>
      <c r="K101" s="32" t="str">
        <f>IF(O105&gt;=5,"9","0")</f>
        <v>0</v>
      </c>
      <c r="N101" s="68">
        <f>COUNTIF(F100,"S")*2</f>
        <v>0</v>
      </c>
      <c r="O101" s="68">
        <f>COUNTIF(F101,"S")*2</f>
        <v>0</v>
      </c>
      <c r="P101" s="68">
        <f>COUNTIF(F102,"S")*2</f>
        <v>0</v>
      </c>
      <c r="Q101" s="68">
        <f>COUNTIF(F103,"S")*2</f>
        <v>0</v>
      </c>
      <c r="R101" s="68">
        <f>COUNTIF(F104,"S")*2</f>
        <v>0</v>
      </c>
      <c r="S101" s="68">
        <f>COUNTIF(F105,"S")*2</f>
        <v>0</v>
      </c>
      <c r="T101" s="68">
        <f>COUNTIF(F106,"S")*2</f>
        <v>0</v>
      </c>
      <c r="U101" s="68">
        <f>COUNTIF(F107,"S")*2</f>
        <v>0</v>
      </c>
      <c r="V101" s="16"/>
      <c r="W101" s="16"/>
    </row>
    <row r="102" spans="2:23" x14ac:dyDescent="0.15">
      <c r="B102" s="89" t="s">
        <v>87</v>
      </c>
      <c r="C102" s="77" t="s">
        <v>90</v>
      </c>
      <c r="D102" s="96"/>
      <c r="E102" s="66">
        <v>9</v>
      </c>
      <c r="F102" s="12" t="s">
        <v>24</v>
      </c>
      <c r="G102" s="13" t="str">
        <f>IF(P105&gt;=1,"8","0")</f>
        <v>8</v>
      </c>
      <c r="H102" s="14" t="str">
        <f>IF(P105&gt;=2,"8","0")</f>
        <v>8</v>
      </c>
      <c r="I102" s="14" t="str">
        <f>IF(P105&gt;=3,"8","0")</f>
        <v>8</v>
      </c>
      <c r="J102" s="14" t="str">
        <f>IF(P105&gt;=4,"8","0")</f>
        <v>0</v>
      </c>
      <c r="K102" s="32" t="str">
        <f>IF(P105&gt;=5,"8","0")</f>
        <v>0</v>
      </c>
      <c r="N102" s="68">
        <f>COUNTIF(F100,"SS")*3</f>
        <v>3</v>
      </c>
      <c r="O102" s="68">
        <f>COUNTIF(F101,"SS")*3</f>
        <v>3</v>
      </c>
      <c r="P102" s="68">
        <f>COUNTIF(F102,"SS")*3</f>
        <v>3</v>
      </c>
      <c r="Q102" s="68">
        <f>COUNTIF(F103,"SS")*3</f>
        <v>3</v>
      </c>
      <c r="R102" s="68">
        <f>COUNTIF(F104,"SS")*3</f>
        <v>3</v>
      </c>
      <c r="S102" s="68">
        <f>COUNTIF(F105,"SS")*3</f>
        <v>3</v>
      </c>
      <c r="T102" s="68">
        <f>COUNTIF(F106,"SS")*3</f>
        <v>3</v>
      </c>
      <c r="U102" s="68">
        <f>COUNTIF(F107,"SS")*3</f>
        <v>3</v>
      </c>
      <c r="V102" s="16"/>
      <c r="W102" s="16"/>
    </row>
    <row r="103" spans="2:23" x14ac:dyDescent="0.15">
      <c r="B103" s="90"/>
      <c r="C103" s="77" t="s">
        <v>91</v>
      </c>
      <c r="D103" s="96"/>
      <c r="E103" s="66">
        <v>9</v>
      </c>
      <c r="F103" s="12" t="s">
        <v>24</v>
      </c>
      <c r="G103" s="13" t="str">
        <f>IF(Q105&gt;=1,"8","0")</f>
        <v>8</v>
      </c>
      <c r="H103" s="14" t="str">
        <f>IF(Q105&gt;=2,"8","0")</f>
        <v>8</v>
      </c>
      <c r="I103" s="14" t="str">
        <f>IF(Q105&gt;=3,"8","0")</f>
        <v>8</v>
      </c>
      <c r="J103" s="14" t="str">
        <f>IF(Q105&gt;=4,"8","0")</f>
        <v>0</v>
      </c>
      <c r="K103" s="32" t="str">
        <f>IF(Q105&gt;=5,"8","0")</f>
        <v>0</v>
      </c>
      <c r="N103" s="68">
        <f>COUNTIF(F100,"SSS")*4</f>
        <v>0</v>
      </c>
      <c r="O103" s="68">
        <f>COUNTIF(F101,"SSS")*4</f>
        <v>0</v>
      </c>
      <c r="P103" s="68">
        <f>COUNTIF(F102,"SSS")*4</f>
        <v>0</v>
      </c>
      <c r="Q103" s="68">
        <f>COUNTIF(F103,"SSS")*4</f>
        <v>0</v>
      </c>
      <c r="R103" s="68">
        <f>COUNTIF(F104,"SSS")*4</f>
        <v>0</v>
      </c>
      <c r="S103" s="68">
        <f>COUNTIF(F105,"SSS")*4</f>
        <v>0</v>
      </c>
      <c r="T103" s="68">
        <f>COUNTIF(F106,"SSS")*4</f>
        <v>0</v>
      </c>
      <c r="U103" s="68">
        <f>COUNTIF(F107,"SSS")*4</f>
        <v>0</v>
      </c>
      <c r="V103" s="16"/>
      <c r="W103" s="16"/>
    </row>
    <row r="104" spans="2:23" x14ac:dyDescent="0.15">
      <c r="B104" s="91" t="s">
        <v>67</v>
      </c>
      <c r="C104" s="77" t="s">
        <v>92</v>
      </c>
      <c r="D104" s="96"/>
      <c r="E104" s="66">
        <v>9</v>
      </c>
      <c r="F104" s="12" t="s">
        <v>24</v>
      </c>
      <c r="G104" s="13" t="str">
        <f>IF(R105&gt;=1,"7","0")</f>
        <v>7</v>
      </c>
      <c r="H104" s="14" t="str">
        <f>IF(R105&gt;=2,"7","0")</f>
        <v>7</v>
      </c>
      <c r="I104" s="14" t="str">
        <f>IF(R105&gt;=3,"7","0")</f>
        <v>7</v>
      </c>
      <c r="J104" s="14" t="str">
        <f>IF(R105&gt;=4,"7","0")</f>
        <v>0</v>
      </c>
      <c r="K104" s="32" t="str">
        <f>IF(R105&gt;=5,"7","0")</f>
        <v>0</v>
      </c>
      <c r="N104" s="68">
        <f>COUNTIF(F100,"EXC")*5</f>
        <v>0</v>
      </c>
      <c r="O104" s="68">
        <f>COUNTIF(F101,"EXC")*5</f>
        <v>0</v>
      </c>
      <c r="P104" s="68">
        <f>COUNTIF(F102,"EXC")*5</f>
        <v>0</v>
      </c>
      <c r="Q104" s="68">
        <f>COUNTIF(F103,"EXC")*5</f>
        <v>0</v>
      </c>
      <c r="R104" s="68">
        <f>COUNTIF(F104,"EXC")*5</f>
        <v>0</v>
      </c>
      <c r="S104" s="68">
        <f>COUNTIF(F105,"EXC")*5</f>
        <v>0</v>
      </c>
      <c r="T104" s="68">
        <f>COUNTIF(F106,"EXC")*5</f>
        <v>0</v>
      </c>
      <c r="U104" s="68">
        <f>COUNTIF(F107,"EXC")*5</f>
        <v>0</v>
      </c>
      <c r="V104" s="16"/>
      <c r="W104" s="16"/>
    </row>
    <row r="105" spans="2:23" x14ac:dyDescent="0.15">
      <c r="B105" s="91"/>
      <c r="C105" s="77" t="s">
        <v>93</v>
      </c>
      <c r="D105" s="96"/>
      <c r="E105" s="66">
        <v>9</v>
      </c>
      <c r="F105" s="12" t="s">
        <v>24</v>
      </c>
      <c r="G105" s="13" t="str">
        <f>IF(S105&gt;=1,"7","0")</f>
        <v>7</v>
      </c>
      <c r="H105" s="14" t="str">
        <f>IF(S105&gt;=2,"7","0")</f>
        <v>7</v>
      </c>
      <c r="I105" s="14" t="str">
        <f>IF(S105&gt;=3,"7","0")</f>
        <v>7</v>
      </c>
      <c r="J105" s="14" t="str">
        <f>IF(S105&gt;=4,"7","0")</f>
        <v>0</v>
      </c>
      <c r="K105" s="32" t="str">
        <f>IF(S105&gt;=5,"7","0")</f>
        <v>0</v>
      </c>
      <c r="N105" s="68">
        <f t="shared" ref="N105:U105" si="6">SUM(N100:N104)</f>
        <v>3</v>
      </c>
      <c r="O105" s="68">
        <f t="shared" si="6"/>
        <v>3</v>
      </c>
      <c r="P105" s="68">
        <f t="shared" si="6"/>
        <v>3</v>
      </c>
      <c r="Q105" s="68">
        <f t="shared" si="6"/>
        <v>3</v>
      </c>
      <c r="R105" s="68">
        <f t="shared" si="6"/>
        <v>3</v>
      </c>
      <c r="S105" s="68">
        <f t="shared" si="6"/>
        <v>3</v>
      </c>
      <c r="T105" s="68">
        <f t="shared" si="6"/>
        <v>3</v>
      </c>
      <c r="U105" s="68">
        <f t="shared" si="6"/>
        <v>3</v>
      </c>
      <c r="V105" s="16"/>
      <c r="W105" s="16"/>
    </row>
    <row r="106" spans="2:23" x14ac:dyDescent="0.15">
      <c r="B106" s="91"/>
      <c r="C106" s="113" t="s">
        <v>150</v>
      </c>
      <c r="D106" s="114"/>
      <c r="E106" s="66">
        <v>9</v>
      </c>
      <c r="F106" s="12" t="s">
        <v>24</v>
      </c>
      <c r="G106" s="13" t="str">
        <f>IF(T105&gt;=1,"7","0")</f>
        <v>7</v>
      </c>
      <c r="H106" s="14" t="str">
        <f>IF(T105&gt;=2,"7","0")</f>
        <v>7</v>
      </c>
      <c r="I106" s="14" t="str">
        <f>IF(T105&gt;=3,"7","0")</f>
        <v>7</v>
      </c>
      <c r="J106" s="14" t="str">
        <f>IF(T105&gt;=4,"7","0")</f>
        <v>0</v>
      </c>
      <c r="K106" s="32" t="str">
        <f>IF(T105&gt;=5,"7","0")</f>
        <v>0</v>
      </c>
      <c r="V106" s="16"/>
      <c r="W106" s="16"/>
    </row>
    <row r="107" spans="2:23" ht="14.25" thickBot="1" x14ac:dyDescent="0.2">
      <c r="B107" s="92"/>
      <c r="C107" s="81" t="s">
        <v>94</v>
      </c>
      <c r="D107" s="101"/>
      <c r="E107" s="69">
        <v>9</v>
      </c>
      <c r="F107" s="33" t="s">
        <v>24</v>
      </c>
      <c r="G107" s="34" t="str">
        <f>IF(U105&gt;=1,"7","0")</f>
        <v>7</v>
      </c>
      <c r="H107" s="35" t="str">
        <f>IF(U105&gt;=2,"7","0")</f>
        <v>7</v>
      </c>
      <c r="I107" s="35" t="str">
        <f>IF(U105&gt;=3,"7","0")</f>
        <v>7</v>
      </c>
      <c r="J107" s="35" t="str">
        <f>IF(U105&gt;=4,"7","0")</f>
        <v>0</v>
      </c>
      <c r="K107" s="36" t="str">
        <f>IF(U105&gt;=5,"7","0")</f>
        <v>0</v>
      </c>
      <c r="V107" s="16"/>
      <c r="W107" s="16"/>
    </row>
    <row r="108" spans="2:23" ht="14.25" thickBot="1" x14ac:dyDescent="0.2">
      <c r="B108" s="24"/>
      <c r="C108" s="83"/>
      <c r="D108" s="83"/>
      <c r="E108" s="79" t="s">
        <v>11</v>
      </c>
      <c r="F108" s="80"/>
      <c r="G108" s="26">
        <f>SUM(G100+G101+G102+G103+G104+G105+G106+G107+G92)</f>
        <v>266</v>
      </c>
      <c r="H108" s="26">
        <f>SUM(H100+H101+H102+H103+H104+H105+H106+H107+H92)</f>
        <v>266</v>
      </c>
      <c r="I108" s="26">
        <f>SUM(I100+I101+I102+I103+I104+I105+I106+I107+I92)</f>
        <v>266</v>
      </c>
      <c r="J108" s="26">
        <f>SUM(J100+J101+J102+J103+J104+J105+J106+J107+J92)</f>
        <v>0</v>
      </c>
      <c r="K108" s="26">
        <f>SUM(K100+K101+K102+K103+K104+K105+K106+K107+K92)</f>
        <v>0</v>
      </c>
      <c r="V108" s="16"/>
      <c r="W108" s="16"/>
    </row>
    <row r="109" spans="2:23" ht="14.25" thickBot="1" x14ac:dyDescent="0.2">
      <c r="B109" s="24"/>
      <c r="C109" s="83"/>
      <c r="D109" s="83"/>
      <c r="E109" s="108" t="s">
        <v>95</v>
      </c>
      <c r="F109" s="109"/>
      <c r="G109" s="47" t="str">
        <f>IF(G108&gt;=218,"合格","不合格")</f>
        <v>合格</v>
      </c>
      <c r="H109" s="47" t="str">
        <f>IF(H108&gt;=218,"合格","不合格")</f>
        <v>合格</v>
      </c>
      <c r="I109" s="47" t="str">
        <f>IF(I108&gt;=218,"合格","不合格")</f>
        <v>合格</v>
      </c>
      <c r="J109" s="47" t="str">
        <f>IF(J108&gt;=218,"合格","不合格")</f>
        <v>不合格</v>
      </c>
      <c r="K109" s="47" t="str">
        <f>IF(K108&gt;=218,"合格","不合格")</f>
        <v>不合格</v>
      </c>
      <c r="V109" s="16"/>
      <c r="W109" s="16"/>
    </row>
    <row r="110" spans="2:23" x14ac:dyDescent="0.15">
      <c r="E110" s="86"/>
      <c r="F110" s="86"/>
      <c r="G110" s="21"/>
      <c r="H110" s="21"/>
      <c r="I110" s="21"/>
      <c r="J110" s="21"/>
      <c r="K110" s="21"/>
      <c r="V110" s="16"/>
      <c r="W110" s="16"/>
    </row>
    <row r="111" spans="2:23" x14ac:dyDescent="0.15">
      <c r="E111" s="83"/>
      <c r="F111" s="83"/>
      <c r="G111" s="21"/>
      <c r="H111" s="21"/>
      <c r="I111" s="21"/>
      <c r="J111" s="21"/>
      <c r="K111" s="21"/>
      <c r="V111" s="16"/>
      <c r="W111" s="16"/>
    </row>
    <row r="112" spans="2:23" x14ac:dyDescent="0.15">
      <c r="I112" s="16"/>
      <c r="J112" s="16"/>
      <c r="V112" s="16"/>
      <c r="W112" s="16"/>
    </row>
    <row r="113" spans="2:23" x14ac:dyDescent="0.15">
      <c r="I113" s="16"/>
      <c r="J113" s="16"/>
      <c r="V113" s="16"/>
      <c r="W113" s="16"/>
    </row>
    <row r="114" spans="2:23" ht="14.25" thickBot="1" x14ac:dyDescent="0.2">
      <c r="B114" s="85" t="s">
        <v>15</v>
      </c>
      <c r="C114" s="85"/>
      <c r="D114" s="85"/>
      <c r="E114" s="85"/>
      <c r="F114" s="85"/>
      <c r="G114" s="85"/>
      <c r="H114" s="85"/>
      <c r="I114" s="85"/>
      <c r="J114" s="85"/>
      <c r="K114" s="85"/>
      <c r="V114" s="16"/>
      <c r="W114" s="16"/>
    </row>
    <row r="115" spans="2:23" ht="14.25" thickBot="1" x14ac:dyDescent="0.2">
      <c r="B115" s="37" t="s">
        <v>1</v>
      </c>
      <c r="C115" s="71" t="s">
        <v>2</v>
      </c>
      <c r="D115" s="74"/>
      <c r="E115" s="26" t="s">
        <v>3</v>
      </c>
      <c r="F115" s="26" t="s">
        <v>4</v>
      </c>
      <c r="G115" s="27" t="s">
        <v>5</v>
      </c>
      <c r="H115" s="28" t="s">
        <v>6</v>
      </c>
      <c r="I115" s="29" t="s">
        <v>7</v>
      </c>
      <c r="J115" s="28" t="s">
        <v>8</v>
      </c>
      <c r="K115" s="30" t="s">
        <v>9</v>
      </c>
      <c r="V115" s="16"/>
      <c r="W115" s="16"/>
    </row>
    <row r="116" spans="2:23" x14ac:dyDescent="0.15">
      <c r="B116" s="102" t="s">
        <v>96</v>
      </c>
      <c r="C116" s="75" t="s">
        <v>97</v>
      </c>
      <c r="D116" s="93"/>
      <c r="E116" s="7">
        <v>9</v>
      </c>
      <c r="F116" s="7" t="s">
        <v>23</v>
      </c>
      <c r="G116" s="8" t="str">
        <f>IF(N121&gt;=1,"10","0")</f>
        <v>10</v>
      </c>
      <c r="H116" s="9" t="str">
        <f>IF(N121&gt;=2,"10","0")</f>
        <v>10</v>
      </c>
      <c r="I116" s="9" t="str">
        <f>IF(N121&gt;=3,"10","0")</f>
        <v>10</v>
      </c>
      <c r="J116" s="9" t="str">
        <f>IF(N121&gt;=4,"10","0")</f>
        <v>0</v>
      </c>
      <c r="K116" s="31" t="str">
        <f>IF(N121&gt;=5,"10","0")</f>
        <v>0</v>
      </c>
      <c r="N116" s="68">
        <f>COUNTIF(F116,"*A*")</f>
        <v>0</v>
      </c>
      <c r="O116" s="68">
        <f>COUNTIF(F117,"*A*")</f>
        <v>0</v>
      </c>
      <c r="P116" s="68">
        <f>COUNTIF(F118,"*A*")</f>
        <v>0</v>
      </c>
      <c r="Q116" s="68">
        <f>COUNTIF(F119,"*A*")</f>
        <v>0</v>
      </c>
      <c r="R116" s="68">
        <f>COUNTIF(F120,"*A*")</f>
        <v>0</v>
      </c>
      <c r="S116" s="68">
        <f>COUNTIF(F121,"*A*")</f>
        <v>0</v>
      </c>
      <c r="T116" s="68">
        <f>COUNTIF(F122,"*A*")</f>
        <v>0</v>
      </c>
      <c r="U116" s="68">
        <f>COUNTIF(F123,"*A*")</f>
        <v>0</v>
      </c>
      <c r="V116" s="16"/>
      <c r="W116" s="16"/>
    </row>
    <row r="117" spans="2:23" x14ac:dyDescent="0.15">
      <c r="B117" s="91"/>
      <c r="C117" s="94" t="s">
        <v>98</v>
      </c>
      <c r="D117" s="95"/>
      <c r="E117" s="12">
        <v>9</v>
      </c>
      <c r="F117" s="12" t="s">
        <v>24</v>
      </c>
      <c r="G117" s="13" t="str">
        <f>IF(O121&gt;=1,"10","0")</f>
        <v>10</v>
      </c>
      <c r="H117" s="14" t="str">
        <f>IF(O121&gt;=2,"10","0")</f>
        <v>10</v>
      </c>
      <c r="I117" s="14" t="str">
        <f>IF(O121&gt;=3,"10","0")</f>
        <v>10</v>
      </c>
      <c r="J117" s="14" t="str">
        <f>IF(O121&gt;=4,"10","0")</f>
        <v>0</v>
      </c>
      <c r="K117" s="32" t="str">
        <f>IF(O121&gt;=5,"10","0")</f>
        <v>0</v>
      </c>
      <c r="N117" s="68">
        <f>COUNTIF(F116,"S")*2</f>
        <v>0</v>
      </c>
      <c r="O117" s="68">
        <f>COUNTIF(F117,"S")*2</f>
        <v>0</v>
      </c>
      <c r="P117" s="68">
        <f>COUNTIF(F118,"S")*2</f>
        <v>0</v>
      </c>
      <c r="Q117" s="68">
        <f>COUNTIF(F119,"S")*2</f>
        <v>0</v>
      </c>
      <c r="R117" s="68">
        <f>COUNTIF(F120,"S")*2</f>
        <v>0</v>
      </c>
      <c r="S117" s="68">
        <f>COUNTIF(F121,"S")*2</f>
        <v>0</v>
      </c>
      <c r="T117" s="68">
        <f>COUNTIF(F122,"S")*2</f>
        <v>0</v>
      </c>
      <c r="U117" s="68">
        <f>COUNTIF(F123,"S")*2</f>
        <v>0</v>
      </c>
      <c r="V117" s="16"/>
      <c r="W117" s="16"/>
    </row>
    <row r="118" spans="2:23" x14ac:dyDescent="0.15">
      <c r="B118" s="89" t="s">
        <v>86</v>
      </c>
      <c r="C118" s="77" t="s">
        <v>99</v>
      </c>
      <c r="D118" s="78"/>
      <c r="E118" s="12">
        <v>9</v>
      </c>
      <c r="F118" s="12" t="s">
        <v>24</v>
      </c>
      <c r="G118" s="13" t="str">
        <f>IF(P121&gt;=1,"9","0")</f>
        <v>9</v>
      </c>
      <c r="H118" s="14" t="str">
        <f>IF(P121&gt;=2,"9","0")</f>
        <v>9</v>
      </c>
      <c r="I118" s="14" t="str">
        <f>IF(P121&gt;=3,"9","0")</f>
        <v>9</v>
      </c>
      <c r="J118" s="14" t="str">
        <f>IF(P121&gt;=4,"9","0")</f>
        <v>0</v>
      </c>
      <c r="K118" s="32" t="str">
        <f>IF(P121&gt;=5,"9","0")</f>
        <v>0</v>
      </c>
      <c r="N118" s="68">
        <f>COUNTIF(F116,"SS")*3</f>
        <v>3</v>
      </c>
      <c r="O118" s="68">
        <f>COUNTIF(F117,"SS")*3</f>
        <v>3</v>
      </c>
      <c r="P118" s="68">
        <f>COUNTIF(F118,"SS")*3</f>
        <v>3</v>
      </c>
      <c r="Q118" s="68">
        <f>COUNTIF(F119,"SS")*3</f>
        <v>3</v>
      </c>
      <c r="R118" s="68">
        <f>COUNTIF(F120,"SS")*3</f>
        <v>3</v>
      </c>
      <c r="S118" s="68">
        <f>COUNTIF(F121,"SS")*3</f>
        <v>3</v>
      </c>
      <c r="T118" s="68">
        <f>COUNTIF(F122,"SS")*3</f>
        <v>3</v>
      </c>
      <c r="U118" s="68">
        <f>COUNTIF(F123,"SS")*3</f>
        <v>3</v>
      </c>
      <c r="V118" s="16"/>
      <c r="W118" s="16"/>
    </row>
    <row r="119" spans="2:23" x14ac:dyDescent="0.15">
      <c r="B119" s="90"/>
      <c r="C119" s="77" t="s">
        <v>100</v>
      </c>
      <c r="D119" s="78"/>
      <c r="E119" s="12">
        <v>9</v>
      </c>
      <c r="F119" s="12" t="s">
        <v>24</v>
      </c>
      <c r="G119" s="13" t="str">
        <f>IF(Q121&gt;=1,"9","0")</f>
        <v>9</v>
      </c>
      <c r="H119" s="14" t="str">
        <f>IF(Q121&gt;=2,"9","0")</f>
        <v>9</v>
      </c>
      <c r="I119" s="14" t="str">
        <f>IF(Q121&gt;=3,"9","0")</f>
        <v>9</v>
      </c>
      <c r="J119" s="14" t="str">
        <f>IF(Q121&gt;=4,"9","0")</f>
        <v>0</v>
      </c>
      <c r="K119" s="32" t="str">
        <f>IF(Q121&gt;=5,"9","0")</f>
        <v>0</v>
      </c>
      <c r="N119" s="68">
        <f>COUNTIF(F116,"SSS")*4</f>
        <v>0</v>
      </c>
      <c r="O119" s="68">
        <f>COUNTIF(F117,"SSS")*4</f>
        <v>0</v>
      </c>
      <c r="P119" s="68">
        <f>COUNTIF(F118,"SSS")*4</f>
        <v>0</v>
      </c>
      <c r="Q119" s="68">
        <f>COUNTIF(F119,"SSS")*4</f>
        <v>0</v>
      </c>
      <c r="R119" s="68">
        <f>COUNTIF(F120,"SSS")*4</f>
        <v>0</v>
      </c>
      <c r="S119" s="68">
        <f>COUNTIF(F121,"SSS")*4</f>
        <v>0</v>
      </c>
      <c r="T119" s="68">
        <f>COUNTIF(F122,"SSS")*4</f>
        <v>0</v>
      </c>
      <c r="U119" s="68">
        <f>COUNTIF(F123,"SSS")*4</f>
        <v>0</v>
      </c>
      <c r="V119" s="16"/>
      <c r="W119" s="16"/>
    </row>
    <row r="120" spans="2:23" x14ac:dyDescent="0.15">
      <c r="B120" s="91" t="s">
        <v>87</v>
      </c>
      <c r="C120" s="77" t="s">
        <v>101</v>
      </c>
      <c r="D120" s="78"/>
      <c r="E120" s="12">
        <v>9</v>
      </c>
      <c r="F120" s="12" t="s">
        <v>24</v>
      </c>
      <c r="G120" s="13" t="str">
        <f>IF(R121&gt;=1,"8","0")</f>
        <v>8</v>
      </c>
      <c r="H120" s="14" t="str">
        <f>IF(R121&gt;=2,"8","0")</f>
        <v>8</v>
      </c>
      <c r="I120" s="14" t="str">
        <f>IF(R121&gt;=3,"8","0")</f>
        <v>8</v>
      </c>
      <c r="J120" s="14" t="str">
        <f>IF(R121&gt;=4,"8","0")</f>
        <v>0</v>
      </c>
      <c r="K120" s="32" t="str">
        <f>IF(R121&gt;=5,"8","0")</f>
        <v>0</v>
      </c>
      <c r="N120" s="68">
        <f>COUNTIF(F116,"EXC")*5</f>
        <v>0</v>
      </c>
      <c r="O120" s="68">
        <f>COUNTIF(F117,"EXC")*5</f>
        <v>0</v>
      </c>
      <c r="P120" s="68">
        <f>COUNTIF(F118,"EXC")*5</f>
        <v>0</v>
      </c>
      <c r="Q120" s="68">
        <f>COUNTIF(F119,"EXC")*5</f>
        <v>0</v>
      </c>
      <c r="R120" s="68">
        <f>COUNTIF(F120,"EXC")*5</f>
        <v>0</v>
      </c>
      <c r="S120" s="68">
        <f>COUNTIF(F121,"EXC")*5</f>
        <v>0</v>
      </c>
      <c r="T120" s="68">
        <f>COUNTIF(F122,"EXC")*5</f>
        <v>0</v>
      </c>
      <c r="U120" s="68">
        <f>COUNTIF(F123,"EXC")*5</f>
        <v>0</v>
      </c>
      <c r="V120" s="16"/>
      <c r="W120" s="16"/>
    </row>
    <row r="121" spans="2:23" x14ac:dyDescent="0.15">
      <c r="B121" s="91"/>
      <c r="C121" s="77" t="s">
        <v>102</v>
      </c>
      <c r="D121" s="78"/>
      <c r="E121" s="12">
        <v>9</v>
      </c>
      <c r="F121" s="12" t="s">
        <v>24</v>
      </c>
      <c r="G121" s="13" t="str">
        <f>IF(S121&gt;=1,"8","0")</f>
        <v>8</v>
      </c>
      <c r="H121" s="14" t="str">
        <f>IF(S121&gt;=2,"8","0")</f>
        <v>8</v>
      </c>
      <c r="I121" s="14" t="str">
        <f>IF(S121&gt;=3,"8","0")</f>
        <v>8</v>
      </c>
      <c r="J121" s="14" t="str">
        <f>IF(S121&gt;=4,"8","0")</f>
        <v>0</v>
      </c>
      <c r="K121" s="32" t="str">
        <f>IF(S121&gt;=5,"8","0")</f>
        <v>0</v>
      </c>
      <c r="N121" s="68">
        <f t="shared" ref="N121:U121" si="7">SUM(N116:N120)</f>
        <v>3</v>
      </c>
      <c r="O121" s="68">
        <f t="shared" si="7"/>
        <v>3</v>
      </c>
      <c r="P121" s="68">
        <f t="shared" si="7"/>
        <v>3</v>
      </c>
      <c r="Q121" s="68">
        <f t="shared" si="7"/>
        <v>3</v>
      </c>
      <c r="R121" s="68">
        <f t="shared" si="7"/>
        <v>3</v>
      </c>
      <c r="S121" s="68">
        <f t="shared" si="7"/>
        <v>3</v>
      </c>
      <c r="T121" s="68">
        <f t="shared" si="7"/>
        <v>3</v>
      </c>
      <c r="U121" s="68">
        <f t="shared" si="7"/>
        <v>3</v>
      </c>
      <c r="V121" s="16"/>
      <c r="W121" s="16"/>
    </row>
    <row r="122" spans="2:23" x14ac:dyDescent="0.15">
      <c r="B122" s="91"/>
      <c r="C122" s="77" t="s">
        <v>103</v>
      </c>
      <c r="D122" s="78"/>
      <c r="E122" s="12">
        <v>9</v>
      </c>
      <c r="F122" s="12" t="s">
        <v>24</v>
      </c>
      <c r="G122" s="13" t="str">
        <f>IF(T121&gt;=1,"8","0")</f>
        <v>8</v>
      </c>
      <c r="H122" s="14" t="str">
        <f>IF(T121&gt;=2,"8","0")</f>
        <v>8</v>
      </c>
      <c r="I122" s="14" t="str">
        <f>IF(T121&gt;=3,"8","0")</f>
        <v>8</v>
      </c>
      <c r="J122" s="14" t="str">
        <f>IF(T121&gt;=4,"8","0")</f>
        <v>0</v>
      </c>
      <c r="K122" s="32" t="str">
        <f>IF(T121&gt;=5,"8","0")</f>
        <v>0</v>
      </c>
      <c r="V122" s="16"/>
      <c r="W122" s="16"/>
    </row>
    <row r="123" spans="2:23" ht="14.25" thickBot="1" x14ac:dyDescent="0.2">
      <c r="B123" s="92"/>
      <c r="C123" s="81" t="s">
        <v>104</v>
      </c>
      <c r="D123" s="82"/>
      <c r="E123" s="33">
        <v>9</v>
      </c>
      <c r="F123" s="33" t="s">
        <v>24</v>
      </c>
      <c r="G123" s="34" t="str">
        <f>IF(U121&gt;=1,"8","0")</f>
        <v>8</v>
      </c>
      <c r="H123" s="35" t="str">
        <f>IF(U121&gt;=2,"8","0")</f>
        <v>8</v>
      </c>
      <c r="I123" s="35" t="str">
        <f>IF(U121&gt;=3,"8","0")</f>
        <v>8</v>
      </c>
      <c r="J123" s="35" t="str">
        <f>IF(U121&gt;=4,"8","0")</f>
        <v>0</v>
      </c>
      <c r="K123" s="36" t="str">
        <f>IF(U121&gt;=5,"8","0")</f>
        <v>0</v>
      </c>
      <c r="V123" s="16"/>
      <c r="W123" s="16"/>
    </row>
    <row r="124" spans="2:23" ht="14.25" thickBot="1" x14ac:dyDescent="0.2">
      <c r="B124" s="24"/>
      <c r="C124" s="83"/>
      <c r="D124" s="83"/>
      <c r="E124" s="79" t="s">
        <v>11</v>
      </c>
      <c r="F124" s="80"/>
      <c r="G124" s="26">
        <f>SUM(G116+G117+G118+G119+G120+G121+G122+G123+G108)</f>
        <v>336</v>
      </c>
      <c r="H124" s="26">
        <f>SUM(H116+H117+H118+H119+H120+H121+H122+H123+H108)</f>
        <v>336</v>
      </c>
      <c r="I124" s="26">
        <f>SUM(I116+I117+I118+I119+I120+I121+I122+I123+I108)</f>
        <v>336</v>
      </c>
      <c r="J124" s="26">
        <f>SUM(J116+J117+J118+J119+J120+J121+J122+J123+J108)</f>
        <v>0</v>
      </c>
      <c r="K124" s="26">
        <f>SUM(K116+K117+K118+K119+K120+K121+K122+K123+K108)</f>
        <v>0</v>
      </c>
      <c r="V124" s="16"/>
      <c r="W124" s="16"/>
    </row>
    <row r="125" spans="2:23" ht="14.25" thickBot="1" x14ac:dyDescent="0.2">
      <c r="B125" s="24"/>
      <c r="C125" s="83"/>
      <c r="D125" s="83"/>
      <c r="E125" s="108" t="s">
        <v>105</v>
      </c>
      <c r="F125" s="109"/>
      <c r="G125" s="47" t="str">
        <f>IF(G124&gt;=282,"合格","不合格")</f>
        <v>合格</v>
      </c>
      <c r="H125" s="47" t="str">
        <f>IF(H124&gt;=282,"合格","不合格")</f>
        <v>合格</v>
      </c>
      <c r="I125" s="47" t="str">
        <f>IF(I124&gt;=282,"合格","不合格")</f>
        <v>合格</v>
      </c>
      <c r="J125" s="47" t="str">
        <f>IF(J124&gt;=282,"合格","不合格")</f>
        <v>不合格</v>
      </c>
      <c r="K125" s="47" t="str">
        <f>IF(K124&gt;=282,"合格","不合格")</f>
        <v>不合格</v>
      </c>
      <c r="V125" s="16"/>
      <c r="W125" s="16"/>
    </row>
    <row r="126" spans="2:23" x14ac:dyDescent="0.15">
      <c r="E126" s="86"/>
      <c r="F126" s="86"/>
      <c r="G126" s="21"/>
      <c r="H126" s="21"/>
      <c r="I126" s="21"/>
      <c r="J126" s="21"/>
      <c r="K126" s="21"/>
      <c r="V126" s="16"/>
      <c r="W126" s="16"/>
    </row>
    <row r="127" spans="2:23" x14ac:dyDescent="0.15">
      <c r="E127" s="83"/>
      <c r="F127" s="83"/>
      <c r="G127" s="21"/>
      <c r="H127" s="21"/>
      <c r="I127" s="21"/>
      <c r="J127" s="21"/>
      <c r="K127" s="21"/>
      <c r="V127" s="16"/>
      <c r="W127" s="16"/>
    </row>
    <row r="128" spans="2:23" x14ac:dyDescent="0.15">
      <c r="I128" s="16"/>
      <c r="J128" s="16"/>
      <c r="V128" s="16"/>
      <c r="W128" s="16"/>
    </row>
    <row r="129" spans="2:23" x14ac:dyDescent="0.15">
      <c r="I129" s="16"/>
      <c r="J129" s="16"/>
      <c r="V129" s="16"/>
      <c r="W129" s="16"/>
    </row>
    <row r="130" spans="2:23" ht="14.25" thickBot="1" x14ac:dyDescent="0.2">
      <c r="B130" s="85" t="s">
        <v>16</v>
      </c>
      <c r="C130" s="85"/>
      <c r="D130" s="85"/>
      <c r="E130" s="85"/>
      <c r="F130" s="85"/>
      <c r="G130" s="85"/>
      <c r="H130" s="85"/>
      <c r="I130" s="85"/>
      <c r="J130" s="85"/>
      <c r="K130" s="85"/>
      <c r="V130" s="16"/>
      <c r="W130" s="16"/>
    </row>
    <row r="131" spans="2:23" ht="14.25" thickBot="1" x14ac:dyDescent="0.2">
      <c r="B131" s="37" t="s">
        <v>1</v>
      </c>
      <c r="C131" s="71" t="s">
        <v>2</v>
      </c>
      <c r="D131" s="74"/>
      <c r="E131" s="26" t="s">
        <v>3</v>
      </c>
      <c r="F131" s="26" t="s">
        <v>4</v>
      </c>
      <c r="G131" s="27" t="s">
        <v>5</v>
      </c>
      <c r="H131" s="28" t="s">
        <v>6</v>
      </c>
      <c r="I131" s="29" t="s">
        <v>7</v>
      </c>
      <c r="J131" s="28" t="s">
        <v>8</v>
      </c>
      <c r="K131" s="30" t="s">
        <v>9</v>
      </c>
      <c r="V131" s="16"/>
      <c r="W131" s="16"/>
    </row>
    <row r="132" spans="2:23" x14ac:dyDescent="0.15">
      <c r="B132" s="102" t="s">
        <v>106</v>
      </c>
      <c r="C132" s="75" t="s">
        <v>107</v>
      </c>
      <c r="D132" s="93"/>
      <c r="E132" s="7">
        <v>10</v>
      </c>
      <c r="F132" s="7" t="s">
        <v>23</v>
      </c>
      <c r="G132" s="8" t="str">
        <f>IF(N137&gt;=1,"11","0")</f>
        <v>11</v>
      </c>
      <c r="H132" s="9" t="str">
        <f>IF(N137&gt;=2,"11","0")</f>
        <v>11</v>
      </c>
      <c r="I132" s="9" t="str">
        <f>IF(N137&gt;=3,"11","0")</f>
        <v>11</v>
      </c>
      <c r="J132" s="9" t="str">
        <f>IF(N137&gt;=4,"11","0")</f>
        <v>0</v>
      </c>
      <c r="K132" s="31" t="str">
        <f>IF(N137&gt;=5,"11","0")</f>
        <v>0</v>
      </c>
      <c r="N132" s="68">
        <f>COUNTIF(F132,"*A*")</f>
        <v>0</v>
      </c>
      <c r="O132" s="68">
        <f>COUNTIF(F133,"*A*")</f>
        <v>0</v>
      </c>
      <c r="P132" s="68">
        <f>COUNTIF(F134,"*A*")</f>
        <v>0</v>
      </c>
      <c r="Q132" s="68">
        <f>COUNTIF(F135,"*A*")</f>
        <v>0</v>
      </c>
      <c r="R132" s="68">
        <f>COUNTIF(F136,"*A*")</f>
        <v>0</v>
      </c>
      <c r="S132" s="68">
        <f>COUNTIF(F137,"*A*")</f>
        <v>0</v>
      </c>
      <c r="T132" s="68">
        <f>COUNTIF(F138,"*A*")</f>
        <v>0</v>
      </c>
      <c r="U132" s="68">
        <f>COUNTIF(F139,"*A*")</f>
        <v>0</v>
      </c>
      <c r="V132" s="16"/>
      <c r="W132" s="16"/>
    </row>
    <row r="133" spans="2:23" x14ac:dyDescent="0.15">
      <c r="B133" s="91"/>
      <c r="C133" s="94" t="s">
        <v>108</v>
      </c>
      <c r="D133" s="95"/>
      <c r="E133" s="12">
        <v>10</v>
      </c>
      <c r="F133" s="12" t="s">
        <v>24</v>
      </c>
      <c r="G133" s="13" t="str">
        <f>IF(O137&gt;=1,"11","0")</f>
        <v>11</v>
      </c>
      <c r="H133" s="14" t="str">
        <f>IF(O137&gt;=2,"11","0")</f>
        <v>11</v>
      </c>
      <c r="I133" s="14" t="str">
        <f>IF(O137&gt;=3,"11","0")</f>
        <v>11</v>
      </c>
      <c r="J133" s="14" t="str">
        <f>IF(O137&gt;=4,"11","0")</f>
        <v>0</v>
      </c>
      <c r="K133" s="32" t="str">
        <f>IF(O137&gt;=5,"11","0")</f>
        <v>0</v>
      </c>
      <c r="N133" s="68">
        <f>COUNTIF(F132,"S")*2</f>
        <v>0</v>
      </c>
      <c r="O133" s="68">
        <f>COUNTIF(F133,"S")*2</f>
        <v>0</v>
      </c>
      <c r="P133" s="68">
        <f>COUNTIF(F134,"S")*2</f>
        <v>0</v>
      </c>
      <c r="Q133" s="68">
        <f>COUNTIF(F135,"S")*2</f>
        <v>0</v>
      </c>
      <c r="R133" s="68">
        <f>COUNTIF(F136,"S")*2</f>
        <v>0</v>
      </c>
      <c r="S133" s="68">
        <f>COUNTIF(F137,"S")*2</f>
        <v>0</v>
      </c>
      <c r="T133" s="68">
        <f>COUNTIF(F138,"S")*2</f>
        <v>0</v>
      </c>
      <c r="U133" s="68">
        <f>COUNTIF(F139,"S")*2</f>
        <v>0</v>
      </c>
      <c r="V133" s="16"/>
      <c r="W133" s="16"/>
    </row>
    <row r="134" spans="2:23" x14ac:dyDescent="0.15">
      <c r="B134" s="89" t="s">
        <v>96</v>
      </c>
      <c r="C134" s="77" t="s">
        <v>109</v>
      </c>
      <c r="D134" s="78"/>
      <c r="E134" s="12">
        <v>9</v>
      </c>
      <c r="F134" s="12" t="s">
        <v>24</v>
      </c>
      <c r="G134" s="13" t="str">
        <f>IF(P137&gt;=1,"10","0")</f>
        <v>10</v>
      </c>
      <c r="H134" s="14" t="str">
        <f>IF(P137&gt;=2,"10","0")</f>
        <v>10</v>
      </c>
      <c r="I134" s="14" t="str">
        <f>IF(P137&gt;=3,"10","0")</f>
        <v>10</v>
      </c>
      <c r="J134" s="14" t="str">
        <f>IF(P137&gt;=4,"10","0")</f>
        <v>0</v>
      </c>
      <c r="K134" s="32" t="str">
        <f>IF(P137&gt;=5,"10","0")</f>
        <v>0</v>
      </c>
      <c r="N134" s="68">
        <f>COUNTIF(F132,"SS")*3</f>
        <v>3</v>
      </c>
      <c r="O134" s="68">
        <f>COUNTIF(F133,"SS")*3</f>
        <v>3</v>
      </c>
      <c r="P134" s="68">
        <f>COUNTIF(F134,"SS")*3</f>
        <v>3</v>
      </c>
      <c r="Q134" s="68">
        <f>COUNTIF(F135,"SS")*3</f>
        <v>3</v>
      </c>
      <c r="R134" s="68">
        <f>COUNTIF(F136,"SS")*3</f>
        <v>3</v>
      </c>
      <c r="S134" s="68">
        <f>COUNTIF(F137,"SS")*3</f>
        <v>3</v>
      </c>
      <c r="T134" s="68">
        <f>COUNTIF(F138,"SS")*3</f>
        <v>3</v>
      </c>
      <c r="U134" s="68">
        <f>COUNTIF(F139,"SS")*3</f>
        <v>3</v>
      </c>
      <c r="V134" s="16"/>
      <c r="W134" s="16"/>
    </row>
    <row r="135" spans="2:23" x14ac:dyDescent="0.15">
      <c r="B135" s="90"/>
      <c r="C135" s="77" t="s">
        <v>110</v>
      </c>
      <c r="D135" s="78"/>
      <c r="E135" s="12">
        <v>10</v>
      </c>
      <c r="F135" s="12" t="s">
        <v>24</v>
      </c>
      <c r="G135" s="13" t="str">
        <f>IF(Q137&gt;=1,"10","0")</f>
        <v>10</v>
      </c>
      <c r="H135" s="14" t="str">
        <f>IF(Q137&gt;=2,"10","0")</f>
        <v>10</v>
      </c>
      <c r="I135" s="14" t="str">
        <f>IF(Q137&gt;=3,"10","0")</f>
        <v>10</v>
      </c>
      <c r="J135" s="14" t="str">
        <f>IF(Q137&gt;=4,"10","0")</f>
        <v>0</v>
      </c>
      <c r="K135" s="32" t="str">
        <f>IF(Q137&gt;=5,"10","0")</f>
        <v>0</v>
      </c>
      <c r="N135" s="68">
        <f>COUNTIF(F132,"SSS")*4</f>
        <v>0</v>
      </c>
      <c r="O135" s="68">
        <f>COUNTIF(F133,"SSS")*4</f>
        <v>0</v>
      </c>
      <c r="P135" s="68">
        <f>COUNTIF(F134,"SSS")*4</f>
        <v>0</v>
      </c>
      <c r="Q135" s="68">
        <f>COUNTIF(F135,"SSS")*4</f>
        <v>0</v>
      </c>
      <c r="R135" s="68">
        <f>COUNTIF(F136,"SSS")*4</f>
        <v>0</v>
      </c>
      <c r="S135" s="68">
        <f>COUNTIF(F137,"SSS")*4</f>
        <v>0</v>
      </c>
      <c r="T135" s="68">
        <f>COUNTIF(F138,"SSS")*4</f>
        <v>0</v>
      </c>
      <c r="U135" s="68">
        <f>COUNTIF(F139,"SSS")*4</f>
        <v>0</v>
      </c>
      <c r="V135" s="16"/>
      <c r="W135" s="16"/>
    </row>
    <row r="136" spans="2:23" x14ac:dyDescent="0.15">
      <c r="B136" s="91" t="s">
        <v>86</v>
      </c>
      <c r="C136" s="77" t="s">
        <v>111</v>
      </c>
      <c r="D136" s="78"/>
      <c r="E136" s="12">
        <v>9</v>
      </c>
      <c r="F136" s="12" t="s">
        <v>24</v>
      </c>
      <c r="G136" s="13" t="str">
        <f>IF(R137&gt;=1,"9","0")</f>
        <v>9</v>
      </c>
      <c r="H136" s="14" t="str">
        <f>IF(R137&gt;=2,"9","0")</f>
        <v>9</v>
      </c>
      <c r="I136" s="14" t="str">
        <f>IF(R137&gt;=3,"9","0")</f>
        <v>9</v>
      </c>
      <c r="J136" s="14" t="str">
        <f>IF(R137&gt;=4,"9","0")</f>
        <v>0</v>
      </c>
      <c r="K136" s="32" t="str">
        <f>IF(R137&gt;=5,"9","0")</f>
        <v>0</v>
      </c>
      <c r="N136" s="68">
        <f>COUNTIF(F132,"EXC")*5</f>
        <v>0</v>
      </c>
      <c r="O136" s="68">
        <f>COUNTIF(F133,"EXC")*5</f>
        <v>0</v>
      </c>
      <c r="P136" s="68">
        <f>COUNTIF(F134,"EXC")*5</f>
        <v>0</v>
      </c>
      <c r="Q136" s="68">
        <f>COUNTIF(F135,"EXC")*5</f>
        <v>0</v>
      </c>
      <c r="R136" s="68">
        <f>COUNTIF(F136,"EXC")*5</f>
        <v>0</v>
      </c>
      <c r="S136" s="68">
        <f>COUNTIF(F137,"EXC")*5</f>
        <v>0</v>
      </c>
      <c r="T136" s="68">
        <f>COUNTIF(F138,"EXC")*5</f>
        <v>0</v>
      </c>
      <c r="U136" s="68">
        <f>COUNTIF(F139,"EXC")*5</f>
        <v>0</v>
      </c>
      <c r="V136" s="16"/>
      <c r="W136" s="16"/>
    </row>
    <row r="137" spans="2:23" x14ac:dyDescent="0.15">
      <c r="B137" s="91"/>
      <c r="C137" s="77" t="s">
        <v>112</v>
      </c>
      <c r="D137" s="78"/>
      <c r="E137" s="12">
        <v>9</v>
      </c>
      <c r="F137" s="12" t="s">
        <v>24</v>
      </c>
      <c r="G137" s="13" t="str">
        <f>IF(S137&gt;=1,"9","0")</f>
        <v>9</v>
      </c>
      <c r="H137" s="14" t="str">
        <f>IF(S137&gt;=2,"9","0")</f>
        <v>9</v>
      </c>
      <c r="I137" s="14" t="str">
        <f>IF(S137&gt;=3,"9","0")</f>
        <v>9</v>
      </c>
      <c r="J137" s="14" t="str">
        <f>IF(S137&gt;=4,"9","0")</f>
        <v>0</v>
      </c>
      <c r="K137" s="32" t="str">
        <f>IF(S137&gt;=5,"9","0")</f>
        <v>0</v>
      </c>
      <c r="N137" s="68">
        <f t="shared" ref="N137:U137" si="8">SUM(N132:N136)</f>
        <v>3</v>
      </c>
      <c r="O137" s="68">
        <f t="shared" si="8"/>
        <v>3</v>
      </c>
      <c r="P137" s="68">
        <f t="shared" si="8"/>
        <v>3</v>
      </c>
      <c r="Q137" s="68">
        <f t="shared" si="8"/>
        <v>3</v>
      </c>
      <c r="R137" s="68">
        <f t="shared" si="8"/>
        <v>3</v>
      </c>
      <c r="S137" s="68">
        <f t="shared" si="8"/>
        <v>3</v>
      </c>
      <c r="T137" s="68">
        <f t="shared" si="8"/>
        <v>3</v>
      </c>
      <c r="U137" s="68">
        <f t="shared" si="8"/>
        <v>3</v>
      </c>
      <c r="V137" s="16"/>
      <c r="W137" s="16"/>
    </row>
    <row r="138" spans="2:23" x14ac:dyDescent="0.15">
      <c r="B138" s="91"/>
      <c r="C138" s="77" t="s">
        <v>113</v>
      </c>
      <c r="D138" s="78"/>
      <c r="E138" s="12">
        <v>9</v>
      </c>
      <c r="F138" s="12" t="s">
        <v>24</v>
      </c>
      <c r="G138" s="13" t="str">
        <f>IF(T137&gt;=1,"9","0")</f>
        <v>9</v>
      </c>
      <c r="H138" s="14" t="str">
        <f>IF(T137&gt;=2,"9","0")</f>
        <v>9</v>
      </c>
      <c r="I138" s="14" t="str">
        <f>IF(T137&gt;=3,"9","0")</f>
        <v>9</v>
      </c>
      <c r="J138" s="14" t="str">
        <f>IF(T137&gt;=4,"9","0")</f>
        <v>0</v>
      </c>
      <c r="K138" s="32" t="str">
        <f>IF(T137&gt;=5,"9","0")</f>
        <v>0</v>
      </c>
      <c r="V138" s="16"/>
      <c r="W138" s="16"/>
    </row>
    <row r="139" spans="2:23" ht="14.25" thickBot="1" x14ac:dyDescent="0.2">
      <c r="B139" s="92"/>
      <c r="C139" s="81" t="s">
        <v>114</v>
      </c>
      <c r="D139" s="82"/>
      <c r="E139" s="33">
        <v>9</v>
      </c>
      <c r="F139" s="33" t="s">
        <v>24</v>
      </c>
      <c r="G139" s="34" t="str">
        <f>IF(U137&gt;=1,"9","0")</f>
        <v>9</v>
      </c>
      <c r="H139" s="35" t="str">
        <f>IF(U137&gt;=2,"9","0")</f>
        <v>9</v>
      </c>
      <c r="I139" s="35" t="str">
        <f>IF(U137&gt;=3,"9","0")</f>
        <v>9</v>
      </c>
      <c r="J139" s="35" t="str">
        <f>IF(U137&gt;=4,"9","0")</f>
        <v>0</v>
      </c>
      <c r="K139" s="36" t="str">
        <f>IF(U137&gt;=5,"9","0")</f>
        <v>0</v>
      </c>
      <c r="V139" s="16"/>
      <c r="W139" s="16"/>
    </row>
    <row r="140" spans="2:23" ht="14.25" thickBot="1" x14ac:dyDescent="0.2">
      <c r="B140" s="24"/>
      <c r="C140" s="83"/>
      <c r="D140" s="83"/>
      <c r="E140" s="79" t="s">
        <v>11</v>
      </c>
      <c r="F140" s="80"/>
      <c r="G140" s="26">
        <f>SUM(G132+G133+G134+G135+G136+G137+G138+G139+G124)</f>
        <v>414</v>
      </c>
      <c r="H140" s="26">
        <f>SUM(H132+H133+H134+H135+H136+H137+H138+H139+H124)</f>
        <v>414</v>
      </c>
      <c r="I140" s="26">
        <f>SUM(I132+I133+I134+I135+I136+I137+I138+I139+I124)</f>
        <v>414</v>
      </c>
      <c r="J140" s="26">
        <f>SUM(J132+J133+J134+J135+J136+J137+J138+J139+J124)</f>
        <v>0</v>
      </c>
      <c r="K140" s="26">
        <f>SUM(K132+K133+K134+K135+K136+K137+K138+K139+K124)</f>
        <v>0</v>
      </c>
      <c r="V140" s="16"/>
      <c r="W140" s="16"/>
    </row>
    <row r="141" spans="2:23" ht="14.25" thickBot="1" x14ac:dyDescent="0.2">
      <c r="B141" s="24"/>
      <c r="C141" s="83"/>
      <c r="D141" s="83"/>
      <c r="E141" s="108" t="s">
        <v>116</v>
      </c>
      <c r="F141" s="109"/>
      <c r="G141" s="47" t="str">
        <f>IF(G140&gt;=354,"合格","不合格")</f>
        <v>合格</v>
      </c>
      <c r="H141" s="47" t="str">
        <f>IF(H140&gt;=354,"合格","不合格")</f>
        <v>合格</v>
      </c>
      <c r="I141" s="47" t="str">
        <f>IF(I140&gt;=354,"合格","不合格")</f>
        <v>合格</v>
      </c>
      <c r="J141" s="47" t="str">
        <f>IF(J140&gt;=354,"合格","不合格")</f>
        <v>不合格</v>
      </c>
      <c r="K141" s="47" t="str">
        <f>IF(K140&gt;=354,"合格","不合格")</f>
        <v>不合格</v>
      </c>
      <c r="V141" s="16"/>
      <c r="W141" s="16"/>
    </row>
    <row r="142" spans="2:23" x14ac:dyDescent="0.15">
      <c r="E142" s="86"/>
      <c r="F142" s="86"/>
      <c r="G142" s="21"/>
      <c r="H142" s="21"/>
      <c r="I142" s="21"/>
      <c r="J142" s="21"/>
      <c r="K142" s="21"/>
      <c r="V142" s="16"/>
      <c r="W142" s="16"/>
    </row>
    <row r="143" spans="2:23" x14ac:dyDescent="0.15">
      <c r="E143" s="83"/>
      <c r="F143" s="83"/>
      <c r="G143" s="21"/>
      <c r="H143" s="21"/>
      <c r="I143" s="21"/>
      <c r="J143" s="21"/>
      <c r="K143" s="21"/>
      <c r="V143" s="16"/>
      <c r="W143" s="16"/>
    </row>
    <row r="144" spans="2:23" x14ac:dyDescent="0.15">
      <c r="I144" s="16"/>
      <c r="J144" s="16"/>
      <c r="V144" s="16"/>
      <c r="W144" s="16"/>
    </row>
    <row r="145" spans="2:23" x14ac:dyDescent="0.15">
      <c r="I145" s="16"/>
      <c r="J145" s="16"/>
      <c r="V145" s="16"/>
      <c r="W145" s="16"/>
    </row>
    <row r="146" spans="2:23" ht="14.25" thickBot="1" x14ac:dyDescent="0.2">
      <c r="B146" s="85" t="s">
        <v>18</v>
      </c>
      <c r="C146" s="85"/>
      <c r="D146" s="85"/>
      <c r="E146" s="85"/>
      <c r="F146" s="85"/>
      <c r="G146" s="85"/>
      <c r="H146" s="85"/>
      <c r="I146" s="85"/>
      <c r="J146" s="85"/>
      <c r="K146" s="85"/>
      <c r="V146" s="16"/>
      <c r="W146" s="16"/>
    </row>
    <row r="147" spans="2:23" ht="14.25" thickBot="1" x14ac:dyDescent="0.2">
      <c r="B147" s="37" t="s">
        <v>1</v>
      </c>
      <c r="C147" s="71" t="s">
        <v>2</v>
      </c>
      <c r="D147" s="74"/>
      <c r="E147" s="26" t="s">
        <v>3</v>
      </c>
      <c r="F147" s="26" t="s">
        <v>4</v>
      </c>
      <c r="G147" s="27" t="s">
        <v>5</v>
      </c>
      <c r="H147" s="28" t="s">
        <v>6</v>
      </c>
      <c r="I147" s="29" t="s">
        <v>7</v>
      </c>
      <c r="J147" s="28" t="s">
        <v>8</v>
      </c>
      <c r="K147" s="30" t="s">
        <v>9</v>
      </c>
      <c r="V147" s="16"/>
      <c r="W147" s="16"/>
    </row>
    <row r="148" spans="2:23" x14ac:dyDescent="0.15">
      <c r="B148" s="102" t="s">
        <v>117</v>
      </c>
      <c r="C148" s="75" t="s">
        <v>119</v>
      </c>
      <c r="D148" s="93"/>
      <c r="E148" s="7">
        <v>10</v>
      </c>
      <c r="F148" s="7" t="s">
        <v>23</v>
      </c>
      <c r="G148" s="8" t="str">
        <f>IF(N153&gt;=1,"12","0")</f>
        <v>12</v>
      </c>
      <c r="H148" s="9" t="str">
        <f>IF(N153&gt;=2,"12","0")</f>
        <v>12</v>
      </c>
      <c r="I148" s="9" t="str">
        <f>IF(N153&gt;=3,"12","0")</f>
        <v>12</v>
      </c>
      <c r="J148" s="9" t="str">
        <f>IF(N153&gt;=4,"12","0")</f>
        <v>0</v>
      </c>
      <c r="K148" s="31" t="str">
        <f>IF(N153&gt;=5,"12","0")</f>
        <v>0</v>
      </c>
      <c r="N148" s="68">
        <f>COUNTIF(F148,"*A*")</f>
        <v>0</v>
      </c>
      <c r="O148" s="68">
        <f>COUNTIF(F149,"*A*")</f>
        <v>0</v>
      </c>
      <c r="P148" s="68">
        <f>COUNTIF(F150,"*A*")</f>
        <v>0</v>
      </c>
      <c r="Q148" s="68">
        <f>COUNTIF(F151,"*A*")</f>
        <v>0</v>
      </c>
      <c r="R148" s="68">
        <f>COUNTIF(F152,"*A*")</f>
        <v>0</v>
      </c>
      <c r="S148" s="68">
        <f>COUNTIF(F153,"*A*")</f>
        <v>0</v>
      </c>
      <c r="T148" s="68">
        <f>COUNTIF(F154,"*A*")</f>
        <v>0</v>
      </c>
      <c r="U148" s="68">
        <f>COUNTIF(F155,"*A*")</f>
        <v>0</v>
      </c>
      <c r="V148" s="16"/>
      <c r="W148" s="16"/>
    </row>
    <row r="149" spans="2:23" x14ac:dyDescent="0.15">
      <c r="B149" s="91"/>
      <c r="C149" s="94" t="s">
        <v>120</v>
      </c>
      <c r="D149" s="95"/>
      <c r="E149" s="12">
        <v>10</v>
      </c>
      <c r="F149" s="12" t="s">
        <v>24</v>
      </c>
      <c r="G149" s="13" t="str">
        <f>IF(O153&gt;=1,"12","0")</f>
        <v>12</v>
      </c>
      <c r="H149" s="14" t="str">
        <f>IF(O153&gt;=2,"12","0")</f>
        <v>12</v>
      </c>
      <c r="I149" s="14" t="str">
        <f>IF(O153&gt;=3,"12","0")</f>
        <v>12</v>
      </c>
      <c r="J149" s="14" t="str">
        <f>IF(O153&gt;=4,"12","0")</f>
        <v>0</v>
      </c>
      <c r="K149" s="32" t="str">
        <f>IF(O153&gt;=5,"12","0")</f>
        <v>0</v>
      </c>
      <c r="N149" s="68">
        <f>COUNTIF(F148,"S")*2</f>
        <v>0</v>
      </c>
      <c r="O149" s="68">
        <f>COUNTIF(F149,"S")*2</f>
        <v>0</v>
      </c>
      <c r="P149" s="68">
        <f>COUNTIF(F150,"S")*2</f>
        <v>0</v>
      </c>
      <c r="Q149" s="68">
        <f>COUNTIF(F151,"S")*2</f>
        <v>0</v>
      </c>
      <c r="R149" s="68">
        <f>COUNTIF(F152,"S")*2</f>
        <v>0</v>
      </c>
      <c r="S149" s="68">
        <f>COUNTIF(F153,"S")*2</f>
        <v>0</v>
      </c>
      <c r="T149" s="68">
        <f>COUNTIF(F154,"S")*2</f>
        <v>0</v>
      </c>
      <c r="U149" s="68">
        <f>COUNTIF(F155,"S")*2</f>
        <v>0</v>
      </c>
      <c r="V149" s="16"/>
      <c r="W149" s="16"/>
    </row>
    <row r="150" spans="2:23" x14ac:dyDescent="0.15">
      <c r="B150" s="89" t="s">
        <v>118</v>
      </c>
      <c r="C150" s="77" t="s">
        <v>121</v>
      </c>
      <c r="D150" s="78"/>
      <c r="E150" s="12">
        <v>9</v>
      </c>
      <c r="F150" s="12" t="s">
        <v>24</v>
      </c>
      <c r="G150" s="13" t="str">
        <f>IF(P153&gt;=1,"11","0")</f>
        <v>11</v>
      </c>
      <c r="H150" s="14" t="str">
        <f>IF(P153&gt;=2,"11","0")</f>
        <v>11</v>
      </c>
      <c r="I150" s="14" t="str">
        <f>IF(P153&gt;=3,"11","0")</f>
        <v>11</v>
      </c>
      <c r="J150" s="14" t="str">
        <f>IF(P153&gt;=4,"11","0")</f>
        <v>0</v>
      </c>
      <c r="K150" s="32" t="str">
        <f>IF(P153&gt;=5,"11","0")</f>
        <v>0</v>
      </c>
      <c r="N150" s="68">
        <f>COUNTIF(F148,"SS")*3</f>
        <v>3</v>
      </c>
      <c r="O150" s="68">
        <f>COUNTIF(F149,"SS")*3</f>
        <v>3</v>
      </c>
      <c r="P150" s="68">
        <f>COUNTIF(F150,"SS")*3</f>
        <v>3</v>
      </c>
      <c r="Q150" s="68">
        <f>COUNTIF(F151,"SS")*3</f>
        <v>3</v>
      </c>
      <c r="R150" s="68">
        <f>COUNTIF(F152,"SS")*3</f>
        <v>3</v>
      </c>
      <c r="S150" s="68">
        <f>COUNTIF(F153,"SS")*3</f>
        <v>3</v>
      </c>
      <c r="T150" s="68">
        <f>COUNTIF(F154,"SS")*3</f>
        <v>3</v>
      </c>
      <c r="U150" s="68">
        <f>COUNTIF(F155,"SS")*3</f>
        <v>3</v>
      </c>
      <c r="V150" s="16"/>
      <c r="W150" s="16"/>
    </row>
    <row r="151" spans="2:23" x14ac:dyDescent="0.15">
      <c r="B151" s="90"/>
      <c r="C151" s="77" t="s">
        <v>122</v>
      </c>
      <c r="D151" s="78"/>
      <c r="E151" s="12">
        <v>10</v>
      </c>
      <c r="F151" s="12" t="s">
        <v>24</v>
      </c>
      <c r="G151" s="13" t="str">
        <f>IF(Q153&gt;=1,"11","0")</f>
        <v>11</v>
      </c>
      <c r="H151" s="14" t="str">
        <f>IF(Q153&gt;=2,"11","0")</f>
        <v>11</v>
      </c>
      <c r="I151" s="14" t="str">
        <f>IF(Q153&gt;=3,"11","0")</f>
        <v>11</v>
      </c>
      <c r="J151" s="14" t="str">
        <f>IF(Q153&gt;=4,"11","0")</f>
        <v>0</v>
      </c>
      <c r="K151" s="32" t="str">
        <f>IF(Q153&gt;=5,"11","0")</f>
        <v>0</v>
      </c>
      <c r="N151" s="68">
        <f>COUNTIF(F148,"SSS")*4</f>
        <v>0</v>
      </c>
      <c r="O151" s="68">
        <f>COUNTIF(F149,"SSS")*4</f>
        <v>0</v>
      </c>
      <c r="P151" s="68">
        <f>COUNTIF(F150,"SSS")*4</f>
        <v>0</v>
      </c>
      <c r="Q151" s="68">
        <f>COUNTIF(F151,"SSS")*4</f>
        <v>0</v>
      </c>
      <c r="R151" s="68">
        <f>COUNTIF(F152,"SSS")*4</f>
        <v>0</v>
      </c>
      <c r="S151" s="68">
        <f>COUNTIF(F153,"SSS")*4</f>
        <v>0</v>
      </c>
      <c r="T151" s="68">
        <f>COUNTIF(F154,"SSS")*4</f>
        <v>0</v>
      </c>
      <c r="U151" s="68">
        <f>COUNTIF(F155,"SSS")*4</f>
        <v>0</v>
      </c>
      <c r="V151" s="16"/>
      <c r="W151" s="16"/>
    </row>
    <row r="152" spans="2:23" x14ac:dyDescent="0.15">
      <c r="B152" s="91" t="s">
        <v>123</v>
      </c>
      <c r="C152" s="77" t="s">
        <v>124</v>
      </c>
      <c r="D152" s="78"/>
      <c r="E152" s="12">
        <v>9</v>
      </c>
      <c r="F152" s="12" t="s">
        <v>24</v>
      </c>
      <c r="G152" s="13" t="str">
        <f>IF(R153&gt;=1,"10","0")</f>
        <v>10</v>
      </c>
      <c r="H152" s="14" t="str">
        <f>IF(R153&gt;=2,"10","0")</f>
        <v>10</v>
      </c>
      <c r="I152" s="14" t="str">
        <f>IF(R153&gt;=3,"10","0")</f>
        <v>10</v>
      </c>
      <c r="J152" s="14" t="str">
        <f>IF(R153&gt;=4,"10","0")</f>
        <v>0</v>
      </c>
      <c r="K152" s="32" t="str">
        <f>IF(R153&gt;=5,"10","0")</f>
        <v>0</v>
      </c>
      <c r="N152" s="68">
        <f>COUNTIF(F148,"EXC")*5</f>
        <v>0</v>
      </c>
      <c r="O152" s="68">
        <f>COUNTIF(F149,"EXC")*5</f>
        <v>0</v>
      </c>
      <c r="P152" s="68">
        <f>COUNTIF(F150,"EXC")*5</f>
        <v>0</v>
      </c>
      <c r="Q152" s="68">
        <f>COUNTIF(F151,"EXC")*5</f>
        <v>0</v>
      </c>
      <c r="R152" s="68">
        <f>COUNTIF(F152,"EXC")*5</f>
        <v>0</v>
      </c>
      <c r="S152" s="68">
        <f>COUNTIF(F153,"EXC")*5</f>
        <v>0</v>
      </c>
      <c r="T152" s="68">
        <f>COUNTIF(F154,"EXC")*5</f>
        <v>0</v>
      </c>
      <c r="U152" s="68">
        <f>COUNTIF(F155,"EXC")*5</f>
        <v>0</v>
      </c>
      <c r="V152" s="16"/>
      <c r="W152" s="16"/>
    </row>
    <row r="153" spans="2:23" x14ac:dyDescent="0.15">
      <c r="B153" s="91"/>
      <c r="C153" s="77" t="s">
        <v>125</v>
      </c>
      <c r="D153" s="78"/>
      <c r="E153" s="12">
        <v>9</v>
      </c>
      <c r="F153" s="12" t="s">
        <v>24</v>
      </c>
      <c r="G153" s="13" t="str">
        <f>IF(S153&gt;=1,"10","0")</f>
        <v>10</v>
      </c>
      <c r="H153" s="14" t="str">
        <f>IF(S153&gt;=2,"10","0")</f>
        <v>10</v>
      </c>
      <c r="I153" s="14" t="str">
        <f>IF(S153&gt;=3,"10","0")</f>
        <v>10</v>
      </c>
      <c r="J153" s="14" t="str">
        <f>IF(S153&gt;=4,"10","0")</f>
        <v>0</v>
      </c>
      <c r="K153" s="32" t="str">
        <f>IF(S153&gt;=5,"10","0")</f>
        <v>0</v>
      </c>
      <c r="N153" s="68">
        <f t="shared" ref="N153:U153" si="9">SUM(N148:N152)</f>
        <v>3</v>
      </c>
      <c r="O153" s="68">
        <f t="shared" si="9"/>
        <v>3</v>
      </c>
      <c r="P153" s="68">
        <f t="shared" si="9"/>
        <v>3</v>
      </c>
      <c r="Q153" s="68">
        <f t="shared" si="9"/>
        <v>3</v>
      </c>
      <c r="R153" s="68">
        <f t="shared" si="9"/>
        <v>3</v>
      </c>
      <c r="S153" s="68">
        <f t="shared" si="9"/>
        <v>3</v>
      </c>
      <c r="T153" s="68">
        <f t="shared" si="9"/>
        <v>3</v>
      </c>
      <c r="U153" s="68">
        <f t="shared" si="9"/>
        <v>3</v>
      </c>
      <c r="V153" s="16"/>
      <c r="W153" s="16"/>
    </row>
    <row r="154" spans="2:23" x14ac:dyDescent="0.15">
      <c r="B154" s="91"/>
      <c r="C154" s="77" t="s">
        <v>126</v>
      </c>
      <c r="D154" s="78"/>
      <c r="E154" s="12">
        <v>9</v>
      </c>
      <c r="F154" s="12" t="s">
        <v>24</v>
      </c>
      <c r="G154" s="13" t="str">
        <f>IF(T153&gt;=1,"10","0")</f>
        <v>10</v>
      </c>
      <c r="H154" s="14" t="str">
        <f>IF(T153&gt;=2,"10","0")</f>
        <v>10</v>
      </c>
      <c r="I154" s="14" t="str">
        <f>IF(T153&gt;=3,"10","0")</f>
        <v>10</v>
      </c>
      <c r="J154" s="14" t="str">
        <f>IF(T153&gt;=4,"10","0")</f>
        <v>0</v>
      </c>
      <c r="K154" s="32" t="str">
        <f>IF(T153&gt;=5,"10","0")</f>
        <v>0</v>
      </c>
      <c r="V154" s="16"/>
      <c r="W154" s="16"/>
    </row>
    <row r="155" spans="2:23" ht="14.25" thickBot="1" x14ac:dyDescent="0.2">
      <c r="B155" s="92"/>
      <c r="C155" s="81" t="s">
        <v>127</v>
      </c>
      <c r="D155" s="82"/>
      <c r="E155" s="33">
        <v>9</v>
      </c>
      <c r="F155" s="33" t="s">
        <v>24</v>
      </c>
      <c r="G155" s="34" t="str">
        <f>IF(U153&gt;=1,"10","0")</f>
        <v>10</v>
      </c>
      <c r="H155" s="35" t="str">
        <f>IF(U153&gt;=2,"10","0")</f>
        <v>10</v>
      </c>
      <c r="I155" s="35" t="str">
        <f>IF(U153&gt;=3,"10","0")</f>
        <v>10</v>
      </c>
      <c r="J155" s="35" t="str">
        <f>IF(U153&gt;=4,"10","0")</f>
        <v>0</v>
      </c>
      <c r="K155" s="36" t="str">
        <f>IF(U153&gt;=5,"10","0")</f>
        <v>0</v>
      </c>
      <c r="V155" s="16"/>
      <c r="W155" s="16"/>
    </row>
    <row r="156" spans="2:23" ht="14.25" thickBot="1" x14ac:dyDescent="0.2">
      <c r="B156" s="24"/>
      <c r="C156" s="83"/>
      <c r="D156" s="83"/>
      <c r="E156" s="79" t="s">
        <v>11</v>
      </c>
      <c r="F156" s="80"/>
      <c r="G156" s="26">
        <f>SUM(G148+G149+G150+G151+G152+G153+G154+G155+G140)</f>
        <v>500</v>
      </c>
      <c r="H156" s="26">
        <f>SUM(H148+H149+H150+H151+H152+H153+H154+H155+H140)</f>
        <v>500</v>
      </c>
      <c r="I156" s="26">
        <f>SUM(I148+I149+I150+I151+I152+I153+I154+I155+I140)</f>
        <v>500</v>
      </c>
      <c r="J156" s="26">
        <f>SUM(J148+J149+J150+J151+J152+J153+J154+J155+J140)</f>
        <v>0</v>
      </c>
      <c r="K156" s="26">
        <f>SUM(K148+K149+K150+K151+K152+K153+K154+K155+K140)</f>
        <v>0</v>
      </c>
      <c r="V156" s="16"/>
      <c r="W156" s="16"/>
    </row>
    <row r="157" spans="2:23" ht="14.25" thickBot="1" x14ac:dyDescent="0.2">
      <c r="B157" s="24"/>
      <c r="C157" s="83"/>
      <c r="D157" s="83"/>
      <c r="E157" s="108" t="s">
        <v>115</v>
      </c>
      <c r="F157" s="109"/>
      <c r="G157" s="47" t="str">
        <f>IF(G156&gt;=500,"合格","不合格")</f>
        <v>合格</v>
      </c>
      <c r="H157" s="70" t="str">
        <f>IF(H156&gt;=500,"合格","不合格")</f>
        <v>合格</v>
      </c>
      <c r="I157" s="70" t="str">
        <f>IF(I156&gt;=500,"合格","不合格")</f>
        <v>合格</v>
      </c>
      <c r="J157" s="70" t="str">
        <f>IF(J156&gt;=500,"合格","不合格")</f>
        <v>不合格</v>
      </c>
      <c r="K157" s="70" t="str">
        <f>IF(K156&gt;=500,"合格","不合格")</f>
        <v>不合格</v>
      </c>
      <c r="V157" s="16"/>
      <c r="W157" s="16"/>
    </row>
    <row r="158" spans="2:23" x14ac:dyDescent="0.15">
      <c r="E158" s="86"/>
      <c r="F158" s="86"/>
      <c r="G158" s="21"/>
      <c r="H158" s="21"/>
      <c r="I158" s="21"/>
      <c r="J158" s="21"/>
      <c r="K158" s="21"/>
      <c r="V158" s="16"/>
      <c r="W158" s="16"/>
    </row>
    <row r="159" spans="2:23" x14ac:dyDescent="0.15">
      <c r="E159" s="83"/>
      <c r="F159" s="83"/>
      <c r="G159" s="21"/>
      <c r="H159" s="21"/>
      <c r="I159" s="21"/>
      <c r="J159" s="21"/>
      <c r="K159" s="21"/>
      <c r="V159" s="16"/>
      <c r="W159" s="16"/>
    </row>
    <row r="160" spans="2:23" x14ac:dyDescent="0.15">
      <c r="I160" s="16"/>
      <c r="J160" s="16"/>
      <c r="V160" s="16"/>
      <c r="W160" s="16"/>
    </row>
    <row r="161" spans="2:23" x14ac:dyDescent="0.15">
      <c r="I161" s="16"/>
      <c r="J161" s="16"/>
      <c r="V161" s="16"/>
      <c r="W161" s="16"/>
    </row>
    <row r="162" spans="2:23" ht="14.25" thickBot="1" x14ac:dyDescent="0.2">
      <c r="B162" s="85" t="s">
        <v>20</v>
      </c>
      <c r="C162" s="85"/>
      <c r="D162" s="85"/>
      <c r="E162" s="85"/>
      <c r="F162" s="85"/>
      <c r="G162" s="85"/>
      <c r="H162" s="85"/>
      <c r="I162" s="85"/>
      <c r="J162" s="85"/>
      <c r="K162" s="85"/>
      <c r="V162" s="16"/>
      <c r="W162" s="16"/>
    </row>
    <row r="163" spans="2:23" ht="14.25" thickBot="1" x14ac:dyDescent="0.2">
      <c r="B163" s="25" t="s">
        <v>1</v>
      </c>
      <c r="C163" s="103" t="s">
        <v>2</v>
      </c>
      <c r="D163" s="103"/>
      <c r="E163" s="2" t="s">
        <v>3</v>
      </c>
      <c r="F163" s="18" t="s">
        <v>4</v>
      </c>
      <c r="G163" s="3" t="s">
        <v>5</v>
      </c>
      <c r="H163" s="4" t="s">
        <v>6</v>
      </c>
      <c r="I163" s="5" t="s">
        <v>7</v>
      </c>
      <c r="J163" s="4" t="s">
        <v>8</v>
      </c>
      <c r="K163" s="6" t="s">
        <v>9</v>
      </c>
      <c r="V163" s="16"/>
      <c r="W163" s="16"/>
    </row>
    <row r="164" spans="2:23" x14ac:dyDescent="0.15">
      <c r="B164" s="67" t="s">
        <v>128</v>
      </c>
      <c r="C164" s="104" t="s">
        <v>131</v>
      </c>
      <c r="D164" s="105"/>
      <c r="E164" s="65">
        <v>10</v>
      </c>
      <c r="F164" s="19" t="s">
        <v>17</v>
      </c>
      <c r="G164" s="8" t="str">
        <f>IF(N169&gt;=1,"13","0")</f>
        <v>13</v>
      </c>
      <c r="H164" s="9" t="str">
        <f>IF(N169&gt;=2,"13","0")</f>
        <v>13</v>
      </c>
      <c r="I164" s="9" t="str">
        <f>IF(N169&gt;=3,"13","0")</f>
        <v>0</v>
      </c>
      <c r="J164" s="9" t="str">
        <f>IF(N169&gt;=4,"13","0")</f>
        <v>0</v>
      </c>
      <c r="K164" s="10" t="str">
        <f>IF(N169&gt;=5,"13","0")</f>
        <v>0</v>
      </c>
      <c r="N164" s="68">
        <f>COUNTIF(F164,"*A*")</f>
        <v>0</v>
      </c>
      <c r="O164" s="68">
        <f>COUNTIF(F165,"*A*")</f>
        <v>0</v>
      </c>
      <c r="P164" s="68">
        <f>COUNTIF(F166,"*A*")</f>
        <v>0</v>
      </c>
      <c r="Q164" s="68">
        <f>COUNTIF(F167,"*A*")</f>
        <v>0</v>
      </c>
      <c r="R164" s="68">
        <f>COUNTIF(F168,"*A*")</f>
        <v>0</v>
      </c>
      <c r="S164" s="68">
        <f>COUNTIF(F169,"*A*")</f>
        <v>0</v>
      </c>
      <c r="T164" s="68">
        <f>COUNTIF(F170,"*A*")</f>
        <v>0</v>
      </c>
      <c r="U164" s="68">
        <f>COUNTIF(F171,"*A*")</f>
        <v>0</v>
      </c>
      <c r="V164" s="16"/>
      <c r="W164" s="16"/>
    </row>
    <row r="165" spans="2:23" x14ac:dyDescent="0.15">
      <c r="B165" s="77" t="s">
        <v>129</v>
      </c>
      <c r="C165" s="78" t="s">
        <v>132</v>
      </c>
      <c r="D165" s="96"/>
      <c r="E165" s="66">
        <v>10</v>
      </c>
      <c r="F165" s="20" t="s">
        <v>17</v>
      </c>
      <c r="G165" s="13" t="str">
        <f>IF(O169&gt;=1,"12","0")</f>
        <v>12</v>
      </c>
      <c r="H165" s="14" t="str">
        <f>IF(O169&gt;=2,"12","0")</f>
        <v>12</v>
      </c>
      <c r="I165" s="14" t="str">
        <f>IF(O169&gt;=3,"12","0")</f>
        <v>0</v>
      </c>
      <c r="J165" s="14" t="str">
        <f>IF(O169&gt;=4,"12","0")</f>
        <v>0</v>
      </c>
      <c r="K165" s="15" t="str">
        <f>IF(O169&gt;=5,"12","0")</f>
        <v>0</v>
      </c>
      <c r="N165" s="68">
        <f>COUNTIF(F164,"S")*2</f>
        <v>2</v>
      </c>
      <c r="O165" s="68">
        <f>COUNTIF(F165,"S")*2</f>
        <v>2</v>
      </c>
      <c r="P165" s="68">
        <f>COUNTIF(F166,"S")*2</f>
        <v>2</v>
      </c>
      <c r="Q165" s="68">
        <f>COUNTIF(F167,"S")*2</f>
        <v>2</v>
      </c>
      <c r="R165" s="68">
        <f>COUNTIF(F168,"S")*2</f>
        <v>2</v>
      </c>
      <c r="S165" s="68">
        <f>COUNTIF(F169,"S")*2</f>
        <v>2</v>
      </c>
      <c r="T165" s="68">
        <f>COUNTIF(F170,"S")*2</f>
        <v>2</v>
      </c>
      <c r="U165" s="68">
        <f>COUNTIF(F171,"S")*2</f>
        <v>2</v>
      </c>
      <c r="V165" s="16"/>
      <c r="W165" s="16"/>
    </row>
    <row r="166" spans="2:23" x14ac:dyDescent="0.15">
      <c r="B166" s="77"/>
      <c r="C166" s="78" t="s">
        <v>133</v>
      </c>
      <c r="D166" s="96"/>
      <c r="E166" s="66">
        <v>10</v>
      </c>
      <c r="F166" s="20" t="s">
        <v>17</v>
      </c>
      <c r="G166" s="13" t="str">
        <f>IF(P169&gt;=1,"12","0")</f>
        <v>12</v>
      </c>
      <c r="H166" s="14" t="str">
        <f>IF(P169&gt;=2,"12","0")</f>
        <v>12</v>
      </c>
      <c r="I166" s="14" t="str">
        <f>IF(P169&gt;=3,"12","0")</f>
        <v>0</v>
      </c>
      <c r="J166" s="14" t="str">
        <f>IF(P169&gt;=4,"12","0")</f>
        <v>0</v>
      </c>
      <c r="K166" s="15" t="str">
        <f>IF(P169&gt;=5,"12","0")</f>
        <v>0</v>
      </c>
      <c r="N166" s="68">
        <f>COUNTIF(F164,"SS")*3</f>
        <v>0</v>
      </c>
      <c r="O166" s="68">
        <f>COUNTIF(F165,"SS")*3</f>
        <v>0</v>
      </c>
      <c r="P166" s="68">
        <f>COUNTIF(F166,"SS")*3</f>
        <v>0</v>
      </c>
      <c r="Q166" s="68">
        <f>COUNTIF(F167,"SS")*3</f>
        <v>0</v>
      </c>
      <c r="R166" s="68">
        <f>COUNTIF(F168,"SS")*3</f>
        <v>0</v>
      </c>
      <c r="S166" s="68">
        <f>COUNTIF(F169,"SS")*3</f>
        <v>0</v>
      </c>
      <c r="T166" s="68">
        <f>COUNTIF(F170,"SS")*3</f>
        <v>0</v>
      </c>
      <c r="U166" s="68">
        <f>COUNTIF(F171,"SS")*3</f>
        <v>0</v>
      </c>
      <c r="V166" s="16"/>
      <c r="W166" s="16"/>
    </row>
    <row r="167" spans="2:23" x14ac:dyDescent="0.15">
      <c r="B167" s="110" t="s">
        <v>130</v>
      </c>
      <c r="C167" s="78" t="s">
        <v>19</v>
      </c>
      <c r="D167" s="96"/>
      <c r="E167" s="66">
        <v>10</v>
      </c>
      <c r="F167" s="20" t="s">
        <v>17</v>
      </c>
      <c r="G167" s="13" t="str">
        <f>IF(Q169&gt;=1,"11","0")</f>
        <v>11</v>
      </c>
      <c r="H167" s="14" t="str">
        <f>IF(Q169&gt;=2,"11","0")</f>
        <v>11</v>
      </c>
      <c r="I167" s="14" t="str">
        <f>IF(Q169&gt;=3,"11","0")</f>
        <v>0</v>
      </c>
      <c r="J167" s="14" t="str">
        <f>IF(Q169&gt;=4,"11","0")</f>
        <v>0</v>
      </c>
      <c r="K167" s="15" t="str">
        <f>IF(Q169&gt;=5,"11","0")</f>
        <v>0</v>
      </c>
      <c r="N167" s="68">
        <f>COUNTIF(F164,"SSS")*4</f>
        <v>0</v>
      </c>
      <c r="O167" s="68">
        <f>COUNTIF(F165,"SSS")*4</f>
        <v>0</v>
      </c>
      <c r="P167" s="68">
        <f>COUNTIF(F166,"SSS")*4</f>
        <v>0</v>
      </c>
      <c r="Q167" s="68">
        <f>COUNTIF(F167,"SSS")*4</f>
        <v>0</v>
      </c>
      <c r="R167" s="68">
        <f>COUNTIF(F168,"SSS")*4</f>
        <v>0</v>
      </c>
      <c r="S167" s="68">
        <f>COUNTIF(F169,"SSS")*4</f>
        <v>0</v>
      </c>
      <c r="T167" s="68">
        <f>COUNTIF(F170,"SSS")*4</f>
        <v>0</v>
      </c>
      <c r="U167" s="68">
        <f>COUNTIF(F171,"SSS")*4</f>
        <v>0</v>
      </c>
      <c r="V167" s="16"/>
      <c r="W167" s="16"/>
    </row>
    <row r="168" spans="2:23" x14ac:dyDescent="0.15">
      <c r="B168" s="111"/>
      <c r="C168" s="78" t="s">
        <v>134</v>
      </c>
      <c r="D168" s="96"/>
      <c r="E168" s="66">
        <v>10</v>
      </c>
      <c r="F168" s="20" t="s">
        <v>17</v>
      </c>
      <c r="G168" s="13" t="str">
        <f>IF(R169&gt;=1,"11","0")</f>
        <v>11</v>
      </c>
      <c r="H168" s="14" t="str">
        <f>IF(R169&gt;=2,"11","0")</f>
        <v>11</v>
      </c>
      <c r="I168" s="14" t="str">
        <f>IF(R169&gt;=3,"11","0")</f>
        <v>0</v>
      </c>
      <c r="J168" s="14" t="str">
        <f>IF(R169&gt;=4,"11","0")</f>
        <v>0</v>
      </c>
      <c r="K168" s="15" t="str">
        <f>IF(R169&gt;=5,"11","0")</f>
        <v>0</v>
      </c>
      <c r="N168" s="68">
        <f>COUNTIF(F164,"EXC")*5</f>
        <v>0</v>
      </c>
      <c r="O168" s="68">
        <f>COUNTIF(F165,"EXC")*5</f>
        <v>0</v>
      </c>
      <c r="P168" s="68">
        <f>COUNTIF(F166,"EXC")*5</f>
        <v>0</v>
      </c>
      <c r="Q168" s="68">
        <f>COUNTIF(F167,"EXC")*5</f>
        <v>0</v>
      </c>
      <c r="R168" s="68">
        <f>COUNTIF(F168,"EXC")*5</f>
        <v>0</v>
      </c>
      <c r="S168" s="68">
        <f>COUNTIF(F169,"EXC")*5</f>
        <v>0</v>
      </c>
      <c r="T168" s="68">
        <f>COUNTIF(F170,"EXC")*5</f>
        <v>0</v>
      </c>
      <c r="U168" s="68">
        <f>COUNTIF(F171,"EXC")*5</f>
        <v>0</v>
      </c>
      <c r="V168" s="16"/>
      <c r="W168" s="16"/>
    </row>
    <row r="169" spans="2:23" x14ac:dyDescent="0.15">
      <c r="B169" s="111"/>
      <c r="C169" s="106" t="s">
        <v>135</v>
      </c>
      <c r="D169" s="107"/>
      <c r="E169" s="66">
        <v>10</v>
      </c>
      <c r="F169" s="20" t="s">
        <v>17</v>
      </c>
      <c r="G169" s="13" t="str">
        <f>IF(S169&gt;=1,"11","0")</f>
        <v>11</v>
      </c>
      <c r="H169" s="14" t="str">
        <f>IF(S169&gt;=2,"11","0")</f>
        <v>11</v>
      </c>
      <c r="I169" s="14" t="str">
        <f>IF(S169&gt;=3,"11","0")</f>
        <v>0</v>
      </c>
      <c r="J169" s="14" t="str">
        <f>IF(S169&gt;=4,"11","0")</f>
        <v>0</v>
      </c>
      <c r="K169" s="15" t="str">
        <f>IF(S169&gt;=5,"11","0")</f>
        <v>0</v>
      </c>
      <c r="N169" s="68">
        <f t="shared" ref="N169:U169" si="10">SUM(N164:N168)</f>
        <v>2</v>
      </c>
      <c r="O169" s="68">
        <f t="shared" si="10"/>
        <v>2</v>
      </c>
      <c r="P169" s="68">
        <f t="shared" si="10"/>
        <v>2</v>
      </c>
      <c r="Q169" s="68">
        <f t="shared" si="10"/>
        <v>2</v>
      </c>
      <c r="R169" s="68">
        <f t="shared" si="10"/>
        <v>2</v>
      </c>
      <c r="S169" s="68">
        <f t="shared" si="10"/>
        <v>2</v>
      </c>
      <c r="T169" s="68">
        <f t="shared" si="10"/>
        <v>2</v>
      </c>
      <c r="U169" s="68">
        <f t="shared" si="10"/>
        <v>2</v>
      </c>
      <c r="V169" s="16"/>
      <c r="W169" s="16"/>
    </row>
    <row r="170" spans="2:23" x14ac:dyDescent="0.15">
      <c r="B170" s="111"/>
      <c r="C170" s="78" t="s">
        <v>136</v>
      </c>
      <c r="D170" s="96"/>
      <c r="E170" s="66">
        <v>10</v>
      </c>
      <c r="F170" s="20" t="s">
        <v>17</v>
      </c>
      <c r="G170" s="13" t="str">
        <f>IF(T169&gt;=1,"11","0")</f>
        <v>11</v>
      </c>
      <c r="H170" s="14" t="str">
        <f>IF(T169&gt;=2,"11","0")</f>
        <v>11</v>
      </c>
      <c r="I170" s="14" t="str">
        <f>IF(T169&gt;=3,"11","0")</f>
        <v>0</v>
      </c>
      <c r="J170" s="14" t="str">
        <f>IF(T169&gt;=4,"11","0")</f>
        <v>0</v>
      </c>
      <c r="K170" s="15" t="str">
        <f>IF(T169&gt;=5,"11","0")</f>
        <v>0</v>
      </c>
      <c r="V170" s="16"/>
      <c r="W170" s="16"/>
    </row>
    <row r="171" spans="2:23" ht="14.25" thickBot="1" x14ac:dyDescent="0.2">
      <c r="B171" s="112"/>
      <c r="C171" s="82" t="s">
        <v>137</v>
      </c>
      <c r="D171" s="101"/>
      <c r="E171" s="66">
        <v>10</v>
      </c>
      <c r="F171" s="20" t="s">
        <v>17</v>
      </c>
      <c r="G171" s="13" t="str">
        <f>IF(U169&gt;=1,"11","0")</f>
        <v>11</v>
      </c>
      <c r="H171" s="14" t="str">
        <f>IF(U169&gt;=2,"11","0")</f>
        <v>11</v>
      </c>
      <c r="I171" s="14" t="str">
        <f>IF(U169&gt;=3,"11","0")</f>
        <v>0</v>
      </c>
      <c r="J171" s="14" t="str">
        <f>IF(U169&gt;=4,"11","0")</f>
        <v>0</v>
      </c>
      <c r="K171" s="15" t="str">
        <f>IF(U169&gt;=5,"11","0")</f>
        <v>0</v>
      </c>
      <c r="V171" s="16"/>
      <c r="W171" s="16"/>
    </row>
    <row r="172" spans="2:23" ht="14.25" thickBot="1" x14ac:dyDescent="0.2">
      <c r="B172" s="24"/>
      <c r="C172" s="83"/>
      <c r="D172" s="83"/>
      <c r="E172" s="79" t="s">
        <v>11</v>
      </c>
      <c r="F172" s="80"/>
      <c r="G172" s="26">
        <f>SUM(G164+G165+G166+G167+G168+G169+G170+G171+G156)</f>
        <v>592</v>
      </c>
      <c r="H172" s="26">
        <f>SUM(H164+H165+H166+H167+H168+H169+H170+H171+H156)</f>
        <v>592</v>
      </c>
      <c r="I172" s="26">
        <f>SUM(I164+I165+I166+I167+I168+I169+I170+I171+I156)</f>
        <v>500</v>
      </c>
      <c r="J172" s="26">
        <f>SUM(J164+J165+J166+J167+J168+J169+J170+J171+J156)</f>
        <v>0</v>
      </c>
      <c r="K172" s="46">
        <f>SUM(K164+K165+K166+K167+K168+K169+K170+K171+K156)</f>
        <v>0</v>
      </c>
    </row>
    <row r="173" spans="2:23" ht="14.25" thickBot="1" x14ac:dyDescent="0.2">
      <c r="B173" s="24"/>
      <c r="C173" s="83"/>
      <c r="D173" s="83"/>
      <c r="E173" s="108" t="s">
        <v>138</v>
      </c>
      <c r="F173" s="109"/>
      <c r="G173" s="47" t="str">
        <f>IF(G172&gt;=573,"合格","不合格")</f>
        <v>合格</v>
      </c>
      <c r="H173" s="47" t="str">
        <f>IF(H172&gt;=573,"合格","不合格")</f>
        <v>合格</v>
      </c>
      <c r="I173" s="47" t="str">
        <f>IF(I172&gt;=573,"合格","不合格")</f>
        <v>不合格</v>
      </c>
      <c r="J173" s="47" t="str">
        <f>IF(J172&gt;=573,"合格","不合格")</f>
        <v>不合格</v>
      </c>
      <c r="K173" s="47" t="str">
        <f>IF(K172&gt;=573,"合格","不合格")</f>
        <v>不合格</v>
      </c>
    </row>
    <row r="174" spans="2:23" x14ac:dyDescent="0.15">
      <c r="E174" s="86"/>
      <c r="F174" s="86"/>
      <c r="G174" s="21"/>
      <c r="H174" s="21"/>
      <c r="I174" s="21"/>
      <c r="J174" s="21"/>
      <c r="K174" s="21"/>
    </row>
    <row r="175" spans="2:23" ht="14.25" thickBot="1" x14ac:dyDescent="0.2">
      <c r="E175" s="83"/>
      <c r="F175" s="83"/>
      <c r="G175" s="21"/>
      <c r="H175" s="21"/>
      <c r="I175" s="21"/>
      <c r="J175" s="21"/>
      <c r="K175" s="21"/>
    </row>
    <row r="176" spans="2:23" ht="14.25" thickBot="1" x14ac:dyDescent="0.2">
      <c r="B176" s="85" t="s">
        <v>152</v>
      </c>
      <c r="C176" s="85"/>
      <c r="D176" s="85"/>
      <c r="E176" s="85"/>
      <c r="F176" s="85"/>
      <c r="G176" s="85"/>
      <c r="H176" s="85"/>
      <c r="I176" s="85"/>
      <c r="J176" s="85"/>
      <c r="K176" s="85"/>
    </row>
    <row r="177" spans="2:21" ht="14.25" thickBot="1" x14ac:dyDescent="0.2">
      <c r="B177" s="25" t="s">
        <v>1</v>
      </c>
      <c r="C177" s="103" t="s">
        <v>2</v>
      </c>
      <c r="D177" s="103"/>
      <c r="E177" s="2" t="s">
        <v>3</v>
      </c>
      <c r="F177" s="18" t="s">
        <v>4</v>
      </c>
      <c r="G177" s="3" t="s">
        <v>5</v>
      </c>
      <c r="H177" s="4" t="s">
        <v>6</v>
      </c>
      <c r="I177" s="5" t="s">
        <v>7</v>
      </c>
      <c r="J177" s="4" t="s">
        <v>8</v>
      </c>
      <c r="K177" s="6" t="s">
        <v>9</v>
      </c>
    </row>
    <row r="178" spans="2:21" x14ac:dyDescent="0.15">
      <c r="B178" s="67" t="s">
        <v>139</v>
      </c>
      <c r="C178" s="115" t="s">
        <v>141</v>
      </c>
      <c r="D178" s="116"/>
      <c r="E178" s="65">
        <v>10</v>
      </c>
      <c r="F178" s="19" t="s">
        <v>17</v>
      </c>
      <c r="G178" s="8" t="str">
        <f>IF(N183&gt;=1,"14","0")</f>
        <v>14</v>
      </c>
      <c r="H178" s="9" t="str">
        <f>IF(N183&gt;=2,"14","0")</f>
        <v>14</v>
      </c>
      <c r="I178" s="9" t="str">
        <f>IF(N183&gt;=3,"14","0")</f>
        <v>0</v>
      </c>
      <c r="J178" s="9" t="str">
        <f>IF(N183&gt;=4,"14","0")</f>
        <v>0</v>
      </c>
      <c r="K178" s="10" t="str">
        <f>IF(N183&gt;=5,"14","0")</f>
        <v>0</v>
      </c>
      <c r="N178" s="11">
        <f>COUNTIF(F178,"*A*")</f>
        <v>0</v>
      </c>
      <c r="O178" s="11">
        <f>COUNTIF(F179,"*A*")</f>
        <v>0</v>
      </c>
      <c r="P178" s="11">
        <f>COUNTIF(F180,"*A*")</f>
        <v>0</v>
      </c>
      <c r="Q178" s="11">
        <f>COUNTIF(F181,"*A*")</f>
        <v>0</v>
      </c>
      <c r="R178" s="11">
        <f>COUNTIF(F182,"*A*")</f>
        <v>0</v>
      </c>
      <c r="S178" s="11">
        <f>COUNTIF(F183,"*A*")</f>
        <v>0</v>
      </c>
      <c r="T178" s="11">
        <f>COUNTIF(F184,"*A*")</f>
        <v>0</v>
      </c>
      <c r="U178" s="11">
        <f>COUNTIF(F185,"*A*")</f>
        <v>0</v>
      </c>
    </row>
    <row r="179" spans="2:21" x14ac:dyDescent="0.15">
      <c r="B179" s="77" t="s">
        <v>140</v>
      </c>
      <c r="C179" s="78" t="s">
        <v>142</v>
      </c>
      <c r="D179" s="96"/>
      <c r="E179" s="66">
        <v>10</v>
      </c>
      <c r="F179" s="20" t="s">
        <v>17</v>
      </c>
      <c r="G179" s="13" t="str">
        <f>IF(O183&gt;=1,"13","0")</f>
        <v>13</v>
      </c>
      <c r="H179" s="14" t="str">
        <f>IF(O183&gt;=2,"13","0")</f>
        <v>13</v>
      </c>
      <c r="I179" s="14" t="str">
        <f>IF(O183&gt;=3,"13","0")</f>
        <v>0</v>
      </c>
      <c r="J179" s="14" t="str">
        <f>IF(O183&gt;=4,"13","0")</f>
        <v>0</v>
      </c>
      <c r="K179" s="15" t="str">
        <f>IF(O183&gt;=5,"13","0")</f>
        <v>0</v>
      </c>
      <c r="N179" s="11">
        <f>COUNTIF(F178,"S")*2</f>
        <v>2</v>
      </c>
      <c r="O179" s="11">
        <f>COUNTIF(F179,"S")*2</f>
        <v>2</v>
      </c>
      <c r="P179" s="11">
        <f>COUNTIF(F180,"S")*2</f>
        <v>2</v>
      </c>
      <c r="Q179" s="11">
        <f>COUNTIF(F181,"S")*2</f>
        <v>2</v>
      </c>
      <c r="R179" s="11">
        <f>COUNTIF(F182,"S")*2</f>
        <v>2</v>
      </c>
      <c r="S179" s="11">
        <f>COUNTIF(F183,"S")*2</f>
        <v>2</v>
      </c>
      <c r="T179" s="11">
        <f>COUNTIF(F184,"S")*2</f>
        <v>2</v>
      </c>
      <c r="U179" s="11">
        <f>COUNTIF(F185,"S")*2</f>
        <v>2</v>
      </c>
    </row>
    <row r="180" spans="2:21" x14ac:dyDescent="0.15">
      <c r="B180" s="77"/>
      <c r="C180" s="78" t="s">
        <v>143</v>
      </c>
      <c r="D180" s="96"/>
      <c r="E180" s="66">
        <v>10</v>
      </c>
      <c r="F180" s="20" t="s">
        <v>17</v>
      </c>
      <c r="G180" s="13" t="str">
        <f>IF(P183&gt;=1,"13","0")</f>
        <v>13</v>
      </c>
      <c r="H180" s="14" t="str">
        <f>IF(P183&gt;=2,"13","0")</f>
        <v>13</v>
      </c>
      <c r="I180" s="14" t="str">
        <f>IF(P183&gt;=3,"13","0")</f>
        <v>0</v>
      </c>
      <c r="J180" s="14" t="str">
        <f>IF(P183&gt;=4,"13","0")</f>
        <v>0</v>
      </c>
      <c r="K180" s="15" t="str">
        <f>IF(P183&gt;=5,"13","0")</f>
        <v>0</v>
      </c>
      <c r="N180" s="11">
        <f>COUNTIF(F178,"SS")*3</f>
        <v>0</v>
      </c>
      <c r="O180" s="11">
        <f>COUNTIF(F179,"SS")*3</f>
        <v>0</v>
      </c>
      <c r="P180" s="11">
        <f>COUNTIF(F180,"SS")*3</f>
        <v>0</v>
      </c>
      <c r="Q180" s="11">
        <f>COUNTIF(F181,"SS")*3</f>
        <v>0</v>
      </c>
      <c r="R180" s="11">
        <f>COUNTIF(F182,"SS")*3</f>
        <v>0</v>
      </c>
      <c r="S180" s="11">
        <f>COUNTIF(F183,"SS")*3</f>
        <v>0</v>
      </c>
      <c r="T180" s="11">
        <f>COUNTIF(F184,"SS")*3</f>
        <v>0</v>
      </c>
      <c r="U180" s="11">
        <f>COUNTIF(F185,"SS")*3</f>
        <v>0</v>
      </c>
    </row>
    <row r="181" spans="2:21" x14ac:dyDescent="0.15">
      <c r="B181" s="110" t="s">
        <v>117</v>
      </c>
      <c r="C181" s="78" t="s">
        <v>144</v>
      </c>
      <c r="D181" s="96"/>
      <c r="E181" s="66">
        <v>10</v>
      </c>
      <c r="F181" s="20" t="s">
        <v>17</v>
      </c>
      <c r="G181" s="13" t="str">
        <f>IF(Q183&gt;=1,"12","0")</f>
        <v>12</v>
      </c>
      <c r="H181" s="14" t="str">
        <f>IF(Q183&gt;=2,"12","0")</f>
        <v>12</v>
      </c>
      <c r="I181" s="14" t="str">
        <f>IF(Q183&gt;=3,"12","0")</f>
        <v>0</v>
      </c>
      <c r="J181" s="14" t="str">
        <f>IF(Q183&gt;=4,"12","0")</f>
        <v>0</v>
      </c>
      <c r="K181" s="15" t="str">
        <f>IF(Q183&gt;=5,"12","0")</f>
        <v>0</v>
      </c>
      <c r="N181" s="11">
        <f>COUNTIF(F178,"SSS")*4</f>
        <v>0</v>
      </c>
      <c r="O181" s="11">
        <f>COUNTIF(F179,"SSS")*4</f>
        <v>0</v>
      </c>
      <c r="P181" s="11">
        <f>COUNTIF(F180,"SSS")*4</f>
        <v>0</v>
      </c>
      <c r="Q181" s="11">
        <f>COUNTIF(F181,"SSS")*4</f>
        <v>0</v>
      </c>
      <c r="R181" s="11">
        <f>COUNTIF(F182,"SSS")*4</f>
        <v>0</v>
      </c>
      <c r="S181" s="11">
        <f>COUNTIF(F183,"SSS")*4</f>
        <v>0</v>
      </c>
      <c r="T181" s="11">
        <f>COUNTIF(F184,"SSS")*4</f>
        <v>0</v>
      </c>
      <c r="U181" s="11">
        <f>COUNTIF(F185,"SSS")*4</f>
        <v>0</v>
      </c>
    </row>
    <row r="182" spans="2:21" x14ac:dyDescent="0.15">
      <c r="B182" s="111"/>
      <c r="C182" s="78" t="s">
        <v>145</v>
      </c>
      <c r="D182" s="96"/>
      <c r="E182" s="66">
        <v>10</v>
      </c>
      <c r="F182" s="20" t="s">
        <v>17</v>
      </c>
      <c r="G182" s="13" t="str">
        <f>IF(R183&gt;=1,"12","0")</f>
        <v>12</v>
      </c>
      <c r="H182" s="14" t="str">
        <f>IF(R183&gt;=2,"12","0")</f>
        <v>12</v>
      </c>
      <c r="I182" s="14" t="str">
        <f>IF(R183&gt;=3,"12","0")</f>
        <v>0</v>
      </c>
      <c r="J182" s="14" t="str">
        <f>IF(R183&gt;=4,"12","0")</f>
        <v>0</v>
      </c>
      <c r="K182" s="15" t="str">
        <f>IF(R183&gt;=5,"12","0")</f>
        <v>0</v>
      </c>
      <c r="N182" s="11">
        <f>COUNTIF(F178,"EXC")*5</f>
        <v>0</v>
      </c>
      <c r="O182" s="11">
        <f>COUNTIF(F179,"EXC")*5</f>
        <v>0</v>
      </c>
      <c r="P182" s="11">
        <f>COUNTIF(F180,"EXC")*5</f>
        <v>0</v>
      </c>
      <c r="Q182" s="11">
        <f>COUNTIF(F181,"EXC")*5</f>
        <v>0</v>
      </c>
      <c r="R182" s="11">
        <f>COUNTIF(F182,"EXC")*5</f>
        <v>0</v>
      </c>
      <c r="S182" s="11">
        <f>COUNTIF(F183,"EXC")*5</f>
        <v>0</v>
      </c>
      <c r="T182" s="11">
        <f>COUNTIF(F184,"EXC")*5</f>
        <v>0</v>
      </c>
      <c r="U182" s="11">
        <f>COUNTIF(F185,"EXC")*5</f>
        <v>0</v>
      </c>
    </row>
    <row r="183" spans="2:21" x14ac:dyDescent="0.15">
      <c r="B183" s="111"/>
      <c r="C183" s="106" t="s">
        <v>146</v>
      </c>
      <c r="D183" s="107"/>
      <c r="E183" s="66">
        <v>10</v>
      </c>
      <c r="F183" s="20" t="s">
        <v>17</v>
      </c>
      <c r="G183" s="13" t="str">
        <f>IF(S183&gt;=1,"12","0")</f>
        <v>12</v>
      </c>
      <c r="H183" s="14" t="str">
        <f>IF(S183&gt;=2,"12","0")</f>
        <v>12</v>
      </c>
      <c r="I183" s="14" t="str">
        <f>IF(S183&gt;=3,"12","0")</f>
        <v>0</v>
      </c>
      <c r="J183" s="14" t="str">
        <f>IF(S183&gt;=4,"12","0")</f>
        <v>0</v>
      </c>
      <c r="K183" s="15" t="str">
        <f>IF(S183&gt;=5,"12","0")</f>
        <v>0</v>
      </c>
      <c r="N183" s="11">
        <f t="shared" ref="N183:U183" si="11">SUM(N178:N182)</f>
        <v>2</v>
      </c>
      <c r="O183" s="11">
        <f t="shared" si="11"/>
        <v>2</v>
      </c>
      <c r="P183" s="11">
        <f t="shared" si="11"/>
        <v>2</v>
      </c>
      <c r="Q183" s="11">
        <f t="shared" si="11"/>
        <v>2</v>
      </c>
      <c r="R183" s="11">
        <f t="shared" si="11"/>
        <v>2</v>
      </c>
      <c r="S183" s="11">
        <f t="shared" si="11"/>
        <v>2</v>
      </c>
      <c r="T183" s="11">
        <f t="shared" si="11"/>
        <v>2</v>
      </c>
      <c r="U183" s="11">
        <f t="shared" si="11"/>
        <v>2</v>
      </c>
    </row>
    <row r="184" spans="2:21" x14ac:dyDescent="0.15">
      <c r="B184" s="111"/>
      <c r="C184" s="78" t="s">
        <v>147</v>
      </c>
      <c r="D184" s="96"/>
      <c r="E184" s="66">
        <v>10</v>
      </c>
      <c r="F184" s="20" t="s">
        <v>17</v>
      </c>
      <c r="G184" s="13" t="str">
        <f>IF(T183&gt;=1,"12","0")</f>
        <v>12</v>
      </c>
      <c r="H184" s="14" t="str">
        <f>IF(T183&gt;=2,"12","0")</f>
        <v>12</v>
      </c>
      <c r="I184" s="14" t="str">
        <f>IF(T183&gt;=3,"12","0")</f>
        <v>0</v>
      </c>
      <c r="J184" s="14" t="str">
        <f>IF(T183&gt;=4,"12","0")</f>
        <v>0</v>
      </c>
      <c r="K184" s="15" t="str">
        <f>IF(T183&gt;=5,"12","0")</f>
        <v>0</v>
      </c>
    </row>
    <row r="185" spans="2:21" ht="14.25" thickBot="1" x14ac:dyDescent="0.2">
      <c r="B185" s="112"/>
      <c r="C185" s="82" t="s">
        <v>148</v>
      </c>
      <c r="D185" s="101"/>
      <c r="E185" s="66">
        <v>10</v>
      </c>
      <c r="F185" s="20" t="s">
        <v>17</v>
      </c>
      <c r="G185" s="13" t="str">
        <f>IF(U183&gt;=1,"12","0")</f>
        <v>12</v>
      </c>
      <c r="H185" s="14" t="str">
        <f>IF(U183&gt;=2,"12","0")</f>
        <v>12</v>
      </c>
      <c r="I185" s="14" t="str">
        <f>IF(U183&gt;=3,"12","0")</f>
        <v>0</v>
      </c>
      <c r="J185" s="14" t="str">
        <f>IF(U183&gt;=4,"12","0")</f>
        <v>0</v>
      </c>
      <c r="K185" s="15" t="str">
        <f>IF(U183&gt;=5,"12","0")</f>
        <v>0</v>
      </c>
    </row>
    <row r="186" spans="2:21" ht="14.25" thickBot="1" x14ac:dyDescent="0.2">
      <c r="B186" s="24"/>
      <c r="C186" s="83"/>
      <c r="D186" s="83"/>
      <c r="E186" s="79" t="s">
        <v>11</v>
      </c>
      <c r="F186" s="80"/>
      <c r="G186" s="26">
        <f>SUM(G178+G179+G180+G181+G182+G183+G184+G185+G172)</f>
        <v>692</v>
      </c>
      <c r="H186" s="26">
        <f>SUM(H178+H179+H180+H181+H182+H183+H184+H185+H172)</f>
        <v>692</v>
      </c>
      <c r="I186" s="26">
        <f>SUM(I178+I179+I180+I181+I182+I183+I184+I185+I172)</f>
        <v>500</v>
      </c>
      <c r="J186" s="26">
        <f>SUM(J178+J179+J180+J181+J182+J183+J184+J185+J172)</f>
        <v>0</v>
      </c>
      <c r="K186" s="26">
        <f>SUM(K178+K179+K180+K181+K182+K183+K184+K185+K172)</f>
        <v>0</v>
      </c>
    </row>
    <row r="187" spans="2:21" ht="14.25" thickBot="1" x14ac:dyDescent="0.2">
      <c r="B187" s="24"/>
      <c r="C187" s="83"/>
      <c r="D187" s="83"/>
      <c r="E187" s="108" t="s">
        <v>149</v>
      </c>
      <c r="F187" s="109"/>
      <c r="G187" s="47" t="str">
        <f>IF(G186&gt;=681,"合格","不合格")</f>
        <v>合格</v>
      </c>
      <c r="H187" s="47" t="str">
        <f>IF(H186&gt;=681,"合格","不合格")</f>
        <v>合格</v>
      </c>
      <c r="I187" s="47" t="str">
        <f>IF(I186&gt;=681,"合格","不合格")</f>
        <v>不合格</v>
      </c>
      <c r="J187" s="47" t="str">
        <f>IF(J186&gt;=681,"合格","不合格")</f>
        <v>不合格</v>
      </c>
      <c r="K187" s="47" t="str">
        <f>IF(K186&gt;=681,"合格","不合格")</f>
        <v>不合格</v>
      </c>
    </row>
  </sheetData>
  <sheetProtection selectLockedCells="1" selectUnlockedCells="1"/>
  <mergeCells count="222">
    <mergeCell ref="B181:B185"/>
    <mergeCell ref="C181:D181"/>
    <mergeCell ref="C182:D182"/>
    <mergeCell ref="C183:D183"/>
    <mergeCell ref="C184:D184"/>
    <mergeCell ref="C185:D185"/>
    <mergeCell ref="C186:D186"/>
    <mergeCell ref="E186:F186"/>
    <mergeCell ref="C187:D187"/>
    <mergeCell ref="E187:F187"/>
    <mergeCell ref="B176:K176"/>
    <mergeCell ref="C177:D177"/>
    <mergeCell ref="E141:F141"/>
    <mergeCell ref="E156:F156"/>
    <mergeCell ref="E157:F157"/>
    <mergeCell ref="B167:B171"/>
    <mergeCell ref="E172:F172"/>
    <mergeCell ref="B179:B180"/>
    <mergeCell ref="C179:D179"/>
    <mergeCell ref="C180:D180"/>
    <mergeCell ref="E173:F173"/>
    <mergeCell ref="C178:D178"/>
    <mergeCell ref="B68:B69"/>
    <mergeCell ref="B70:B71"/>
    <mergeCell ref="B72:B75"/>
    <mergeCell ref="E76:F76"/>
    <mergeCell ref="B132:B133"/>
    <mergeCell ref="B134:B135"/>
    <mergeCell ref="B136:B139"/>
    <mergeCell ref="E140:F140"/>
    <mergeCell ref="E108:F108"/>
    <mergeCell ref="E109:F109"/>
    <mergeCell ref="C135:D135"/>
    <mergeCell ref="C136:D136"/>
    <mergeCell ref="C137:D137"/>
    <mergeCell ref="C138:D138"/>
    <mergeCell ref="C106:D106"/>
    <mergeCell ref="C88:D88"/>
    <mergeCell ref="E124:F124"/>
    <mergeCell ref="E125:F125"/>
    <mergeCell ref="E174:F174"/>
    <mergeCell ref="E175:F175"/>
    <mergeCell ref="B4:B5"/>
    <mergeCell ref="B6:B7"/>
    <mergeCell ref="B8:B11"/>
    <mergeCell ref="B38:B39"/>
    <mergeCell ref="B40:B43"/>
    <mergeCell ref="E44:F44"/>
    <mergeCell ref="E45:F45"/>
    <mergeCell ref="B52:B53"/>
    <mergeCell ref="E77:F77"/>
    <mergeCell ref="B20:B21"/>
    <mergeCell ref="B22:B23"/>
    <mergeCell ref="B24:B27"/>
    <mergeCell ref="E28:F28"/>
    <mergeCell ref="E29:F29"/>
    <mergeCell ref="B36:B37"/>
    <mergeCell ref="E62:F62"/>
    <mergeCell ref="E63:F63"/>
    <mergeCell ref="B66:K66"/>
    <mergeCell ref="B84:B85"/>
    <mergeCell ref="B86:B87"/>
    <mergeCell ref="B88:B91"/>
    <mergeCell ref="E92:F92"/>
    <mergeCell ref="C173:D173"/>
    <mergeCell ref="E158:F158"/>
    <mergeCell ref="E159:F159"/>
    <mergeCell ref="B162:K162"/>
    <mergeCell ref="C163:D163"/>
    <mergeCell ref="C164:D164"/>
    <mergeCell ref="B165:B166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57:D157"/>
    <mergeCell ref="E142:F142"/>
    <mergeCell ref="E143:F143"/>
    <mergeCell ref="B146:K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B148:B149"/>
    <mergeCell ref="B150:B151"/>
    <mergeCell ref="B152:B155"/>
    <mergeCell ref="C139:D139"/>
    <mergeCell ref="C140:D140"/>
    <mergeCell ref="C141:D141"/>
    <mergeCell ref="E126:F126"/>
    <mergeCell ref="E127:F127"/>
    <mergeCell ref="B130:K130"/>
    <mergeCell ref="C131:D131"/>
    <mergeCell ref="C132:D132"/>
    <mergeCell ref="C133:D133"/>
    <mergeCell ref="C134:D134"/>
    <mergeCell ref="C125:D125"/>
    <mergeCell ref="B118:B119"/>
    <mergeCell ref="B120:B123"/>
    <mergeCell ref="E110:F110"/>
    <mergeCell ref="E111:F111"/>
    <mergeCell ref="B114:K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99:D99"/>
    <mergeCell ref="C100:D100"/>
    <mergeCell ref="C101:D101"/>
    <mergeCell ref="B100:B101"/>
    <mergeCell ref="B116:B117"/>
    <mergeCell ref="C103:D103"/>
    <mergeCell ref="C104:D104"/>
    <mergeCell ref="C105:D105"/>
    <mergeCell ref="C107:D107"/>
    <mergeCell ref="C108:D108"/>
    <mergeCell ref="C109:D109"/>
    <mergeCell ref="B102:B103"/>
    <mergeCell ref="B104:B107"/>
    <mergeCell ref="C102:D102"/>
    <mergeCell ref="C87:D87"/>
    <mergeCell ref="C89:D89"/>
    <mergeCell ref="C90:D90"/>
    <mergeCell ref="C91:D91"/>
    <mergeCell ref="C92:D92"/>
    <mergeCell ref="C93:D93"/>
    <mergeCell ref="E94:F94"/>
    <mergeCell ref="E95:F95"/>
    <mergeCell ref="B98:K98"/>
    <mergeCell ref="E93:F93"/>
    <mergeCell ref="C86:D86"/>
    <mergeCell ref="C71:D71"/>
    <mergeCell ref="C72:D72"/>
    <mergeCell ref="C73:D73"/>
    <mergeCell ref="C74:D74"/>
    <mergeCell ref="C75:D75"/>
    <mergeCell ref="C76:D76"/>
    <mergeCell ref="C77:D77"/>
    <mergeCell ref="E78:F78"/>
    <mergeCell ref="E79:F79"/>
    <mergeCell ref="B82:K82"/>
    <mergeCell ref="C83:D83"/>
    <mergeCell ref="C84:D84"/>
    <mergeCell ref="C85:D85"/>
    <mergeCell ref="C67:D67"/>
    <mergeCell ref="C68:D68"/>
    <mergeCell ref="C69:D69"/>
    <mergeCell ref="C70:D70"/>
    <mergeCell ref="C55:D55"/>
    <mergeCell ref="C56:D56"/>
    <mergeCell ref="C57:D57"/>
    <mergeCell ref="C58:D58"/>
    <mergeCell ref="C59:D59"/>
    <mergeCell ref="C60:D60"/>
    <mergeCell ref="C61:D61"/>
    <mergeCell ref="B54:B55"/>
    <mergeCell ref="B56:B59"/>
    <mergeCell ref="E46:F46"/>
    <mergeCell ref="E47:F47"/>
    <mergeCell ref="B50:K50"/>
    <mergeCell ref="C51:D51"/>
    <mergeCell ref="C52:D52"/>
    <mergeCell ref="C53:D53"/>
    <mergeCell ref="C54:D54"/>
    <mergeCell ref="E61:F61"/>
    <mergeCell ref="C26:D26"/>
    <mergeCell ref="C27:D27"/>
    <mergeCell ref="C28:D28"/>
    <mergeCell ref="C45:D45"/>
    <mergeCell ref="E30:F30"/>
    <mergeCell ref="E31:F31"/>
    <mergeCell ref="B34:K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B2:K2"/>
    <mergeCell ref="C3:D3"/>
    <mergeCell ref="C4:D4"/>
    <mergeCell ref="C5:D5"/>
    <mergeCell ref="C6:D6"/>
    <mergeCell ref="E60:F60"/>
    <mergeCell ref="C7:D7"/>
    <mergeCell ref="C8:D8"/>
    <mergeCell ref="C9:D9"/>
    <mergeCell ref="C10:D10"/>
    <mergeCell ref="C11:D11"/>
    <mergeCell ref="C12:D12"/>
    <mergeCell ref="C29:D29"/>
    <mergeCell ref="E12:F12"/>
    <mergeCell ref="E13:F13"/>
    <mergeCell ref="B18:K18"/>
    <mergeCell ref="C19:D19"/>
    <mergeCell ref="C20:D20"/>
    <mergeCell ref="C21:D21"/>
    <mergeCell ref="C22:D22"/>
    <mergeCell ref="C13:D13"/>
    <mergeCell ref="C23:D23"/>
    <mergeCell ref="C24:D24"/>
    <mergeCell ref="C25:D25"/>
  </mergeCells>
  <phoneticPr fontId="3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NEC-PCuser</cp:lastModifiedBy>
  <dcterms:created xsi:type="dcterms:W3CDTF">2012-03-25T12:01:04Z</dcterms:created>
  <dcterms:modified xsi:type="dcterms:W3CDTF">2012-03-28T10:50:36Z</dcterms:modified>
</cp:coreProperties>
</file>