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y\Documents\Willyllarl2\"/>
    </mc:Choice>
  </mc:AlternateContent>
  <bookViews>
    <workbookView xWindow="0" yWindow="0" windowWidth="10770" windowHeight="5520" activeTab="1"/>
  </bookViews>
  <sheets>
    <sheet name="使い方" sheetId="3" r:id="rId1"/>
    <sheet name="シュミレータ" sheetId="1" r:id="rId2"/>
    <sheet name="bg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5" i="2"/>
  <c r="F22" i="2"/>
  <c r="F18" i="2"/>
  <c r="F15" i="2"/>
  <c r="F12" i="2"/>
  <c r="F8" i="2"/>
  <c r="F5" i="2"/>
  <c r="F2" i="2"/>
  <c r="L28" i="1" l="1"/>
  <c r="L18" i="1"/>
  <c r="L8" i="1"/>
  <c r="Y28" i="2" l="1"/>
  <c r="Y27" i="2"/>
  <c r="Y26" i="2"/>
  <c r="Y25" i="2"/>
  <c r="Y24" i="2"/>
  <c r="Y23" i="2"/>
  <c r="Y22" i="2"/>
  <c r="Y21" i="2"/>
  <c r="Y18" i="2"/>
  <c r="Y17" i="2"/>
  <c r="Y16" i="2"/>
  <c r="Y15" i="2"/>
  <c r="Y14" i="2"/>
  <c r="Y13" i="2"/>
  <c r="Y12" i="2"/>
  <c r="Y11" i="2"/>
  <c r="Y8" i="2"/>
  <c r="Y7" i="2"/>
  <c r="Y6" i="2"/>
  <c r="Y5" i="2"/>
  <c r="Y4" i="2"/>
  <c r="Y3" i="2"/>
  <c r="Y2" i="2"/>
  <c r="Y1" i="2"/>
  <c r="H22" i="2"/>
  <c r="Q28" i="1" s="1"/>
  <c r="B2" i="2"/>
  <c r="H12" i="2"/>
  <c r="Q18" i="1" s="1"/>
  <c r="H2" i="2"/>
  <c r="Q8" i="1" s="1"/>
  <c r="P22" i="2" l="1"/>
  <c r="L22" i="2"/>
  <c r="M22" i="2"/>
  <c r="S22" i="2"/>
  <c r="O22" i="2"/>
  <c r="K22" i="2"/>
  <c r="Q22" i="2"/>
  <c r="R22" i="2"/>
  <c r="N22" i="2"/>
  <c r="J22" i="2"/>
  <c r="S12" i="2"/>
  <c r="O12" i="2"/>
  <c r="K12" i="2"/>
  <c r="P12" i="2"/>
  <c r="R12" i="2"/>
  <c r="N12" i="2"/>
  <c r="J12" i="2"/>
  <c r="Q12" i="2"/>
  <c r="M12" i="2"/>
  <c r="L12" i="2"/>
  <c r="S2" i="2"/>
  <c r="O2" i="2"/>
  <c r="K2" i="2"/>
  <c r="R2" i="2"/>
  <c r="N2" i="2"/>
  <c r="L2" i="2"/>
  <c r="J2" i="2"/>
  <c r="Q2" i="2"/>
  <c r="M2" i="2"/>
  <c r="P2" i="2"/>
  <c r="N7" i="1"/>
  <c r="H3" i="2"/>
  <c r="H5" i="2" s="1"/>
  <c r="AA8" i="1" s="1"/>
  <c r="N17" i="1"/>
  <c r="B7" i="1"/>
  <c r="H23" i="2"/>
  <c r="N27" i="1"/>
  <c r="H13" i="2"/>
  <c r="X8" i="1" l="1"/>
  <c r="X6" i="1"/>
  <c r="R23" i="2"/>
  <c r="N23" i="2"/>
  <c r="J23" i="2"/>
  <c r="O23" i="2"/>
  <c r="H25" i="2"/>
  <c r="AA28" i="1" s="1"/>
  <c r="Q23" i="2"/>
  <c r="M23" i="2"/>
  <c r="S23" i="2"/>
  <c r="P23" i="2"/>
  <c r="L23" i="2"/>
  <c r="K23" i="2"/>
  <c r="Q13" i="2"/>
  <c r="M13" i="2"/>
  <c r="H15" i="2"/>
  <c r="AA18" i="1" s="1"/>
  <c r="N13" i="2"/>
  <c r="P13" i="2"/>
  <c r="L13" i="2"/>
  <c r="S13" i="2"/>
  <c r="O13" i="2"/>
  <c r="K13" i="2"/>
  <c r="R13" i="2"/>
  <c r="J13" i="2"/>
  <c r="L3" i="2"/>
  <c r="P3" i="2"/>
  <c r="K3" i="2"/>
  <c r="M3" i="2"/>
  <c r="Q3" i="2"/>
  <c r="O3" i="2"/>
  <c r="J3" i="2"/>
  <c r="N3" i="2"/>
  <c r="R3" i="2"/>
  <c r="S3" i="2"/>
  <c r="V26" i="1"/>
  <c r="E23" i="1" s="1"/>
  <c r="V30" i="1"/>
  <c r="E24" i="1" s="1"/>
  <c r="V16" i="1"/>
  <c r="E19" i="1" s="1"/>
  <c r="V20" i="1"/>
  <c r="E20" i="1" s="1"/>
  <c r="V6" i="1"/>
  <c r="E15" i="1" s="1"/>
  <c r="V10" i="1"/>
  <c r="E16" i="1" s="1"/>
  <c r="S6" i="1"/>
  <c r="S8" i="1"/>
  <c r="S28" i="1"/>
  <c r="S26" i="1"/>
  <c r="S16" i="1"/>
  <c r="S18" i="1"/>
  <c r="X26" i="1" l="1"/>
  <c r="X28" i="1"/>
  <c r="X18" i="1"/>
  <c r="X16" i="1"/>
  <c r="R25" i="2"/>
  <c r="O25" i="2"/>
  <c r="L25" i="2"/>
  <c r="S25" i="2"/>
  <c r="K25" i="2"/>
  <c r="P25" i="2"/>
  <c r="M25" i="2"/>
  <c r="Q25" i="2"/>
  <c r="N25" i="2"/>
  <c r="J25" i="2"/>
  <c r="R15" i="2"/>
  <c r="L15" i="2"/>
  <c r="O15" i="2"/>
  <c r="S15" i="2"/>
  <c r="K15" i="2"/>
  <c r="P15" i="2"/>
  <c r="M15" i="2"/>
  <c r="Q15" i="2"/>
  <c r="J15" i="2"/>
  <c r="N15" i="2"/>
  <c r="S5" i="2"/>
  <c r="O5" i="2"/>
  <c r="K5" i="2"/>
  <c r="R5" i="2"/>
  <c r="N5" i="2"/>
  <c r="J5" i="2"/>
  <c r="L5" i="2"/>
  <c r="Q5" i="2"/>
  <c r="M5" i="2"/>
  <c r="P5" i="2"/>
  <c r="H26" i="2"/>
  <c r="H28" i="2" s="1"/>
  <c r="AK28" i="1" s="1"/>
  <c r="H16" i="2"/>
  <c r="H18" i="2" s="1"/>
  <c r="AK18" i="1" s="1"/>
  <c r="H6" i="2"/>
  <c r="B1" i="2"/>
  <c r="AH28" i="1" l="1"/>
  <c r="AH26" i="1"/>
  <c r="AH18" i="1"/>
  <c r="AH16" i="1"/>
  <c r="AC6" i="1"/>
  <c r="AC8" i="1"/>
  <c r="H8" i="2"/>
  <c r="AK8" i="1" s="1"/>
  <c r="Q26" i="2"/>
  <c r="M26" i="2"/>
  <c r="P26" i="2"/>
  <c r="L26" i="2"/>
  <c r="N26" i="2"/>
  <c r="S26" i="2"/>
  <c r="O26" i="2"/>
  <c r="K26" i="2"/>
  <c r="R26" i="2"/>
  <c r="J26" i="2"/>
  <c r="Q16" i="2"/>
  <c r="M16" i="2"/>
  <c r="P16" i="2"/>
  <c r="L16" i="2"/>
  <c r="N16" i="2"/>
  <c r="S16" i="2"/>
  <c r="O16" i="2"/>
  <c r="K16" i="2"/>
  <c r="R16" i="2"/>
  <c r="J16" i="2"/>
  <c r="Q6" i="2"/>
  <c r="M6" i="2"/>
  <c r="J6" i="2"/>
  <c r="P6" i="2"/>
  <c r="L6" i="2"/>
  <c r="R6" i="2"/>
  <c r="S6" i="2"/>
  <c r="O6" i="2"/>
  <c r="K6" i="2"/>
  <c r="N6" i="2"/>
  <c r="AF30" i="1"/>
  <c r="E26" i="1" s="1"/>
  <c r="AF26" i="1"/>
  <c r="E25" i="1" s="1"/>
  <c r="AF20" i="1"/>
  <c r="E22" i="1" s="1"/>
  <c r="AF16" i="1"/>
  <c r="E21" i="1" s="1"/>
  <c r="AF10" i="1"/>
  <c r="E18" i="1" s="1"/>
  <c r="AF6" i="1"/>
  <c r="E17" i="1" s="1"/>
  <c r="AC26" i="1"/>
  <c r="AC28" i="1"/>
  <c r="AC16" i="1"/>
  <c r="AC18" i="1"/>
  <c r="E7" i="1"/>
  <c r="AH8" i="1" l="1"/>
  <c r="AH6" i="1"/>
  <c r="E12" i="1"/>
  <c r="S28" i="2"/>
  <c r="O28" i="2"/>
  <c r="K28" i="2"/>
  <c r="R28" i="2"/>
  <c r="N28" i="2"/>
  <c r="J28" i="2"/>
  <c r="P28" i="2"/>
  <c r="Q28" i="2"/>
  <c r="M28" i="2"/>
  <c r="L28" i="2"/>
  <c r="E11" i="1"/>
  <c r="S18" i="2"/>
  <c r="O18" i="2"/>
  <c r="K18" i="2"/>
  <c r="R18" i="2"/>
  <c r="N18" i="2"/>
  <c r="J18" i="2"/>
  <c r="P18" i="2"/>
  <c r="Q18" i="2"/>
  <c r="M18" i="2"/>
  <c r="L18" i="2"/>
  <c r="E10" i="1"/>
  <c r="S8" i="2"/>
  <c r="O8" i="2"/>
  <c r="K8" i="2"/>
  <c r="L8" i="2"/>
  <c r="R8" i="2"/>
  <c r="N8" i="2"/>
  <c r="J8" i="2"/>
  <c r="Q8" i="2"/>
  <c r="M8" i="2"/>
  <c r="P8" i="2"/>
</calcChain>
</file>

<file path=xl/sharedStrings.xml><?xml version="1.0" encoding="utf-8"?>
<sst xmlns="http://schemas.openxmlformats.org/spreadsheetml/2006/main" count="223" uniqueCount="123">
  <si>
    <t>レアリティ</t>
    <phoneticPr fontId="1"/>
  </si>
  <si>
    <t>☆</t>
    <phoneticPr fontId="1"/>
  </si>
  <si>
    <t>対象ユニット</t>
    <rPh sb="0" eb="2">
      <t>タイショウ</t>
    </rPh>
    <phoneticPr fontId="1"/>
  </si>
  <si>
    <t>コスト</t>
    <phoneticPr fontId="1"/>
  </si>
  <si>
    <t>カスタマイズ</t>
    <phoneticPr fontId="1"/>
  </si>
  <si>
    <t>/3</t>
    <phoneticPr fontId="1"/>
  </si>
  <si>
    <t>/</t>
    <phoneticPr fontId="1"/>
  </si>
  <si>
    <t>基本効果</t>
    <rPh sb="0" eb="2">
      <t>キホン</t>
    </rPh>
    <rPh sb="2" eb="4">
      <t>コウカ</t>
    </rPh>
    <phoneticPr fontId="1"/>
  </si>
  <si>
    <t>攻撃力</t>
    <rPh sb="0" eb="3">
      <t>コウゲキリョク</t>
    </rPh>
    <phoneticPr fontId="1"/>
  </si>
  <si>
    <t>機動力</t>
    <rPh sb="0" eb="3">
      <t>キドウリョク</t>
    </rPh>
    <phoneticPr fontId="1"/>
  </si>
  <si>
    <t>+</t>
    <phoneticPr fontId="1"/>
  </si>
  <si>
    <t>HP</t>
    <phoneticPr fontId="1"/>
  </si>
  <si>
    <t>メインユニット効果</t>
    <rPh sb="7" eb="9">
      <t>コウカ</t>
    </rPh>
    <phoneticPr fontId="1"/>
  </si>
  <si>
    <t>％</t>
    <phoneticPr fontId="1"/>
  </si>
  <si>
    <t>クリティカル率</t>
    <rPh sb="6" eb="7">
      <t>リツ</t>
    </rPh>
    <phoneticPr fontId="1"/>
  </si>
  <si>
    <t>HP</t>
    <phoneticPr fontId="1"/>
  </si>
  <si>
    <t>命中率</t>
    <rPh sb="0" eb="2">
      <t>メイチュウ</t>
    </rPh>
    <rPh sb="2" eb="3">
      <t>リツ</t>
    </rPh>
    <phoneticPr fontId="1"/>
  </si>
  <si>
    <t>回避率</t>
    <rPh sb="0" eb="2">
      <t>カイヒ</t>
    </rPh>
    <rPh sb="2" eb="3">
      <t>リツ</t>
    </rPh>
    <phoneticPr fontId="1"/>
  </si>
  <si>
    <t>ﾋﾞｰﾑﾀﾞﾒｰｼﾞ増加</t>
    <rPh sb="10" eb="12">
      <t>ゾウカ</t>
    </rPh>
    <phoneticPr fontId="1"/>
  </si>
  <si>
    <t>実体ﾀﾞﾒｰｼﾞ増加</t>
    <rPh sb="0" eb="2">
      <t>ジッタイ</t>
    </rPh>
    <rPh sb="8" eb="10">
      <t>ゾウカ</t>
    </rPh>
    <phoneticPr fontId="1"/>
  </si>
  <si>
    <t>ﾋﾞｰﾑﾀﾞﾒｰｼ軽減</t>
    <rPh sb="9" eb="11">
      <t>ケイゲン</t>
    </rPh>
    <phoneticPr fontId="1"/>
  </si>
  <si>
    <t>実体ﾀﾞﾒｰｼﾞ軽減</t>
    <rPh sb="0" eb="2">
      <t>ジッタイ</t>
    </rPh>
    <rPh sb="8" eb="10">
      <t>ケイゲン</t>
    </rPh>
    <phoneticPr fontId="1"/>
  </si>
  <si>
    <t>サブSP追加</t>
    <rPh sb="4" eb="6">
      <t>ツイカ</t>
    </rPh>
    <phoneticPr fontId="1"/>
  </si>
  <si>
    <t>補助効果増加</t>
    <rPh sb="0" eb="2">
      <t>ホジョ</t>
    </rPh>
    <rPh sb="2" eb="4">
      <t>コウカ</t>
    </rPh>
    <rPh sb="4" eb="6">
      <t>ゾウカ</t>
    </rPh>
    <phoneticPr fontId="1"/>
  </si>
  <si>
    <t>カスタマイズ</t>
    <phoneticPr fontId="1"/>
  </si>
  <si>
    <t>出力強化</t>
    <rPh sb="0" eb="2">
      <t>シュツリョク</t>
    </rPh>
    <rPh sb="2" eb="4">
      <t>キョウカ</t>
    </rPh>
    <phoneticPr fontId="1"/>
  </si>
  <si>
    <t>パワーチップ</t>
    <phoneticPr fontId="1"/>
  </si>
  <si>
    <t>Lv</t>
    <phoneticPr fontId="1"/>
  </si>
  <si>
    <t>パワーチップⅡ</t>
    <phoneticPr fontId="1"/>
  </si>
  <si>
    <t>パワークステンダー</t>
    <phoneticPr fontId="1"/>
  </si>
  <si>
    <t>パワーリミッター</t>
    <phoneticPr fontId="1"/>
  </si>
  <si>
    <t>+</t>
    <phoneticPr fontId="1"/>
  </si>
  <si>
    <t>パワーチップⅢ</t>
    <phoneticPr fontId="1"/>
  </si>
  <si>
    <t>エネルギージェネレーター</t>
    <phoneticPr fontId="1"/>
  </si>
  <si>
    <t>ショックジェネレーター</t>
    <phoneticPr fontId="1"/>
  </si>
  <si>
    <t>ﾋﾞｰﾑﾀﾞﾒｰｼﾞ増加</t>
    <phoneticPr fontId="1"/>
  </si>
  <si>
    <t>実体ﾀﾞﾒｰｼﾞ増加</t>
    <rPh sb="0" eb="2">
      <t>ジッタイ</t>
    </rPh>
    <phoneticPr fontId="1"/>
  </si>
  <si>
    <t>パワーチップⅣ</t>
    <phoneticPr fontId="1"/>
  </si>
  <si>
    <t>→</t>
    <phoneticPr fontId="1"/>
  </si>
  <si>
    <t/>
  </si>
  <si>
    <t>コスト別カスタマP判定</t>
    <rPh sb="3" eb="4">
      <t>ベツ</t>
    </rPh>
    <rPh sb="9" eb="11">
      <t>ハンテイ</t>
    </rPh>
    <phoneticPr fontId="1"/>
  </si>
  <si>
    <t>カスタマ数判定</t>
    <rPh sb="4" eb="5">
      <t>スウ</t>
    </rPh>
    <rPh sb="5" eb="7">
      <t>ハンテイ</t>
    </rPh>
    <phoneticPr fontId="1"/>
  </si>
  <si>
    <t>矢印</t>
    <rPh sb="0" eb="2">
      <t>ヤジルシ</t>
    </rPh>
    <phoneticPr fontId="1"/>
  </si>
  <si>
    <t>パワーチップⅡ使用判定</t>
    <phoneticPr fontId="1"/>
  </si>
  <si>
    <t>パワー使用判定</t>
    <phoneticPr fontId="1"/>
  </si>
  <si>
    <t>ジェネレーター使用判定</t>
    <phoneticPr fontId="1"/>
  </si>
  <si>
    <t>パワーチップⅢ使用判定</t>
    <phoneticPr fontId="1"/>
  </si>
  <si>
    <t>パワーチップⅣ使用判定</t>
    <phoneticPr fontId="1"/>
  </si>
  <si>
    <t>空白</t>
    <rPh sb="0" eb="2">
      <t>クウハク</t>
    </rPh>
    <phoneticPr fontId="1"/>
  </si>
  <si>
    <t>パワーエクステンダーリスト</t>
    <phoneticPr fontId="1"/>
  </si>
  <si>
    <t>パワーリミッターリスト</t>
    <phoneticPr fontId="1"/>
  </si>
  <si>
    <t>アーマーチップⅡ使用判定</t>
    <phoneticPr fontId="1"/>
  </si>
  <si>
    <t>エクステンションアーマー/スタビライザー使用判定</t>
  </si>
  <si>
    <t>アーマーチップⅢ使用判定</t>
  </si>
  <si>
    <t>アブソーバー使用判定</t>
  </si>
  <si>
    <t>アーマーチップⅣ使用判定</t>
  </si>
  <si>
    <t>エクステンションアーマーリスト</t>
    <phoneticPr fontId="1"/>
  </si>
  <si>
    <t>スタビライザーリスト</t>
    <phoneticPr fontId="1"/>
  </si>
  <si>
    <t>装甲強化</t>
    <rPh sb="0" eb="2">
      <t>ソウコウ</t>
    </rPh>
    <rPh sb="2" eb="4">
      <t>キョウカ</t>
    </rPh>
    <phoneticPr fontId="1"/>
  </si>
  <si>
    <t>アーマーチップ</t>
    <phoneticPr fontId="1"/>
  </si>
  <si>
    <t>アーマーチップⅡ</t>
    <phoneticPr fontId="1"/>
  </si>
  <si>
    <t>エクステンションアーマー</t>
    <phoneticPr fontId="1"/>
  </si>
  <si>
    <t>スタビライザー</t>
    <phoneticPr fontId="1"/>
  </si>
  <si>
    <t>アーマーチップⅢ</t>
    <phoneticPr fontId="1"/>
  </si>
  <si>
    <t>エネルギーアブソーバー</t>
    <phoneticPr fontId="1"/>
  </si>
  <si>
    <t>ショックアブソーバー</t>
    <phoneticPr fontId="1"/>
  </si>
  <si>
    <t>アーマーチップⅣ</t>
    <phoneticPr fontId="1"/>
  </si>
  <si>
    <t>HP</t>
    <phoneticPr fontId="1"/>
  </si>
  <si>
    <t>HP</t>
    <phoneticPr fontId="1"/>
  </si>
  <si>
    <t>ﾋﾞｰﾑﾀﾞﾒｰｼﾞ軽減</t>
    <rPh sb="10" eb="12">
      <t>ケイゲン</t>
    </rPh>
    <phoneticPr fontId="1"/>
  </si>
  <si>
    <t>推力強化</t>
    <rPh sb="0" eb="2">
      <t>スイリョク</t>
    </rPh>
    <rPh sb="2" eb="4">
      <t>キョウカ</t>
    </rPh>
    <phoneticPr fontId="1"/>
  </si>
  <si>
    <t>スピードチップⅡ使用判定</t>
  </si>
  <si>
    <t>メガブースター/クイックブースト使用判定</t>
  </si>
  <si>
    <t>スピードチップⅢ使用判定</t>
  </si>
  <si>
    <t>SPストレージ/アンプリファーシステム使用判定</t>
  </si>
  <si>
    <t>スピードチップⅣ使用判定</t>
  </si>
  <si>
    <t>スピードチップ</t>
    <phoneticPr fontId="1"/>
  </si>
  <si>
    <t>スピードチップⅡ</t>
    <phoneticPr fontId="1"/>
  </si>
  <si>
    <t>メガブースター</t>
    <phoneticPr fontId="1"/>
  </si>
  <si>
    <t>クイックブースト</t>
    <phoneticPr fontId="1"/>
  </si>
  <si>
    <t>スピードチップⅢ</t>
    <phoneticPr fontId="1"/>
  </si>
  <si>
    <t>SPストレージ</t>
    <phoneticPr fontId="1"/>
  </si>
  <si>
    <t>アンプリファーシステム</t>
    <phoneticPr fontId="1"/>
  </si>
  <si>
    <t>スピードチップⅣ</t>
    <phoneticPr fontId="1"/>
  </si>
  <si>
    <t>機動力</t>
  </si>
  <si>
    <t>パワーチップ消費P</t>
  </si>
  <si>
    <t>パワーチップⅡ消費P</t>
  </si>
  <si>
    <t>パワーエクステンダー消費P</t>
  </si>
  <si>
    <t>パワーリミッター消費P</t>
    <phoneticPr fontId="1"/>
  </si>
  <si>
    <t>パワーチップⅢ消費P</t>
  </si>
  <si>
    <t>エネルギージェネレーター消費P</t>
  </si>
  <si>
    <t>ショックジェネレーター消費P</t>
  </si>
  <si>
    <t>パワーチップⅣ消費P</t>
  </si>
  <si>
    <t>アーマーチップ消費P</t>
    <phoneticPr fontId="1"/>
  </si>
  <si>
    <t>アーマーチップⅡ消費P</t>
    <phoneticPr fontId="1"/>
  </si>
  <si>
    <t>エクステンションアーマー消費P</t>
  </si>
  <si>
    <t>スタビライザー消費P</t>
  </si>
  <si>
    <t>アーマーチップⅢ消費P</t>
  </si>
  <si>
    <t>エネルギーアブソーバー消費P</t>
  </si>
  <si>
    <t>ショックアブソーバー消費P</t>
  </si>
  <si>
    <t>アーマーチップⅣ消費P</t>
  </si>
  <si>
    <t>スピードチップ消費P</t>
  </si>
  <si>
    <t>スピードチップⅡ消費P</t>
  </si>
  <si>
    <t>メガブースター消費P</t>
  </si>
  <si>
    <t>クイックブースト消費P</t>
  </si>
  <si>
    <t>スピードチップⅢ消費P</t>
  </si>
  <si>
    <t>SPストレージ消費P</t>
  </si>
  <si>
    <t>アンプリファーシステム消費P</t>
  </si>
  <si>
    <t>スピードチップⅣ消費P</t>
  </si>
  <si>
    <t>消費カスタマイズポイント</t>
    <rPh sb="0" eb="2">
      <t>ショウヒ</t>
    </rPh>
    <phoneticPr fontId="1"/>
  </si>
  <si>
    <t>消費カスタマイズPとカスタマイズ効果が計算されます。</t>
    <rPh sb="0" eb="2">
      <t>ショウヒ</t>
    </rPh>
    <rPh sb="16" eb="18">
      <t>コウカ</t>
    </rPh>
    <rPh sb="19" eb="21">
      <t>ケイサン</t>
    </rPh>
    <phoneticPr fontId="1"/>
  </si>
  <si>
    <t>←この色のセルの値を変えてください。</t>
    <rPh sb="3" eb="4">
      <t>イロ</t>
    </rPh>
    <rPh sb="8" eb="9">
      <t>アタイ</t>
    </rPh>
    <rPh sb="10" eb="11">
      <t>カ</t>
    </rPh>
    <phoneticPr fontId="1"/>
  </si>
  <si>
    <t>パワーチップⅡレベル0判定</t>
  </si>
  <si>
    <t>パワーチップⅢレベル0判定</t>
  </si>
  <si>
    <t>パワーチップⅣレベル0判定</t>
  </si>
  <si>
    <t>アーマーチップⅡレベル0判定</t>
  </si>
  <si>
    <t>アーマーチップⅢレベル0判定</t>
  </si>
  <si>
    <t>アーマーチップⅣレベル0判定</t>
  </si>
  <si>
    <t>スピードチップⅡレベル0判定</t>
  </si>
  <si>
    <t>スピードチップⅢレベル0判定</t>
  </si>
  <si>
    <t>スピードチップⅣレベル0判定</t>
  </si>
  <si>
    <t>メガブースターリスト</t>
    <phoneticPr fontId="1"/>
  </si>
  <si>
    <t>クイックブーストリスト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</si>
</sst>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1515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FFE6E6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7" xfId="0" applyFill="1" applyBorder="1">
      <alignment vertical="center"/>
    </xf>
    <xf numFmtId="0" fontId="0" fillId="0" borderId="0" xfId="0" applyProtection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9" xfId="0" applyFill="1" applyBorder="1">
      <alignment vertical="center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9" xfId="0" applyFill="1" applyBorder="1">
      <alignment vertical="center"/>
    </xf>
    <xf numFmtId="0" fontId="2" fillId="4" borderId="0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5" fillId="5" borderId="4" xfId="0" applyFont="1" applyFill="1" applyBorder="1">
      <alignment vertical="center"/>
    </xf>
    <xf numFmtId="0" fontId="5" fillId="5" borderId="0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0" fillId="5" borderId="4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" xfId="0" applyFill="1" applyBorder="1">
      <alignment vertical="center"/>
    </xf>
    <xf numFmtId="0" fontId="2" fillId="5" borderId="0" xfId="0" applyFont="1" applyFill="1" applyBorder="1">
      <alignment vertical="center"/>
    </xf>
    <xf numFmtId="0" fontId="0" fillId="5" borderId="9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7" xfId="0" applyFill="1" applyBorder="1">
      <alignment vertical="center"/>
    </xf>
    <xf numFmtId="0" fontId="0" fillId="2" borderId="0" xfId="0" applyFill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6" borderId="0" xfId="0" applyFill="1">
      <alignment vertical="center"/>
    </xf>
    <xf numFmtId="0" fontId="0" fillId="6" borderId="7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7" xfId="0" quotePrefix="1" applyFill="1" applyBorder="1">
      <alignment vertical="center"/>
    </xf>
    <xf numFmtId="0" fontId="0" fillId="6" borderId="0" xfId="0" quotePrefix="1" applyFill="1" applyBorder="1">
      <alignment vertical="center"/>
    </xf>
    <xf numFmtId="0" fontId="0" fillId="6" borderId="8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9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0" xfId="0" applyFill="1" applyBorder="1" applyProtection="1">
      <alignment vertical="center"/>
      <protection locked="0"/>
    </xf>
    <xf numFmtId="0" fontId="7" fillId="5" borderId="3" xfId="0" applyFont="1" applyFill="1" applyBorder="1">
      <alignment vertical="center"/>
    </xf>
    <xf numFmtId="0" fontId="7" fillId="5" borderId="6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6" fillId="4" borderId="6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0" fillId="2" borderId="10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3" borderId="3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1515FF"/>
      <color rgb="FF0000FE"/>
      <color rgb="FFFFFFA7"/>
      <color rgb="FFE6E6FF"/>
      <color rgb="FFE6FFE6"/>
      <color rgb="FFFFE6E6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Normal="100" workbookViewId="0">
      <selection activeCell="A4" sqref="A4"/>
    </sheetView>
  </sheetViews>
  <sheetFormatPr defaultRowHeight="13.5" x14ac:dyDescent="0.15"/>
  <sheetData>
    <row r="1" spans="1:2" x14ac:dyDescent="0.15">
      <c r="A1" s="57"/>
      <c r="B1" t="s">
        <v>111</v>
      </c>
    </row>
    <row r="2" spans="1:2" x14ac:dyDescent="0.15">
      <c r="B2" t="s">
        <v>110</v>
      </c>
    </row>
  </sheetData>
  <sheetProtection algorithmName="SHA-512" hashValue="t1nH6mJ99q8WXMVPN7INATamZxTnYm1rUDQb+tE2sn5FFxN0eHUgQUDK8AfHGaBw3gp8097fcfmeKL9Hez8DmQ==" saltValue="4HVxmhPvaeLAo4Bd38WDXQ==" spinCount="100000" sheet="1" objects="1" scenarios="1" selectLockedCell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zoomScale="84" zoomScaleNormal="84" workbookViewId="0">
      <selection activeCell="B4" sqref="B4"/>
    </sheetView>
  </sheetViews>
  <sheetFormatPr defaultRowHeight="13.5" x14ac:dyDescent="0.15"/>
  <cols>
    <col min="1" max="1" width="1.875" customWidth="1"/>
    <col min="2" max="2" width="6.5" customWidth="1"/>
    <col min="3" max="3" width="6.375" customWidth="1"/>
    <col min="4" max="4" width="1.375" customWidth="1"/>
    <col min="5" max="5" width="5.375" customWidth="1"/>
    <col min="6" max="6" width="2.75" customWidth="1"/>
    <col min="7" max="7" width="1.25" style="3" customWidth="1"/>
    <col min="8" max="8" width="8.5" customWidth="1"/>
    <col min="9" max="9" width="1.125" customWidth="1"/>
    <col min="10" max="10" width="6.875" customWidth="1"/>
    <col min="11" max="11" width="1.5" customWidth="1"/>
    <col min="12" max="12" width="4.625" customWidth="1"/>
    <col min="13" max="13" width="2.25" customWidth="1"/>
    <col min="14" max="14" width="2.375" customWidth="1"/>
    <col min="15" max="15" width="6.625" customWidth="1"/>
    <col min="16" max="16" width="1.5" customWidth="1"/>
    <col min="17" max="17" width="4.625" customWidth="1"/>
    <col min="18" max="18" width="2.25" customWidth="1"/>
    <col min="19" max="19" width="2.375" customWidth="1"/>
    <col min="20" max="20" width="11.375" customWidth="1"/>
    <col min="21" max="21" width="1.5" customWidth="1"/>
    <col min="22" max="22" width="4.625" customWidth="1"/>
    <col min="23" max="23" width="2.375" style="1" customWidth="1"/>
    <col min="24" max="24" width="2.375" customWidth="1"/>
    <col min="25" max="25" width="5.875" customWidth="1"/>
    <col min="26" max="26" width="1.5" customWidth="1"/>
    <col min="27" max="27" width="4.625" customWidth="1"/>
    <col min="28" max="28" width="3.125" customWidth="1"/>
    <col min="29" max="29" width="2.375" customWidth="1"/>
    <col min="30" max="30" width="12.5" customWidth="1"/>
    <col min="31" max="31" width="1.5" customWidth="1"/>
    <col min="32" max="32" width="4.625" customWidth="1"/>
    <col min="33" max="34" width="2.375" customWidth="1"/>
    <col min="35" max="35" width="5.625" customWidth="1"/>
    <col min="36" max="36" width="1.5" customWidth="1"/>
    <col min="37" max="37" width="4.625" customWidth="1"/>
    <col min="38" max="38" width="2.375" customWidth="1"/>
    <col min="39" max="39" width="2.875" style="1" customWidth="1"/>
    <col min="40" max="40" width="9" style="1"/>
  </cols>
  <sheetData>
    <row r="1" spans="1:40" ht="17.25" x14ac:dyDescent="0.15">
      <c r="A1" s="82" t="s">
        <v>2</v>
      </c>
      <c r="B1" s="83"/>
      <c r="C1" s="83"/>
      <c r="D1" s="83"/>
      <c r="E1" s="83"/>
      <c r="F1" s="84"/>
      <c r="H1" s="82" t="s">
        <v>24</v>
      </c>
      <c r="I1" s="83"/>
      <c r="J1" s="84"/>
      <c r="K1" s="16"/>
    </row>
    <row r="2" spans="1:40" s="19" customFormat="1" ht="12.75" customHeight="1" x14ac:dyDescent="0.15">
      <c r="A2" s="17"/>
      <c r="B2" s="17"/>
      <c r="C2" s="17"/>
      <c r="D2" s="17"/>
      <c r="E2" s="17"/>
      <c r="F2" s="17"/>
      <c r="G2" s="18"/>
      <c r="H2" s="17"/>
      <c r="W2" s="20"/>
      <c r="AM2" s="20"/>
      <c r="AN2" s="20"/>
    </row>
    <row r="3" spans="1:40" x14ac:dyDescent="0.15">
      <c r="A3" s="96" t="s">
        <v>0</v>
      </c>
      <c r="B3" s="97"/>
      <c r="C3" s="8" t="s">
        <v>3</v>
      </c>
      <c r="D3" s="72" t="s">
        <v>4</v>
      </c>
      <c r="E3" s="73"/>
      <c r="F3" s="74"/>
      <c r="H3" s="90" t="s">
        <v>25</v>
      </c>
      <c r="I3" s="32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27"/>
    </row>
    <row r="4" spans="1:40" x14ac:dyDescent="0.15">
      <c r="A4" s="6" t="s">
        <v>1</v>
      </c>
      <c r="B4" s="26"/>
      <c r="C4" s="25"/>
      <c r="D4" s="85"/>
      <c r="E4" s="86"/>
      <c r="F4" s="7" t="s">
        <v>5</v>
      </c>
      <c r="H4" s="91"/>
      <c r="I4" s="33"/>
      <c r="J4" s="35"/>
      <c r="K4" s="35"/>
      <c r="L4" s="35"/>
      <c r="M4" s="35"/>
      <c r="N4" s="35"/>
      <c r="O4" s="35"/>
      <c r="P4" s="35"/>
      <c r="Q4" s="35"/>
      <c r="R4" s="35"/>
      <c r="S4" s="35"/>
      <c r="T4" s="72" t="s">
        <v>29</v>
      </c>
      <c r="U4" s="73"/>
      <c r="V4" s="73"/>
      <c r="W4" s="74"/>
      <c r="X4" s="35"/>
      <c r="Y4" s="35"/>
      <c r="Z4" s="35"/>
      <c r="AA4" s="35"/>
      <c r="AB4" s="35"/>
      <c r="AC4" s="35"/>
      <c r="AD4" s="72" t="s">
        <v>33</v>
      </c>
      <c r="AE4" s="73"/>
      <c r="AF4" s="73"/>
      <c r="AG4" s="74"/>
      <c r="AH4" s="35"/>
      <c r="AI4" s="35"/>
      <c r="AJ4" s="35"/>
      <c r="AK4" s="35"/>
      <c r="AL4" s="35"/>
      <c r="AM4" s="28"/>
    </row>
    <row r="5" spans="1:40" ht="14.25" thickBot="1" x14ac:dyDescent="0.2">
      <c r="H5" s="91"/>
      <c r="I5" s="33"/>
      <c r="J5" s="35"/>
      <c r="K5" s="35"/>
      <c r="L5" s="35"/>
      <c r="M5" s="35"/>
      <c r="N5" s="35"/>
      <c r="O5" s="35"/>
      <c r="P5" s="35"/>
      <c r="Q5" s="35"/>
      <c r="R5" s="35"/>
      <c r="S5" s="35"/>
      <c r="T5" s="9" t="s">
        <v>27</v>
      </c>
      <c r="U5" s="75"/>
      <c r="V5" s="75"/>
      <c r="W5" s="23"/>
      <c r="X5" s="35"/>
      <c r="Y5" s="35"/>
      <c r="Z5" s="35"/>
      <c r="AA5" s="35"/>
      <c r="AB5" s="35"/>
      <c r="AC5" s="35"/>
      <c r="AD5" s="9" t="s">
        <v>27</v>
      </c>
      <c r="AE5" s="75"/>
      <c r="AF5" s="75"/>
      <c r="AG5" s="23"/>
      <c r="AH5" s="35"/>
      <c r="AI5" s="35"/>
      <c r="AJ5" s="35"/>
      <c r="AK5" s="35"/>
      <c r="AL5" s="35"/>
      <c r="AM5" s="28"/>
    </row>
    <row r="6" spans="1:40" x14ac:dyDescent="0.15">
      <c r="B6" s="87" t="s">
        <v>109</v>
      </c>
      <c r="C6" s="88"/>
      <c r="D6" s="88"/>
      <c r="E6" s="89"/>
      <c r="H6" s="91"/>
      <c r="I6" s="33"/>
      <c r="J6" s="72" t="s">
        <v>26</v>
      </c>
      <c r="K6" s="73"/>
      <c r="L6" s="73"/>
      <c r="M6" s="74"/>
      <c r="N6" s="35"/>
      <c r="O6" s="72" t="s">
        <v>28</v>
      </c>
      <c r="P6" s="73"/>
      <c r="Q6" s="73"/>
      <c r="R6" s="74"/>
      <c r="S6" s="36" t="str">
        <f>IF(bg!H3=1,bg!$D$1,bg!$D$2)</f>
        <v/>
      </c>
      <c r="T6" s="4" t="s">
        <v>8</v>
      </c>
      <c r="U6" s="2" t="s">
        <v>10</v>
      </c>
      <c r="V6" s="2">
        <f>INDEX(bg!U1:U6,(bg!H3*U5+1))</f>
        <v>0</v>
      </c>
      <c r="W6" s="5" t="s">
        <v>13</v>
      </c>
      <c r="X6" s="36" t="str">
        <f>IF(bg!H5*U5&lt;&gt;0,bg!$D$1,bg!$D$2)</f>
        <v/>
      </c>
      <c r="Y6" s="108" t="s">
        <v>32</v>
      </c>
      <c r="Z6" s="109"/>
      <c r="AA6" s="109"/>
      <c r="AB6" s="110"/>
      <c r="AC6" s="36" t="str">
        <f>IF(bg!H6=1,bg!$D$1,bg!$D$2)</f>
        <v/>
      </c>
      <c r="AD6" s="4" t="s">
        <v>35</v>
      </c>
      <c r="AE6" s="2" t="s">
        <v>10</v>
      </c>
      <c r="AF6" s="2">
        <f>bg!H6*(0.5*AE5)</f>
        <v>0</v>
      </c>
      <c r="AG6" s="5" t="s">
        <v>13</v>
      </c>
      <c r="AH6" s="36" t="str">
        <f>IF(bg!H8*AE5&lt;&gt;0,bg!$D$1,bg!$D$2)</f>
        <v/>
      </c>
      <c r="AI6" s="108" t="s">
        <v>37</v>
      </c>
      <c r="AJ6" s="109"/>
      <c r="AK6" s="109"/>
      <c r="AL6" s="110"/>
      <c r="AM6" s="28"/>
    </row>
    <row r="7" spans="1:40" ht="14.25" thickBot="1" x14ac:dyDescent="0.2">
      <c r="B7" s="94">
        <f>SUM(bg!Y1:Y8)+SUM(bg!Y11:Y18)+SUM(bg!Y21:Y28)</f>
        <v>0</v>
      </c>
      <c r="C7" s="95"/>
      <c r="D7" s="58" t="s">
        <v>6</v>
      </c>
      <c r="E7" s="59">
        <f>bg!B1*bg!B2*D4</f>
        <v>0</v>
      </c>
      <c r="H7" s="91"/>
      <c r="I7" s="33"/>
      <c r="J7" s="9" t="s">
        <v>27</v>
      </c>
      <c r="K7" s="75"/>
      <c r="L7" s="75"/>
      <c r="M7" s="23"/>
      <c r="N7" s="36" t="str">
        <f>IF(bg!H2=1,bg!$D$1,bg!$D$2)</f>
        <v/>
      </c>
      <c r="O7" s="9" t="s">
        <v>27</v>
      </c>
      <c r="P7" s="75"/>
      <c r="Q7" s="75"/>
      <c r="R7" s="23"/>
      <c r="S7" s="35"/>
      <c r="T7" s="35"/>
      <c r="U7" s="35"/>
      <c r="V7" s="35"/>
      <c r="W7" s="35"/>
      <c r="X7" s="35"/>
      <c r="Y7" s="9" t="s">
        <v>27</v>
      </c>
      <c r="Z7" s="75"/>
      <c r="AA7" s="75"/>
      <c r="AB7" s="23"/>
      <c r="AC7" s="35"/>
      <c r="AD7" s="35"/>
      <c r="AE7" s="35"/>
      <c r="AF7" s="35"/>
      <c r="AG7" s="35"/>
      <c r="AH7" s="36"/>
      <c r="AI7" s="9" t="s">
        <v>27</v>
      </c>
      <c r="AJ7" s="75"/>
      <c r="AK7" s="75"/>
      <c r="AL7" s="23"/>
      <c r="AM7" s="28"/>
    </row>
    <row r="8" spans="1:40" x14ac:dyDescent="0.15">
      <c r="H8" s="91"/>
      <c r="I8" s="33"/>
      <c r="J8" s="21" t="s">
        <v>8</v>
      </c>
      <c r="K8" s="22" t="s">
        <v>31</v>
      </c>
      <c r="L8" s="22">
        <f>80*K7</f>
        <v>0</v>
      </c>
      <c r="M8" s="5"/>
      <c r="N8" s="35"/>
      <c r="O8" s="21" t="s">
        <v>8</v>
      </c>
      <c r="P8" s="22" t="s">
        <v>10</v>
      </c>
      <c r="Q8" s="22">
        <f>bg!H2*(75*$C$4*bg!F2+100*P7)</f>
        <v>0</v>
      </c>
      <c r="R8" s="5"/>
      <c r="S8" s="36" t="str">
        <f>IF(bg!H3=1,bg!$D$1,bg!$D$2)</f>
        <v/>
      </c>
      <c r="T8" s="72" t="s">
        <v>30</v>
      </c>
      <c r="U8" s="73"/>
      <c r="V8" s="73"/>
      <c r="W8" s="74"/>
      <c r="X8" s="36" t="str">
        <f>IF(bg!H5*U9&lt;&gt;0,bg!$D$1,bg!$D$2)</f>
        <v/>
      </c>
      <c r="Y8" s="21" t="s">
        <v>8</v>
      </c>
      <c r="Z8" s="22" t="s">
        <v>10</v>
      </c>
      <c r="AA8" s="22">
        <f>bg!H5*(125*$C$4*bg!F5+150*Z7)</f>
        <v>0</v>
      </c>
      <c r="AB8" s="5"/>
      <c r="AC8" s="36" t="str">
        <f>IF(bg!H6=1,bg!$D$1,bg!$D$2)</f>
        <v/>
      </c>
      <c r="AD8" s="72" t="s">
        <v>34</v>
      </c>
      <c r="AE8" s="73"/>
      <c r="AF8" s="73"/>
      <c r="AG8" s="74"/>
      <c r="AH8" s="36" t="str">
        <f>IF(bg!H8*AE9&lt;&gt;0,bg!$D$1,bg!$D$2)</f>
        <v/>
      </c>
      <c r="AI8" s="21" t="s">
        <v>8</v>
      </c>
      <c r="AJ8" s="22" t="s">
        <v>10</v>
      </c>
      <c r="AK8" s="22">
        <f>bg!H8*(250*$C$4*bg!F8+IF(AJ7&lt;=5,180*AJ7,180*5+200*(AJ7-5)))</f>
        <v>0</v>
      </c>
      <c r="AL8" s="5"/>
      <c r="AM8" s="28"/>
    </row>
    <row r="9" spans="1:40" x14ac:dyDescent="0.15">
      <c r="A9" s="99" t="s">
        <v>7</v>
      </c>
      <c r="B9" s="100"/>
      <c r="C9" s="100"/>
      <c r="D9" s="100"/>
      <c r="E9" s="100"/>
      <c r="F9" s="101"/>
      <c r="H9" s="91"/>
      <c r="I9" s="33"/>
      <c r="J9" s="35"/>
      <c r="K9" s="35"/>
      <c r="L9" s="35"/>
      <c r="M9" s="35"/>
      <c r="N9" s="35"/>
      <c r="O9" s="35"/>
      <c r="P9" s="35"/>
      <c r="Q9" s="35"/>
      <c r="R9" s="35"/>
      <c r="S9" s="35"/>
      <c r="T9" s="9" t="s">
        <v>27</v>
      </c>
      <c r="U9" s="75"/>
      <c r="V9" s="75"/>
      <c r="W9" s="23"/>
      <c r="X9" s="35"/>
      <c r="Y9" s="35"/>
      <c r="Z9" s="35"/>
      <c r="AA9" s="35"/>
      <c r="AB9" s="35"/>
      <c r="AC9" s="35"/>
      <c r="AD9" s="9" t="s">
        <v>27</v>
      </c>
      <c r="AE9" s="75"/>
      <c r="AF9" s="75"/>
      <c r="AG9" s="23"/>
      <c r="AH9" s="35"/>
      <c r="AI9" s="35"/>
      <c r="AJ9" s="35"/>
      <c r="AK9" s="35"/>
      <c r="AL9" s="35"/>
      <c r="AM9" s="28"/>
    </row>
    <row r="10" spans="1:40" x14ac:dyDescent="0.15">
      <c r="A10" s="9"/>
      <c r="B10" s="93" t="s">
        <v>8</v>
      </c>
      <c r="C10" s="93"/>
      <c r="D10" s="10" t="s">
        <v>10</v>
      </c>
      <c r="E10" s="104">
        <f>L8+Q8+AA8+AK8</f>
        <v>0</v>
      </c>
      <c r="F10" s="105"/>
      <c r="H10" s="91"/>
      <c r="I10" s="33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" t="s">
        <v>14</v>
      </c>
      <c r="U10" s="2" t="s">
        <v>10</v>
      </c>
      <c r="V10" s="2">
        <f>INDEX(bg!W1:W6,(bg!H3*U9+1))</f>
        <v>0</v>
      </c>
      <c r="W10" s="5" t="s">
        <v>13</v>
      </c>
      <c r="X10" s="35"/>
      <c r="Y10" s="35"/>
      <c r="Z10" s="35"/>
      <c r="AA10" s="35"/>
      <c r="AB10" s="35"/>
      <c r="AC10" s="35"/>
      <c r="AD10" s="4" t="s">
        <v>36</v>
      </c>
      <c r="AE10" s="2" t="s">
        <v>10</v>
      </c>
      <c r="AF10" s="2">
        <f>bg!H6*(0.5*AE9)</f>
        <v>0</v>
      </c>
      <c r="AG10" s="5" t="s">
        <v>13</v>
      </c>
      <c r="AH10" s="35"/>
      <c r="AI10" s="35"/>
      <c r="AJ10" s="35"/>
      <c r="AK10" s="35"/>
      <c r="AL10" s="35"/>
      <c r="AM10" s="28"/>
    </row>
    <row r="11" spans="1:40" x14ac:dyDescent="0.15">
      <c r="A11" s="9"/>
      <c r="B11" s="93" t="s">
        <v>11</v>
      </c>
      <c r="C11" s="93"/>
      <c r="D11" s="10" t="s">
        <v>10</v>
      </c>
      <c r="E11" s="104">
        <f>L18+Q18+AA18+AK18</f>
        <v>0</v>
      </c>
      <c r="F11" s="105"/>
      <c r="H11" s="9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29"/>
    </row>
    <row r="12" spans="1:40" x14ac:dyDescent="0.15">
      <c r="A12" s="4"/>
      <c r="B12" s="98" t="s">
        <v>9</v>
      </c>
      <c r="C12" s="98"/>
      <c r="D12" s="11" t="s">
        <v>10</v>
      </c>
      <c r="E12" s="102">
        <f>L28+Q28+AA28+AK28</f>
        <v>0</v>
      </c>
      <c r="F12" s="103"/>
    </row>
    <row r="13" spans="1:40" x14ac:dyDescent="0.15">
      <c r="B13" s="10"/>
      <c r="C13" s="10"/>
      <c r="D13" s="10"/>
      <c r="E13" s="10"/>
      <c r="F13" s="10"/>
      <c r="H13" s="79" t="s">
        <v>58</v>
      </c>
      <c r="I13" s="3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5"/>
    </row>
    <row r="14" spans="1:40" x14ac:dyDescent="0.15">
      <c r="A14" s="99" t="s">
        <v>12</v>
      </c>
      <c r="B14" s="100"/>
      <c r="C14" s="100"/>
      <c r="D14" s="100"/>
      <c r="E14" s="100"/>
      <c r="F14" s="101"/>
      <c r="H14" s="80"/>
      <c r="I14" s="38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72" t="s">
        <v>61</v>
      </c>
      <c r="U14" s="73"/>
      <c r="V14" s="73"/>
      <c r="W14" s="74"/>
      <c r="X14" s="40"/>
      <c r="Y14" s="40"/>
      <c r="Z14" s="40"/>
      <c r="AA14" s="40"/>
      <c r="AB14" s="40"/>
      <c r="AC14" s="40"/>
      <c r="AD14" s="72" t="s">
        <v>64</v>
      </c>
      <c r="AE14" s="73"/>
      <c r="AF14" s="73"/>
      <c r="AG14" s="74"/>
      <c r="AH14" s="40"/>
      <c r="AI14" s="40"/>
      <c r="AJ14" s="40"/>
      <c r="AK14" s="40"/>
      <c r="AL14" s="40"/>
      <c r="AM14" s="44"/>
    </row>
    <row r="15" spans="1:40" x14ac:dyDescent="0.15">
      <c r="A15" s="9"/>
      <c r="B15" s="93" t="s">
        <v>8</v>
      </c>
      <c r="C15" s="93"/>
      <c r="D15" s="10" t="s">
        <v>10</v>
      </c>
      <c r="E15" s="14">
        <f>V6</f>
        <v>0</v>
      </c>
      <c r="F15" s="12" t="s">
        <v>13</v>
      </c>
      <c r="H15" s="80"/>
      <c r="I15" s="38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9" t="s">
        <v>27</v>
      </c>
      <c r="U15" s="75"/>
      <c r="V15" s="75"/>
      <c r="W15" s="23"/>
      <c r="X15" s="40"/>
      <c r="Y15" s="40"/>
      <c r="Z15" s="40"/>
      <c r="AA15" s="40"/>
      <c r="AB15" s="40"/>
      <c r="AC15" s="40"/>
      <c r="AD15" s="9" t="s">
        <v>27</v>
      </c>
      <c r="AE15" s="75"/>
      <c r="AF15" s="75"/>
      <c r="AG15" s="23"/>
      <c r="AH15" s="40"/>
      <c r="AI15" s="40"/>
      <c r="AJ15" s="40"/>
      <c r="AK15" s="40"/>
      <c r="AL15" s="40"/>
      <c r="AM15" s="44"/>
    </row>
    <row r="16" spans="1:40" x14ac:dyDescent="0.15">
      <c r="A16" s="9"/>
      <c r="B16" s="93" t="s">
        <v>14</v>
      </c>
      <c r="C16" s="93"/>
      <c r="D16" s="10" t="s">
        <v>10</v>
      </c>
      <c r="E16" s="14">
        <f>V10</f>
        <v>0</v>
      </c>
      <c r="F16" s="12" t="s">
        <v>13</v>
      </c>
      <c r="H16" s="80"/>
      <c r="I16" s="38"/>
      <c r="J16" s="72" t="s">
        <v>59</v>
      </c>
      <c r="K16" s="73"/>
      <c r="L16" s="73"/>
      <c r="M16" s="74"/>
      <c r="N16" s="40"/>
      <c r="O16" s="72" t="s">
        <v>60</v>
      </c>
      <c r="P16" s="73"/>
      <c r="Q16" s="73"/>
      <c r="R16" s="74"/>
      <c r="S16" s="43" t="str">
        <f>IF(bg!H13=1,bg!$D$1,bg!$D$2)</f>
        <v/>
      </c>
      <c r="T16" s="21" t="s">
        <v>11</v>
      </c>
      <c r="U16" s="22" t="s">
        <v>10</v>
      </c>
      <c r="V16" s="22">
        <f>INDEX(bg!U11:U16,(bg!H13*U15+1))</f>
        <v>0</v>
      </c>
      <c r="W16" s="5" t="s">
        <v>13</v>
      </c>
      <c r="X16" s="43" t="str">
        <f>IF(bg!H15*U15&lt;&gt;0,bg!$D$1,bg!$D$2)</f>
        <v/>
      </c>
      <c r="Y16" s="72" t="s">
        <v>63</v>
      </c>
      <c r="Z16" s="73"/>
      <c r="AA16" s="73"/>
      <c r="AB16" s="74"/>
      <c r="AC16" s="43" t="str">
        <f>IF(bg!H16=1,bg!$D$1,bg!$D$2)</f>
        <v/>
      </c>
      <c r="AD16" s="21" t="s">
        <v>69</v>
      </c>
      <c r="AE16" s="22" t="s">
        <v>10</v>
      </c>
      <c r="AF16" s="22">
        <f>bg!H16*(0.5*AE15)</f>
        <v>0</v>
      </c>
      <c r="AG16" s="5" t="s">
        <v>13</v>
      </c>
      <c r="AH16" s="43" t="str">
        <f>IF(bg!H18*AE15&lt;&gt;0,bg!$D$1,bg!$D$2)</f>
        <v/>
      </c>
      <c r="AI16" s="72" t="s">
        <v>66</v>
      </c>
      <c r="AJ16" s="73"/>
      <c r="AK16" s="73"/>
      <c r="AL16" s="74"/>
      <c r="AM16" s="44"/>
    </row>
    <row r="17" spans="1:39" x14ac:dyDescent="0.15">
      <c r="A17" s="9"/>
      <c r="B17" s="93" t="s">
        <v>18</v>
      </c>
      <c r="C17" s="93"/>
      <c r="D17" s="10" t="s">
        <v>10</v>
      </c>
      <c r="E17" s="14">
        <f>AF6</f>
        <v>0</v>
      </c>
      <c r="F17" s="12" t="s">
        <v>13</v>
      </c>
      <c r="H17" s="80"/>
      <c r="I17" s="38"/>
      <c r="J17" s="9" t="s">
        <v>27</v>
      </c>
      <c r="K17" s="75"/>
      <c r="L17" s="75"/>
      <c r="M17" s="23"/>
      <c r="N17" s="43" t="str">
        <f>IF(bg!H12=1,bg!$D$1,bg!$D$2)</f>
        <v/>
      </c>
      <c r="O17" s="9" t="s">
        <v>27</v>
      </c>
      <c r="P17" s="75"/>
      <c r="Q17" s="75"/>
      <c r="R17" s="23"/>
      <c r="S17" s="40"/>
      <c r="T17" s="40"/>
      <c r="U17" s="40"/>
      <c r="V17" s="40"/>
      <c r="W17" s="40"/>
      <c r="X17" s="40"/>
      <c r="Y17" s="9" t="s">
        <v>27</v>
      </c>
      <c r="Z17" s="75"/>
      <c r="AA17" s="75"/>
      <c r="AB17" s="23"/>
      <c r="AC17" s="40"/>
      <c r="AD17" s="40"/>
      <c r="AE17" s="40"/>
      <c r="AF17" s="40"/>
      <c r="AG17" s="40"/>
      <c r="AH17" s="43"/>
      <c r="AI17" s="9" t="s">
        <v>27</v>
      </c>
      <c r="AJ17" s="75"/>
      <c r="AK17" s="75"/>
      <c r="AL17" s="23"/>
      <c r="AM17" s="44"/>
    </row>
    <row r="18" spans="1:39" x14ac:dyDescent="0.15">
      <c r="A18" s="9"/>
      <c r="B18" s="93" t="s">
        <v>19</v>
      </c>
      <c r="C18" s="93"/>
      <c r="D18" s="10" t="s">
        <v>10</v>
      </c>
      <c r="E18" s="14">
        <f>AF10</f>
        <v>0</v>
      </c>
      <c r="F18" s="12" t="s">
        <v>13</v>
      </c>
      <c r="H18" s="80"/>
      <c r="I18" s="38"/>
      <c r="J18" s="21" t="s">
        <v>67</v>
      </c>
      <c r="K18" s="22" t="s">
        <v>31</v>
      </c>
      <c r="L18" s="22">
        <f>150*K17</f>
        <v>0</v>
      </c>
      <c r="M18" s="5"/>
      <c r="N18" s="40"/>
      <c r="O18" s="21" t="s">
        <v>11</v>
      </c>
      <c r="P18" s="22" t="s">
        <v>10</v>
      </c>
      <c r="Q18" s="22">
        <f>bg!H12*(200*$C$4*bg!F12+200*P17)</f>
        <v>0</v>
      </c>
      <c r="R18" s="5"/>
      <c r="S18" s="43" t="str">
        <f>IF(bg!H13=1,bg!$D$1,bg!$D$2)</f>
        <v/>
      </c>
      <c r="T18" s="72" t="s">
        <v>62</v>
      </c>
      <c r="U18" s="73"/>
      <c r="V18" s="73"/>
      <c r="W18" s="74"/>
      <c r="X18" s="43" t="str">
        <f>IF(bg!H15*U19&lt;&gt;0,bg!$D$1,bg!$D$2)</f>
        <v/>
      </c>
      <c r="Y18" s="21" t="s">
        <v>68</v>
      </c>
      <c r="Z18" s="22" t="s">
        <v>10</v>
      </c>
      <c r="AA18" s="22">
        <f>bg!H15*(350*$C$4*bg!F15+250*Z17)</f>
        <v>0</v>
      </c>
      <c r="AB18" s="5"/>
      <c r="AC18" s="43" t="str">
        <f>IF(bg!H16=1,bg!$D$1,bg!$D$2)</f>
        <v/>
      </c>
      <c r="AD18" s="72" t="s">
        <v>65</v>
      </c>
      <c r="AE18" s="73"/>
      <c r="AF18" s="73"/>
      <c r="AG18" s="74"/>
      <c r="AH18" s="43" t="str">
        <f>IF(bg!H18*AE19&lt;&gt;0,bg!$D$1,bg!$D$2)</f>
        <v/>
      </c>
      <c r="AI18" s="21" t="s">
        <v>11</v>
      </c>
      <c r="AJ18" s="22" t="s">
        <v>10</v>
      </c>
      <c r="AK18" s="22">
        <f>bg!H18*(600*$C$4*bg!F18+IF(AJ17&lt;=5,300*AJ17,300*5+350*(AJ17-5)))</f>
        <v>0</v>
      </c>
      <c r="AL18" s="5"/>
      <c r="AM18" s="44"/>
    </row>
    <row r="19" spans="1:39" x14ac:dyDescent="0.15">
      <c r="A19" s="9"/>
      <c r="B19" s="93" t="s">
        <v>15</v>
      </c>
      <c r="C19" s="93"/>
      <c r="D19" s="10" t="s">
        <v>10</v>
      </c>
      <c r="E19" s="14">
        <f>V16</f>
        <v>0</v>
      </c>
      <c r="F19" s="12" t="s">
        <v>13</v>
      </c>
      <c r="H19" s="80"/>
      <c r="I19" s="38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9" t="s">
        <v>27</v>
      </c>
      <c r="U19" s="75"/>
      <c r="V19" s="75"/>
      <c r="W19" s="23"/>
      <c r="X19" s="40"/>
      <c r="Y19" s="40"/>
      <c r="Z19" s="40"/>
      <c r="AA19" s="40"/>
      <c r="AB19" s="40"/>
      <c r="AC19" s="40"/>
      <c r="AD19" s="9" t="s">
        <v>27</v>
      </c>
      <c r="AE19" s="75"/>
      <c r="AF19" s="75"/>
      <c r="AG19" s="23"/>
      <c r="AH19" s="40"/>
      <c r="AI19" s="40"/>
      <c r="AJ19" s="40"/>
      <c r="AK19" s="40"/>
      <c r="AL19" s="40"/>
      <c r="AM19" s="44"/>
    </row>
    <row r="20" spans="1:39" x14ac:dyDescent="0.15">
      <c r="A20" s="9"/>
      <c r="B20" s="93" t="s">
        <v>16</v>
      </c>
      <c r="C20" s="93"/>
      <c r="D20" s="10" t="s">
        <v>10</v>
      </c>
      <c r="E20" s="14">
        <f>V20</f>
        <v>0</v>
      </c>
      <c r="F20" s="12" t="s">
        <v>13</v>
      </c>
      <c r="H20" s="80"/>
      <c r="I20" s="3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1" t="s">
        <v>16</v>
      </c>
      <c r="U20" s="22" t="s">
        <v>10</v>
      </c>
      <c r="V20" s="22">
        <f>INDEX(bg!W11:W16,(bg!H13*U19+1))</f>
        <v>0</v>
      </c>
      <c r="W20" s="5" t="s">
        <v>13</v>
      </c>
      <c r="X20" s="40"/>
      <c r="Y20" s="40"/>
      <c r="Z20" s="40"/>
      <c r="AA20" s="40"/>
      <c r="AB20" s="40"/>
      <c r="AC20" s="40"/>
      <c r="AD20" s="21" t="s">
        <v>21</v>
      </c>
      <c r="AE20" s="22" t="s">
        <v>10</v>
      </c>
      <c r="AF20" s="22">
        <f>bg!H16*(0.5*AE19)</f>
        <v>0</v>
      </c>
      <c r="AG20" s="5" t="s">
        <v>13</v>
      </c>
      <c r="AH20" s="40"/>
      <c r="AI20" s="40"/>
      <c r="AJ20" s="40"/>
      <c r="AK20" s="40"/>
      <c r="AL20" s="40"/>
      <c r="AM20" s="44"/>
    </row>
    <row r="21" spans="1:39" x14ac:dyDescent="0.15">
      <c r="A21" s="9"/>
      <c r="B21" s="93" t="s">
        <v>20</v>
      </c>
      <c r="C21" s="93"/>
      <c r="D21" s="10" t="s">
        <v>10</v>
      </c>
      <c r="E21" s="14">
        <f>AF16</f>
        <v>0</v>
      </c>
      <c r="F21" s="12" t="s">
        <v>13</v>
      </c>
      <c r="H21" s="81"/>
      <c r="I21" s="39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</row>
    <row r="22" spans="1:39" x14ac:dyDescent="0.15">
      <c r="A22" s="9"/>
      <c r="B22" s="93" t="s">
        <v>21</v>
      </c>
      <c r="C22" s="93"/>
      <c r="D22" s="10" t="s">
        <v>10</v>
      </c>
      <c r="E22" s="14">
        <f>AF20</f>
        <v>0</v>
      </c>
      <c r="F22" s="12" t="s">
        <v>13</v>
      </c>
    </row>
    <row r="23" spans="1:39" x14ac:dyDescent="0.15">
      <c r="A23" s="9"/>
      <c r="B23" s="93" t="s">
        <v>9</v>
      </c>
      <c r="C23" s="93"/>
      <c r="D23" s="10" t="s">
        <v>10</v>
      </c>
      <c r="E23" s="14">
        <f>V26</f>
        <v>0</v>
      </c>
      <c r="F23" s="12" t="s">
        <v>13</v>
      </c>
      <c r="H23" s="76" t="s">
        <v>70</v>
      </c>
      <c r="I23" s="47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5"/>
    </row>
    <row r="24" spans="1:39" x14ac:dyDescent="0.15">
      <c r="A24" s="9"/>
      <c r="B24" s="93" t="s">
        <v>17</v>
      </c>
      <c r="C24" s="93"/>
      <c r="D24" s="10" t="s">
        <v>10</v>
      </c>
      <c r="E24" s="14">
        <f>V30</f>
        <v>0</v>
      </c>
      <c r="F24" s="12" t="s">
        <v>13</v>
      </c>
      <c r="H24" s="77"/>
      <c r="I24" s="48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72" t="s">
        <v>78</v>
      </c>
      <c r="U24" s="73"/>
      <c r="V24" s="73"/>
      <c r="W24" s="74"/>
      <c r="X24" s="51"/>
      <c r="Y24" s="51"/>
      <c r="Z24" s="51"/>
      <c r="AA24" s="51"/>
      <c r="AB24" s="51"/>
      <c r="AC24" s="51"/>
      <c r="AD24" s="72" t="s">
        <v>81</v>
      </c>
      <c r="AE24" s="73"/>
      <c r="AF24" s="73"/>
      <c r="AG24" s="74"/>
      <c r="AH24" s="51"/>
      <c r="AI24" s="51"/>
      <c r="AJ24" s="51"/>
      <c r="AK24" s="51"/>
      <c r="AL24" s="51"/>
      <c r="AM24" s="56"/>
    </row>
    <row r="25" spans="1:39" x14ac:dyDescent="0.15">
      <c r="A25" s="9"/>
      <c r="B25" s="106" t="s">
        <v>22</v>
      </c>
      <c r="C25" s="106"/>
      <c r="D25" s="10" t="s">
        <v>10</v>
      </c>
      <c r="E25" s="14">
        <f>AF26</f>
        <v>0</v>
      </c>
      <c r="F25" s="12"/>
      <c r="H25" s="77"/>
      <c r="I25" s="48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9" t="s">
        <v>27</v>
      </c>
      <c r="U25" s="75">
        <v>0</v>
      </c>
      <c r="V25" s="75"/>
      <c r="W25" s="23"/>
      <c r="X25" s="51"/>
      <c r="Y25" s="51"/>
      <c r="Z25" s="51"/>
      <c r="AA25" s="51"/>
      <c r="AB25" s="51"/>
      <c r="AC25" s="51"/>
      <c r="AD25" s="9" t="s">
        <v>27</v>
      </c>
      <c r="AE25" s="75"/>
      <c r="AF25" s="75"/>
      <c r="AG25" s="23"/>
      <c r="AH25" s="51"/>
      <c r="AI25" s="51"/>
      <c r="AJ25" s="51"/>
      <c r="AK25" s="51"/>
      <c r="AL25" s="51"/>
      <c r="AM25" s="56"/>
    </row>
    <row r="26" spans="1:39" x14ac:dyDescent="0.15">
      <c r="A26" s="4"/>
      <c r="B26" s="107" t="s">
        <v>23</v>
      </c>
      <c r="C26" s="107"/>
      <c r="D26" s="11" t="s">
        <v>10</v>
      </c>
      <c r="E26" s="15">
        <f>AF30</f>
        <v>0</v>
      </c>
      <c r="F26" s="13" t="s">
        <v>13</v>
      </c>
      <c r="H26" s="77"/>
      <c r="I26" s="48"/>
      <c r="J26" s="72" t="s">
        <v>76</v>
      </c>
      <c r="K26" s="73"/>
      <c r="L26" s="73"/>
      <c r="M26" s="74"/>
      <c r="N26" s="51"/>
      <c r="O26" s="72" t="s">
        <v>77</v>
      </c>
      <c r="P26" s="73"/>
      <c r="Q26" s="73"/>
      <c r="R26" s="74"/>
      <c r="S26" s="53" t="str">
        <f>IF(bg!H23=1,bg!$D$1,bg!$D$2)</f>
        <v/>
      </c>
      <c r="T26" s="21" t="s">
        <v>84</v>
      </c>
      <c r="U26" s="22" t="s">
        <v>10</v>
      </c>
      <c r="V26" s="22">
        <f>INDEX(bg!U21:U26,(bg!H23*U25+1))</f>
        <v>0</v>
      </c>
      <c r="W26" s="5" t="s">
        <v>13</v>
      </c>
      <c r="X26" s="53" t="str">
        <f>IF(bg!H25*U25&lt;&gt;0,bg!$D$1,bg!$D$2)</f>
        <v/>
      </c>
      <c r="Y26" s="72" t="s">
        <v>80</v>
      </c>
      <c r="Z26" s="73"/>
      <c r="AA26" s="73"/>
      <c r="AB26" s="74"/>
      <c r="AC26" s="53" t="str">
        <f>IF(bg!H26=1,bg!$D$1,bg!$D$2)</f>
        <v/>
      </c>
      <c r="AD26" s="21" t="s">
        <v>22</v>
      </c>
      <c r="AE26" s="22" t="s">
        <v>10</v>
      </c>
      <c r="AF26" s="22">
        <f>bg!H26*(5*AE25)</f>
        <v>0</v>
      </c>
      <c r="AG26" s="5"/>
      <c r="AH26" s="53" t="str">
        <f>IF(bg!H28*AE25&lt;&gt;0,bg!$D$1,bg!$D$2)</f>
        <v/>
      </c>
      <c r="AI26" s="72" t="s">
        <v>83</v>
      </c>
      <c r="AJ26" s="73"/>
      <c r="AK26" s="73"/>
      <c r="AL26" s="74"/>
      <c r="AM26" s="56"/>
    </row>
    <row r="27" spans="1:39" x14ac:dyDescent="0.15">
      <c r="H27" s="77"/>
      <c r="I27" s="48"/>
      <c r="J27" s="9" t="s">
        <v>27</v>
      </c>
      <c r="K27" s="75"/>
      <c r="L27" s="75"/>
      <c r="M27" s="23"/>
      <c r="N27" s="53" t="str">
        <f>IF(bg!H22=1,bg!$D$1,bg!$D$2)</f>
        <v/>
      </c>
      <c r="O27" s="9" t="s">
        <v>27</v>
      </c>
      <c r="P27" s="75"/>
      <c r="Q27" s="75"/>
      <c r="R27" s="23"/>
      <c r="S27" s="51"/>
      <c r="T27" s="51"/>
      <c r="U27" s="51"/>
      <c r="V27" s="51"/>
      <c r="W27" s="51"/>
      <c r="X27" s="51"/>
      <c r="Y27" s="9" t="s">
        <v>27</v>
      </c>
      <c r="Z27" s="75"/>
      <c r="AA27" s="75"/>
      <c r="AB27" s="23"/>
      <c r="AC27" s="51"/>
      <c r="AD27" s="51"/>
      <c r="AE27" s="51"/>
      <c r="AF27" s="51"/>
      <c r="AG27" s="51"/>
      <c r="AH27" s="53"/>
      <c r="AI27" s="9" t="s">
        <v>27</v>
      </c>
      <c r="AJ27" s="75"/>
      <c r="AK27" s="75"/>
      <c r="AL27" s="23"/>
      <c r="AM27" s="56"/>
    </row>
    <row r="28" spans="1:39" x14ac:dyDescent="0.15">
      <c r="H28" s="77"/>
      <c r="I28" s="48"/>
      <c r="J28" s="21"/>
      <c r="K28" s="22" t="s">
        <v>31</v>
      </c>
      <c r="L28" s="22">
        <f>2*K27</f>
        <v>0</v>
      </c>
      <c r="M28" s="5"/>
      <c r="N28" s="51"/>
      <c r="O28" s="21" t="s">
        <v>84</v>
      </c>
      <c r="P28" s="22" t="s">
        <v>10</v>
      </c>
      <c r="Q28" s="22">
        <f>bg!H22*(2*$C$4*bg!F22+3*P27)</f>
        <v>0</v>
      </c>
      <c r="R28" s="5"/>
      <c r="S28" s="53" t="str">
        <f>IF(bg!H23=1,bg!$D$1,bg!$D$2)</f>
        <v/>
      </c>
      <c r="T28" s="72" t="s">
        <v>79</v>
      </c>
      <c r="U28" s="73"/>
      <c r="V28" s="73"/>
      <c r="W28" s="74"/>
      <c r="X28" s="53" t="str">
        <f>IF(bg!H25*U29&lt;&gt;0,bg!$D$1,bg!$D$2)</f>
        <v/>
      </c>
      <c r="Y28" s="21" t="s">
        <v>84</v>
      </c>
      <c r="Z28" s="22" t="s">
        <v>10</v>
      </c>
      <c r="AA28" s="22">
        <f>bg!H25*(3*$C$4*bg!F25+4*Z27)</f>
        <v>0</v>
      </c>
      <c r="AB28" s="5"/>
      <c r="AC28" s="53" t="str">
        <f>IF(bg!H26=1,bg!$D$1,bg!$D$2)</f>
        <v/>
      </c>
      <c r="AD28" s="72" t="s">
        <v>82</v>
      </c>
      <c r="AE28" s="73"/>
      <c r="AF28" s="73"/>
      <c r="AG28" s="74"/>
      <c r="AH28" s="53" t="str">
        <f>IF(bg!H28*AE29&lt;&gt;0,bg!$D$1,bg!$D$2)</f>
        <v/>
      </c>
      <c r="AI28" s="21" t="s">
        <v>84</v>
      </c>
      <c r="AJ28" s="22" t="s">
        <v>10</v>
      </c>
      <c r="AK28" s="22">
        <f>bg!H28*(4*$C$4*bg!F28+IF(AJ27&lt;=5,5*AJ27,5*5+6*(AJ27-5)))</f>
        <v>0</v>
      </c>
      <c r="AL28" s="5"/>
      <c r="AM28" s="56"/>
    </row>
    <row r="29" spans="1:39" x14ac:dyDescent="0.15">
      <c r="C29" s="1"/>
      <c r="H29" s="77"/>
      <c r="I29" s="48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9" t="s">
        <v>27</v>
      </c>
      <c r="U29" s="75"/>
      <c r="V29" s="75"/>
      <c r="W29" s="23"/>
      <c r="X29" s="51"/>
      <c r="Y29" s="51"/>
      <c r="Z29" s="51"/>
      <c r="AA29" s="51"/>
      <c r="AB29" s="51"/>
      <c r="AC29" s="51"/>
      <c r="AD29" s="9" t="s">
        <v>27</v>
      </c>
      <c r="AE29" s="75">
        <v>0</v>
      </c>
      <c r="AF29" s="75"/>
      <c r="AG29" s="23"/>
      <c r="AH29" s="51"/>
      <c r="AI29" s="51"/>
      <c r="AJ29" s="51"/>
      <c r="AK29" s="51"/>
      <c r="AL29" s="51"/>
      <c r="AM29" s="56"/>
    </row>
    <row r="30" spans="1:39" x14ac:dyDescent="0.15">
      <c r="H30" s="77"/>
      <c r="I30" s="48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21" t="s">
        <v>17</v>
      </c>
      <c r="U30" s="22" t="s">
        <v>10</v>
      </c>
      <c r="V30" s="22">
        <f>INDEX(bg!W21:W26,(bg!H23*U29+1))</f>
        <v>0</v>
      </c>
      <c r="W30" s="5" t="s">
        <v>13</v>
      </c>
      <c r="X30" s="51"/>
      <c r="Y30" s="51"/>
      <c r="Z30" s="51"/>
      <c r="AA30" s="51"/>
      <c r="AB30" s="51"/>
      <c r="AC30" s="51"/>
      <c r="AD30" s="21" t="s">
        <v>23</v>
      </c>
      <c r="AE30" s="22" t="s">
        <v>10</v>
      </c>
      <c r="AF30" s="22">
        <f>bg!H26*(2*AE29)</f>
        <v>0</v>
      </c>
      <c r="AG30" s="5" t="s">
        <v>13</v>
      </c>
      <c r="AH30" s="51"/>
      <c r="AI30" s="51"/>
      <c r="AJ30" s="51"/>
      <c r="AK30" s="51"/>
      <c r="AL30" s="51"/>
      <c r="AM30" s="56"/>
    </row>
    <row r="31" spans="1:39" x14ac:dyDescent="0.15">
      <c r="H31" s="78"/>
      <c r="I31" s="49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4"/>
    </row>
    <row r="35" spans="22:22" x14ac:dyDescent="0.15">
      <c r="V35" s="24"/>
    </row>
  </sheetData>
  <sheetProtection algorithmName="SHA-512" hashValue="OC+bZFSPiPDbRRYU8r/MKUj90nuF6IvMKb2aU2MHuYEWBo+MGvYeMz5LIkMNRyqWv+iQPSfIdnObOHsVYTWlkA==" saltValue="p1AUNO+Re31/jLCv0hDI1A==" spinCount="100000" sheet="1" objects="1" scenarios="1" selectLockedCells="1"/>
  <mergeCells count="78">
    <mergeCell ref="AD4:AG4"/>
    <mergeCell ref="AD8:AG8"/>
    <mergeCell ref="AJ7:AK7"/>
    <mergeCell ref="AE5:AF5"/>
    <mergeCell ref="AE9:AF9"/>
    <mergeCell ref="AI6:AL6"/>
    <mergeCell ref="Z7:AA7"/>
    <mergeCell ref="T8:W8"/>
    <mergeCell ref="U9:V9"/>
    <mergeCell ref="U5:V5"/>
    <mergeCell ref="Y6:AB6"/>
    <mergeCell ref="B25:C25"/>
    <mergeCell ref="B26:C26"/>
    <mergeCell ref="B22:C22"/>
    <mergeCell ref="B17:C17"/>
    <mergeCell ref="B18:C18"/>
    <mergeCell ref="B21:C21"/>
    <mergeCell ref="B20:C20"/>
    <mergeCell ref="B23:C23"/>
    <mergeCell ref="B24:C24"/>
    <mergeCell ref="B19:C19"/>
    <mergeCell ref="B15:C15"/>
    <mergeCell ref="B16:C16"/>
    <mergeCell ref="B7:C7"/>
    <mergeCell ref="D3:F3"/>
    <mergeCell ref="A3:B3"/>
    <mergeCell ref="B10:C10"/>
    <mergeCell ref="B11:C11"/>
    <mergeCell ref="B12:C12"/>
    <mergeCell ref="A9:F9"/>
    <mergeCell ref="A14:F14"/>
    <mergeCell ref="E12:F12"/>
    <mergeCell ref="E11:F11"/>
    <mergeCell ref="E10:F10"/>
    <mergeCell ref="A1:F1"/>
    <mergeCell ref="D4:E4"/>
    <mergeCell ref="B6:E6"/>
    <mergeCell ref="H1:J1"/>
    <mergeCell ref="H3:H11"/>
    <mergeCell ref="J6:M6"/>
    <mergeCell ref="H13:H21"/>
    <mergeCell ref="T14:W14"/>
    <mergeCell ref="AD14:AG14"/>
    <mergeCell ref="U15:V15"/>
    <mergeCell ref="AE15:AF15"/>
    <mergeCell ref="T18:W18"/>
    <mergeCell ref="AD18:AG18"/>
    <mergeCell ref="U19:V19"/>
    <mergeCell ref="AE19:AF19"/>
    <mergeCell ref="Z17:AA17"/>
    <mergeCell ref="O6:R6"/>
    <mergeCell ref="T4:W4"/>
    <mergeCell ref="P7:Q7"/>
    <mergeCell ref="K7:L7"/>
    <mergeCell ref="K17:L17"/>
    <mergeCell ref="P17:Q17"/>
    <mergeCell ref="AJ17:AK17"/>
    <mergeCell ref="J16:M16"/>
    <mergeCell ref="O16:R16"/>
    <mergeCell ref="Y16:AB16"/>
    <mergeCell ref="AI16:AL16"/>
    <mergeCell ref="H23:H31"/>
    <mergeCell ref="T24:W24"/>
    <mergeCell ref="AD24:AG24"/>
    <mergeCell ref="U25:V25"/>
    <mergeCell ref="AE25:AF25"/>
    <mergeCell ref="J26:M26"/>
    <mergeCell ref="O26:R26"/>
    <mergeCell ref="Y26:AB26"/>
    <mergeCell ref="T28:W28"/>
    <mergeCell ref="AD28:AG28"/>
    <mergeCell ref="U29:V29"/>
    <mergeCell ref="AE29:AF29"/>
    <mergeCell ref="AI26:AL26"/>
    <mergeCell ref="K27:L27"/>
    <mergeCell ref="P27:Q27"/>
    <mergeCell ref="Z27:AA27"/>
    <mergeCell ref="AJ27:AK27"/>
  </mergeCells>
  <phoneticPr fontId="1"/>
  <conditionalFormatting sqref="B7:C7">
    <cfRule type="cellIs" dxfId="0" priority="1" operator="greaterThan">
      <formula>$E$7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showInputMessage="1" showErrorMessage="1">
          <x14:formula1>
            <xm:f>bg!$I$25:$S$25</xm:f>
          </x14:formula1>
          <xm:sqref>Z27:AA27</xm:sqref>
        </x14:dataValidation>
        <x14:dataValidation type="list" showInputMessage="1" showErrorMessage="1">
          <x14:formula1>
            <xm:f>bg!$I$3:$N$3</xm:f>
          </x14:formula1>
          <xm:sqref>U5:V5</xm:sqref>
        </x14:dataValidation>
        <x14:dataValidation type="list" showInputMessage="1" showErrorMessage="1">
          <x14:formula1>
            <xm:f>bg!$I$1:$N$1</xm:f>
          </x14:formula1>
          <xm:sqref>K7:L7</xm:sqref>
        </x14:dataValidation>
        <x14:dataValidation type="list" showInputMessage="1" showErrorMessage="1">
          <x14:formula1>
            <xm:f>bg!$I$2:$N$2</xm:f>
          </x14:formula1>
          <xm:sqref>P7:Q7</xm:sqref>
        </x14:dataValidation>
        <x14:dataValidation type="list" allowBlank="1" showInputMessage="1" showErrorMessage="1">
          <x14:formula1>
            <xm:f>bg!$I$5:$S$5</xm:f>
          </x14:formula1>
          <xm:sqref>Z7:AA7</xm:sqref>
        </x14:dataValidation>
        <x14:dataValidation type="list" allowBlank="1" showInputMessage="1" showErrorMessage="1">
          <x14:formula1>
            <xm:f>bg!$I$6:$S$6</xm:f>
          </x14:formula1>
          <xm:sqref>AE5:AF5</xm:sqref>
        </x14:dataValidation>
        <x14:dataValidation type="list" allowBlank="1" showInputMessage="1" showErrorMessage="1">
          <x14:formula1>
            <xm:f>bg!$I$8:$S$8</xm:f>
          </x14:formula1>
          <xm:sqref>AJ7:AK7</xm:sqref>
        </x14:dataValidation>
        <x14:dataValidation type="list" showInputMessage="1" showErrorMessage="1">
          <x14:formula1>
            <xm:f>bg!$I$11:$N$11</xm:f>
          </x14:formula1>
          <xm:sqref>K17:L17</xm:sqref>
        </x14:dataValidation>
        <x14:dataValidation type="list" showInputMessage="1" showErrorMessage="1">
          <x14:formula1>
            <xm:f>bg!$I$12:$N$12</xm:f>
          </x14:formula1>
          <xm:sqref>P17:Q17</xm:sqref>
        </x14:dataValidation>
        <x14:dataValidation type="list" showInputMessage="1" showErrorMessage="1">
          <x14:formula1>
            <xm:f>bg!$I$13:$N$13</xm:f>
          </x14:formula1>
          <xm:sqref>U15:V15</xm:sqref>
        </x14:dataValidation>
        <x14:dataValidation type="list" showInputMessage="1" showErrorMessage="1">
          <x14:formula1>
            <xm:f>bg!$I$15:$S$15</xm:f>
          </x14:formula1>
          <xm:sqref>Z17:AA17</xm:sqref>
        </x14:dataValidation>
        <x14:dataValidation type="list" allowBlank="1" showInputMessage="1" showErrorMessage="1">
          <x14:formula1>
            <xm:f>bg!$I$16:$S$16</xm:f>
          </x14:formula1>
          <xm:sqref>AE15:AF15</xm:sqref>
        </x14:dataValidation>
        <x14:dataValidation type="list" allowBlank="1" showInputMessage="1" showErrorMessage="1">
          <x14:formula1>
            <xm:f>bg!$I$18:$S$18</xm:f>
          </x14:formula1>
          <xm:sqref>AJ17:AK17</xm:sqref>
        </x14:dataValidation>
        <x14:dataValidation type="list" showInputMessage="1" showErrorMessage="1">
          <x14:formula1>
            <xm:f>bg!$I$21:$N$21</xm:f>
          </x14:formula1>
          <xm:sqref>K27:L27</xm:sqref>
        </x14:dataValidation>
        <x14:dataValidation type="list" showInputMessage="1" showErrorMessage="1">
          <x14:formula1>
            <xm:f>bg!$I$22:$N$22</xm:f>
          </x14:formula1>
          <xm:sqref>P27:Q27</xm:sqref>
        </x14:dataValidation>
        <x14:dataValidation type="list" showInputMessage="1" showErrorMessage="1">
          <x14:formula1>
            <xm:f>bg!$I$23:$N$23</xm:f>
          </x14:formula1>
          <xm:sqref>U25:V25</xm:sqref>
        </x14:dataValidation>
        <x14:dataValidation type="list" allowBlank="1" showInputMessage="1" showErrorMessage="1">
          <x14:formula1>
            <xm:f>bg!$I$26:$S$26</xm:f>
          </x14:formula1>
          <xm:sqref>AE25:AF25</xm:sqref>
        </x14:dataValidation>
        <x14:dataValidation type="list" allowBlank="1" showInputMessage="1" showErrorMessage="1">
          <x14:formula1>
            <xm:f>bg!$I$28:$S$28</xm:f>
          </x14:formula1>
          <xm:sqref>AJ27:AK27</xm:sqref>
        </x14:dataValidation>
        <x14:dataValidation type="list" showInputMessage="1" showErrorMessage="1">
          <x14:formula1>
            <xm:f>bg!$I$3:$N$3</xm:f>
          </x14:formula1>
          <xm:sqref>U9:V9</xm:sqref>
        </x14:dataValidation>
        <x14:dataValidation type="list" allowBlank="1" showInputMessage="1" showErrorMessage="1">
          <x14:formula1>
            <xm:f>bg!$I$6:$S$6</xm:f>
          </x14:formula1>
          <xm:sqref>AE9:AF9</xm:sqref>
        </x14:dataValidation>
        <x14:dataValidation type="list" showInputMessage="1" showErrorMessage="1">
          <x14:formula1>
            <xm:f>bg!$I$13:$N$13</xm:f>
          </x14:formula1>
          <xm:sqref>U19:V19</xm:sqref>
        </x14:dataValidation>
        <x14:dataValidation type="list" allowBlank="1" showInputMessage="1" showErrorMessage="1">
          <x14:formula1>
            <xm:f>bg!$I$16:$S$16</xm:f>
          </x14:formula1>
          <xm:sqref>AE19:AF19</xm:sqref>
        </x14:dataValidation>
        <x14:dataValidation type="list" showInputMessage="1" showErrorMessage="1">
          <x14:formula1>
            <xm:f>bg!$I$23:$N$23</xm:f>
          </x14:formula1>
          <xm:sqref>U29:V29</xm:sqref>
        </x14:dataValidation>
        <x14:dataValidation type="list" allowBlank="1" showInputMessage="1" showErrorMessage="1">
          <x14:formula1>
            <xm:f>bg!$I$26:$S$26</xm:f>
          </x14:formula1>
          <xm:sqref>AE29:AF29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85" zoomScaleNormal="85" workbookViewId="0"/>
  </sheetViews>
  <sheetFormatPr defaultRowHeight="13.5" x14ac:dyDescent="0.15"/>
  <cols>
    <col min="1" max="1" width="12.625" customWidth="1"/>
    <col min="2" max="2" width="9" style="3"/>
    <col min="3" max="3" width="4.625" customWidth="1"/>
    <col min="4" max="4" width="9" style="3"/>
    <col min="5" max="5" width="17.375" style="1" customWidth="1"/>
    <col min="6" max="6" width="7.875" style="1" customWidth="1"/>
    <col min="7" max="7" width="15.625" customWidth="1"/>
    <col min="8" max="8" width="9" style="3"/>
    <col min="9" max="18" width="1.875" style="1" customWidth="1"/>
    <col min="19" max="19" width="2.5" style="1" customWidth="1"/>
    <col min="20" max="20" width="19.75" style="9" customWidth="1"/>
    <col min="22" max="22" width="16.25" customWidth="1"/>
    <col min="24" max="24" width="24.25" style="9" customWidth="1"/>
  </cols>
  <sheetData>
    <row r="1" spans="1:25" x14ac:dyDescent="0.15">
      <c r="A1" s="60" t="s">
        <v>40</v>
      </c>
      <c r="B1" s="61">
        <f>IF(シュミレータ!$B$4=1,10,IF(シュミレータ!$B$4=2,18,IF(シュミレータ!$B$4=3,27,IF(シュミレータ!$B$4=4,33,0))))</f>
        <v>0</v>
      </c>
      <c r="C1" s="60" t="s">
        <v>42</v>
      </c>
      <c r="D1" s="61" t="s">
        <v>38</v>
      </c>
      <c r="E1" s="62"/>
      <c r="F1" s="62"/>
      <c r="G1" s="63"/>
      <c r="H1" s="61"/>
      <c r="I1" s="64">
        <v>0</v>
      </c>
      <c r="J1" s="65">
        <v>1</v>
      </c>
      <c r="K1" s="65">
        <v>2</v>
      </c>
      <c r="L1" s="65">
        <v>3</v>
      </c>
      <c r="M1" s="65">
        <v>4</v>
      </c>
      <c r="N1" s="65">
        <v>5</v>
      </c>
      <c r="O1" s="65">
        <v>6</v>
      </c>
      <c r="P1" s="65">
        <v>7</v>
      </c>
      <c r="Q1" s="65">
        <v>8</v>
      </c>
      <c r="R1" s="65">
        <v>9</v>
      </c>
      <c r="S1" s="66">
        <v>10</v>
      </c>
      <c r="T1" s="63" t="s">
        <v>49</v>
      </c>
      <c r="U1" s="60">
        <v>0</v>
      </c>
      <c r="V1" s="60" t="s">
        <v>50</v>
      </c>
      <c r="W1" s="60">
        <v>0</v>
      </c>
      <c r="X1" s="63" t="s">
        <v>85</v>
      </c>
      <c r="Y1" s="60">
        <f>IF(シュミレータ!K7&gt;=1,3+1*(シュミレータ!K7-1),0)</f>
        <v>0</v>
      </c>
    </row>
    <row r="2" spans="1:25" x14ac:dyDescent="0.15">
      <c r="A2" s="60" t="s">
        <v>41</v>
      </c>
      <c r="B2" s="61">
        <f>IF(シュミレータ!D4&lt;=3,1,0)</f>
        <v>1</v>
      </c>
      <c r="C2" s="60" t="s">
        <v>48</v>
      </c>
      <c r="D2" s="67" t="s">
        <v>39</v>
      </c>
      <c r="E2" s="63" t="s">
        <v>112</v>
      </c>
      <c r="F2" s="68">
        <f>IF(シュミレータ!P7=0,0,1)</f>
        <v>0</v>
      </c>
      <c r="G2" s="63" t="s">
        <v>43</v>
      </c>
      <c r="H2" s="61">
        <f>IF(シュミレータ!K7&lt;1,0,IF(シュミレータ!K7&gt;5,0,1))</f>
        <v>0</v>
      </c>
      <c r="I2" s="63">
        <v>0</v>
      </c>
      <c r="J2" s="62">
        <f>IF(H2=1,1,)</f>
        <v>0</v>
      </c>
      <c r="K2" s="62">
        <f>IF(H2=1,2,)</f>
        <v>0</v>
      </c>
      <c r="L2" s="62">
        <f>IF(H2=1,3,)</f>
        <v>0</v>
      </c>
      <c r="M2" s="62">
        <f>IF(H2=1,4,)</f>
        <v>0</v>
      </c>
      <c r="N2" s="62">
        <f>IF(H2=1,5,)</f>
        <v>0</v>
      </c>
      <c r="O2" s="62">
        <f>IF(H2=1,6,)</f>
        <v>0</v>
      </c>
      <c r="P2" s="62">
        <f>IF(H2=1,7,)</f>
        <v>0</v>
      </c>
      <c r="Q2" s="62">
        <f>IF(H2=1,8,)</f>
        <v>0</v>
      </c>
      <c r="R2" s="62">
        <f>IF(H2=1,9,)</f>
        <v>0</v>
      </c>
      <c r="S2" s="61">
        <f>IF(H2=1,10,)</f>
        <v>0</v>
      </c>
      <c r="T2" s="63"/>
      <c r="U2" s="60">
        <v>1</v>
      </c>
      <c r="V2" s="60"/>
      <c r="W2" s="60">
        <v>1</v>
      </c>
      <c r="X2" s="63" t="s">
        <v>86</v>
      </c>
      <c r="Y2" s="60">
        <f>IF(シュミレータ!P7&gt;=1,5+2*(シュミレータ!P7-1),0)</f>
        <v>0</v>
      </c>
    </row>
    <row r="3" spans="1:25" x14ac:dyDescent="0.15">
      <c r="E3" s="63"/>
      <c r="F3" s="62"/>
      <c r="G3" s="63" t="s">
        <v>44</v>
      </c>
      <c r="H3" s="61">
        <f>H2*IF(シュミレータ!P7&lt;3,0,IF(シュミレータ!P7&gt;5,0,1))</f>
        <v>0</v>
      </c>
      <c r="I3" s="63">
        <v>0</v>
      </c>
      <c r="J3" s="62">
        <f>IF(H3=1,1,)</f>
        <v>0</v>
      </c>
      <c r="K3" s="62">
        <f>IF(H3=1,2,)</f>
        <v>0</v>
      </c>
      <c r="L3" s="62">
        <f>IF(H3=1,3,)</f>
        <v>0</v>
      </c>
      <c r="M3" s="62">
        <f>IF(H3=1,4,)</f>
        <v>0</v>
      </c>
      <c r="N3" s="62">
        <f>IF(H3=1,5,)</f>
        <v>0</v>
      </c>
      <c r="O3" s="62">
        <f>IF(H3=1,6,)</f>
        <v>0</v>
      </c>
      <c r="P3" s="62">
        <f>IF(H3=1,7,)</f>
        <v>0</v>
      </c>
      <c r="Q3" s="62">
        <f>IF(H3=1,8,)</f>
        <v>0</v>
      </c>
      <c r="R3" s="62">
        <f>IF(H3=1,9,)</f>
        <v>0</v>
      </c>
      <c r="S3" s="61">
        <f>IF(H3=1,10,)</f>
        <v>0</v>
      </c>
      <c r="T3" s="63"/>
      <c r="U3" s="60">
        <v>1.5</v>
      </c>
      <c r="V3" s="60"/>
      <c r="W3" s="60">
        <v>1.5</v>
      </c>
      <c r="X3" s="63" t="s">
        <v>87</v>
      </c>
      <c r="Y3" s="60">
        <f>IF(シュミレータ!U5&gt;=1,2*シュミレータ!U5,0)</f>
        <v>0</v>
      </c>
    </row>
    <row r="4" spans="1:25" x14ac:dyDescent="0.15">
      <c r="E4" s="63"/>
      <c r="F4" s="62"/>
      <c r="G4" s="63"/>
      <c r="H4" s="61"/>
      <c r="I4" s="63"/>
      <c r="J4" s="62"/>
      <c r="K4" s="62"/>
      <c r="L4" s="62"/>
      <c r="M4" s="62"/>
      <c r="N4" s="62"/>
      <c r="O4" s="62"/>
      <c r="P4" s="62"/>
      <c r="Q4" s="62"/>
      <c r="R4" s="62"/>
      <c r="S4" s="61"/>
      <c r="T4" s="63"/>
      <c r="U4" s="60">
        <v>2.5</v>
      </c>
      <c r="V4" s="60"/>
      <c r="W4" s="60">
        <v>2</v>
      </c>
      <c r="X4" s="63" t="s">
        <v>88</v>
      </c>
      <c r="Y4" s="60">
        <f>IF(シュミレータ!U9&gt;=1,2*シュミレータ!U9,0)</f>
        <v>0</v>
      </c>
    </row>
    <row r="5" spans="1:25" x14ac:dyDescent="0.15">
      <c r="E5" s="63" t="s">
        <v>113</v>
      </c>
      <c r="F5" s="62">
        <f>IF(シュミレータ!Z7=0,0,1)</f>
        <v>0</v>
      </c>
      <c r="G5" s="63" t="s">
        <v>46</v>
      </c>
      <c r="H5" s="61">
        <f>H3*IF(シュミレータ!U5+シュミレータ!U9&lt;5,0,IF(シュミレータ!U5+シュミレータ!U9&gt;10,0,1))</f>
        <v>0</v>
      </c>
      <c r="I5" s="63">
        <v>0</v>
      </c>
      <c r="J5" s="62">
        <f>IF(H5=1,1,)</f>
        <v>0</v>
      </c>
      <c r="K5" s="62">
        <f>IF(H5=1,2,)</f>
        <v>0</v>
      </c>
      <c r="L5" s="62">
        <f>IF(H5=1,3,)</f>
        <v>0</v>
      </c>
      <c r="M5" s="62">
        <f>IF(H5=1,4,)</f>
        <v>0</v>
      </c>
      <c r="N5" s="62">
        <f>IF(H5=1,5,)</f>
        <v>0</v>
      </c>
      <c r="O5" s="62">
        <f>IF(H5=1,6,)</f>
        <v>0</v>
      </c>
      <c r="P5" s="62">
        <f>IF(H5=1,7,)</f>
        <v>0</v>
      </c>
      <c r="Q5" s="62">
        <f>IF(H5=1,8,)</f>
        <v>0</v>
      </c>
      <c r="R5" s="62">
        <f>IF(H5=1,9,)</f>
        <v>0</v>
      </c>
      <c r="S5" s="61">
        <f>IF(H5=1,10,)</f>
        <v>0</v>
      </c>
      <c r="T5" s="63"/>
      <c r="U5" s="60">
        <v>4</v>
      </c>
      <c r="V5" s="60"/>
      <c r="W5" s="60">
        <v>2.5</v>
      </c>
      <c r="X5" s="63" t="s">
        <v>89</v>
      </c>
      <c r="Y5" s="60">
        <f>IF(シュミレータ!Z7&gt;=1,7+3*(シュミレータ!Z7-1),0)</f>
        <v>0</v>
      </c>
    </row>
    <row r="6" spans="1:25" x14ac:dyDescent="0.15">
      <c r="E6" s="63"/>
      <c r="F6" s="62"/>
      <c r="G6" s="63" t="s">
        <v>45</v>
      </c>
      <c r="H6" s="61">
        <f>H5*IF(シュミレータ!Z7&lt;5,0,IF(シュミレータ!Z7&gt;10,0,1))</f>
        <v>0</v>
      </c>
      <c r="I6" s="63">
        <v>0</v>
      </c>
      <c r="J6" s="62">
        <f>IF(H6=1,1,)</f>
        <v>0</v>
      </c>
      <c r="K6" s="62">
        <f>IF(H6=1,2,)</f>
        <v>0</v>
      </c>
      <c r="L6" s="62">
        <f>IF(H6=1,3,)</f>
        <v>0</v>
      </c>
      <c r="M6" s="62">
        <f>IF(H6=1,4,)</f>
        <v>0</v>
      </c>
      <c r="N6" s="62">
        <f>IF(H6=1,5,)</f>
        <v>0</v>
      </c>
      <c r="O6" s="62">
        <f>IF(H6=1,6,)</f>
        <v>0</v>
      </c>
      <c r="P6" s="62">
        <f>IF(H6=1,7,)</f>
        <v>0</v>
      </c>
      <c r="Q6" s="62">
        <f>IF(H6=1,8,)</f>
        <v>0</v>
      </c>
      <c r="R6" s="62">
        <f>IF(H6=1,9,)</f>
        <v>0</v>
      </c>
      <c r="S6" s="61">
        <f>IF(H6=1,10,)</f>
        <v>0</v>
      </c>
      <c r="T6" s="63"/>
      <c r="U6" s="60">
        <v>6</v>
      </c>
      <c r="V6" s="60"/>
      <c r="W6" s="60">
        <v>3</v>
      </c>
      <c r="X6" s="63" t="s">
        <v>90</v>
      </c>
      <c r="Y6" s="60">
        <f>IF(シュミレータ!AE5&gt;=1,3*シュミレータ!AE5,0)</f>
        <v>0</v>
      </c>
    </row>
    <row r="7" spans="1:25" x14ac:dyDescent="0.15">
      <c r="E7" s="63"/>
      <c r="F7" s="62"/>
      <c r="G7" s="63"/>
      <c r="H7" s="61"/>
      <c r="I7" s="63"/>
      <c r="J7" s="62"/>
      <c r="K7" s="62"/>
      <c r="L7" s="62"/>
      <c r="M7" s="62"/>
      <c r="N7" s="62"/>
      <c r="O7" s="62"/>
      <c r="P7" s="62"/>
      <c r="Q7" s="62"/>
      <c r="R7" s="62"/>
      <c r="S7" s="61"/>
      <c r="T7" s="63"/>
      <c r="U7" s="60"/>
      <c r="V7" s="60"/>
      <c r="W7" s="60"/>
      <c r="X7" s="63" t="s">
        <v>91</v>
      </c>
      <c r="Y7" s="60">
        <f>IF(シュミレータ!AE9&gt;=1,3*シュミレータ!AE9,0)</f>
        <v>0</v>
      </c>
    </row>
    <row r="8" spans="1:25" x14ac:dyDescent="0.15">
      <c r="E8" s="63" t="s">
        <v>114</v>
      </c>
      <c r="F8" s="62">
        <f>IF(シュミレータ!AJ7=0,0,1)</f>
        <v>0</v>
      </c>
      <c r="G8" s="63" t="s">
        <v>47</v>
      </c>
      <c r="H8" s="61">
        <f>H6*IF(シュミレータ!AE5+シュミレータ!AE9&lt;10,0,IF(シュミレータ!AE5+シュミレータ!AE9&gt;20,0,1))</f>
        <v>0</v>
      </c>
      <c r="I8" s="63">
        <v>0</v>
      </c>
      <c r="J8" s="62">
        <f>IF(H8=1,1,)</f>
        <v>0</v>
      </c>
      <c r="K8" s="62">
        <f>IF(H8=1,2,)</f>
        <v>0</v>
      </c>
      <c r="L8" s="62">
        <f>IF(H8=1,3,)</f>
        <v>0</v>
      </c>
      <c r="M8" s="62">
        <f>IF(H8=1,4,)</f>
        <v>0</v>
      </c>
      <c r="N8" s="62">
        <f>IF(H8=1,5,)</f>
        <v>0</v>
      </c>
      <c r="O8" s="62">
        <f>IF(H8=1,6,)</f>
        <v>0</v>
      </c>
      <c r="P8" s="62">
        <f>IF(H8=1,7,)</f>
        <v>0</v>
      </c>
      <c r="Q8" s="62">
        <f>IF(H8=1,8,)</f>
        <v>0</v>
      </c>
      <c r="R8" s="62">
        <f>IF(H8=1,9,)</f>
        <v>0</v>
      </c>
      <c r="S8" s="61">
        <f>IF(H8=1,10,)</f>
        <v>0</v>
      </c>
      <c r="T8" s="63"/>
      <c r="U8" s="60"/>
      <c r="V8" s="60"/>
      <c r="W8" s="60"/>
      <c r="X8" s="63" t="s">
        <v>92</v>
      </c>
      <c r="Y8" s="60">
        <f>IF(シュミレータ!AJ7&gt;=1,10+4*(シュミレータ!AJ7-1),0)</f>
        <v>0</v>
      </c>
    </row>
    <row r="9" spans="1:25" x14ac:dyDescent="0.15">
      <c r="E9" s="63"/>
      <c r="F9" s="62"/>
      <c r="G9" s="63"/>
      <c r="H9" s="61"/>
      <c r="I9" s="63"/>
      <c r="J9" s="62"/>
      <c r="K9" s="62"/>
      <c r="L9" s="62"/>
      <c r="M9" s="62"/>
      <c r="N9" s="62"/>
      <c r="O9" s="62"/>
      <c r="P9" s="62"/>
      <c r="Q9" s="62"/>
      <c r="R9" s="62"/>
      <c r="S9" s="61"/>
      <c r="T9" s="63"/>
      <c r="U9" s="60"/>
      <c r="V9" s="60"/>
      <c r="W9" s="60"/>
      <c r="X9" s="63"/>
      <c r="Y9" s="60"/>
    </row>
    <row r="10" spans="1:25" x14ac:dyDescent="0.15">
      <c r="E10" s="63"/>
      <c r="F10" s="62"/>
      <c r="G10" s="63"/>
      <c r="H10" s="61"/>
      <c r="I10" s="69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63"/>
      <c r="U10" s="60"/>
      <c r="V10" s="60"/>
      <c r="W10" s="60"/>
      <c r="X10" s="63"/>
      <c r="Y10" s="60"/>
    </row>
    <row r="11" spans="1:25" x14ac:dyDescent="0.15">
      <c r="E11" s="64"/>
      <c r="F11" s="65"/>
      <c r="G11" s="64"/>
      <c r="H11" s="66"/>
      <c r="I11" s="64">
        <v>0</v>
      </c>
      <c r="J11" s="65">
        <v>1</v>
      </c>
      <c r="K11" s="65">
        <v>2</v>
      </c>
      <c r="L11" s="65">
        <v>3</v>
      </c>
      <c r="M11" s="65">
        <v>4</v>
      </c>
      <c r="N11" s="65">
        <v>5</v>
      </c>
      <c r="O11" s="65">
        <v>6</v>
      </c>
      <c r="P11" s="65">
        <v>7</v>
      </c>
      <c r="Q11" s="65">
        <v>8</v>
      </c>
      <c r="R11" s="65">
        <v>9</v>
      </c>
      <c r="S11" s="66">
        <v>10</v>
      </c>
      <c r="T11" s="64" t="s">
        <v>56</v>
      </c>
      <c r="U11" s="65">
        <v>0</v>
      </c>
      <c r="V11" s="65" t="s">
        <v>57</v>
      </c>
      <c r="W11" s="65">
        <v>0</v>
      </c>
      <c r="X11" s="64" t="s">
        <v>93</v>
      </c>
      <c r="Y11" s="65">
        <f>IF(シュミレータ!K17&gt;=1,3+1*(シュミレータ!K17-1),0)</f>
        <v>0</v>
      </c>
    </row>
    <row r="12" spans="1:25" x14ac:dyDescent="0.15">
      <c r="E12" s="63" t="s">
        <v>115</v>
      </c>
      <c r="F12" s="68">
        <f>IF(シュミレータ!P17=0,0,1)</f>
        <v>0</v>
      </c>
      <c r="G12" s="63" t="s">
        <v>51</v>
      </c>
      <c r="H12" s="61">
        <f>IF(シュミレータ!K17&lt;1,0,IF(シュミレータ!K17&gt;5,0,1))</f>
        <v>0</v>
      </c>
      <c r="I12" s="63">
        <v>0</v>
      </c>
      <c r="J12" s="62">
        <f>IF(H12=1,1,)</f>
        <v>0</v>
      </c>
      <c r="K12" s="62">
        <f>IF(H12=1,2,)</f>
        <v>0</v>
      </c>
      <c r="L12" s="62">
        <f>IF(H12=1,3,)</f>
        <v>0</v>
      </c>
      <c r="M12" s="62">
        <f>IF(H12=1,4,)</f>
        <v>0</v>
      </c>
      <c r="N12" s="62">
        <f>IF(H12=1,5,)</f>
        <v>0</v>
      </c>
      <c r="O12" s="62">
        <f>IF(H12=1,6,)</f>
        <v>0</v>
      </c>
      <c r="P12" s="62">
        <f>IF(H12=1,7,)</f>
        <v>0</v>
      </c>
      <c r="Q12" s="62">
        <f>IF(H12=1,8,)</f>
        <v>0</v>
      </c>
      <c r="R12" s="62">
        <f>IF(H12=1,9,)</f>
        <v>0</v>
      </c>
      <c r="S12" s="61">
        <f>IF(H12=1,10,)</f>
        <v>0</v>
      </c>
      <c r="T12" s="63"/>
      <c r="U12" s="62">
        <v>1</v>
      </c>
      <c r="V12" s="62"/>
      <c r="W12" s="62">
        <v>1</v>
      </c>
      <c r="X12" s="63" t="s">
        <v>94</v>
      </c>
      <c r="Y12" s="62">
        <f>IF(シュミレータ!P17&gt;=1,5+2*(シュミレータ!P17-1),0)</f>
        <v>0</v>
      </c>
    </row>
    <row r="13" spans="1:25" x14ac:dyDescent="0.15">
      <c r="E13" s="63"/>
      <c r="F13" s="62"/>
      <c r="G13" s="63" t="s">
        <v>52</v>
      </c>
      <c r="H13" s="61">
        <f>H12*IF(シュミレータ!P17&lt;3,0,IF(シュミレータ!P17&gt;5,0,1))</f>
        <v>0</v>
      </c>
      <c r="I13" s="63">
        <v>0</v>
      </c>
      <c r="J13" s="62">
        <f>IF(H13=1,1,)</f>
        <v>0</v>
      </c>
      <c r="K13" s="62">
        <f>IF(H13=1,2,)</f>
        <v>0</v>
      </c>
      <c r="L13" s="62">
        <f>IF(H13=1,3,)</f>
        <v>0</v>
      </c>
      <c r="M13" s="62">
        <f>IF(H13=1,4,)</f>
        <v>0</v>
      </c>
      <c r="N13" s="62">
        <f>IF(H13=1,5,)</f>
        <v>0</v>
      </c>
      <c r="O13" s="62">
        <f>IF(H13=1,6,)</f>
        <v>0</v>
      </c>
      <c r="P13" s="62">
        <f>IF(H13=1,7,)</f>
        <v>0</v>
      </c>
      <c r="Q13" s="62">
        <f>IF(H13=1,8,)</f>
        <v>0</v>
      </c>
      <c r="R13" s="62">
        <f>IF(H13=1,9,)</f>
        <v>0</v>
      </c>
      <c r="S13" s="61">
        <f>IF(H13=1,10,)</f>
        <v>0</v>
      </c>
      <c r="T13" s="63"/>
      <c r="U13" s="62">
        <v>2</v>
      </c>
      <c r="V13" s="62"/>
      <c r="W13" s="62">
        <v>1.5</v>
      </c>
      <c r="X13" s="63" t="s">
        <v>95</v>
      </c>
      <c r="Y13" s="62">
        <f>IF(シュミレータ!U15&gt;=1,2*シュミレータ!U15,0)</f>
        <v>0</v>
      </c>
    </row>
    <row r="14" spans="1:25" x14ac:dyDescent="0.15">
      <c r="E14" s="63"/>
      <c r="F14" s="62"/>
      <c r="G14" s="63"/>
      <c r="H14" s="61"/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1"/>
      <c r="T14" s="63"/>
      <c r="U14" s="62">
        <v>3.5</v>
      </c>
      <c r="V14" s="62"/>
      <c r="W14" s="62">
        <v>2.5</v>
      </c>
      <c r="X14" s="63" t="s">
        <v>96</v>
      </c>
      <c r="Y14" s="62">
        <f>IF(シュミレータ!U19&gt;=1,2*シュミレータ!U19,0)</f>
        <v>0</v>
      </c>
    </row>
    <row r="15" spans="1:25" x14ac:dyDescent="0.15">
      <c r="E15" s="63" t="s">
        <v>116</v>
      </c>
      <c r="F15" s="62">
        <f>IF(シュミレータ!Z17=0,0,1)</f>
        <v>0</v>
      </c>
      <c r="G15" s="63" t="s">
        <v>53</v>
      </c>
      <c r="H15" s="61">
        <f>H13*IF(シュミレータ!U15+シュミレータ!U19&lt;5,0,IF(シュミレータ!U15+シュミレータ!U19&gt;10,0,1))</f>
        <v>0</v>
      </c>
      <c r="I15" s="63">
        <v>0</v>
      </c>
      <c r="J15" s="62">
        <f>IF(H15=1,1,)</f>
        <v>0</v>
      </c>
      <c r="K15" s="62">
        <f>IF(H15=1,2,)</f>
        <v>0</v>
      </c>
      <c r="L15" s="62">
        <f>IF(H15=1,3,)</f>
        <v>0</v>
      </c>
      <c r="M15" s="62">
        <f>IF(H15=1,4,)</f>
        <v>0</v>
      </c>
      <c r="N15" s="62">
        <f>IF(H15=1,5,)</f>
        <v>0</v>
      </c>
      <c r="O15" s="62">
        <f>IF(H15=1,6,)</f>
        <v>0</v>
      </c>
      <c r="P15" s="62">
        <f>IF(H15=1,7,)</f>
        <v>0</v>
      </c>
      <c r="Q15" s="62">
        <f>IF(H15=1,8,)</f>
        <v>0</v>
      </c>
      <c r="R15" s="62">
        <f>IF(H15=1,9,)</f>
        <v>0</v>
      </c>
      <c r="S15" s="61">
        <f>IF(H15=1,10,)</f>
        <v>0</v>
      </c>
      <c r="T15" s="63"/>
      <c r="U15" s="62">
        <v>5.5</v>
      </c>
      <c r="V15" s="62"/>
      <c r="W15" s="62">
        <v>4.5</v>
      </c>
      <c r="X15" s="63" t="s">
        <v>97</v>
      </c>
      <c r="Y15" s="62">
        <f>IF(シュミレータ!Z17&gt;=1,7+3*(シュミレータ!Z17-1),0)</f>
        <v>0</v>
      </c>
    </row>
    <row r="16" spans="1:25" x14ac:dyDescent="0.15">
      <c r="E16" s="63"/>
      <c r="F16" s="62"/>
      <c r="G16" s="63" t="s">
        <v>54</v>
      </c>
      <c r="H16" s="61">
        <f>H15*IF(シュミレータ!Z17&lt;5,0,IF(シュミレータ!Z17&gt;10,0,1))</f>
        <v>0</v>
      </c>
      <c r="I16" s="63">
        <v>0</v>
      </c>
      <c r="J16" s="62">
        <f>IF(H16=1,1,)</f>
        <v>0</v>
      </c>
      <c r="K16" s="62">
        <f>IF(H16=1,2,)</f>
        <v>0</v>
      </c>
      <c r="L16" s="62">
        <f>IF(H16=1,3,)</f>
        <v>0</v>
      </c>
      <c r="M16" s="62">
        <f>IF(H16=1,4,)</f>
        <v>0</v>
      </c>
      <c r="N16" s="62">
        <f>IF(H16=1,5,)</f>
        <v>0</v>
      </c>
      <c r="O16" s="62">
        <f>IF(H16=1,6,)</f>
        <v>0</v>
      </c>
      <c r="P16" s="62">
        <f>IF(H16=1,7,)</f>
        <v>0</v>
      </c>
      <c r="Q16" s="62">
        <f>IF(H16=1,8,)</f>
        <v>0</v>
      </c>
      <c r="R16" s="62">
        <f>IF(H16=1,9,)</f>
        <v>0</v>
      </c>
      <c r="S16" s="61">
        <f>IF(H16=1,10,)</f>
        <v>0</v>
      </c>
      <c r="T16" s="63"/>
      <c r="U16" s="62">
        <v>8</v>
      </c>
      <c r="V16" s="62"/>
      <c r="W16" s="62">
        <v>7</v>
      </c>
      <c r="X16" s="63" t="s">
        <v>98</v>
      </c>
      <c r="Y16" s="62">
        <f>IF(シュミレータ!AE15&gt;=1,3*シュミレータ!AE15,0)</f>
        <v>0</v>
      </c>
    </row>
    <row r="17" spans="4:25" x14ac:dyDescent="0.15">
      <c r="E17" s="63"/>
      <c r="F17" s="62"/>
      <c r="G17" s="63"/>
      <c r="H17" s="61"/>
      <c r="I17" s="63"/>
      <c r="J17" s="62"/>
      <c r="K17" s="62"/>
      <c r="L17" s="62"/>
      <c r="M17" s="62"/>
      <c r="N17" s="62"/>
      <c r="O17" s="62"/>
      <c r="P17" s="62"/>
      <c r="Q17" s="62"/>
      <c r="R17" s="62"/>
      <c r="S17" s="61"/>
      <c r="T17" s="63"/>
      <c r="U17" s="62"/>
      <c r="V17" s="62"/>
      <c r="W17" s="62"/>
      <c r="X17" s="63" t="s">
        <v>99</v>
      </c>
      <c r="Y17" s="62">
        <f>IF(シュミレータ!AE19&gt;=1,3*シュミレータ!AE19,0)</f>
        <v>0</v>
      </c>
    </row>
    <row r="18" spans="4:25" x14ac:dyDescent="0.15">
      <c r="E18" s="63" t="s">
        <v>117</v>
      </c>
      <c r="F18" s="62">
        <f>IF(シュミレータ!AJ17=0,0,1)</f>
        <v>0</v>
      </c>
      <c r="G18" s="63" t="s">
        <v>55</v>
      </c>
      <c r="H18" s="61">
        <f>H16*IF(シュミレータ!AE15+シュミレータ!AE19&lt;10,0,IF(シュミレータ!AE15+シュミレータ!AE19&gt;20,0,1))</f>
        <v>0</v>
      </c>
      <c r="I18" s="63">
        <v>0</v>
      </c>
      <c r="J18" s="62">
        <f>IF(H18=1,1,)</f>
        <v>0</v>
      </c>
      <c r="K18" s="62">
        <f>IF(H18=1,2,)</f>
        <v>0</v>
      </c>
      <c r="L18" s="62">
        <f>IF(H18=1,3,)</f>
        <v>0</v>
      </c>
      <c r="M18" s="62">
        <f>IF(H18=1,4,)</f>
        <v>0</v>
      </c>
      <c r="N18" s="62">
        <f>IF(H18=1,5,)</f>
        <v>0</v>
      </c>
      <c r="O18" s="62">
        <f>IF(H18=1,6,)</f>
        <v>0</v>
      </c>
      <c r="P18" s="62">
        <f>IF(H18=1,7,)</f>
        <v>0</v>
      </c>
      <c r="Q18" s="62">
        <f>IF(H18=1,8,)</f>
        <v>0</v>
      </c>
      <c r="R18" s="62">
        <f>IF(H18=1,9,)</f>
        <v>0</v>
      </c>
      <c r="S18" s="61">
        <f>IF(H18=1,10,)</f>
        <v>0</v>
      </c>
      <c r="T18" s="63"/>
      <c r="U18" s="62"/>
      <c r="V18" s="62"/>
      <c r="W18" s="62"/>
      <c r="X18" s="63" t="s">
        <v>100</v>
      </c>
      <c r="Y18" s="62">
        <f>IF(シュミレータ!AJ17&gt;=1,10+4*(シュミレータ!AJ17-1),0)</f>
        <v>0</v>
      </c>
    </row>
    <row r="19" spans="4:25" x14ac:dyDescent="0.15">
      <c r="D19" s="1"/>
      <c r="E19" s="63"/>
      <c r="F19" s="62"/>
      <c r="G19" s="63"/>
      <c r="H19" s="61"/>
      <c r="I19" s="63"/>
      <c r="J19" s="62"/>
      <c r="K19" s="62"/>
      <c r="L19" s="62"/>
      <c r="M19" s="62"/>
      <c r="N19" s="62"/>
      <c r="O19" s="62"/>
      <c r="P19" s="62"/>
      <c r="Q19" s="62"/>
      <c r="R19" s="62"/>
      <c r="S19" s="61"/>
      <c r="T19" s="63"/>
      <c r="U19" s="60"/>
      <c r="V19" s="60"/>
      <c r="W19" s="60"/>
      <c r="X19" s="63"/>
      <c r="Y19" s="62"/>
    </row>
    <row r="20" spans="4:25" x14ac:dyDescent="0.15">
      <c r="D20" s="1"/>
      <c r="E20" s="69"/>
      <c r="F20" s="62"/>
      <c r="G20" s="69"/>
      <c r="H20" s="61"/>
      <c r="I20" s="69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63"/>
      <c r="U20" s="60"/>
      <c r="V20" s="60"/>
      <c r="W20" s="60"/>
      <c r="X20" s="69"/>
      <c r="Y20" s="70"/>
    </row>
    <row r="21" spans="4:25" x14ac:dyDescent="0.15">
      <c r="D21" s="1"/>
      <c r="E21" s="64"/>
      <c r="F21" s="66"/>
      <c r="G21" s="64"/>
      <c r="H21" s="66"/>
      <c r="I21" s="62">
        <v>0</v>
      </c>
      <c r="J21" s="62">
        <v>1</v>
      </c>
      <c r="K21" s="62">
        <v>2</v>
      </c>
      <c r="L21" s="62">
        <v>3</v>
      </c>
      <c r="M21" s="62">
        <v>4</v>
      </c>
      <c r="N21" s="62">
        <v>5</v>
      </c>
      <c r="O21" s="62">
        <v>6</v>
      </c>
      <c r="P21" s="62">
        <v>7</v>
      </c>
      <c r="Q21" s="62">
        <v>8</v>
      </c>
      <c r="R21" s="62">
        <v>9</v>
      </c>
      <c r="S21" s="62">
        <v>10</v>
      </c>
      <c r="T21" s="64" t="s">
        <v>121</v>
      </c>
      <c r="U21" s="65">
        <v>0</v>
      </c>
      <c r="V21" s="65" t="s">
        <v>122</v>
      </c>
      <c r="W21" s="65">
        <v>0</v>
      </c>
      <c r="X21" s="63" t="s">
        <v>101</v>
      </c>
      <c r="Y21" s="60">
        <f>IF(シュミレータ!K27&gt;=1,3+1*(シュミレータ!K27-1),0)</f>
        <v>0</v>
      </c>
    </row>
    <row r="22" spans="4:25" x14ac:dyDescent="0.15">
      <c r="D22" s="1"/>
      <c r="E22" s="63" t="s">
        <v>118</v>
      </c>
      <c r="F22" s="68">
        <f>IF(シュミレータ!P27=0,0,1)</f>
        <v>0</v>
      </c>
      <c r="G22" s="63" t="s">
        <v>71</v>
      </c>
      <c r="H22" s="61">
        <f>IF(シュミレータ!K27&lt;1,0,IF(シュミレータ!K27&gt;5,0,1))</f>
        <v>0</v>
      </c>
      <c r="I22" s="62">
        <v>0</v>
      </c>
      <c r="J22" s="62">
        <f>IF(H22=1,1,)</f>
        <v>0</v>
      </c>
      <c r="K22" s="62">
        <f>IF(H22=1,2,)</f>
        <v>0</v>
      </c>
      <c r="L22" s="62">
        <f>IF(H22=1,3,)</f>
        <v>0</v>
      </c>
      <c r="M22" s="62">
        <f>IF(H22=1,4,)</f>
        <v>0</v>
      </c>
      <c r="N22" s="62">
        <f>IF(H22=1,5,)</f>
        <v>0</v>
      </c>
      <c r="O22" s="62">
        <f>IF(H22=1,6,)</f>
        <v>0</v>
      </c>
      <c r="P22" s="62">
        <f>IF(H22=1,7,)</f>
        <v>0</v>
      </c>
      <c r="Q22" s="62">
        <f>IF(H22=1,8,)</f>
        <v>0</v>
      </c>
      <c r="R22" s="62">
        <f>IF(H22=1,9,)</f>
        <v>0</v>
      </c>
      <c r="S22" s="62">
        <f>IF(H22=1,10,)</f>
        <v>0</v>
      </c>
      <c r="T22" s="63"/>
      <c r="U22" s="60">
        <v>1</v>
      </c>
      <c r="V22" s="60"/>
      <c r="W22" s="60">
        <v>1</v>
      </c>
      <c r="X22" s="63" t="s">
        <v>102</v>
      </c>
      <c r="Y22" s="60">
        <f>IF(シュミレータ!P27&gt;=1,5+2*(シュミレータ!P27-1),0)</f>
        <v>0</v>
      </c>
    </row>
    <row r="23" spans="4:25" x14ac:dyDescent="0.15">
      <c r="D23" s="1"/>
      <c r="E23" s="63"/>
      <c r="F23" s="62"/>
      <c r="G23" s="63" t="s">
        <v>72</v>
      </c>
      <c r="H23" s="61">
        <f>H22*IF(シュミレータ!P27&lt;3,0,IF(シュミレータ!P27&gt;5,0,1))</f>
        <v>0</v>
      </c>
      <c r="I23" s="62">
        <v>0</v>
      </c>
      <c r="J23" s="62">
        <f>IF(H23=1,1,)</f>
        <v>0</v>
      </c>
      <c r="K23" s="62">
        <f>IF(H23=1,2,)</f>
        <v>0</v>
      </c>
      <c r="L23" s="62">
        <f>IF(H23=1,3,)</f>
        <v>0</v>
      </c>
      <c r="M23" s="62">
        <f>IF(H23=1,4,)</f>
        <v>0</v>
      </c>
      <c r="N23" s="62">
        <f>IF(H23=1,5,)</f>
        <v>0</v>
      </c>
      <c r="O23" s="62">
        <f>IF(H23=1,6,)</f>
        <v>0</v>
      </c>
      <c r="P23" s="62">
        <f>IF(H23=1,7,)</f>
        <v>0</v>
      </c>
      <c r="Q23" s="62">
        <f>IF(H23=1,8,)</f>
        <v>0</v>
      </c>
      <c r="R23" s="62">
        <f>IF(H23=1,9,)</f>
        <v>0</v>
      </c>
      <c r="S23" s="62">
        <f>IF(H23=1,10,)</f>
        <v>0</v>
      </c>
      <c r="T23" s="63"/>
      <c r="U23" s="60">
        <v>1.5</v>
      </c>
      <c r="V23" s="60"/>
      <c r="W23" s="60">
        <v>2</v>
      </c>
      <c r="X23" s="63" t="s">
        <v>103</v>
      </c>
      <c r="Y23" s="60">
        <f>IF(シュミレータ!U25&gt;=1,2*シュミレータ!U25,0)</f>
        <v>0</v>
      </c>
    </row>
    <row r="24" spans="4:25" x14ac:dyDescent="0.15">
      <c r="D24" s="1"/>
      <c r="E24" s="63"/>
      <c r="F24" s="62"/>
      <c r="G24" s="63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0">
        <v>2</v>
      </c>
      <c r="V24" s="60"/>
      <c r="W24" s="60">
        <v>3</v>
      </c>
      <c r="X24" s="63" t="s">
        <v>104</v>
      </c>
      <c r="Y24" s="60">
        <f>IF(シュミレータ!U29&gt;=1,2*シュミレータ!U29,0)</f>
        <v>0</v>
      </c>
    </row>
    <row r="25" spans="4:25" x14ac:dyDescent="0.15">
      <c r="D25" s="1"/>
      <c r="E25" s="63" t="s">
        <v>119</v>
      </c>
      <c r="F25" s="62">
        <f>IF(シュミレータ!Z27=0,0,1)</f>
        <v>0</v>
      </c>
      <c r="G25" s="63" t="s">
        <v>73</v>
      </c>
      <c r="H25" s="61">
        <f>H23*IF(シュミレータ!U25+シュミレータ!U29&lt;5,0,IF(シュミレータ!U25+シュミレータ!U29&gt;10,0,1))</f>
        <v>0</v>
      </c>
      <c r="I25" s="62">
        <v>0</v>
      </c>
      <c r="J25" s="62">
        <f>IF(H25=1,1,)</f>
        <v>0</v>
      </c>
      <c r="K25" s="62">
        <f>IF(H25=1,2,)</f>
        <v>0</v>
      </c>
      <c r="L25" s="62">
        <f>IF(H25=1,3,)</f>
        <v>0</v>
      </c>
      <c r="M25" s="62">
        <f>IF(H25=1,4,)</f>
        <v>0</v>
      </c>
      <c r="N25" s="62">
        <f>IF(H25=1,5,)</f>
        <v>0</v>
      </c>
      <c r="O25" s="62">
        <f>IF(H25=1,6,)</f>
        <v>0</v>
      </c>
      <c r="P25" s="62">
        <f>IF(H25=1,7,)</f>
        <v>0</v>
      </c>
      <c r="Q25" s="62">
        <f>IF(H25=1,8,)</f>
        <v>0</v>
      </c>
      <c r="R25" s="62">
        <f>IF(H25=1,9,)</f>
        <v>0</v>
      </c>
      <c r="S25" s="62">
        <f>IF(H25=1,10,)</f>
        <v>0</v>
      </c>
      <c r="T25" s="63"/>
      <c r="U25" s="60">
        <v>2.5</v>
      </c>
      <c r="V25" s="60"/>
      <c r="W25" s="60">
        <v>4</v>
      </c>
      <c r="X25" s="63" t="s">
        <v>105</v>
      </c>
      <c r="Y25" s="60">
        <f>IF(シュミレータ!Z27&gt;=1,7+3*(シュミレータ!Z27-1),0)</f>
        <v>0</v>
      </c>
    </row>
    <row r="26" spans="4:25" x14ac:dyDescent="0.15">
      <c r="D26" s="1"/>
      <c r="E26" s="63"/>
      <c r="F26" s="62"/>
      <c r="G26" s="63" t="s">
        <v>74</v>
      </c>
      <c r="H26" s="61">
        <f>H25*IF(シュミレータ!Z27&lt;5,0,IF(シュミレータ!Z27&gt;10,0,1))</f>
        <v>0</v>
      </c>
      <c r="I26" s="62">
        <v>0</v>
      </c>
      <c r="J26" s="62">
        <f>IF(H26=1,1,)</f>
        <v>0</v>
      </c>
      <c r="K26" s="62">
        <f>IF(H26=1,2,)</f>
        <v>0</v>
      </c>
      <c r="L26" s="62">
        <f>IF(H26=1,3,)</f>
        <v>0</v>
      </c>
      <c r="M26" s="62">
        <f>IF(H26=1,4,)</f>
        <v>0</v>
      </c>
      <c r="N26" s="62">
        <f>IF(H26=1,5,)</f>
        <v>0</v>
      </c>
      <c r="O26" s="62">
        <f>IF(H26=1,6,)</f>
        <v>0</v>
      </c>
      <c r="P26" s="62">
        <f>IF(H26=1,7,)</f>
        <v>0</v>
      </c>
      <c r="Q26" s="62">
        <f>IF(H26=1,8,)</f>
        <v>0</v>
      </c>
      <c r="R26" s="62">
        <f>IF(H26=1,9,)</f>
        <v>0</v>
      </c>
      <c r="S26" s="62">
        <f>IF(H26=1,10,)</f>
        <v>0</v>
      </c>
      <c r="T26" s="63"/>
      <c r="U26" s="60">
        <v>3</v>
      </c>
      <c r="V26" s="60"/>
      <c r="W26" s="60">
        <v>5</v>
      </c>
      <c r="X26" s="63" t="s">
        <v>106</v>
      </c>
      <c r="Y26" s="60">
        <f>IF(シュミレータ!AE25&gt;=1,3*シュミレータ!AE25,0)</f>
        <v>0</v>
      </c>
    </row>
    <row r="27" spans="4:25" x14ac:dyDescent="0.15">
      <c r="D27" s="1"/>
      <c r="E27" s="63"/>
      <c r="F27" s="62"/>
      <c r="G27" s="63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0"/>
      <c r="V27" s="60"/>
      <c r="W27" s="60"/>
      <c r="X27" s="63" t="s">
        <v>107</v>
      </c>
      <c r="Y27" s="60">
        <f>IF(シュミレータ!AE29&gt;=1,3*シュミレータ!AE29,0)</f>
        <v>0</v>
      </c>
    </row>
    <row r="28" spans="4:25" x14ac:dyDescent="0.15">
      <c r="D28" s="1"/>
      <c r="E28" s="63" t="s">
        <v>120</v>
      </c>
      <c r="F28" s="62">
        <f>IF(シュミレータ!AJ27=0,0,1)</f>
        <v>0</v>
      </c>
      <c r="G28" s="63" t="s">
        <v>75</v>
      </c>
      <c r="H28" s="61">
        <f>H26*IF(シュミレータ!AE25+シュミレータ!AE29&lt;10,0,IF(シュミレータ!AE25+シュミレータ!AE29&gt;20,0,1))</f>
        <v>0</v>
      </c>
      <c r="I28" s="62">
        <v>0</v>
      </c>
      <c r="J28" s="62">
        <f>IF(H28=1,1,)</f>
        <v>0</v>
      </c>
      <c r="K28" s="62">
        <f>IF(H28=1,2,)</f>
        <v>0</v>
      </c>
      <c r="L28" s="62">
        <f>IF(H28=1,3,)</f>
        <v>0</v>
      </c>
      <c r="M28" s="62">
        <f>IF(H28=1,4,)</f>
        <v>0</v>
      </c>
      <c r="N28" s="62">
        <f>IF(H28=1,5,)</f>
        <v>0</v>
      </c>
      <c r="O28" s="62">
        <f>IF(H28=1,6,)</f>
        <v>0</v>
      </c>
      <c r="P28" s="62">
        <f>IF(H28=1,7,)</f>
        <v>0</v>
      </c>
      <c r="Q28" s="62">
        <f>IF(H28=1,8,)</f>
        <v>0</v>
      </c>
      <c r="R28" s="62">
        <f>IF(H28=1,9,)</f>
        <v>0</v>
      </c>
      <c r="S28" s="62">
        <f>IF(H28=1,10,)</f>
        <v>0</v>
      </c>
      <c r="T28" s="63"/>
      <c r="U28" s="60"/>
      <c r="V28" s="60"/>
      <c r="W28" s="60"/>
      <c r="X28" s="63" t="s">
        <v>108</v>
      </c>
      <c r="Y28" s="60">
        <f>IF(シュミレータ!AJ27&gt;=1,10+4*(シュミレータ!AJ27-1),0)</f>
        <v>0</v>
      </c>
    </row>
    <row r="29" spans="4:25" x14ac:dyDescent="0.15">
      <c r="D29" s="1"/>
      <c r="E29" s="63"/>
      <c r="F29" s="62"/>
      <c r="G29" s="60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0"/>
      <c r="V29" s="60"/>
      <c r="W29" s="60"/>
      <c r="X29" s="63"/>
      <c r="Y29" s="60"/>
    </row>
    <row r="30" spans="4:25" x14ac:dyDescent="0.15">
      <c r="D30" s="1"/>
      <c r="E30" s="63"/>
      <c r="F30" s="62"/>
      <c r="G30" s="60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0"/>
      <c r="V30" s="60"/>
      <c r="W30" s="60"/>
      <c r="X30" s="63"/>
      <c r="Y30" s="60"/>
    </row>
    <row r="31" spans="4:25" x14ac:dyDescent="0.15">
      <c r="D31" s="1"/>
      <c r="E31" s="9"/>
    </row>
    <row r="32" spans="4:25" x14ac:dyDescent="0.15">
      <c r="D32" s="1"/>
      <c r="E32" s="9"/>
    </row>
  </sheetData>
  <sheetProtection algorithmName="SHA-512" hashValue="KkEfHYSCDPSXO8olGGYVE2boz4RfETHai0egmfkvPIQXF+5eYAEb56zUi80LavRPxs8XuiWpdezNxDbiE2LNXQ==" saltValue="B16CHWFqsMezMrVkOee+yw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シュミレータ</vt:lpstr>
      <vt:lpstr>bg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</cp:lastModifiedBy>
  <dcterms:created xsi:type="dcterms:W3CDTF">2015-04-29T20:52:09Z</dcterms:created>
  <dcterms:modified xsi:type="dcterms:W3CDTF">2015-05-06T02:14:26Z</dcterms:modified>
</cp:coreProperties>
</file>