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2"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<sst xmlns="http://schemas.openxmlformats.org/spreadsheetml/2006/main" count="1201" uniqueCount="566">
  <si>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</si>
  <si>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</si>
  <si>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</si>
  <si>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</si>
  <si>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</si>
  <si>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</si>
  <si>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</si>
  <si>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</si>
  <si>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</si>
  <si>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</si>
  <si>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</si>
  <si>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</si>
  <si>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</si>
  <si>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</si>
  <si>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</si>
  <si>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</si>
  <si>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属性は装備等によって任意に入力すること</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</si>
  <si>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</si>
  <si>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</si>
  <si>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</si>
  <si>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</si>
  <si>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</si>
  <si>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</si>
  <si>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</si>
  <si>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</si>
  <si>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</si>
  <si>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</si>
  <si>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</si>
  <si>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</si>
  <si>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</si>
  <si>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</si>
  <si>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</si>
  <si>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</si>
  <si>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</si>
  <si>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</si>
  <si>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</si>
  <si>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</si>
  <si>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</si>
  <si>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</si>
  <si>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</si>
  <si>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</si>
  <si>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</si>
  <si>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</si>
  <si>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</si>
  <si>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</si>
  <si>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</si>
  <si>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</si>
  <si>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</si>
  <si>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</si>
  <si>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</si>
  <si>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</si>
  <si>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</si>
  <si>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</si>
  <si>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</si>
  <si>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</si>
  <si>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</si>
  <si>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</si>
  <si>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</si>
  <si>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</si>
  <si>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</si>
  <si>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</si>
  <si>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</si>
  <si>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</si>
  <si>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</si>
  <si>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</si>
  <si>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</si>
  <si>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</si>
  <si>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</si>
  <si>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</si>
  <si>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</si>
  <si>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</si>
  <si>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</si>
  <si>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</si>
  <si>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</si>
  <si>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</si>
  <si>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</si>
  <si>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</si>
  <si>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</si>
  <si>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</si>
  <si>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</si>
  <si>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</si>
  <si>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</si>
  <si>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</si>
  <si>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</si>
  <si>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</si>
  <si>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</si>
  <si>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</si>
  <si>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</si>
  <si>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</si>
  <si>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</si>
  <si>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</si>
  <si>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</si>
  <si>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</si>
  <si>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</si>
  <si>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</si>
  <si>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</si>
  <si>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</si>
  <si>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</si>
  <si>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</si>
  <si>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</si>
  <si>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</si>
  <si>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</si>
  <si>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</si>
  <si>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</si>
  <si>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</si>
  <si>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</si>
  <si>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</si>
  <si>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</si>
  <si>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</si>
  <si>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</si>
  <si>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</si>
  <si>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</si>
  <si>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</si>
  <si>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</si>
  <si>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</si>
  <si>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</si>
  <si>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</si>
  <si>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</si>
  <si>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</si>
  <si>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</si>
  <si>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</si>
  <si>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</si>
  <si>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</si>
  <si>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</si>
  <si>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</si>
  <si>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</si>
  <si>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</si>
  <si>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</si>
  <si>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</si>
  <si>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</si>
  <si>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</si>
  <si>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</si>
  <si>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</si>
  <si>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</si>
  <si>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</si>
  <si>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</si>
  <si>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</si>
  <si>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</si>
  <si>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</si>
  <si>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</si>
  <si>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</si>
  <si>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</si>
  <si>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</si>
  <si>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</si>
  <si>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</si>
  <si>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</si>
  <si>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</si>
  <si>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</si>
  <si>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</si>
  <si>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</si>
  <si>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</si>
  <si>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</si>
  <si>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</si>
  <si>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</si>
  <si>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</si>
  <si>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</si>
  <si>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</si>
  <si>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</si>
  <si>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</si>
  <si>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</si>
  <si>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</si>
  <si>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</si>
  <si>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</si>
  <si>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</si>
  <si>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</si>
  <si>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</si>
  <si>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</si>
  <si>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この行より上の行から新しい行を追加すること</t>
  </si>
  <si>
    <t>技能</t>
  </si>
  <si>
    <t>合計消費CP</t>
  </si>
  <si>
    <t>技能名</t>
  </si>
  <si>
    <t>必要CP</t>
  </si>
  <si>
    <t>この行より上の行から追加すること</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</si>
  <si>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</si>
  <si>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</si>
  <si>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</si>
  <si>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</si>
  <si>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</si>
  <si>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</si>
  <si>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</si>
  <si>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</si>
  <si>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</si>
  <si>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</si>
  <si>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</si>
  <si>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</si>
  <si>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</si>
  <si>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</si>
  <si>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</si>
  <si>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</si>
  <si>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</si>
  <si>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</si>
  <si>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</si>
  <si>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</si>
  <si>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</si>
  <si>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</si>
  <si>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</si>
  <si>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</si>
  <si>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</si>
  <si>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</si>
  <si>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</si>
  <si>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</si>
  <si>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</si>
  <si>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</si>
  <si>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</si>
  <si>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</si>
  <si>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</si>
  <si>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</si>
  <si>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</si>
  <si>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</si>
  <si>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</si>
  <si>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</si>
  <si>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</si>
  <si>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</si>
  <si>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</si>
  <si>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</si>
  <si>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</si>
  <si>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</si>
  <si>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</si>
  <si>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</si>
  <si>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</si>
  <si>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</si>
  <si>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</si>
  <si>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</si>
  <si>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</si>
  <si>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</si>
  <si>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</si>
  <si>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</si>
  <si>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</si>
  <si>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</si>
  <si>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</si>
  <si>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</si>
  <si>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</si>
  <si>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</si>
  <si>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</si>
  <si>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</si>
  <si>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</si>
  <si>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</si>
  <si>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</si>
  <si>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</si>
  <si>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</si>
  <si>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</si>
  <si>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</si>
  <si>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</si>
  <si>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</si>
  <si>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</si>
  <si>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</si>
  <si>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</si>
  <si>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</si>
  <si>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</si>
  <si>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</si>
  <si>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</si>
  <si>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</si>
  <si>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</si>
  <si>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</si>
  <si>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</si>
  <si>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</si>
  <si>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</si>
  <si>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</si>
  <si>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</si>
  <si>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</si>
  <si>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</si>
  <si>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</si>
  <si>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</si>
  <si>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</si>
  <si>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</si>
  <si>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</si>
  <si>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</si>
  <si>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</si>
  <si>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</si>
  <si>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</si>
  <si>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</si>
  <si>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</si>
  <si>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</si>
  <si>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</si>
  <si>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</si>
  <si>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</si>
  <si>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</si>
  <si>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</si>
  <si>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</si>
  <si>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</si>
  <si>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</si>
  <si>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</si>
  <si>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</si>
  <si>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</si>
  <si>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</si>
  <si>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</si>
  <si>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</si>
  <si>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</si>
  <si>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</si>
  <si>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</si>
  <si>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</si>
  <si>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</si>
  <si>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</si>
  <si>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</si>
  <si>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</si>
  <si>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</si>
  <si>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</si>
  <si>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</si>
  <si>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</si>
  <si>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</si>
  <si>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</si>
  <si>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</si>
  <si>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</si>
  <si>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</si>
  <si>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</si>
  <si>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</si>
  <si>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</si>
  <si>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</si>
  <si>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</si>
  <si>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</si>
  <si>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</si>
  <si>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</si>
  <si>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</si>
  <si>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</si>
  <si>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</si>
  <si>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</si>
  <si>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</si>
  <si>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</si>
  <si>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</si>
  <si>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</si>
  <si>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</si>
  <si>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</si>
  <si>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</si>
  <si>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</si>
  <si>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</si>
  <si>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</si>
  <si>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</si>
  <si>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</si>
  <si>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</si>
  <si>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</si>
  <si>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</si>
  <si>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</si>
  <si>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</si>
  <si>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</si>
  <si>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</si>
  <si>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</si>
  <si>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</si>
  <si>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</si>
  <si>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</si>
  <si>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</si>
  <si>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</si>
  <si>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</si>
  <si>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</si>
  <si>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</si>
  <si>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</si>
  <si>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</si>
  <si>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</si>
  <si>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</si>
  <si>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</si>
  <si>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</si>
  <si>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</si>
  <si>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</si>
  <si>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</si>
  <si>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</si>
  <si>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</si>
  <si>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</si>
  <si>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</si>
  <si>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</si>
  <si>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</si>
  <si>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</si>
  <si>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</si>
  <si>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</si>
  <si>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</si>
  <si>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</si>
  <si>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</si>
  <si>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</si>
  <si>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</si>
  <si>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</si>
  <si>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</si>
  <si>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</si>
  <si>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</si>
  <si>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</si>
  <si>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</si>
  <si>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</si>
  <si>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</si>
  <si>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</si>
  <si>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</si>
  <si>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</si>
  <si>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</si>
  <si>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</si>
  <si>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</si>
  <si>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</si>
  <si>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</si>
  <si>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</si>
  <si>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</si>
  <si>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</si>
  <si>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</si>
  <si>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</si>
  <si>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</si>
  <si>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</si>
  <si>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</si>
  <si>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</si>
  <si>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</si>
  <si>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</si>
  <si>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</si>
  <si>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</si>
  <si>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</si>
  <si>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</si>
  <si>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</si>
  <si>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</si>
  <si>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</si>
  <si>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</si>
  <si>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</si>
  <si>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</si>
  <si>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</si>
  <si>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</si>
  <si>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</si>
  <si>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</si>
  <si>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</si>
  <si>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</si>
  <si>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</si>
  <si>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</si>
  <si>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</si>
  <si>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</si>
  <si>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</si>
  <si>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</si>
  <si>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</si>
  <si>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</si>
  <si>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</si>
  <si>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</si>
  <si>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</si>
  <si>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</si>
  <si>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</si>
  <si>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</si>
  <si>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</si>
  <si>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</si>
  <si>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</si>
  <si>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</si>
  <si>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</si>
  <si>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</si>
  <si>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</si>
  <si>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</si>
  <si>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</si>
  <si>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</si>
  <si>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</si>
  <si>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</si>
  <si>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</si>
  <si>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</si>
  <si>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</si>
  <si>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</si>
  <si>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</si>
  <si>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</si>
  <si>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</si>
  <si>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</si>
  <si>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</si>
  <si>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</si>
  <si>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</si>
  <si>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</si>
  <si>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</si>
  <si>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</si>
  <si>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</si>
  <si>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</si>
  <si>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</si>
  <si>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</si>
  <si>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</si>
  <si>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強固な意志</t>
  </si>
  <si>
    <t>パッシブ</t>
  </si>
  <si>
    <t>-</t>
  </si>
  <si>
    <t>自身</t>
  </si>
  <si>
    <t>結界強度+3</t>
  </si>
  <si>
    <t>パイロキネシス</t>
  </si>
  <si>
    <t>テレパシー</t>
  </si>
  <si>
    <t>天上の美</t>
  </si>
  <si>
    <t>肉体</t>
  </si>
  <si>
    <t>携帯電話</t>
  </si>
  <si>
    <t>美乳</t>
  </si>
  <si>
    <t>大きさよりバランス！</t>
  </si>
  <si>
    <t>北極星</t>
  </si>
  <si>
    <t>普通の家</t>
  </si>
  <si>
    <t>社会</t>
  </si>
  <si>
    <t>運転免許</t>
  </si>
  <si>
    <t>アパートに一人暮らし</t>
  </si>
  <si>
    <t>大学教育</t>
  </si>
  <si>
    <t>でも電車通勤のペーパードライバー</t>
  </si>
  <si>
    <t>日本語</t>
  </si>
  <si>
    <t>一般</t>
  </si>
  <si>
    <t>礼儀作法</t>
  </si>
  <si>
    <t>挫折&lt;料理&gt;</t>
  </si>
  <si>
    <t>（目を逸らす）</t>
  </si>
  <si>
    <t>専門技能&lt;喫茶&gt;</t>
  </si>
  <si>
    <t>で、でも珈琲や紅茶を淹れるのは上手いから！</t>
  </si>
  <si>
    <t>ファインドトラップ</t>
  </si>
  <si>
    <t>罠探知判定+1D</t>
  </si>
  <si>
    <t>メジャー</t>
  </si>
  <si>
    <t>セットアップ</t>
  </si>
  <si>
    <t>【精神】</t>
  </si>
  <si>
    <t>自動成功</t>
  </si>
  <si>
    <t>単体</t>
  </si>
  <si>
    <t>範囲（選択）</t>
  </si>
  <si>
    <t>0～1</t>
  </si>
  <si>
    <t>-</t>
  </si>
  <si>
    <t>行動値+[SL+2}</t>
  </si>
  <si>
    <t>増幅</t>
  </si>
  <si>
    <t>人間</t>
  </si>
  <si>
    <t>異能者</t>
  </si>
  <si>
    <t>探索者</t>
  </si>
  <si>
    <t>専門技能&lt;給仕&gt;</t>
  </si>
  <si>
    <t>女</t>
  </si>
  <si>
    <t>ばいす</t>
  </si>
  <si>
    <t>黒</t>
  </si>
  <si>
    <t>白</t>
  </si>
  <si>
    <t>そう、iPhoneならね</t>
  </si>
  <si>
    <t>天涯孤独</t>
  </si>
  <si>
    <t>学徒</t>
  </si>
  <si>
    <t>ネズミの穴倉</t>
  </si>
  <si>
    <t>流休</t>
  </si>
  <si>
    <t>専門知識&lt;インターネット&gt;</t>
  </si>
  <si>
    <t>アクロバット</t>
  </si>
  <si>
    <t>1～2</t>
  </si>
  <si>
    <t>[SL+2]Dの火属性魔法ダメージ、リアクション不可</t>
  </si>
  <si>
    <t>回避達成値+2</t>
  </si>
  <si>
    <t>隠れ？オタク</t>
  </si>
  <si>
    <t>探索役のたしなみ。</t>
  </si>
  <si>
    <t>よく喋る</t>
  </si>
  <si>
    <t>17歳です☆</t>
  </si>
  <si>
    <t>ま、ある程度は？</t>
  </si>
  <si>
    <t>気合入れたらそれなりのもんですよ、気合入れたらね。</t>
  </si>
  <si>
    <t>ヒミツ</t>
  </si>
  <si>
    <t>コテハンは「家政婦は見た」</t>
  </si>
  <si>
    <t>スコラブ</t>
  </si>
  <si>
    <t>相楽</t>
  </si>
  <si>
    <t>ポポカ</t>
  </si>
  <si>
    <t>マイスター【回避】</t>
  </si>
  <si>
    <t>回避判定+2</t>
  </si>
  <si>
    <t>心の澱</t>
  </si>
  <si>
    <t>マイナー</t>
  </si>
  <si>
    <t>1点でもダメージが通れば[放心]を付与</t>
  </si>
  <si>
    <t>80/55/79</t>
  </si>
  <si>
    <t>音無クク</t>
  </si>
  <si>
    <t>おともち</t>
  </si>
  <si>
    <t>サキュバスさん</t>
  </si>
  <si>
    <t>ナビィ</t>
  </si>
  <si>
    <t>魔石</t>
  </si>
  <si>
    <t>実は美人系なんです、本当なんです。</t>
  </si>
  <si>
    <t>専門技能&lt;忍び足&gt;</t>
  </si>
  <si>
    <t>メイド108の奥義が一つ！</t>
  </si>
  <si>
    <t>ハーモニー</t>
  </si>
  <si>
    <t>運命改竄</t>
  </si>
  <si>
    <t>判定直後</t>
  </si>
  <si>
    <t>視界</t>
  </si>
  <si>
    <t>その判定を振りなおす</t>
  </si>
  <si>
    <t>価格交渉【鎧】</t>
  </si>
  <si>
    <t>痛みの共有</t>
  </si>
  <si>
    <t>DR直後</t>
  </si>
  <si>
    <t>自身が受けた実ダメージを相手にも与える</t>
  </si>
  <si>
    <t>鎧をSL割引</t>
  </si>
  <si>
    <t>リーヴァイ</t>
  </si>
  <si>
    <t>そま</t>
  </si>
  <si>
    <t>神田仁</t>
  </si>
  <si>
    <t>霊薬</t>
  </si>
  <si>
    <t>彷徨人</t>
  </si>
  <si>
    <t>探索判定+1D</t>
  </si>
  <si>
    <t>行動支援</t>
  </si>
  <si>
    <t>0～1</t>
  </si>
  <si>
    <t>達成値に+SL</t>
  </si>
  <si>
    <t>錬金術師</t>
  </si>
  <si>
    <t>未来の譲渡</t>
  </si>
  <si>
    <t>セットアップ</t>
  </si>
  <si>
    <t>シーン</t>
  </si>
  <si>
    <t>手札を一枚譲渡する</t>
  </si>
  <si>
    <t>音無クク</t>
  </si>
  <si>
    <t>志乃</t>
  </si>
  <si>
    <t>カラスネコ</t>
  </si>
  <si>
    <t>スカー</t>
  </si>
  <si>
    <t>プレコグニション</t>
  </si>
  <si>
    <t>危険感知判定+1D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</si>
</sst>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s>
  <fonts count="46">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87">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8"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8"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8"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8"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8"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8"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8" applyNumberFormat="1" applyFill="1" applyBorder="1" applyAlignment="1" applyProtection="1">
      <alignment horizontal="right" vertical="center"/>
      <protection/>
    </xf>
    <xf numFmtId="38" fontId="0" fillId="0" borderId="14" xfId="48" applyNumberFormat="1" applyFill="1" applyBorder="1" applyAlignment="1" applyProtection="1">
      <alignment horizontal="right" vertical="center"/>
      <protection/>
    </xf>
    <xf numFmtId="38" fontId="0" fillId="0" borderId="20" xfId="48"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3" xfId="0" applyNumberForma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8" applyNumberFormat="1" applyFill="1" applyBorder="1" applyAlignment="1" applyProtection="1">
      <alignment vertical="center"/>
      <protection/>
    </xf>
    <xf numFmtId="38" fontId="0" fillId="0" borderId="31" xfId="48"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8"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8"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27" xfId="0" applyNumberFormat="1" applyBorder="1" applyAlignment="1">
      <alignment horizontal="center" vertical="center"/>
    </xf>
    <xf numFmtId="0" fontId="0" fillId="0" borderId="66" xfId="0" applyNumberFormat="1" applyBorder="1" applyAlignment="1">
      <alignment horizontal="center" vertical="center"/>
    </xf>
    <xf numFmtId="0" fontId="0" fillId="0" borderId="14" xfId="0" applyNumberFormat="1" applyBorder="1" applyAlignment="1">
      <alignment horizontal="center" vertical="center"/>
    </xf>
    <xf numFmtId="0" fontId="0" fillId="0" borderId="33" xfId="0" applyNumberFormat="1" applyBorder="1" applyAlignment="1">
      <alignment horizontal="center" vertical="center"/>
    </xf>
    <xf numFmtId="0" fontId="0" fillId="0" borderId="20" xfId="0" applyNumberFormat="1" applyBorder="1" applyAlignment="1">
      <alignment horizontal="center" vertical="center"/>
    </xf>
    <xf numFmtId="0" fontId="0" fillId="49" borderId="10" xfId="0" applyNumberFormat="1" applyFont="1" applyFill="1" applyBorder="1" applyAlignment="1">
      <alignment horizontal="center" vertical="center"/>
    </xf>
    <xf numFmtId="0" fontId="0" fillId="49" borderId="14" xfId="0" applyNumberFormat="1" applyFont="1" applyFill="1" applyBorder="1" applyAlignment="1">
      <alignment horizontal="center" vertical="center"/>
    </xf>
    <xf numFmtId="0" fontId="0" fillId="49" borderId="20"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1" xfId="0" applyNumberFormat="1" applyBorder="1" applyAlignment="1">
      <alignment horizontal="center" vertical="center"/>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14" xfId="48" applyNumberFormat="1" applyFill="1" applyBorder="1" applyAlignment="1" applyProtection="1">
      <alignment horizontal="center" vertical="center"/>
      <protection/>
    </xf>
    <xf numFmtId="38" fontId="0" fillId="0" borderId="20" xfId="48" applyNumberFormat="1" applyFill="1" applyBorder="1" applyAlignment="1" applyProtection="1">
      <alignment horizontal="center" vertical="center"/>
      <protection/>
    </xf>
    <xf numFmtId="38" fontId="0" fillId="0" borderId="33"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0" fontId="0" fillId="0" borderId="14" xfId="0" applyNumberFormat="1" applyFont="1" applyBorder="1" applyAlignment="1">
      <alignment horizontal="center" vertical="center"/>
    </xf>
    <xf numFmtId="0" fontId="0" fillId="43" borderId="33"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44" borderId="33" xfId="0" applyNumberFormat="1" applyFont="1" applyFill="1" applyBorder="1" applyAlignment="1">
      <alignment horizontal="center" vertical="center"/>
    </xf>
    <xf numFmtId="0" fontId="0" fillId="40" borderId="33" xfId="0" applyNumberFormat="1" applyFill="1" applyBorder="1" applyAlignment="1">
      <alignment horizontal="right" vertical="center"/>
    </xf>
    <xf numFmtId="0" fontId="0" fillId="40" borderId="10" xfId="0" applyNumberFormat="1" applyFill="1" applyBorder="1" applyAlignment="1">
      <alignment horizontal="right" vertical="center"/>
    </xf>
    <xf numFmtId="0" fontId="0" fillId="40" borderId="14" xfId="0" applyNumberFormat="1" applyFill="1" applyBorder="1" applyAlignment="1">
      <alignment horizontal="right" vertical="center"/>
    </xf>
    <xf numFmtId="0" fontId="0" fillId="46" borderId="33" xfId="0" applyNumberFormat="1" applyFont="1" applyFill="1" applyBorder="1" applyAlignment="1">
      <alignment horizontal="center" vertical="center"/>
    </xf>
    <xf numFmtId="0" fontId="0" fillId="50" borderId="33" xfId="0" applyNumberFormat="1" applyFont="1" applyFill="1" applyBorder="1" applyAlignment="1">
      <alignment horizontal="center" vertical="center"/>
    </xf>
    <xf numFmtId="0" fontId="0" fillId="46" borderId="33" xfId="0" applyNumberFormat="1" applyFill="1" applyBorder="1" applyAlignment="1">
      <alignment horizontal="center" vertical="center"/>
    </xf>
    <xf numFmtId="0" fontId="0" fillId="0" borderId="33" xfId="0" applyNumberFormat="1" applyBorder="1" applyAlignment="1">
      <alignment horizontal="right" vertical="center"/>
    </xf>
    <xf numFmtId="176" fontId="0" fillId="0" borderId="33" xfId="0" applyNumberFormat="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0" fillId="51" borderId="33" xfId="0" applyNumberFormat="1" applyFont="1" applyFill="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43" xfId="0" applyNumberFormat="1" applyBorder="1" applyAlignment="1">
      <alignment horizontal="center" vertical="center"/>
    </xf>
    <xf numFmtId="0" fontId="0" fillId="0" borderId="28" xfId="0" applyNumberFormat="1" applyBorder="1" applyAlignment="1">
      <alignment horizontal="center" vertical="center"/>
    </xf>
    <xf numFmtId="0" fontId="6" fillId="0" borderId="28" xfId="0" applyNumberFormat="1" applyFon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0" borderId="30" xfId="0" applyNumberFormat="1" applyBorder="1" applyAlignment="1">
      <alignment horizontal="center" vertical="center"/>
    </xf>
    <xf numFmtId="0" fontId="2" fillId="0" borderId="33" xfId="0" applyNumberFormat="1" applyFont="1" applyBorder="1" applyAlignment="1">
      <alignment horizontal="left" vertical="center" wrapText="1"/>
    </xf>
    <xf numFmtId="0" fontId="0" fillId="52"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213"/>
  <sheetViews>
    <sheetView tabSelected="1" zoomScale="91" zoomScaleNormal="91" zoomScalePageLayoutView="0" workbookViewId="0" topLeftCell="A1">
      <selection activeCell="K186" sqref="K186"/>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23" t="s">
        <v>505</v>
      </c>
      <c r="D2" s="323"/>
      <c r="E2" s="323"/>
      <c r="F2" s="2" t="s">
        <v>1</v>
      </c>
      <c r="G2" s="3">
        <v>166</v>
      </c>
      <c r="H2" s="4" t="s">
        <v>2</v>
      </c>
      <c r="I2" s="323">
        <f>C108</f>
        <v>5</v>
      </c>
      <c r="J2" s="5" t="s">
        <v>3</v>
      </c>
      <c r="K2" s="6" t="str">
        <f>C7</f>
        <v>異能者</v>
      </c>
      <c r="L2" s="2" t="s">
        <v>4</v>
      </c>
      <c r="M2" s="7">
        <f>VLOOKUP(K2,'武器・種族・職業のリスト'!B20:J37,9,FALSE)+VLOOKUP(K3,'武器・種族・職業のリスト'!B38:J50,9,FALSE)</f>
        <v>26</v>
      </c>
      <c r="N2" s="323"/>
      <c r="O2" s="323"/>
    </row>
    <row r="3" spans="2:17" ht="13.5">
      <c r="B3" s="8" t="s">
        <v>5</v>
      </c>
      <c r="C3" s="9" t="s">
        <v>517</v>
      </c>
      <c r="D3" s="10" t="s">
        <v>6</v>
      </c>
      <c r="E3" s="11" t="s">
        <v>499</v>
      </c>
      <c r="F3" s="8" t="s">
        <v>7</v>
      </c>
      <c r="G3" s="12">
        <v>43</v>
      </c>
      <c r="H3" s="13" t="s">
        <v>8</v>
      </c>
      <c r="I3" s="323"/>
      <c r="J3" s="14" t="s">
        <v>3</v>
      </c>
      <c r="K3" s="15" t="str">
        <f>C8</f>
        <v>探索者</v>
      </c>
      <c r="L3" s="16" t="s">
        <v>9</v>
      </c>
      <c r="M3" s="17">
        <f>VLOOKUP(K2,'武器・種族・職業のリスト'!B20:K37,10,FALSE)+VLOOKUP(K3,'武器・種族・職業のリスト'!B38:K50,10,FALSE)</f>
        <v>21</v>
      </c>
      <c r="N3" s="323"/>
      <c r="O3" s="323"/>
      <c r="Q3" s="18"/>
    </row>
    <row r="4" spans="2:18" ht="13.5">
      <c r="B4" s="8" t="s">
        <v>10</v>
      </c>
      <c r="C4" s="19" t="s">
        <v>497</v>
      </c>
      <c r="D4" s="14" t="s">
        <v>11</v>
      </c>
      <c r="E4" s="20" t="s">
        <v>499</v>
      </c>
      <c r="F4" s="8" t="s">
        <v>12</v>
      </c>
      <c r="G4" s="21" t="s">
        <v>500</v>
      </c>
      <c r="H4" s="16" t="s">
        <v>13</v>
      </c>
      <c r="I4" s="324" t="s">
        <v>527</v>
      </c>
      <c r="J4" s="324"/>
      <c r="N4" s="323"/>
      <c r="O4" s="323"/>
      <c r="R4" s="18"/>
    </row>
    <row r="5" spans="2:18" ht="13.5">
      <c r="B5" s="22" t="s">
        <v>14</v>
      </c>
      <c r="C5" s="323" t="s">
        <v>498</v>
      </c>
      <c r="D5" s="323"/>
      <c r="E5" s="323"/>
      <c r="F5" s="22" t="s">
        <v>15</v>
      </c>
      <c r="G5" s="23">
        <f>F118+E132+E138+E135+M10+E141</f>
        <v>120</v>
      </c>
      <c r="H5" s="24"/>
      <c r="N5" s="323"/>
      <c r="O5" s="323"/>
      <c r="R5" s="18"/>
    </row>
    <row r="6" spans="4:18" ht="13.5">
      <c r="D6" s="25"/>
      <c r="E6" s="25"/>
      <c r="F6" s="25"/>
      <c r="H6" s="26" t="s">
        <v>16</v>
      </c>
      <c r="J6" s="1" t="s">
        <v>17</v>
      </c>
      <c r="N6" s="323"/>
      <c r="O6" s="323"/>
      <c r="R6" s="18"/>
    </row>
    <row r="7" spans="2:18" ht="13.5">
      <c r="B7" s="5" t="s">
        <v>18</v>
      </c>
      <c r="C7" s="325" t="s">
        <v>234</v>
      </c>
      <c r="D7" s="325"/>
      <c r="E7" s="25"/>
      <c r="F7" s="27" t="s">
        <v>20</v>
      </c>
      <c r="G7" s="28">
        <f>M2+(VLOOKUP(K2,'武器・種族・職業のリスト'!B20:M37,11,FALSE)*(I2-1))+P80+K14*2+C78</f>
        <v>58</v>
      </c>
      <c r="H7" s="27" t="s">
        <v>21</v>
      </c>
      <c r="I7" s="29"/>
      <c r="J7" s="30" t="s">
        <v>22</v>
      </c>
      <c r="K7" s="31">
        <f>N75+C81</f>
        <v>8</v>
      </c>
      <c r="L7" s="32" t="s">
        <v>23</v>
      </c>
      <c r="M7" s="33">
        <v>140</v>
      </c>
      <c r="N7" s="323"/>
      <c r="O7" s="323"/>
      <c r="R7" s="18"/>
    </row>
    <row r="8" spans="2:18" ht="13.5">
      <c r="B8" s="34" t="s">
        <v>24</v>
      </c>
      <c r="C8" s="326" t="s">
        <v>241</v>
      </c>
      <c r="D8" s="326"/>
      <c r="F8" s="35" t="s">
        <v>25</v>
      </c>
      <c r="G8" s="36">
        <f>M3+(VLOOKUP(C7,'武器・種族・職業のリスト'!B20:M37,12,FALSE)*(I2-1))+P81+K19*2+C79</f>
        <v>49</v>
      </c>
      <c r="H8" s="35" t="s">
        <v>26</v>
      </c>
      <c r="I8" s="37">
        <f>K17+K18+VLOOKUP(K2,'武器・種族・職業のリスト'!B20:J37,8,FALSE)+VLOOKUP(K3,'武器・種族・職業のリスト'!B38:J50,8,FALSE)+K58+K75</f>
        <v>12</v>
      </c>
      <c r="J8" s="38" t="s">
        <v>27</v>
      </c>
      <c r="K8" s="39">
        <f>K19+O75+C82</f>
        <v>2</v>
      </c>
      <c r="L8" s="40" t="s">
        <v>28</v>
      </c>
      <c r="M8" s="41">
        <f>IF((M7-G5)&lt;0,"経験値が足りません",M7-G5)</f>
        <v>20</v>
      </c>
      <c r="N8" s="323"/>
      <c r="O8" s="323"/>
      <c r="R8" s="18"/>
    </row>
    <row r="9" spans="2:15" ht="13.5">
      <c r="B9" s="14" t="s">
        <v>29</v>
      </c>
      <c r="C9" s="327" t="s">
        <v>30</v>
      </c>
      <c r="D9" s="327"/>
      <c r="F9" s="42" t="s">
        <v>31</v>
      </c>
      <c r="G9" s="43">
        <f>5+IF(C9="鬼人",-2,0)+C131</f>
        <v>5</v>
      </c>
      <c r="H9" s="44" t="s">
        <v>32</v>
      </c>
      <c r="I9" s="45">
        <f>'好感度表'!F26</f>
        <v>0</v>
      </c>
      <c r="J9" s="38" t="s">
        <v>33</v>
      </c>
      <c r="K9" s="46">
        <f>K22</f>
        <v>6</v>
      </c>
      <c r="L9" s="47" t="s">
        <v>34</v>
      </c>
      <c r="M9" s="48">
        <f>120+K10+M10</f>
        <v>124</v>
      </c>
      <c r="N9" s="323"/>
      <c r="O9" s="323"/>
    </row>
    <row r="10" spans="6:15" ht="13.5">
      <c r="F10" s="49" t="s">
        <v>35</v>
      </c>
      <c r="H10" s="50" t="s">
        <v>36</v>
      </c>
      <c r="I10" s="51"/>
      <c r="J10" s="52" t="s">
        <v>37</v>
      </c>
      <c r="K10" s="53">
        <v>4</v>
      </c>
      <c r="L10" s="54" t="s">
        <v>38</v>
      </c>
      <c r="M10" s="55">
        <v>0</v>
      </c>
      <c r="N10" s="328" t="s">
        <v>39</v>
      </c>
      <c r="O10" s="328"/>
    </row>
    <row r="11" spans="2:15" ht="13.5">
      <c r="B11" s="56"/>
      <c r="H11"/>
      <c r="J11" s="26" t="s">
        <v>40</v>
      </c>
      <c r="N11" s="57"/>
      <c r="O11" s="57"/>
    </row>
    <row r="12" spans="2:15" ht="13.5">
      <c r="B12" s="329"/>
      <c r="C12" s="323" t="s">
        <v>41</v>
      </c>
      <c r="D12" s="330" t="s">
        <v>42</v>
      </c>
      <c r="E12" s="331" t="s">
        <v>43</v>
      </c>
      <c r="F12" s="331"/>
      <c r="G12" s="323" t="s">
        <v>44</v>
      </c>
      <c r="H12" s="323" t="s">
        <v>45</v>
      </c>
      <c r="I12" s="323" t="s">
        <v>46</v>
      </c>
      <c r="J12" s="323" t="s">
        <v>47</v>
      </c>
      <c r="K12" s="323" t="s">
        <v>48</v>
      </c>
      <c r="L12" s="332" t="s">
        <v>49</v>
      </c>
      <c r="M12" s="332" t="s">
        <v>50</v>
      </c>
      <c r="N12" s="333" t="s">
        <v>51</v>
      </c>
      <c r="O12"/>
    </row>
    <row r="13" spans="2:15" ht="18.75" customHeight="1">
      <c r="B13" s="329"/>
      <c r="C13" s="329"/>
      <c r="D13" s="329"/>
      <c r="E13" s="59" t="s">
        <v>52</v>
      </c>
      <c r="F13" s="61" t="s">
        <v>53</v>
      </c>
      <c r="G13" s="323"/>
      <c r="H13" s="323"/>
      <c r="I13" s="323"/>
      <c r="J13" s="323"/>
      <c r="K13" s="323"/>
      <c r="L13" s="323"/>
      <c r="M13" s="323"/>
      <c r="N13" s="323"/>
      <c r="O13"/>
    </row>
    <row r="14" spans="2:15" ht="13.5">
      <c r="B14" s="62" t="s">
        <v>54</v>
      </c>
      <c r="C14" s="63">
        <f>VLOOKUP($C$9,'武器・種族・職業のリスト'!$B$4:$K$17,2,0)</f>
        <v>3</v>
      </c>
      <c r="D14" s="64"/>
      <c r="E14" s="65">
        <f>VLOOKUP($C$7,'武器・種族・職業のリスト'!$B$21:$M$37,2,0)</f>
        <v>1</v>
      </c>
      <c r="F14" s="66">
        <f>VLOOKUP($C$8,'武器・種族・職業のリスト'!$B$38:$M$50,2,0)</f>
        <v>0</v>
      </c>
      <c r="G14" s="67">
        <f aca="true" t="shared" si="0" ref="G14:G22">C122</f>
        <v>0</v>
      </c>
      <c r="H14" s="68">
        <f aca="true" t="shared" si="1" ref="H14:H22">G14+SUM(C14:D14)</f>
        <v>3</v>
      </c>
      <c r="I14" s="69"/>
      <c r="J14" s="69"/>
      <c r="K14" s="68">
        <f aca="true" t="shared" si="2" ref="K14:K22">SUM(H14:J14)+SUM(E14:F14)</f>
        <v>4</v>
      </c>
      <c r="L14" s="70"/>
      <c r="M14" s="71"/>
      <c r="N14" s="72" t="str">
        <f aca="true" t="shared" si="3" ref="N14:N19">M14+2&amp;"D+"&amp;SUM(K14:L14)</f>
        <v>2D+4</v>
      </c>
      <c r="O14"/>
    </row>
    <row r="15" spans="2:15" ht="13.5">
      <c r="B15" s="59" t="s">
        <v>55</v>
      </c>
      <c r="C15" s="63">
        <f>VLOOKUP($C$9,'武器・種族・職業のリスト'!$B$4:$K$17,3,0)</f>
        <v>2</v>
      </c>
      <c r="D15" s="73"/>
      <c r="E15" s="74">
        <f>VLOOKUP($C$7,'武器・種族・職業のリスト'!$B$21:$M$37,3,0)</f>
        <v>0</v>
      </c>
      <c r="F15" s="74">
        <f>VLOOKUP($C$8,'武器・種族・職業のリスト'!$B$38:$M$50,3,0)</f>
        <v>0</v>
      </c>
      <c r="G15" s="75">
        <f t="shared" si="0"/>
        <v>0</v>
      </c>
      <c r="H15" s="68">
        <f t="shared" si="1"/>
        <v>2</v>
      </c>
      <c r="I15" s="76"/>
      <c r="J15" s="76"/>
      <c r="K15" s="68">
        <f t="shared" si="2"/>
        <v>2</v>
      </c>
      <c r="L15" s="77"/>
      <c r="M15" s="78"/>
      <c r="N15" s="72" t="str">
        <f t="shared" si="3"/>
        <v>2D+2</v>
      </c>
      <c r="O15"/>
    </row>
    <row r="16" spans="2:15" ht="13.5">
      <c r="B16" s="79" t="s">
        <v>56</v>
      </c>
      <c r="C16" s="63">
        <f>VLOOKUP($C$9,'武器・種族・職業のリスト'!$B$4:$K$17,4,0)</f>
        <v>3</v>
      </c>
      <c r="D16" s="73"/>
      <c r="E16" s="74">
        <f>VLOOKUP($C$7,'武器・種族・職業のリスト'!$B$21:$M$37,4,0)</f>
        <v>1</v>
      </c>
      <c r="F16" s="74">
        <f>VLOOKUP($C$8,'武器・種族・職業のリスト'!$B$38:$M$50,4,0)</f>
        <v>1</v>
      </c>
      <c r="G16" s="75">
        <f t="shared" si="0"/>
        <v>0</v>
      </c>
      <c r="H16" s="68">
        <f t="shared" si="1"/>
        <v>3</v>
      </c>
      <c r="I16" s="76"/>
      <c r="J16" s="76"/>
      <c r="K16" s="68">
        <f t="shared" si="2"/>
        <v>5</v>
      </c>
      <c r="L16" s="77"/>
      <c r="M16" s="78"/>
      <c r="N16" s="72" t="str">
        <f t="shared" si="3"/>
        <v>2D+5</v>
      </c>
      <c r="O16"/>
    </row>
    <row r="17" spans="2:15" ht="13.5">
      <c r="B17" s="59" t="s">
        <v>57</v>
      </c>
      <c r="C17" s="63">
        <f>VLOOKUP($C$9,'武器・種族・職業のリスト'!$B$4:$K$17,5,0)</f>
        <v>2</v>
      </c>
      <c r="D17" s="73">
        <v>3</v>
      </c>
      <c r="E17" s="74">
        <f>VLOOKUP($C$7,'武器・種族・職業のリスト'!$B$21:$M$37,5,0)</f>
        <v>0</v>
      </c>
      <c r="F17" s="74">
        <f>VLOOKUP($C$8,'武器・種族・職業のリスト'!$B$38:$M$50,5,0)</f>
        <v>1</v>
      </c>
      <c r="G17" s="75">
        <f t="shared" si="0"/>
        <v>0</v>
      </c>
      <c r="H17" s="68">
        <f t="shared" si="1"/>
        <v>5</v>
      </c>
      <c r="I17" s="76"/>
      <c r="J17" s="76"/>
      <c r="K17" s="68">
        <f t="shared" si="2"/>
        <v>6</v>
      </c>
      <c r="L17" s="77"/>
      <c r="M17" s="78"/>
      <c r="N17" s="72" t="str">
        <f t="shared" si="3"/>
        <v>2D+6</v>
      </c>
      <c r="O17"/>
    </row>
    <row r="18" spans="2:15" ht="13.5">
      <c r="B18" s="79" t="s">
        <v>58</v>
      </c>
      <c r="C18" s="63">
        <f>VLOOKUP($C$9,'武器・種族・職業のリスト'!$B$4:$K$17,6,0)</f>
        <v>2</v>
      </c>
      <c r="D18" s="73"/>
      <c r="E18" s="74">
        <f>VLOOKUP($C$7,'武器・種族・職業のリスト'!$B$21:$M$37,6,0)</f>
        <v>1</v>
      </c>
      <c r="F18" s="74">
        <f>VLOOKUP($C$8,'武器・種族・職業のリスト'!$B$38:$M$50,6,0)</f>
        <v>1</v>
      </c>
      <c r="G18" s="75">
        <f t="shared" si="0"/>
        <v>0</v>
      </c>
      <c r="H18" s="68">
        <f t="shared" si="1"/>
        <v>2</v>
      </c>
      <c r="I18" s="76"/>
      <c r="J18" s="76"/>
      <c r="K18" s="68">
        <f t="shared" si="2"/>
        <v>4</v>
      </c>
      <c r="L18" s="77"/>
      <c r="M18" s="78"/>
      <c r="N18" s="72" t="str">
        <f t="shared" si="3"/>
        <v>2D+4</v>
      </c>
      <c r="O18"/>
    </row>
    <row r="19" spans="2:15" ht="13.5">
      <c r="B19" s="59" t="s">
        <v>59</v>
      </c>
      <c r="C19" s="63">
        <f>VLOOKUP($C$9,'武器・種族・職業のリスト'!$B$4:$K$17,7,0)</f>
        <v>2</v>
      </c>
      <c r="D19" s="73"/>
      <c r="E19" s="74">
        <f>VLOOKUP($C$7,'武器・種族・職業のリスト'!$B$21:$M$37,7,0)</f>
        <v>0</v>
      </c>
      <c r="F19" s="74">
        <f>VLOOKUP($C$8,'武器・種族・職業のリスト'!$B$38:$M$50,7,0)</f>
        <v>0</v>
      </c>
      <c r="G19" s="75">
        <f t="shared" si="0"/>
        <v>0</v>
      </c>
      <c r="H19" s="68">
        <f t="shared" si="1"/>
        <v>2</v>
      </c>
      <c r="I19" s="76"/>
      <c r="J19" s="76"/>
      <c r="K19" s="68">
        <f t="shared" si="2"/>
        <v>2</v>
      </c>
      <c r="L19" s="77"/>
      <c r="M19" s="78"/>
      <c r="N19" s="72" t="str">
        <f t="shared" si="3"/>
        <v>2D+2</v>
      </c>
      <c r="O19"/>
    </row>
    <row r="20" spans="2:15" ht="13.5">
      <c r="B20" s="79" t="s">
        <v>60</v>
      </c>
      <c r="C20" s="63">
        <f>VLOOKUP($C$9,'武器・種族・職業のリスト'!$B$4:$K$17,8,0)</f>
        <v>2</v>
      </c>
      <c r="D20" s="73"/>
      <c r="E20" s="80">
        <v>0</v>
      </c>
      <c r="F20" s="63">
        <v>0</v>
      </c>
      <c r="G20" s="75">
        <f t="shared" si="0"/>
        <v>0</v>
      </c>
      <c r="H20" s="68">
        <f t="shared" si="1"/>
        <v>2</v>
      </c>
      <c r="I20" s="76"/>
      <c r="J20" s="76"/>
      <c r="K20" s="68">
        <f t="shared" si="2"/>
        <v>2</v>
      </c>
      <c r="L20" s="77"/>
      <c r="M20" s="78"/>
      <c r="N20" s="81" t="s">
        <v>61</v>
      </c>
      <c r="O20"/>
    </row>
    <row r="21" spans="2:15" ht="13.5">
      <c r="B21" s="59" t="s">
        <v>62</v>
      </c>
      <c r="C21" s="63">
        <f>VLOOKUP($C$9,'武器・種族・職業のリスト'!$B$4:$K$17,9,0)</f>
        <v>1</v>
      </c>
      <c r="D21" s="73"/>
      <c r="E21" s="80">
        <v>0</v>
      </c>
      <c r="F21" s="63">
        <v>0</v>
      </c>
      <c r="G21" s="75">
        <f t="shared" si="0"/>
        <v>0</v>
      </c>
      <c r="H21" s="68">
        <f t="shared" si="1"/>
        <v>1</v>
      </c>
      <c r="I21" s="76"/>
      <c r="J21" s="76"/>
      <c r="K21" s="68">
        <f t="shared" si="2"/>
        <v>1</v>
      </c>
      <c r="L21" s="77"/>
      <c r="M21" s="78"/>
      <c r="N21" s="81" t="s">
        <v>61</v>
      </c>
      <c r="O21"/>
    </row>
    <row r="22" spans="2:15" ht="13.5">
      <c r="B22" s="82" t="s">
        <v>33</v>
      </c>
      <c r="C22" s="83">
        <f>VLOOKUP($C$9,'武器・種族・職業のリスト'!$B$4:$K$17,10,0)</f>
        <v>2</v>
      </c>
      <c r="D22" s="84">
        <v>1</v>
      </c>
      <c r="E22" s="85">
        <v>0</v>
      </c>
      <c r="F22" s="83">
        <v>0</v>
      </c>
      <c r="G22" s="86">
        <f t="shared" si="0"/>
        <v>0</v>
      </c>
      <c r="H22" s="87">
        <f t="shared" si="1"/>
        <v>3</v>
      </c>
      <c r="I22" s="88">
        <v>3</v>
      </c>
      <c r="J22" s="88"/>
      <c r="K22" s="87">
        <f t="shared" si="2"/>
        <v>6</v>
      </c>
      <c r="L22" s="89"/>
      <c r="M22" s="90"/>
      <c r="N22" s="91" t="s">
        <v>61</v>
      </c>
      <c r="O22"/>
    </row>
    <row r="23" spans="2:13" ht="13.5">
      <c r="B23" s="25"/>
      <c r="G23" s="92"/>
      <c r="K23" s="93"/>
      <c r="L23" s="94"/>
      <c r="M23" s="95" t="s">
        <v>63</v>
      </c>
    </row>
    <row r="24" spans="2:12" ht="13.5">
      <c r="B24" s="25" t="s">
        <v>51</v>
      </c>
      <c r="C24" s="49"/>
      <c r="J24" s="96" t="s">
        <v>64</v>
      </c>
      <c r="K24" s="96"/>
      <c r="L24" s="97" t="s">
        <v>65</v>
      </c>
    </row>
    <row r="25" spans="2:14" ht="13.5">
      <c r="B25" s="58"/>
      <c r="C25" s="98" t="s">
        <v>66</v>
      </c>
      <c r="D25" s="99" t="s">
        <v>67</v>
      </c>
      <c r="E25" s="100" t="s">
        <v>47</v>
      </c>
      <c r="F25" s="59" t="s">
        <v>50</v>
      </c>
      <c r="G25" s="59" t="s">
        <v>51</v>
      </c>
      <c r="H25"/>
      <c r="J25" s="101" t="s">
        <v>68</v>
      </c>
      <c r="K25" s="334" t="s">
        <v>502</v>
      </c>
      <c r="L25" s="335"/>
      <c r="M25" s="335"/>
      <c r="N25" s="335"/>
    </row>
    <row r="26" spans="2:14" ht="13.5">
      <c r="B26" s="331" t="s">
        <v>69</v>
      </c>
      <c r="C26" s="331"/>
      <c r="D26" s="331"/>
      <c r="E26" s="331"/>
      <c r="F26" s="331"/>
      <c r="G26" s="331"/>
      <c r="H26"/>
      <c r="J26" s="101" t="s">
        <v>70</v>
      </c>
      <c r="K26" s="334" t="s">
        <v>503</v>
      </c>
      <c r="L26" s="335"/>
      <c r="M26" s="335"/>
      <c r="N26" s="335"/>
    </row>
    <row r="27" spans="2:14" ht="13.5">
      <c r="B27" s="103" t="s">
        <v>71</v>
      </c>
      <c r="C27" s="104">
        <f>K16+K21</f>
        <v>6</v>
      </c>
      <c r="D27" s="105">
        <v>0</v>
      </c>
      <c r="E27" s="106">
        <f>I56</f>
        <v>0</v>
      </c>
      <c r="F27" s="71">
        <v>0</v>
      </c>
      <c r="G27" s="72" t="str">
        <f>F27+2&amp;"D+"&amp;SUM(C27:E27)</f>
        <v>2D+6</v>
      </c>
      <c r="H27"/>
      <c r="J27" s="101" t="s">
        <v>72</v>
      </c>
      <c r="K27" s="334" t="s">
        <v>504</v>
      </c>
      <c r="L27" s="335"/>
      <c r="M27" s="335"/>
      <c r="N27" s="335"/>
    </row>
    <row r="28" spans="2:14" ht="13.5">
      <c r="B28" s="107" t="s">
        <v>73</v>
      </c>
      <c r="C28" s="63">
        <v>0</v>
      </c>
      <c r="D28" s="73">
        <v>0</v>
      </c>
      <c r="E28" s="108">
        <f>J56</f>
        <v>0</v>
      </c>
      <c r="F28" s="71">
        <v>0</v>
      </c>
      <c r="G28" s="72" t="str">
        <f>F28+K20&amp;"D+"&amp;SUM(C28:E28)</f>
        <v>2D+0</v>
      </c>
      <c r="H28"/>
      <c r="J28" s="336" t="s">
        <v>74</v>
      </c>
      <c r="K28" s="334" t="s">
        <v>518</v>
      </c>
      <c r="L28" s="334"/>
      <c r="M28" s="334"/>
      <c r="N28" s="334"/>
    </row>
    <row r="29" spans="2:14" ht="13.5">
      <c r="B29" s="107" t="s">
        <v>75</v>
      </c>
      <c r="C29" s="80">
        <f>K15</f>
        <v>2</v>
      </c>
      <c r="D29" s="73">
        <v>0</v>
      </c>
      <c r="E29" s="108">
        <f>N56</f>
        <v>0</v>
      </c>
      <c r="F29" s="71">
        <v>0</v>
      </c>
      <c r="G29" s="72" t="str">
        <f>F29+K20&amp;"D+"&amp;SUM(C29:E29)</f>
        <v>2D+2</v>
      </c>
      <c r="H29"/>
      <c r="J29" s="336"/>
      <c r="K29" s="334"/>
      <c r="L29" s="334"/>
      <c r="M29" s="334"/>
      <c r="N29" s="334"/>
    </row>
    <row r="30" spans="2:14" ht="13.5">
      <c r="B30" s="331" t="s">
        <v>76</v>
      </c>
      <c r="C30" s="331"/>
      <c r="D30" s="331"/>
      <c r="E30" s="331"/>
      <c r="F30" s="331"/>
      <c r="G30" s="331"/>
      <c r="H30"/>
      <c r="J30" s="336"/>
      <c r="K30" s="334"/>
      <c r="L30" s="334"/>
      <c r="M30" s="334"/>
      <c r="N30" s="334"/>
    </row>
    <row r="31" spans="2:14" ht="13.5">
      <c r="B31" s="103" t="s">
        <v>71</v>
      </c>
      <c r="C31" s="110">
        <f>K16+K21</f>
        <v>6</v>
      </c>
      <c r="D31" s="73">
        <v>0</v>
      </c>
      <c r="E31" s="108">
        <f>I57</f>
        <v>0</v>
      </c>
      <c r="F31" s="71">
        <v>0</v>
      </c>
      <c r="G31" s="72" t="str">
        <f>F31+2&amp;"D+"&amp;SUM(C31:E31)</f>
        <v>2D+6</v>
      </c>
      <c r="H31"/>
      <c r="J31" s="336"/>
      <c r="K31" s="334"/>
      <c r="L31" s="334"/>
      <c r="M31" s="334"/>
      <c r="N31" s="334"/>
    </row>
    <row r="32" spans="2:14" ht="13.5">
      <c r="B32" s="107" t="s">
        <v>73</v>
      </c>
      <c r="C32" s="74">
        <v>0</v>
      </c>
      <c r="D32" s="73">
        <v>0</v>
      </c>
      <c r="E32" s="108">
        <f>J57</f>
        <v>0</v>
      </c>
      <c r="F32" s="71">
        <v>0</v>
      </c>
      <c r="G32" s="72" t="str">
        <f>F32+K20&amp;"D+"&amp;SUM(C32:E32)</f>
        <v>2D+0</v>
      </c>
      <c r="H32"/>
      <c r="J32" s="336"/>
      <c r="K32" s="334"/>
      <c r="L32" s="334"/>
      <c r="M32" s="334"/>
      <c r="N32" s="334"/>
    </row>
    <row r="33" spans="2:14" ht="13.5">
      <c r="B33" s="107" t="s">
        <v>75</v>
      </c>
      <c r="C33" s="80">
        <f>K15</f>
        <v>2</v>
      </c>
      <c r="D33" s="73">
        <v>0</v>
      </c>
      <c r="E33" s="108">
        <f>N57</f>
        <v>0</v>
      </c>
      <c r="F33" s="71">
        <v>0</v>
      </c>
      <c r="G33" s="72" t="str">
        <f>F33+K20&amp;"D+"&amp;SUM(C33:E33)</f>
        <v>2D+2</v>
      </c>
      <c r="H33"/>
      <c r="J33" s="49" t="s">
        <v>77</v>
      </c>
      <c r="K33"/>
      <c r="L33"/>
      <c r="M33"/>
      <c r="N33"/>
    </row>
    <row r="34" spans="2:14" ht="13.5">
      <c r="B34" s="331" t="s">
        <v>78</v>
      </c>
      <c r="C34" s="331"/>
      <c r="D34" s="331"/>
      <c r="E34" s="331"/>
      <c r="F34" s="331"/>
      <c r="G34" s="331"/>
      <c r="H34"/>
      <c r="J34" s="49"/>
      <c r="K34"/>
      <c r="L34"/>
      <c r="M34"/>
      <c r="N34"/>
    </row>
    <row r="35" spans="2:14" ht="13.5">
      <c r="B35" s="107" t="s">
        <v>79</v>
      </c>
      <c r="C35" s="80">
        <f>K19+K21</f>
        <v>3</v>
      </c>
      <c r="D35" s="73">
        <v>0</v>
      </c>
      <c r="E35" s="108">
        <f>O58</f>
        <v>0</v>
      </c>
      <c r="F35" s="71">
        <v>0</v>
      </c>
      <c r="G35" s="72" t="str">
        <f>F35+2&amp;"D+"&amp;SUM(C35:E35)</f>
        <v>2D+3</v>
      </c>
      <c r="H35"/>
      <c r="J35"/>
      <c r="K35"/>
      <c r="L35"/>
      <c r="M35"/>
      <c r="N35"/>
    </row>
    <row r="36" spans="2:14" ht="13.5" customHeight="1">
      <c r="B36" s="111" t="s">
        <v>80</v>
      </c>
      <c r="C36" s="85">
        <f>K17</f>
        <v>6</v>
      </c>
      <c r="D36" s="84">
        <v>4</v>
      </c>
      <c r="E36" s="112">
        <f>I75</f>
        <v>2</v>
      </c>
      <c r="F36" s="113">
        <v>0</v>
      </c>
      <c r="G36" s="114" t="str">
        <f>F36+2&amp;"D+"&amp;SUM(C36:E36)</f>
        <v>2D+12</v>
      </c>
      <c r="H36"/>
      <c r="J36"/>
      <c r="K36"/>
      <c r="L36"/>
      <c r="M36"/>
      <c r="N36"/>
    </row>
    <row r="37" spans="2:11" ht="13.5" customHeight="1">
      <c r="B37" s="115"/>
      <c r="D37" s="94"/>
      <c r="E37" s="94"/>
      <c r="G37" s="92"/>
      <c r="H37"/>
      <c r="I37" s="94"/>
      <c r="K37"/>
    </row>
    <row r="38" spans="2:14" ht="13.5">
      <c r="B38" s="56" t="s">
        <v>81</v>
      </c>
      <c r="C38" s="49"/>
      <c r="H38"/>
      <c r="J38" s="18" t="s">
        <v>82</v>
      </c>
      <c r="K38" s="18"/>
      <c r="N38" s="49"/>
    </row>
    <row r="39" spans="2:15" ht="13.5">
      <c r="B39" s="116"/>
      <c r="C39" s="117" t="s">
        <v>51</v>
      </c>
      <c r="D39" s="100" t="s">
        <v>67</v>
      </c>
      <c r="E39" s="59" t="s">
        <v>47</v>
      </c>
      <c r="F39" s="59" t="s">
        <v>50</v>
      </c>
      <c r="G39" s="59" t="s">
        <v>83</v>
      </c>
      <c r="H39"/>
      <c r="J39" s="118" t="s">
        <v>84</v>
      </c>
      <c r="K39" s="337">
        <v>100000</v>
      </c>
      <c r="L39" s="337"/>
      <c r="M39" s="120"/>
      <c r="N39" s="120"/>
      <c r="O39" s="120"/>
    </row>
    <row r="40" spans="2:15" ht="13.5">
      <c r="B40" s="121" t="s">
        <v>85</v>
      </c>
      <c r="C40" s="122">
        <f>K18</f>
        <v>4</v>
      </c>
      <c r="D40" s="105">
        <v>0</v>
      </c>
      <c r="E40" s="123">
        <v>0</v>
      </c>
      <c r="F40" s="71">
        <v>1</v>
      </c>
      <c r="G40" s="72" t="str">
        <f aca="true" t="shared" si="4" ref="G40:G46">F40+2&amp;"D+"&amp;SUM(C40:E40)</f>
        <v>3D+4</v>
      </c>
      <c r="H40"/>
      <c r="J40" s="124" t="s">
        <v>86</v>
      </c>
      <c r="K40" s="338">
        <v>380000</v>
      </c>
      <c r="L40" s="338"/>
      <c r="M40" s="120"/>
      <c r="N40" s="120"/>
      <c r="O40" s="120"/>
    </row>
    <row r="41" spans="2:15" ht="13.5">
      <c r="B41" s="126" t="s">
        <v>87</v>
      </c>
      <c r="C41" s="127">
        <f>K16</f>
        <v>5</v>
      </c>
      <c r="D41" s="73">
        <v>0</v>
      </c>
      <c r="E41" s="128">
        <v>0</v>
      </c>
      <c r="F41" s="71">
        <v>0</v>
      </c>
      <c r="G41" s="72" t="str">
        <f t="shared" si="4"/>
        <v>2D+5</v>
      </c>
      <c r="H41"/>
      <c r="J41" s="129" t="s">
        <v>88</v>
      </c>
      <c r="K41" s="339">
        <v>510000</v>
      </c>
      <c r="L41" s="339"/>
      <c r="M41" s="120"/>
      <c r="N41" s="120"/>
      <c r="O41" s="120"/>
    </row>
    <row r="42" spans="2:15" ht="13.5">
      <c r="B42" s="126" t="s">
        <v>89</v>
      </c>
      <c r="C42" s="127">
        <f>K15</f>
        <v>2</v>
      </c>
      <c r="D42" s="73">
        <v>0</v>
      </c>
      <c r="E42" s="128">
        <v>0</v>
      </c>
      <c r="F42" s="71">
        <v>0</v>
      </c>
      <c r="G42" s="72" t="str">
        <f t="shared" si="4"/>
        <v>2D+2</v>
      </c>
      <c r="H42"/>
      <c r="J42" s="130" t="s">
        <v>82</v>
      </c>
      <c r="K42" s="340">
        <f>K39+K41-K40</f>
        <v>230000</v>
      </c>
      <c r="L42" s="340"/>
      <c r="M42" s="120"/>
      <c r="N42" s="120"/>
      <c r="O42" s="120"/>
    </row>
    <row r="43" spans="2:15" ht="13.5">
      <c r="B43" s="126" t="s">
        <v>90</v>
      </c>
      <c r="C43" s="127">
        <f>K18</f>
        <v>4</v>
      </c>
      <c r="D43" s="73">
        <v>0</v>
      </c>
      <c r="E43" s="128">
        <v>0</v>
      </c>
      <c r="F43" s="71">
        <v>1</v>
      </c>
      <c r="G43" s="72" t="str">
        <f t="shared" si="4"/>
        <v>3D+4</v>
      </c>
      <c r="H43"/>
      <c r="M43" s="120"/>
      <c r="N43" s="120"/>
      <c r="O43" s="120"/>
    </row>
    <row r="44" spans="2:15" ht="13.5">
      <c r="B44" s="126" t="s">
        <v>91</v>
      </c>
      <c r="C44" s="127">
        <f>K15</f>
        <v>2</v>
      </c>
      <c r="D44" s="73">
        <v>0</v>
      </c>
      <c r="E44" s="128">
        <v>0</v>
      </c>
      <c r="F44" s="71">
        <v>0</v>
      </c>
      <c r="G44" s="72" t="str">
        <f t="shared" si="4"/>
        <v>2D+2</v>
      </c>
      <c r="H44"/>
      <c r="J44" s="131" t="s">
        <v>92</v>
      </c>
      <c r="K44" s="132">
        <v>1</v>
      </c>
      <c r="L44" s="133"/>
      <c r="M44" s="120"/>
      <c r="N44" s="120"/>
      <c r="O44" s="120"/>
    </row>
    <row r="45" spans="2:15" ht="13.5">
      <c r="B45" s="126" t="s">
        <v>93</v>
      </c>
      <c r="C45" s="127">
        <f>K15</f>
        <v>2</v>
      </c>
      <c r="D45" s="73">
        <v>0</v>
      </c>
      <c r="E45" s="128">
        <v>0</v>
      </c>
      <c r="F45" s="78">
        <v>0</v>
      </c>
      <c r="G45" s="134" t="str">
        <f t="shared" si="4"/>
        <v>2D+2</v>
      </c>
      <c r="H45"/>
      <c r="K45" s="133"/>
      <c r="L45" s="133"/>
      <c r="M45" s="120"/>
      <c r="N45" s="120"/>
      <c r="O45" s="120"/>
    </row>
    <row r="46" spans="2:15" ht="13.5">
      <c r="B46" s="135" t="s">
        <v>94</v>
      </c>
      <c r="C46" s="136">
        <f>K18</f>
        <v>4</v>
      </c>
      <c r="D46" s="84">
        <v>1</v>
      </c>
      <c r="E46" s="137">
        <v>0</v>
      </c>
      <c r="F46" s="113">
        <v>1</v>
      </c>
      <c r="G46" s="138" t="str">
        <f t="shared" si="4"/>
        <v>3D+5</v>
      </c>
      <c r="H46"/>
      <c r="K46" s="133"/>
      <c r="L46" s="133"/>
      <c r="M46" s="120"/>
      <c r="N46" s="120"/>
      <c r="O46" s="120"/>
    </row>
    <row r="47" spans="11:15" ht="13.5">
      <c r="K47" s="133"/>
      <c r="L47" s="133"/>
      <c r="M47" s="341"/>
      <c r="N47" s="341"/>
      <c r="O47" s="341"/>
    </row>
    <row r="48" spans="2:13" ht="13.5">
      <c r="B48" s="56" t="s">
        <v>95</v>
      </c>
      <c r="C48" s="49" t="str">
        <f>IF(OR((K14*3)&lt;(SUM($H$50:$H$53)+SUM($H$61:$H$62)),(K14*3)&lt;(H60+SUM($H$63:$H$64))),"重量限界値を超えています","限界値を超えている場合、ココに表示されます")</f>
        <v>限界値を超えている場合、ココに表示されます</v>
      </c>
      <c r="H48" s="49" t="s">
        <v>96</v>
      </c>
      <c r="M48" s="49"/>
    </row>
    <row r="49" spans="2:16" ht="13.5">
      <c r="B49" s="139"/>
      <c r="C49" s="331" t="s">
        <v>97</v>
      </c>
      <c r="D49" s="331"/>
      <c r="E49" s="140" t="s">
        <v>98</v>
      </c>
      <c r="F49" s="59" t="s">
        <v>99</v>
      </c>
      <c r="G49" s="59" t="s">
        <v>8</v>
      </c>
      <c r="H49" s="59" t="s">
        <v>100</v>
      </c>
      <c r="I49" s="59" t="s">
        <v>101</v>
      </c>
      <c r="J49" s="141" t="s">
        <v>102</v>
      </c>
      <c r="K49" s="142" t="s">
        <v>103</v>
      </c>
      <c r="L49" s="59" t="s">
        <v>104</v>
      </c>
      <c r="M49" s="142" t="s">
        <v>105</v>
      </c>
      <c r="N49" s="59" t="s">
        <v>106</v>
      </c>
      <c r="O49" s="59" t="s">
        <v>79</v>
      </c>
      <c r="P49" s="59" t="s">
        <v>21</v>
      </c>
    </row>
    <row r="50" spans="2:16" ht="13.5">
      <c r="B50" s="143" t="s">
        <v>69</v>
      </c>
      <c r="C50" s="342" t="s">
        <v>107</v>
      </c>
      <c r="D50" s="342"/>
      <c r="E50" s="145" t="str">
        <f>VLOOKUP($C50,'武器・種族・職業のリスト'!$B$54:$M$228,3,FALSE)</f>
        <v>なし</v>
      </c>
      <c r="F50" s="146" t="str">
        <f>VLOOKUP($C50,'武器・種族・職業のリスト'!$B$54:$M$228,4,FALSE)</f>
        <v>片手</v>
      </c>
      <c r="G50" s="146">
        <f>VLOOKUP($C50,'武器・種族・職業のリスト'!$B$54:$M$228,5,FALSE)</f>
        <v>1</v>
      </c>
      <c r="H50" s="146">
        <f>VLOOKUP($C50,'武器・種族・職業のリスト'!$B$54:$M$228,6,FALSE)</f>
        <v>0</v>
      </c>
      <c r="I50" s="146">
        <f>VLOOKUP($C50,'武器・種族・職業のリスト'!$B$54:$M$228,7,FALSE)</f>
        <v>0</v>
      </c>
      <c r="J50" s="146">
        <f>VLOOKUP($C50,'武器・種族・職業のリスト'!$B$54:$M$228,8,FALSE)</f>
        <v>0</v>
      </c>
      <c r="K50" s="146">
        <f>VLOOKUP($C50,'武器・種族・職業のリスト'!$B$54:$M$228,9,FALSE)</f>
        <v>0</v>
      </c>
      <c r="L50" s="146">
        <f>VLOOKUP($C50,'武器・種族・職業のリスト'!$B$54:$M$228,10,FALSE)</f>
        <v>1</v>
      </c>
      <c r="M50" s="146">
        <f>VLOOKUP($C50,'武器・種族・職業のリスト'!$B$54:$M$228,11,FALSE)</f>
        <v>0</v>
      </c>
      <c r="N50" s="146">
        <f>VLOOKUP($C50,'武器・種族・職業のリスト'!$B$54:$M$228,12,FALSE)</f>
        <v>0</v>
      </c>
      <c r="O50" s="147">
        <v>0</v>
      </c>
      <c r="P50" s="148"/>
    </row>
    <row r="51" spans="2:16" ht="14.25" thickBot="1">
      <c r="B51" s="149" t="s">
        <v>76</v>
      </c>
      <c r="C51" s="342" t="s">
        <v>107</v>
      </c>
      <c r="D51" s="342"/>
      <c r="E51" s="145" t="str">
        <f>VLOOKUP($C51,'武器・種族・職業のリスト'!$B$54:$M$228,3,FALSE)</f>
        <v>なし</v>
      </c>
      <c r="F51" s="146" t="str">
        <f>VLOOKUP($C51,'武器・種族・職業のリスト'!$B$54:$M$228,4,FALSE)</f>
        <v>片手</v>
      </c>
      <c r="G51" s="146">
        <f>VLOOKUP($C51,'武器・種族・職業のリスト'!$B$54:$M$228,5,FALSE)</f>
        <v>1</v>
      </c>
      <c r="H51" s="146">
        <f>VLOOKUP($C51,'武器・種族・職業のリスト'!$B$54:$M$228,6,FALSE)</f>
        <v>0</v>
      </c>
      <c r="I51" s="146">
        <f>VLOOKUP($C51,'武器・種族・職業のリスト'!$B$54:$M$228,7,FALSE)</f>
        <v>0</v>
      </c>
      <c r="J51" s="146">
        <f>VLOOKUP($C51,'武器・種族・職業のリスト'!$B$54:$M$228,8,FALSE)</f>
        <v>0</v>
      </c>
      <c r="K51" s="146">
        <f>VLOOKUP($C51,'武器・種族・職業のリスト'!$B$54:$M$228,9,FALSE)</f>
        <v>0</v>
      </c>
      <c r="L51" s="146">
        <f>VLOOKUP($C51,'武器・種族・職業のリスト'!$B$54:$M$228,10,FALSE)</f>
        <v>1</v>
      </c>
      <c r="M51" s="146">
        <f>VLOOKUP($C51,'武器・種族・職業のリスト'!$B$54:$M$228,11,FALSE)</f>
        <v>0</v>
      </c>
      <c r="N51" s="146">
        <f>VLOOKUP($C51,'武器・種族・職業のリスト'!$B$54:$M$228,12,FALSE)</f>
        <v>0</v>
      </c>
      <c r="O51" s="147">
        <v>0</v>
      </c>
      <c r="P51" s="148"/>
    </row>
    <row r="52" spans="2:16" ht="13.5" hidden="1" outlineLevel="1">
      <c r="B52" s="343" t="s">
        <v>108</v>
      </c>
      <c r="C52" s="344"/>
      <c r="D52" s="344"/>
      <c r="E52" s="150"/>
      <c r="F52" s="150"/>
      <c r="G52" s="151"/>
      <c r="H52" s="69"/>
      <c r="I52" s="69"/>
      <c r="J52" s="69"/>
      <c r="K52" s="152"/>
      <c r="L52" s="150"/>
      <c r="M52" s="153"/>
      <c r="N52" s="69"/>
      <c r="O52" s="69"/>
      <c r="P52" s="69"/>
    </row>
    <row r="53" spans="2:16" ht="13.5" hidden="1" outlineLevel="1">
      <c r="B53" s="343"/>
      <c r="C53" s="324"/>
      <c r="D53" s="324"/>
      <c r="E53" s="154"/>
      <c r="F53" s="154"/>
      <c r="G53" s="155"/>
      <c r="H53" s="156"/>
      <c r="I53" s="156"/>
      <c r="J53" s="156"/>
      <c r="L53" s="154"/>
      <c r="M53" s="157"/>
      <c r="N53" s="156"/>
      <c r="O53" s="158"/>
      <c r="P53" s="158"/>
    </row>
    <row r="54" spans="2:16" ht="13.5" hidden="1" outlineLevel="1">
      <c r="B54" s="144" t="s">
        <v>109</v>
      </c>
      <c r="C54" s="344"/>
      <c r="D54" s="344"/>
      <c r="E54" s="344"/>
      <c r="F54" s="344"/>
      <c r="G54" s="344"/>
      <c r="H54" s="344"/>
      <c r="I54" s="344"/>
      <c r="J54" s="344"/>
      <c r="K54" s="344"/>
      <c r="L54" s="344"/>
      <c r="M54" s="344"/>
      <c r="N54" s="344"/>
      <c r="O54" s="344"/>
      <c r="P54" s="344"/>
    </row>
    <row r="55" spans="2:16" ht="13.5" hidden="1" outlineLevel="1">
      <c r="B55" s="82" t="s">
        <v>110</v>
      </c>
      <c r="C55" s="324"/>
      <c r="D55" s="324"/>
      <c r="E55" s="324"/>
      <c r="F55" s="324"/>
      <c r="G55" s="324"/>
      <c r="H55" s="324"/>
      <c r="I55" s="324"/>
      <c r="J55" s="324"/>
      <c r="K55" s="324"/>
      <c r="L55" s="324"/>
      <c r="M55" s="324"/>
      <c r="N55" s="324"/>
      <c r="O55" s="324"/>
      <c r="P55" s="324"/>
    </row>
    <row r="56" spans="1:256" ht="14.25" collapsed="1" thickBot="1">
      <c r="A56"/>
      <c r="B56" s="159" t="s">
        <v>69</v>
      </c>
      <c r="C56" s="345" t="s">
        <v>111</v>
      </c>
      <c r="D56" s="345"/>
      <c r="E56" s="160" t="s">
        <v>61</v>
      </c>
      <c r="F56" s="160" t="s">
        <v>61</v>
      </c>
      <c r="G56" s="160">
        <f aca="true" t="shared" si="5" ref="G56:N57">G50+G52</f>
        <v>1</v>
      </c>
      <c r="H56" s="161">
        <f t="shared" si="5"/>
        <v>0</v>
      </c>
      <c r="I56" s="161">
        <f t="shared" si="5"/>
        <v>0</v>
      </c>
      <c r="J56" s="161">
        <f t="shared" si="5"/>
        <v>0</v>
      </c>
      <c r="K56" s="161">
        <f t="shared" si="5"/>
        <v>0</v>
      </c>
      <c r="L56" s="160">
        <f t="shared" si="5"/>
        <v>1</v>
      </c>
      <c r="M56" s="161">
        <f t="shared" si="5"/>
        <v>0</v>
      </c>
      <c r="N56" s="161">
        <f t="shared" si="5"/>
        <v>0</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76</v>
      </c>
      <c r="C57" s="345" t="s">
        <v>112</v>
      </c>
      <c r="D57" s="345"/>
      <c r="E57" s="160" t="s">
        <v>61</v>
      </c>
      <c r="F57" s="160" t="s">
        <v>61</v>
      </c>
      <c r="G57" s="160">
        <f t="shared" si="5"/>
        <v>1</v>
      </c>
      <c r="H57" s="161">
        <f t="shared" si="5"/>
        <v>0</v>
      </c>
      <c r="I57" s="161">
        <f t="shared" si="5"/>
        <v>0</v>
      </c>
      <c r="J57" s="161">
        <f t="shared" si="5"/>
        <v>0</v>
      </c>
      <c r="K57" s="161">
        <f t="shared" si="5"/>
        <v>0</v>
      </c>
      <c r="L57" s="160">
        <f t="shared" si="5"/>
        <v>1</v>
      </c>
      <c r="M57" s="161">
        <f t="shared" si="5"/>
        <v>0</v>
      </c>
      <c r="N57" s="161">
        <f t="shared" si="5"/>
        <v>0</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113</v>
      </c>
      <c r="C58" s="346" t="str">
        <f>SUM(H50:H53)+SUM(H61:H62)&amp;"/"&amp;K14*3&amp;"(重量/限界値）"</f>
        <v>4/12(重量/限界値）</v>
      </c>
      <c r="D58" s="346"/>
      <c r="E58" s="59" t="s">
        <v>61</v>
      </c>
      <c r="F58" s="59" t="s">
        <v>61</v>
      </c>
      <c r="G58" s="59" t="s">
        <v>61</v>
      </c>
      <c r="H58" s="61">
        <f>SUM(H50:H53)</f>
        <v>0</v>
      </c>
      <c r="I58" s="61">
        <f>SUM(I50:I53)</f>
        <v>0</v>
      </c>
      <c r="J58" s="61">
        <f>SUM(J50:J53)</f>
        <v>0</v>
      </c>
      <c r="K58" s="61">
        <f>SUM(K50:K53)</f>
        <v>0</v>
      </c>
      <c r="L58" s="59" t="s">
        <v>61</v>
      </c>
      <c r="M58" s="61">
        <f>SUM(M50:M53)</f>
        <v>0</v>
      </c>
      <c r="N58" s="61">
        <f>SUM(N50:N53)</f>
        <v>0</v>
      </c>
      <c r="O58" s="163">
        <f>SUM(O50:O53)</f>
        <v>0</v>
      </c>
      <c r="P58" s="61"/>
    </row>
    <row r="59" spans="2:16" ht="13.5">
      <c r="B59" s="59"/>
      <c r="C59" s="331" t="s">
        <v>97</v>
      </c>
      <c r="D59" s="331"/>
      <c r="E59" s="59" t="s">
        <v>98</v>
      </c>
      <c r="F59" s="59" t="s">
        <v>99</v>
      </c>
      <c r="G59" s="59" t="s">
        <v>8</v>
      </c>
      <c r="H59" s="59" t="s">
        <v>100</v>
      </c>
      <c r="I59" s="59" t="s">
        <v>114</v>
      </c>
      <c r="J59" s="141" t="s">
        <v>102</v>
      </c>
      <c r="K59" s="142" t="s">
        <v>103</v>
      </c>
      <c r="L59" s="59" t="s">
        <v>104</v>
      </c>
      <c r="M59" s="142" t="s">
        <v>105</v>
      </c>
      <c r="N59" s="59" t="s">
        <v>22</v>
      </c>
      <c r="O59" s="142" t="s">
        <v>27</v>
      </c>
      <c r="P59" s="82" t="s">
        <v>21</v>
      </c>
    </row>
    <row r="60" spans="2:16" ht="13.5">
      <c r="B60" s="164" t="s">
        <v>115</v>
      </c>
      <c r="C60" s="342" t="s">
        <v>389</v>
      </c>
      <c r="D60" s="342"/>
      <c r="E60" s="165" t="str">
        <f>VLOOKUP(C60,'防具リスト表'!$B$5:$N$201,3,0)</f>
        <v>鎧</v>
      </c>
      <c r="F60" s="165" t="str">
        <f>VLOOKUP(C60,'防具リスト表'!$B$5:$N$201,4,0)</f>
        <v>胴</v>
      </c>
      <c r="G60" s="75">
        <f>VLOOKUP(C60,'防具リスト表'!$B$5:$N$201,5,0)</f>
        <v>1</v>
      </c>
      <c r="H60" s="75">
        <f>VLOOKUP(C60,'防具リスト表'!$B$5:$N$201,6,0)</f>
        <v>4</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50000</v>
      </c>
      <c r="N60" s="75">
        <f>VLOOKUP(C60,'防具リスト表'!$B$5:$N$201,12,0)</f>
        <v>4</v>
      </c>
      <c r="O60" s="166">
        <f>VLOOKUP(C60,'防具リスト表'!$B$5:$N$201,13,0)</f>
        <v>0</v>
      </c>
      <c r="P60" s="76"/>
    </row>
    <row r="61" spans="2:16" ht="13.5">
      <c r="B61" s="11" t="s">
        <v>117</v>
      </c>
      <c r="C61" s="347" t="s">
        <v>421</v>
      </c>
      <c r="D61" s="347"/>
      <c r="E61" s="165" t="str">
        <f>VLOOKUP(C61,'防具リスト表'!$B$5:$N$201,3,0)</f>
        <v>盾</v>
      </c>
      <c r="F61" s="165" t="str">
        <f>VLOOKUP(C61,'防具リスト表'!$B$5:$N$201,4,0)</f>
        <v>片手</v>
      </c>
      <c r="G61" s="75">
        <f>VLOOKUP(C61,'防具リスト表'!$B$5:$N$201,5,0)</f>
        <v>1</v>
      </c>
      <c r="H61" s="75">
        <f>VLOOKUP(C61,'防具リスト表'!$B$5:$N$201,6,0)</f>
        <v>4</v>
      </c>
      <c r="I61" s="75">
        <f>VLOOKUP(C61,'防具リスト表'!$B$5:$N$201,7,0)</f>
        <v>0</v>
      </c>
      <c r="J61" s="75">
        <f>VLOOKUP(C61,'防具リスト表'!$B$5:$N$201,8,0)</f>
        <v>0</v>
      </c>
      <c r="K61" s="166">
        <f>VLOOKUP(C61,'防具リスト表'!$B$5:$N$201,9,0)</f>
        <v>0</v>
      </c>
      <c r="L61" s="75">
        <f>VLOOKUP(C61,'防具リスト表'!$B$5:$N$201,10,0)</f>
        <v>0</v>
      </c>
      <c r="M61" s="167">
        <f>VLOOKUP(C61,'防具リスト表'!$B$5:$N$201,11,0)</f>
        <v>30000</v>
      </c>
      <c r="N61" s="75">
        <f>VLOOKUP(C61,'防具リスト表'!$B$5:$N$201,12,0)</f>
        <v>2</v>
      </c>
      <c r="O61" s="166">
        <f>VLOOKUP(C61,'防具リスト表'!$B$5:$N$201,13,0)</f>
        <v>0</v>
      </c>
      <c r="P61" s="76"/>
    </row>
    <row r="62" spans="2:16" ht="13.5">
      <c r="B62" s="11" t="s">
        <v>117</v>
      </c>
      <c r="C62" s="347" t="s">
        <v>116</v>
      </c>
      <c r="D62" s="347"/>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118</v>
      </c>
      <c r="C63" s="347" t="s">
        <v>432</v>
      </c>
      <c r="D63" s="347"/>
      <c r="E63" s="165" t="str">
        <f>VLOOKUP(C63,'防具リスト表'!$B$5:$N$201,3,0)</f>
        <v>装身具</v>
      </c>
      <c r="F63" s="165" t="str">
        <f>VLOOKUP(C63,'防具リスト表'!$B$5:$N$201,4,0)</f>
        <v>装身具</v>
      </c>
      <c r="G63" s="75">
        <f>VLOOKUP(C63,'防具リスト表'!$B$5:$N$201,5,0)</f>
        <v>1</v>
      </c>
      <c r="H63" s="75">
        <f>VLOOKUP(C63,'防具リスト表'!$B$5:$N$201,6,0)</f>
        <v>1</v>
      </c>
      <c r="I63" s="75">
        <f>VLOOKUP(C63,'防具リスト表'!$B$5:$N$201,7,0)</f>
        <v>1</v>
      </c>
      <c r="J63" s="75">
        <f>VLOOKUP(C63,'防具リスト表'!$B$5:$N$201,8,0)</f>
        <v>0</v>
      </c>
      <c r="K63" s="166">
        <f>VLOOKUP(C63,'防具リスト表'!$B$5:$N$201,9,0)</f>
        <v>0</v>
      </c>
      <c r="L63" s="75">
        <f>VLOOKUP(C63,'防具リスト表'!$B$5:$N$201,10,0)</f>
        <v>0</v>
      </c>
      <c r="M63" s="167">
        <f>VLOOKUP(C63,'防具リスト表'!$B$5:$N$201,11,0)</f>
        <v>150000</v>
      </c>
      <c r="N63" s="75">
        <f>VLOOKUP(C63,'防具リスト表'!$B$5:$N$201,12,0)</f>
        <v>1</v>
      </c>
      <c r="O63" s="166">
        <f>VLOOKUP(C63,'防具リスト表'!$B$5:$N$201,13,0)</f>
        <v>0</v>
      </c>
      <c r="P63" s="76"/>
    </row>
    <row r="64" spans="2:16" ht="14.25" thickBot="1">
      <c r="B64" s="170" t="s">
        <v>118</v>
      </c>
      <c r="C64" s="347" t="s">
        <v>432</v>
      </c>
      <c r="D64" s="347"/>
      <c r="E64" s="165" t="str">
        <f>VLOOKUP(C64,'防具リスト表'!$B$5:$N$201,3,0)</f>
        <v>装身具</v>
      </c>
      <c r="F64" s="165" t="str">
        <f>VLOOKUP(C64,'防具リスト表'!$B$5:$N$201,4,0)</f>
        <v>装身具</v>
      </c>
      <c r="G64" s="75">
        <f>VLOOKUP(C64,'防具リスト表'!$B$5:$N$201,5,0)</f>
        <v>1</v>
      </c>
      <c r="H64" s="75">
        <f>VLOOKUP(C64,'防具リスト表'!$B$5:$N$201,6,0)</f>
        <v>1</v>
      </c>
      <c r="I64" s="75">
        <f>VLOOKUP(C64,'防具リスト表'!$B$5:$N$201,7,0)</f>
        <v>1</v>
      </c>
      <c r="J64" s="75">
        <f>VLOOKUP(C64,'防具リスト表'!$B$5:$N$201,8,0)</f>
        <v>0</v>
      </c>
      <c r="K64" s="166">
        <f>VLOOKUP(C64,'防具リスト表'!$B$5:$N$201,9,0)</f>
        <v>0</v>
      </c>
      <c r="L64" s="75">
        <f>VLOOKUP(C64,'防具リスト表'!$B$5:$N$201,10,0)</f>
        <v>0</v>
      </c>
      <c r="M64" s="167">
        <f>VLOOKUP(C64,'防具リスト表'!$B$5:$N$201,11,0)</f>
        <v>150000</v>
      </c>
      <c r="N64" s="75">
        <f>VLOOKUP(C64,'防具リスト表'!$B$5:$N$201,12,0)</f>
        <v>1</v>
      </c>
      <c r="O64" s="166">
        <f>VLOOKUP(C64,'防具リスト表'!$B$5:$N$201,13,0)</f>
        <v>0</v>
      </c>
      <c r="P64" s="88"/>
    </row>
    <row r="65" spans="2:16" ht="13.5" hidden="1" outlineLevel="1">
      <c r="B65" s="343" t="s">
        <v>119</v>
      </c>
      <c r="C65" s="344"/>
      <c r="D65" s="344"/>
      <c r="E65" s="144"/>
      <c r="F65" s="144"/>
      <c r="G65" s="144"/>
      <c r="H65" s="144"/>
      <c r="I65" s="144"/>
      <c r="J65" s="144"/>
      <c r="K65" s="144"/>
      <c r="L65" s="144"/>
      <c r="M65" s="119"/>
      <c r="N65" s="144"/>
      <c r="O65" s="164"/>
      <c r="P65" s="76"/>
    </row>
    <row r="66" spans="2:16" ht="13.5" hidden="1" outlineLevel="1">
      <c r="B66" s="343"/>
      <c r="C66" s="322"/>
      <c r="D66" s="322"/>
      <c r="E66" s="21"/>
      <c r="F66" s="21"/>
      <c r="G66" s="21"/>
      <c r="H66" s="21"/>
      <c r="I66" s="21"/>
      <c r="J66" s="21"/>
      <c r="K66" s="21"/>
      <c r="L66" s="21"/>
      <c r="M66" s="125"/>
      <c r="N66" s="21"/>
      <c r="O66" s="169"/>
      <c r="P66" s="76"/>
    </row>
    <row r="67" spans="2:16" ht="13.5" hidden="1" outlineLevel="1">
      <c r="B67" s="343"/>
      <c r="C67" s="322"/>
      <c r="D67" s="322"/>
      <c r="E67" s="21"/>
      <c r="F67" s="21"/>
      <c r="G67" s="21"/>
      <c r="H67" s="21"/>
      <c r="I67" s="21"/>
      <c r="J67" s="21"/>
      <c r="K67" s="21"/>
      <c r="L67" s="21"/>
      <c r="M67" s="125"/>
      <c r="N67" s="21"/>
      <c r="O67" s="169"/>
      <c r="P67" s="76"/>
    </row>
    <row r="68" spans="2:16" ht="13.5" hidden="1" outlineLevel="1">
      <c r="B68" s="343"/>
      <c r="C68" s="322"/>
      <c r="D68" s="322"/>
      <c r="E68" s="21"/>
      <c r="F68" s="21"/>
      <c r="G68" s="21"/>
      <c r="H68" s="21"/>
      <c r="I68" s="21"/>
      <c r="J68" s="21"/>
      <c r="K68" s="21"/>
      <c r="L68" s="21"/>
      <c r="M68" s="125"/>
      <c r="N68" s="21"/>
      <c r="O68" s="169"/>
      <c r="P68" s="76"/>
    </row>
    <row r="69" spans="2:16" ht="13.5" hidden="1" outlineLevel="1">
      <c r="B69" s="343"/>
      <c r="C69" s="324"/>
      <c r="D69" s="324"/>
      <c r="E69" s="171"/>
      <c r="F69" s="171"/>
      <c r="G69" s="171"/>
      <c r="H69" s="171"/>
      <c r="I69" s="171"/>
      <c r="J69" s="171"/>
      <c r="K69" s="171"/>
      <c r="L69" s="171"/>
      <c r="M69" s="172"/>
      <c r="N69" s="171"/>
      <c r="O69" s="170"/>
      <c r="P69" s="76"/>
    </row>
    <row r="70" spans="2:16" ht="13.5" hidden="1" outlineLevel="1">
      <c r="B70" s="62" t="s">
        <v>120</v>
      </c>
      <c r="C70" s="344"/>
      <c r="D70" s="344"/>
      <c r="E70" s="344"/>
      <c r="F70" s="344"/>
      <c r="G70" s="344"/>
      <c r="H70" s="344"/>
      <c r="I70" s="344"/>
      <c r="J70" s="344"/>
      <c r="K70" s="344"/>
      <c r="L70" s="344"/>
      <c r="M70" s="344"/>
      <c r="N70" s="344"/>
      <c r="O70" s="344"/>
      <c r="P70" s="344"/>
    </row>
    <row r="71" spans="2:16" ht="13.5" hidden="1" outlineLevel="1">
      <c r="B71" s="171" t="s">
        <v>121</v>
      </c>
      <c r="C71" s="322"/>
      <c r="D71" s="322"/>
      <c r="E71" s="322"/>
      <c r="F71" s="322"/>
      <c r="G71" s="322"/>
      <c r="H71" s="322"/>
      <c r="I71" s="322"/>
      <c r="J71" s="322"/>
      <c r="K71" s="322"/>
      <c r="L71" s="322"/>
      <c r="M71" s="322"/>
      <c r="N71" s="322"/>
      <c r="O71" s="322"/>
      <c r="P71" s="322"/>
    </row>
    <row r="72" spans="2:16" ht="13.5" hidden="1" outlineLevel="1">
      <c r="B72" s="21" t="s">
        <v>121</v>
      </c>
      <c r="C72" s="322"/>
      <c r="D72" s="322"/>
      <c r="E72" s="322"/>
      <c r="F72" s="322"/>
      <c r="G72" s="322"/>
      <c r="H72" s="322"/>
      <c r="I72" s="322"/>
      <c r="J72" s="322"/>
      <c r="K72" s="322"/>
      <c r="L72" s="322"/>
      <c r="M72" s="322"/>
      <c r="N72" s="322"/>
      <c r="O72" s="322"/>
      <c r="P72" s="322"/>
    </row>
    <row r="73" spans="2:16" ht="13.5" hidden="1" outlineLevel="1">
      <c r="B73" s="173" t="s">
        <v>122</v>
      </c>
      <c r="C73" s="322"/>
      <c r="D73" s="322"/>
      <c r="E73" s="322"/>
      <c r="F73" s="322"/>
      <c r="G73" s="322"/>
      <c r="H73" s="322"/>
      <c r="I73" s="322"/>
      <c r="J73" s="322"/>
      <c r="K73" s="322"/>
      <c r="L73" s="322"/>
      <c r="M73" s="322"/>
      <c r="N73" s="322"/>
      <c r="O73" s="322"/>
      <c r="P73" s="322"/>
    </row>
    <row r="74" spans="2:16" ht="13.5" hidden="1" outlineLevel="1">
      <c r="B74" s="173" t="s">
        <v>122</v>
      </c>
      <c r="C74" s="324"/>
      <c r="D74" s="324"/>
      <c r="E74" s="324"/>
      <c r="F74" s="324"/>
      <c r="G74" s="324"/>
      <c r="H74" s="324"/>
      <c r="I74" s="324"/>
      <c r="J74" s="324"/>
      <c r="K74" s="324"/>
      <c r="L74" s="324"/>
      <c r="M74" s="324"/>
      <c r="N74" s="324"/>
      <c r="O74" s="324"/>
      <c r="P74" s="324"/>
    </row>
    <row r="75" spans="2:16" ht="14.25" collapsed="1" thickBot="1">
      <c r="B75" s="59" t="s">
        <v>113</v>
      </c>
      <c r="C75" s="331" t="str">
        <f>H60+SUM(H63:H64)&amp;"/"&amp;K14*3&amp;"(重量/限界値）"</f>
        <v>6/12(重量/限界値）</v>
      </c>
      <c r="D75" s="331"/>
      <c r="E75" s="59" t="s">
        <v>61</v>
      </c>
      <c r="F75" s="59" t="s">
        <v>61</v>
      </c>
      <c r="G75" s="59" t="s">
        <v>61</v>
      </c>
      <c r="H75" s="174">
        <v>0</v>
      </c>
      <c r="I75" s="174">
        <f>SUM(I60:I69)</f>
        <v>2</v>
      </c>
      <c r="J75" s="174">
        <v>0</v>
      </c>
      <c r="K75" s="174">
        <f>SUM(K60:K69)</f>
        <v>0</v>
      </c>
      <c r="L75" s="59" t="s">
        <v>61</v>
      </c>
      <c r="M75" s="174">
        <f>SUM(M60:M69)</f>
        <v>380000</v>
      </c>
      <c r="N75" s="174">
        <f>SUM(N60:N69)</f>
        <v>8</v>
      </c>
      <c r="O75" s="163">
        <f>SUM(O60:O69)</f>
        <v>0</v>
      </c>
      <c r="P75" s="174"/>
    </row>
    <row r="76" spans="2:4" ht="14.25" thickBot="1">
      <c r="B76" s="25"/>
      <c r="C76" s="25"/>
      <c r="D76" s="25"/>
    </row>
    <row r="77" spans="2:4" ht="14.25" thickBot="1">
      <c r="B77" s="59" t="s">
        <v>123</v>
      </c>
      <c r="C77" s="175" t="s">
        <v>124</v>
      </c>
      <c r="D77" s="49" t="s">
        <v>125</v>
      </c>
    </row>
    <row r="78" spans="2:4" ht="14.25" hidden="1" outlineLevel="1" thickBot="1">
      <c r="B78" s="176" t="s">
        <v>20</v>
      </c>
      <c r="C78" s="177"/>
      <c r="D78" s="25"/>
    </row>
    <row r="79" spans="2:4" ht="14.25" hidden="1" outlineLevel="1" thickBot="1">
      <c r="B79" s="178" t="s">
        <v>25</v>
      </c>
      <c r="C79" s="179"/>
      <c r="D79" s="25"/>
    </row>
    <row r="80" spans="2:4" ht="14.25" hidden="1" outlineLevel="1" thickBot="1">
      <c r="B80" s="178" t="s">
        <v>31</v>
      </c>
      <c r="C80" s="179"/>
      <c r="D80" s="25"/>
    </row>
    <row r="81" spans="2:4" ht="14.25" hidden="1" outlineLevel="1" thickBot="1">
      <c r="B81" s="178" t="s">
        <v>22</v>
      </c>
      <c r="C81" s="179"/>
      <c r="D81" s="25"/>
    </row>
    <row r="82" spans="2:4" ht="14.25" hidden="1" outlineLevel="1" thickBot="1">
      <c r="B82" s="178" t="s">
        <v>27</v>
      </c>
      <c r="C82" s="180"/>
      <c r="D82" s="25"/>
    </row>
    <row r="83" spans="2:4" ht="13.5" customHeight="1" collapsed="1">
      <c r="B83" s="181"/>
      <c r="C83" s="181"/>
      <c r="D83" s="25"/>
    </row>
    <row r="84" spans="2:3" ht="13.5" customHeight="1" thickBot="1">
      <c r="B84" s="25" t="s">
        <v>126</v>
      </c>
      <c r="C84" s="49" t="s">
        <v>127</v>
      </c>
    </row>
    <row r="85" spans="2:6" ht="13.5" customHeight="1" thickBot="1">
      <c r="B85" s="331" t="s">
        <v>128</v>
      </c>
      <c r="C85" s="331"/>
      <c r="D85" s="98" t="s">
        <v>129</v>
      </c>
      <c r="E85" s="100" t="s">
        <v>130</v>
      </c>
      <c r="F85" s="59" t="s">
        <v>131</v>
      </c>
    </row>
    <row r="86" spans="2:6" ht="13.5" customHeight="1" hidden="1" outlineLevel="1">
      <c r="B86" s="347" t="s">
        <v>61</v>
      </c>
      <c r="C86" s="347"/>
      <c r="D86" s="182">
        <f>IF(B86="","0",VLOOKUP(B86,'好感度表'!$B$4:$J$25,3,0))</f>
        <v>0</v>
      </c>
      <c r="E86" s="183">
        <f>IF(B86="","0",VLOOKUP(B86,'好感度表'!$B$4:$J$25,4,0))</f>
        <v>0</v>
      </c>
      <c r="F86" s="184">
        <f>D86+E86</f>
        <v>0</v>
      </c>
    </row>
    <row r="87" spans="2:6" ht="13.5" customHeight="1" hidden="1" outlineLevel="1">
      <c r="B87" s="347" t="s">
        <v>61</v>
      </c>
      <c r="C87" s="347"/>
      <c r="D87" s="182">
        <f>IF(B87="","0",VLOOKUP(B87,'好感度表'!$B$4:$J$25,3,0))</f>
        <v>0</v>
      </c>
      <c r="E87" s="183">
        <f>IF(B87="","0",VLOOKUP(B87,'好感度表'!$B$4:$J$25,4,0))</f>
        <v>0</v>
      </c>
      <c r="F87" s="184">
        <f>D87+E87</f>
        <v>0</v>
      </c>
    </row>
    <row r="88" spans="2:6" ht="13.5" customHeight="1" hidden="1" outlineLevel="1">
      <c r="B88" s="347" t="s">
        <v>61</v>
      </c>
      <c r="C88" s="347"/>
      <c r="D88" s="182">
        <f>IF(B88="","0",VLOOKUP(B88,'好感度表'!$B$4:$J$25,3,0))</f>
        <v>0</v>
      </c>
      <c r="E88" s="183">
        <f>IF(B88="","0",VLOOKUP(B88,'好感度表'!$B$4:$J$25,4,0))</f>
        <v>0</v>
      </c>
      <c r="F88" s="184">
        <f>D88+E88</f>
        <v>0</v>
      </c>
    </row>
    <row r="89" spans="2:6" ht="13.5" customHeight="1" hidden="1" outlineLevel="1">
      <c r="B89" s="347" t="s">
        <v>61</v>
      </c>
      <c r="C89" s="347"/>
      <c r="D89" s="182">
        <f>IF(B89="","0",VLOOKUP(B89,'好感度表'!$B$4:$J$25,3,0))</f>
        <v>0</v>
      </c>
      <c r="E89" s="183">
        <f>IF(B89="","0",VLOOKUP(B89,'好感度表'!$B$4:$J$25,4,0))</f>
        <v>0</v>
      </c>
      <c r="F89" s="184">
        <f>D89+E89</f>
        <v>0</v>
      </c>
    </row>
    <row r="90" spans="2:6" ht="12.75" customHeight="1" hidden="1" outlineLevel="1">
      <c r="B90" s="347" t="s">
        <v>61</v>
      </c>
      <c r="C90" s="347"/>
      <c r="D90" s="182">
        <f>IF(B90="","0",VLOOKUP(B90,'好感度表'!$B$4:$J$25,3,0))</f>
        <v>0</v>
      </c>
      <c r="E90" s="183">
        <f>IF(B90="","0",VLOOKUP(B90,'好感度表'!$B$4:$J$25,4,0))</f>
        <v>0</v>
      </c>
      <c r="F90" s="184">
        <f>D90+E90</f>
        <v>0</v>
      </c>
    </row>
    <row r="91" spans="2:6" ht="13.5" customHeight="1" collapsed="1" thickBot="1">
      <c r="B91" s="348" t="s">
        <v>113</v>
      </c>
      <c r="C91" s="348"/>
      <c r="D91" s="185">
        <f>SUM(D86:D90)</f>
        <v>0</v>
      </c>
      <c r="E91" s="186">
        <f>SUM(E86:E90)</f>
        <v>0</v>
      </c>
      <c r="F91" s="187">
        <f>SUM(F86:F90)</f>
        <v>0</v>
      </c>
    </row>
    <row r="92" ht="13.5" customHeight="1">
      <c r="C92" s="49" t="s">
        <v>132</v>
      </c>
    </row>
    <row r="93" spans="2:4" ht="13.5" customHeight="1">
      <c r="B93" s="188"/>
      <c r="C93" s="188"/>
      <c r="D93" s="25"/>
    </row>
    <row r="94" spans="2:3" ht="13.5">
      <c r="B94" s="56" t="s">
        <v>133</v>
      </c>
      <c r="C94" s="49" t="s">
        <v>134</v>
      </c>
    </row>
    <row r="95" spans="2:7" ht="13.5">
      <c r="B95" s="349" t="s">
        <v>135</v>
      </c>
      <c r="C95" s="349"/>
      <c r="D95" s="59" t="s">
        <v>100</v>
      </c>
      <c r="E95" s="323" t="s">
        <v>136</v>
      </c>
      <c r="F95" s="323"/>
      <c r="G95" s="323"/>
    </row>
    <row r="96" spans="2:7" ht="13.5" outlineLevel="1">
      <c r="B96" s="344" t="s">
        <v>464</v>
      </c>
      <c r="C96" s="344"/>
      <c r="D96" s="189">
        <v>1</v>
      </c>
      <c r="E96" s="344" t="s">
        <v>501</v>
      </c>
      <c r="F96" s="342"/>
      <c r="G96" s="342"/>
    </row>
    <row r="97" spans="2:7" ht="13.5" outlineLevel="1">
      <c r="B97" s="322" t="s">
        <v>532</v>
      </c>
      <c r="C97" s="322"/>
      <c r="D97" s="190">
        <v>1</v>
      </c>
      <c r="E97" s="322"/>
      <c r="F97" s="322"/>
      <c r="G97" s="322"/>
    </row>
    <row r="98" spans="2:7" ht="13.5" outlineLevel="1">
      <c r="B98" s="322" t="s">
        <v>549</v>
      </c>
      <c r="C98" s="322"/>
      <c r="D98" s="190">
        <v>1</v>
      </c>
      <c r="E98" s="322"/>
      <c r="F98" s="322"/>
      <c r="G98" s="322"/>
    </row>
    <row r="99" spans="2:7" ht="13.5" outlineLevel="1">
      <c r="B99" s="322"/>
      <c r="C99" s="322"/>
      <c r="D99" s="190"/>
      <c r="E99" s="322"/>
      <c r="F99" s="322"/>
      <c r="G99" s="322"/>
    </row>
    <row r="100" spans="2:7" ht="13.5" outlineLevel="1">
      <c r="B100" s="322"/>
      <c r="C100" s="322"/>
      <c r="D100" s="190"/>
      <c r="E100" s="322"/>
      <c r="F100" s="322"/>
      <c r="G100" s="322"/>
    </row>
    <row r="101" spans="2:7" ht="12.75" customHeight="1" outlineLevel="1">
      <c r="B101" s="322"/>
      <c r="C101" s="322"/>
      <c r="D101" s="190"/>
      <c r="E101" s="322"/>
      <c r="F101" s="322"/>
      <c r="G101" s="322"/>
    </row>
    <row r="102" spans="2:7" ht="13.5" outlineLevel="1">
      <c r="B102" s="322"/>
      <c r="C102" s="322"/>
      <c r="D102" s="190"/>
      <c r="E102" s="322"/>
      <c r="F102" s="322"/>
      <c r="G102" s="322"/>
    </row>
    <row r="103" spans="2:7" ht="13.5" outlineLevel="1">
      <c r="B103" s="324"/>
      <c r="C103" s="324"/>
      <c r="D103" s="191"/>
      <c r="E103" s="324"/>
      <c r="F103" s="324"/>
      <c r="G103" s="324"/>
    </row>
    <row r="104" spans="2:7" ht="13.5">
      <c r="B104" s="348" t="s">
        <v>113</v>
      </c>
      <c r="C104" s="348"/>
      <c r="D104" s="192">
        <f>SUM(D96:D103)</f>
        <v>3</v>
      </c>
      <c r="E104" s="350" t="str">
        <f>D104&amp;"/"&amp;K14*3&amp;"(持ち物/限界値）"</f>
        <v>3/12(持ち物/限界値）</v>
      </c>
      <c r="F104" s="350"/>
      <c r="G104" s="350"/>
    </row>
    <row r="105" spans="3:11" ht="13.5">
      <c r="C105" s="49"/>
      <c r="K105" s="25"/>
    </row>
    <row r="106" spans="2:7" ht="13.5">
      <c r="B106" s="61" t="s">
        <v>137</v>
      </c>
      <c r="C106" s="350" t="s">
        <v>138</v>
      </c>
      <c r="D106" s="350"/>
      <c r="E106" s="350"/>
      <c r="F106" s="61">
        <f>C108</f>
        <v>5</v>
      </c>
      <c r="G106" s="49" t="s">
        <v>139</v>
      </c>
    </row>
    <row r="107" spans="2:7" ht="13.5" outlineLevel="1">
      <c r="B107" s="193" t="s">
        <v>140</v>
      </c>
      <c r="C107" s="194" t="s">
        <v>8</v>
      </c>
      <c r="D107" s="194" t="s">
        <v>141</v>
      </c>
      <c r="E107" s="194" t="s">
        <v>142</v>
      </c>
      <c r="F107" s="351" t="s">
        <v>143</v>
      </c>
      <c r="G107" s="351"/>
    </row>
    <row r="108" spans="2:7" ht="13.5" outlineLevel="1">
      <c r="B108" s="61" t="str">
        <f>C7</f>
        <v>異能者</v>
      </c>
      <c r="C108" s="195">
        <v>5</v>
      </c>
      <c r="D108" s="196">
        <f>SUM(C110:C114)</f>
        <v>3</v>
      </c>
      <c r="E108" s="196">
        <f>C108*10</f>
        <v>50</v>
      </c>
      <c r="F108" s="352">
        <f>(((C108-1)*(C108))/2)*10</f>
        <v>100</v>
      </c>
      <c r="G108" s="352"/>
    </row>
    <row r="109" spans="2:7" ht="13.5" outlineLevel="1">
      <c r="B109" s="193" t="s">
        <v>144</v>
      </c>
      <c r="C109" s="194" t="s">
        <v>8</v>
      </c>
      <c r="D109" s="193" t="s">
        <v>145</v>
      </c>
      <c r="E109" s="193" t="s">
        <v>142</v>
      </c>
      <c r="F109" s="351" t="s">
        <v>143</v>
      </c>
      <c r="G109" s="351"/>
    </row>
    <row r="110" spans="2:7" ht="13.5" outlineLevel="1">
      <c r="B110" s="69" t="str">
        <f>C8</f>
        <v>探索者</v>
      </c>
      <c r="C110" s="197">
        <v>2</v>
      </c>
      <c r="D110" s="198">
        <v>0</v>
      </c>
      <c r="E110" s="199">
        <f>C110*10</f>
        <v>20</v>
      </c>
      <c r="F110" s="353">
        <f>(((C110-1)*(C110))/2)*10</f>
        <v>10</v>
      </c>
      <c r="G110" s="353"/>
    </row>
    <row r="111" spans="2:8" ht="13.5" outlineLevel="1">
      <c r="B111" s="162" t="s">
        <v>239</v>
      </c>
      <c r="C111" s="200">
        <v>1</v>
      </c>
      <c r="D111" s="201">
        <v>10</v>
      </c>
      <c r="E111" s="202">
        <f>IF(C111=0,$D$108*10,C111*10)</f>
        <v>10</v>
      </c>
      <c r="F111" s="354">
        <f>IF(C111=0,"0",(((C111-1)*(C111))/2)*10+D111)</f>
        <v>10</v>
      </c>
      <c r="G111" s="354"/>
      <c r="H111" s="49" t="s">
        <v>147</v>
      </c>
    </row>
    <row r="112" spans="2:7" ht="13.5" outlineLevel="1">
      <c r="B112" s="162" t="s">
        <v>146</v>
      </c>
      <c r="C112" s="200">
        <v>0</v>
      </c>
      <c r="D112" s="201"/>
      <c r="E112" s="202">
        <f>IF(C112=0,$D$108*10,C112*10)</f>
        <v>30</v>
      </c>
      <c r="F112" s="354" t="str">
        <f>IF(C112=0,"0",(((C112-1)*(C112))/2)*10+D112)</f>
        <v>0</v>
      </c>
      <c r="G112" s="354"/>
    </row>
    <row r="113" spans="2:7" ht="13.5" outlineLevel="1">
      <c r="B113" s="162" t="s">
        <v>146</v>
      </c>
      <c r="C113" s="200">
        <v>0</v>
      </c>
      <c r="D113" s="201"/>
      <c r="E113" s="202">
        <f>IF(C113=0,$D$108*10,C113*10)</f>
        <v>30</v>
      </c>
      <c r="F113" s="354" t="str">
        <f>IF(C113=0,"0",(((C113-1)*(C113))/2)*10+D113)</f>
        <v>0</v>
      </c>
      <c r="G113" s="354"/>
    </row>
    <row r="114" spans="2:7" ht="13.5" outlineLevel="1">
      <c r="B114" s="162" t="s">
        <v>146</v>
      </c>
      <c r="C114" s="203">
        <v>0</v>
      </c>
      <c r="D114" s="201"/>
      <c r="E114" s="202">
        <f>IF(C114=0,$D$108*10,C114*10)</f>
        <v>30</v>
      </c>
      <c r="F114" s="354" t="str">
        <f>IF(C114=0,"0",(((C114-1)*(C114))/2)*10+D114)</f>
        <v>0</v>
      </c>
      <c r="G114" s="354"/>
    </row>
    <row r="115" spans="2:8" ht="13.5" outlineLevel="1">
      <c r="B115" s="193" t="s">
        <v>148</v>
      </c>
      <c r="C115" s="194" t="s">
        <v>8</v>
      </c>
      <c r="D115" s="193" t="s">
        <v>149</v>
      </c>
      <c r="E115" s="193" t="s">
        <v>142</v>
      </c>
      <c r="F115" s="351" t="s">
        <v>143</v>
      </c>
      <c r="G115" s="351"/>
      <c r="H115" s="49" t="s">
        <v>150</v>
      </c>
    </row>
    <row r="116" spans="2:8" ht="13.5" outlineLevel="1">
      <c r="B116" s="162" t="s">
        <v>146</v>
      </c>
      <c r="C116" s="200">
        <v>0</v>
      </c>
      <c r="D116" s="201">
        <v>10</v>
      </c>
      <c r="E116" s="202" t="str">
        <f>IF(C116=0,"50",C116*10)</f>
        <v>50</v>
      </c>
      <c r="F116" s="354" t="str">
        <f>IF(C116=0,"0",(((C116-1)*(C116))/2)*10+IF(B116="　",0,50)-(((D116-1)*(D116))/2)*10+IF(B116="　",0,0))</f>
        <v>0</v>
      </c>
      <c r="G116" s="354"/>
      <c r="H116" s="49" t="s">
        <v>151</v>
      </c>
    </row>
    <row r="117" spans="2:7" ht="13.5" outlineLevel="1">
      <c r="B117" s="162" t="s">
        <v>146</v>
      </c>
      <c r="C117" s="203">
        <v>0</v>
      </c>
      <c r="D117" s="201">
        <v>10</v>
      </c>
      <c r="E117" s="202" t="str">
        <f>IF(C117=0,"50",C117*10)</f>
        <v>50</v>
      </c>
      <c r="F117" s="354" t="str">
        <f>IF(C117=0,"0",(((C117-1)*(C117))/2)*10+IF(B117="　",0,50)-(((D117-1)*(D117))/2)*10+IF(B117="　",0,0))</f>
        <v>0</v>
      </c>
      <c r="G117" s="354"/>
    </row>
    <row r="118" spans="2:7" ht="13.5">
      <c r="B118" s="61" t="s">
        <v>113</v>
      </c>
      <c r="C118" s="117" t="s">
        <v>61</v>
      </c>
      <c r="D118" s="99" t="s">
        <v>61</v>
      </c>
      <c r="E118" s="204" t="s">
        <v>61</v>
      </c>
      <c r="F118" s="352">
        <f>F108+SUM(F110:G114)+SUM(F116:F117)</f>
        <v>120</v>
      </c>
      <c r="G118" s="352"/>
    </row>
    <row r="119" spans="3:6" ht="13.5">
      <c r="C119" s="205"/>
      <c r="E119" s="25"/>
      <c r="F119" s="25"/>
    </row>
    <row r="120" spans="2:6" ht="13.5">
      <c r="B120" s="61" t="s">
        <v>44</v>
      </c>
      <c r="C120" s="206" t="s">
        <v>28</v>
      </c>
      <c r="D120" s="207">
        <f>M8</f>
        <v>20</v>
      </c>
      <c r="E120" s="49" t="s">
        <v>152</v>
      </c>
      <c r="F120" s="25"/>
    </row>
    <row r="121" spans="2:6" ht="14.25" thickBot="1">
      <c r="B121" s="208" t="s">
        <v>153</v>
      </c>
      <c r="C121" s="209" t="s">
        <v>154</v>
      </c>
      <c r="D121" s="210" t="s">
        <v>142</v>
      </c>
      <c r="E121" s="355" t="s">
        <v>155</v>
      </c>
      <c r="F121" s="355"/>
    </row>
    <row r="122" spans="2:6" ht="14.25" hidden="1" outlineLevel="1" thickBot="1">
      <c r="B122" s="139" t="s">
        <v>54</v>
      </c>
      <c r="C122" s="211">
        <v>0</v>
      </c>
      <c r="D122" s="212">
        <f>(H14)*(6+((ROUNDUP((H14)/5,0)-1)*2))</f>
        <v>18</v>
      </c>
      <c r="E122" s="354">
        <f>IF(VLOOKUP(SUM(C14:D14),'経験値テーブル'!$B$2:$V$11,MATCH(H14,'経験値テーブル'!$C$2:$V$2,0),0)=1,0,VLOOKUP(SUM(C14:D14),'経験値テーブル'!$B$2:$V$11,MATCH(H14,'経験値テーブル'!$C$2:$V$2,0),0))</f>
        <v>0</v>
      </c>
      <c r="F122" s="354"/>
    </row>
    <row r="123" spans="2:6" ht="14.25" hidden="1" outlineLevel="1" thickBot="1">
      <c r="B123" s="213" t="s">
        <v>55</v>
      </c>
      <c r="C123" s="214">
        <v>0</v>
      </c>
      <c r="D123" s="212">
        <f>(H15)*(6+((ROUNDUP((H15)/5,0)-1)*2))</f>
        <v>12</v>
      </c>
      <c r="E123" s="354">
        <f>IF(VLOOKUP(SUM(C15:D15),'経験値テーブル'!$B$2:$V$11,MATCH(H15,'経験値テーブル'!$C$2:$V$2,0),0)=1,0,VLOOKUP(SUM(C15:D15),'経験値テーブル'!$B$2:$V$11,MATCH(H15,'経験値テーブル'!$C$2:$V$2,0),0))</f>
        <v>0</v>
      </c>
      <c r="F123" s="354"/>
    </row>
    <row r="124" spans="2:6" ht="14.25" hidden="1" outlineLevel="1" thickBot="1">
      <c r="B124" s="215" t="s">
        <v>56</v>
      </c>
      <c r="C124" s="214">
        <v>0</v>
      </c>
      <c r="D124" s="212">
        <f>(H16)*(6+((ROUNDUP((H16)/5,0)-1)*2))</f>
        <v>18</v>
      </c>
      <c r="E124" s="354">
        <f>IF(VLOOKUP(SUM(C16:D16),'経験値テーブル'!$B$2:$V$11,MATCH(H16,'経験値テーブル'!$C$2:$V$2,0),0)=1,0,VLOOKUP(SUM(C16:D16),'経験値テーブル'!$B$2:$V$11,MATCH(H16,'経験値テーブル'!$C$2:$V$2,0),0))</f>
        <v>0</v>
      </c>
      <c r="F124" s="354"/>
    </row>
    <row r="125" spans="2:6" ht="14.25" hidden="1" outlineLevel="1" thickBot="1">
      <c r="B125" s="213" t="s">
        <v>57</v>
      </c>
      <c r="C125" s="214">
        <v>0</v>
      </c>
      <c r="D125" s="212">
        <f>(H17)*(6+((ROUNDUP((H17)/5,0)-1)*2))</f>
        <v>30</v>
      </c>
      <c r="E125" s="354">
        <f>IF(VLOOKUP(SUM(C17:D17),'経験値テーブル'!$B$2:$V$11,MATCH(H17,'経験値テーブル'!$C$2:$V$2,0),0)=1,0,VLOOKUP(SUM(C17:D17),'経験値テーブル'!$B$2:$V$11,MATCH(H17,'経験値テーブル'!$C$2:$V$2,0),0))</f>
        <v>0</v>
      </c>
      <c r="F125" s="354"/>
    </row>
    <row r="126" spans="2:6" ht="14.25" hidden="1" outlineLevel="1" thickBot="1">
      <c r="B126" s="215" t="s">
        <v>58</v>
      </c>
      <c r="C126" s="214">
        <v>0</v>
      </c>
      <c r="D126" s="212">
        <f>(H18)*(6+((ROUNDUP((H18)/5,0)-1)*2))</f>
        <v>12</v>
      </c>
      <c r="E126" s="354">
        <f>IF(VLOOKUP(SUM(C18:D18),'経験値テーブル'!$B$2:$V$11,MATCH(H18,'経験値テーブル'!$C$2:$V$2,0),0)=1,0,VLOOKUP(SUM(C18:D18),'経験値テーブル'!$B$2:$V$11,MATCH(H18,'経験値テーブル'!$C$2:$V$2,0),0))</f>
        <v>0</v>
      </c>
      <c r="F126" s="354"/>
    </row>
    <row r="127" spans="2:6" ht="14.25" hidden="1" outlineLevel="1" thickBot="1">
      <c r="B127" s="213" t="s">
        <v>59</v>
      </c>
      <c r="C127" s="214">
        <v>0</v>
      </c>
      <c r="D127" s="212">
        <f>(H19)*(6+((ROUNDUP((H19)/5,0)-1)*2))</f>
        <v>12</v>
      </c>
      <c r="E127" s="354">
        <f>IF(VLOOKUP(SUM(C19:D19),'経験値テーブル'!$B$2:$V$11,MATCH(H19,'経験値テーブル'!$C$2:$V$2,0),0)=1,0,VLOOKUP(SUM(C19:D19),'経験値テーブル'!$B$2:$V$11,MATCH(H19,'経験値テーブル'!$C$2:$V$2,0),0))</f>
        <v>0</v>
      </c>
      <c r="F127" s="354"/>
    </row>
    <row r="128" spans="2:6" ht="14.25" hidden="1" outlineLevel="1" thickBot="1">
      <c r="B128" s="215" t="s">
        <v>60</v>
      </c>
      <c r="C128" s="214">
        <v>0</v>
      </c>
      <c r="D128" s="212">
        <f>(H20)*(10+((ROUNDUP((H20)/5,0)-1)*3))</f>
        <v>20</v>
      </c>
      <c r="E128" s="354">
        <f>IF(VLOOKUP(SUM(C20:D20),'経験値テーブル'!$B$14:$V$27,MATCH(H20,'経験値テーブル'!$C$2:$V$2,0),0)=1,0,VLOOKUP(SUM(C20:D20),'経験値テーブル'!$B$14:$V$27,MATCH(H20,'経験値テーブル'!$C$2:$V$2,0),0))</f>
        <v>0</v>
      </c>
      <c r="F128" s="354"/>
    </row>
    <row r="129" spans="2:6" ht="14.25" hidden="1" outlineLevel="1" thickBot="1">
      <c r="B129" s="213" t="s">
        <v>62</v>
      </c>
      <c r="C129" s="214">
        <v>0</v>
      </c>
      <c r="D129" s="212">
        <f>(H21)*(10+((ROUNDUP((H21)/5,0)-1)*3))</f>
        <v>10</v>
      </c>
      <c r="E129" s="354">
        <f>IF(VLOOKUP(SUM(C21:D21),'経験値テーブル'!$B$14:$V$27,MATCH(H21,'経験値テーブル'!$C$2:$V$2,0),0)=1,0,VLOOKUP(SUM(C21:D21),'経験値テーブル'!$B$14:$V$27,MATCH(H21,'経験値テーブル'!$C$2:$V$2,0),0))</f>
        <v>0</v>
      </c>
      <c r="F129" s="354"/>
    </row>
    <row r="130" spans="2:6" ht="14.25" hidden="1" outlineLevel="1" thickBot="1">
      <c r="B130" s="216" t="s">
        <v>33</v>
      </c>
      <c r="C130" s="214">
        <v>0</v>
      </c>
      <c r="D130" s="212">
        <f>(H22)*(10+((ROUNDUP((H22)/5,0)-1)*3))</f>
        <v>30</v>
      </c>
      <c r="E130" s="354">
        <f>IF(VLOOKUP(SUM(C22:D22),'経験値テーブル'!$B$14:$V$27,MATCH(H22,'経験値テーブル'!$C$2:$V$2,0),0)=1,0,VLOOKUP(SUM(C22:D22),'経験値テーブル'!$B$14:$V$27,MATCH(H22,'経験値テーブル'!$C$2:$V$2,0),0))</f>
        <v>0</v>
      </c>
      <c r="F130" s="354"/>
    </row>
    <row r="131" spans="2:6" ht="14.25" hidden="1" outlineLevel="1" thickBot="1">
      <c r="B131" s="216" t="s">
        <v>31</v>
      </c>
      <c r="C131" s="217">
        <v>0</v>
      </c>
      <c r="D131" s="218">
        <f>(5+IF(C9="鬼人",-2,0)+C131)*10</f>
        <v>50</v>
      </c>
      <c r="E131" s="354">
        <f>((C131+(G9-C131))*((C131-1)+(G9-C131))/2-(G9-C131)*(G9-C131-1)/2)*10</f>
        <v>0</v>
      </c>
      <c r="F131" s="354"/>
    </row>
    <row r="132" spans="2:6" ht="14.25" hidden="1" outlineLevel="1" thickBot="1">
      <c r="B132" s="356" t="s">
        <v>113</v>
      </c>
      <c r="C132" s="356"/>
      <c r="D132" s="356"/>
      <c r="E132" s="352">
        <f>SUM(E122:F131)</f>
        <v>0</v>
      </c>
      <c r="F132" s="352"/>
    </row>
    <row r="133" spans="2:3" ht="14.25" hidden="1" outlineLevel="1" thickBot="1">
      <c r="B133" s="25"/>
      <c r="C133" s="205"/>
    </row>
    <row r="134" spans="2:6" ht="14.25" hidden="1" outlineLevel="1" thickBot="1">
      <c r="B134" s="357" t="str">
        <f>"連携スキルの習得数"&amp;"("&amp;B135&amp;"/"&amp;ROUNDDOWN(I2/5,0)&amp;")"</f>
        <v>連携スキルの習得数(0/1)</v>
      </c>
      <c r="C134" s="357"/>
      <c r="D134" s="357"/>
      <c r="E134" s="355" t="s">
        <v>143</v>
      </c>
      <c r="F134" s="355"/>
    </row>
    <row r="135" spans="2:6" ht="14.25" hidden="1" outlineLevel="1" thickBot="1">
      <c r="B135" s="323">
        <v>0</v>
      </c>
      <c r="C135" s="323"/>
      <c r="D135" s="323"/>
      <c r="E135" s="352">
        <f>B135*20</f>
        <v>0</v>
      </c>
      <c r="F135" s="352"/>
    </row>
    <row r="136" spans="2:3" ht="14.25" hidden="1" outlineLevel="1" thickBot="1">
      <c r="B136" s="25"/>
      <c r="C136" s="49" t="s">
        <v>156</v>
      </c>
    </row>
    <row r="137" spans="2:6" ht="14.25" hidden="1" outlineLevel="1" thickBot="1">
      <c r="B137" s="357" t="str">
        <f>"ユニークスキル取得数"&amp;"("&amp;B138&amp;"/"&amp;ROUNDDOWN(I2/5,0)&amp;")"</f>
        <v>ユニークスキル取得数(0/1)</v>
      </c>
      <c r="C137" s="357"/>
      <c r="D137" s="357"/>
      <c r="E137" s="355" t="s">
        <v>143</v>
      </c>
      <c r="F137" s="355"/>
    </row>
    <row r="138" spans="2:6" ht="17.25" customHeight="1" hidden="1" outlineLevel="1" thickBot="1">
      <c r="B138" s="323">
        <v>0</v>
      </c>
      <c r="C138" s="323"/>
      <c r="D138" s="323"/>
      <c r="E138" s="358">
        <v>0</v>
      </c>
      <c r="F138" s="358"/>
    </row>
    <row r="139" spans="2:3" ht="14.25" hidden="1" outlineLevel="1" thickBot="1">
      <c r="B139" s="25"/>
      <c r="C139" s="205"/>
    </row>
    <row r="140" spans="2:6" ht="17.25" customHeight="1" hidden="1" outlineLevel="1" thickBot="1">
      <c r="B140" s="357" t="s">
        <v>157</v>
      </c>
      <c r="C140" s="357"/>
      <c r="D140" s="357"/>
      <c r="E140" s="355" t="s">
        <v>143</v>
      </c>
      <c r="F140" s="355"/>
    </row>
    <row r="141" spans="2:6" ht="17.25" customHeight="1" hidden="1" outlineLevel="1" thickBot="1">
      <c r="B141" s="359" t="b">
        <v>0</v>
      </c>
      <c r="C141" s="359"/>
      <c r="D141" s="359"/>
      <c r="E141" s="352">
        <f>B141*150</f>
        <v>0</v>
      </c>
      <c r="F141" s="352"/>
    </row>
    <row r="142" spans="2:3" ht="14.25" collapsed="1" thickBot="1">
      <c r="B142" s="25"/>
      <c r="C142" s="205"/>
    </row>
    <row r="143" spans="2:16" ht="14.25" thickBot="1">
      <c r="B143" s="360" t="s">
        <v>158</v>
      </c>
      <c r="C143" s="360"/>
      <c r="D143" s="219" t="s">
        <v>8</v>
      </c>
      <c r="E143" s="220" t="s">
        <v>159</v>
      </c>
      <c r="F143" s="219" t="s">
        <v>51</v>
      </c>
      <c r="G143" s="220" t="s">
        <v>160</v>
      </c>
      <c r="H143" s="219" t="s">
        <v>104</v>
      </c>
      <c r="I143" s="220" t="s">
        <v>161</v>
      </c>
      <c r="J143" s="219" t="s">
        <v>162</v>
      </c>
      <c r="K143" s="361" t="s">
        <v>163</v>
      </c>
      <c r="L143" s="361"/>
      <c r="M143" s="361"/>
      <c r="N143" s="361"/>
      <c r="O143" s="221" t="s">
        <v>164</v>
      </c>
      <c r="P143" s="219" t="s">
        <v>165</v>
      </c>
    </row>
    <row r="144" spans="2:16" ht="13.5" outlineLevel="1">
      <c r="B144" s="344"/>
      <c r="C144" s="344"/>
      <c r="D144" s="144"/>
      <c r="E144" s="222"/>
      <c r="F144" s="21"/>
      <c r="G144" s="222"/>
      <c r="H144" s="21"/>
      <c r="I144" s="222"/>
      <c r="J144" s="21"/>
      <c r="K144" s="342"/>
      <c r="L144" s="342"/>
      <c r="M144" s="342"/>
      <c r="N144" s="342"/>
      <c r="O144" s="76"/>
      <c r="P144" s="21"/>
    </row>
    <row r="145" spans="2:16" ht="13.5" outlineLevel="1">
      <c r="B145" s="322" t="s">
        <v>455</v>
      </c>
      <c r="C145" s="322"/>
      <c r="D145" s="173">
        <v>1</v>
      </c>
      <c r="E145" s="320" t="s">
        <v>456</v>
      </c>
      <c r="F145" s="21" t="s">
        <v>457</v>
      </c>
      <c r="G145" s="320" t="s">
        <v>458</v>
      </c>
      <c r="H145" s="21" t="s">
        <v>457</v>
      </c>
      <c r="I145" s="320" t="s">
        <v>457</v>
      </c>
      <c r="J145" s="21" t="s">
        <v>457</v>
      </c>
      <c r="K145" s="322" t="s">
        <v>459</v>
      </c>
      <c r="L145" s="322"/>
      <c r="M145" s="322"/>
      <c r="N145" s="322"/>
      <c r="O145" s="76" t="s">
        <v>493</v>
      </c>
      <c r="P145" s="21"/>
    </row>
    <row r="146" spans="2:16" ht="13.5" outlineLevel="1">
      <c r="B146" s="322" t="s">
        <v>522</v>
      </c>
      <c r="C146" s="322"/>
      <c r="D146" s="173">
        <v>1</v>
      </c>
      <c r="E146" s="320" t="s">
        <v>456</v>
      </c>
      <c r="F146" s="21" t="s">
        <v>457</v>
      </c>
      <c r="G146" s="320" t="s">
        <v>458</v>
      </c>
      <c r="H146" s="21" t="s">
        <v>457</v>
      </c>
      <c r="I146" s="320" t="s">
        <v>457</v>
      </c>
      <c r="J146" s="21" t="s">
        <v>457</v>
      </c>
      <c r="K146" s="322" t="s">
        <v>523</v>
      </c>
      <c r="L146" s="322"/>
      <c r="M146" s="322"/>
      <c r="N146" s="322"/>
      <c r="O146" s="76" t="s">
        <v>493</v>
      </c>
      <c r="P146" s="21"/>
    </row>
    <row r="147" spans="2:16" ht="13.5" outlineLevel="1">
      <c r="B147" s="322"/>
      <c r="C147" s="322"/>
      <c r="D147" s="173"/>
      <c r="E147" s="222"/>
      <c r="F147" s="21"/>
      <c r="G147" s="222"/>
      <c r="H147" s="21"/>
      <c r="I147" s="222"/>
      <c r="J147" s="21"/>
      <c r="K147" s="322"/>
      <c r="L147" s="322"/>
      <c r="M147" s="322"/>
      <c r="N147" s="322"/>
      <c r="O147" s="76"/>
      <c r="P147" s="21"/>
    </row>
    <row r="148" spans="2:16" ht="13.5" outlineLevel="1">
      <c r="B148" s="322" t="s">
        <v>460</v>
      </c>
      <c r="C148" s="322"/>
      <c r="D148" s="173">
        <v>1</v>
      </c>
      <c r="E148" s="320" t="s">
        <v>483</v>
      </c>
      <c r="F148" s="21" t="s">
        <v>485</v>
      </c>
      <c r="G148" s="320" t="s">
        <v>487</v>
      </c>
      <c r="H148" s="21" t="s">
        <v>508</v>
      </c>
      <c r="I148" s="222">
        <v>6</v>
      </c>
      <c r="J148" s="21" t="s">
        <v>490</v>
      </c>
      <c r="K148" s="322" t="s">
        <v>509</v>
      </c>
      <c r="L148" s="322"/>
      <c r="M148" s="322"/>
      <c r="N148" s="322"/>
      <c r="O148" s="76" t="s">
        <v>494</v>
      </c>
      <c r="P148" s="21"/>
    </row>
    <row r="149" spans="2:16" ht="13.5" outlineLevel="1">
      <c r="B149" s="322" t="s">
        <v>461</v>
      </c>
      <c r="C149" s="322"/>
      <c r="D149" s="173">
        <v>1</v>
      </c>
      <c r="E149" s="320" t="s">
        <v>484</v>
      </c>
      <c r="F149" s="21" t="s">
        <v>486</v>
      </c>
      <c r="G149" s="320" t="s">
        <v>488</v>
      </c>
      <c r="H149" s="21" t="s">
        <v>489</v>
      </c>
      <c r="I149" s="222">
        <v>8</v>
      </c>
      <c r="J149" s="21" t="s">
        <v>457</v>
      </c>
      <c r="K149" s="322" t="s">
        <v>491</v>
      </c>
      <c r="L149" s="322"/>
      <c r="M149" s="322"/>
      <c r="N149" s="322"/>
      <c r="O149" s="76" t="s">
        <v>494</v>
      </c>
      <c r="P149" s="21"/>
    </row>
    <row r="150" spans="2:16" ht="13.5" outlineLevel="1">
      <c r="B150" s="322" t="s">
        <v>524</v>
      </c>
      <c r="C150" s="322"/>
      <c r="D150" s="173">
        <v>1</v>
      </c>
      <c r="E150" s="320" t="s">
        <v>525</v>
      </c>
      <c r="F150" s="21" t="s">
        <v>486</v>
      </c>
      <c r="G150" s="320" t="s">
        <v>458</v>
      </c>
      <c r="H150" s="21" t="s">
        <v>457</v>
      </c>
      <c r="I150" s="222">
        <v>3</v>
      </c>
      <c r="J150" s="21" t="s">
        <v>457</v>
      </c>
      <c r="K150" s="322" t="s">
        <v>526</v>
      </c>
      <c r="L150" s="322"/>
      <c r="M150" s="322"/>
      <c r="N150" s="322"/>
      <c r="O150" s="76" t="s">
        <v>494</v>
      </c>
      <c r="P150" s="21"/>
    </row>
    <row r="151" spans="2:16" ht="13.5" outlineLevel="1">
      <c r="B151" s="322" t="s">
        <v>537</v>
      </c>
      <c r="C151" s="322"/>
      <c r="D151" s="173">
        <v>3</v>
      </c>
      <c r="E151" s="320" t="s">
        <v>538</v>
      </c>
      <c r="F151" s="21" t="s">
        <v>486</v>
      </c>
      <c r="G151" s="320" t="s">
        <v>487</v>
      </c>
      <c r="H151" s="21" t="s">
        <v>539</v>
      </c>
      <c r="I151" s="222">
        <v>8</v>
      </c>
      <c r="J151" s="21" t="s">
        <v>457</v>
      </c>
      <c r="K151" s="322" t="s">
        <v>540</v>
      </c>
      <c r="L151" s="322"/>
      <c r="M151" s="322"/>
      <c r="N151" s="322"/>
      <c r="O151" s="76" t="s">
        <v>494</v>
      </c>
      <c r="P151" s="21"/>
    </row>
    <row r="152" spans="2:16" ht="13.5" outlineLevel="1">
      <c r="B152" s="322" t="s">
        <v>542</v>
      </c>
      <c r="C152" s="322"/>
      <c r="D152" s="173">
        <v>1</v>
      </c>
      <c r="E152" s="320" t="s">
        <v>543</v>
      </c>
      <c r="F152" s="21" t="s">
        <v>486</v>
      </c>
      <c r="G152" s="320" t="s">
        <v>487</v>
      </c>
      <c r="H152" s="21">
        <v>1</v>
      </c>
      <c r="I152" s="222">
        <v>10</v>
      </c>
      <c r="J152" s="21" t="s">
        <v>457</v>
      </c>
      <c r="K152" s="322" t="s">
        <v>544</v>
      </c>
      <c r="L152" s="322"/>
      <c r="M152" s="322"/>
      <c r="N152" s="322"/>
      <c r="O152" s="76" t="s">
        <v>494</v>
      </c>
      <c r="P152" s="21"/>
    </row>
    <row r="153" spans="2:16" ht="13.5" outlineLevel="1">
      <c r="B153" s="322" t="s">
        <v>556</v>
      </c>
      <c r="C153" s="322"/>
      <c r="D153" s="173">
        <v>1</v>
      </c>
      <c r="E153" s="320" t="s">
        <v>557</v>
      </c>
      <c r="F153" s="21" t="s">
        <v>486</v>
      </c>
      <c r="G153" s="320" t="s">
        <v>487</v>
      </c>
      <c r="H153" s="21" t="s">
        <v>558</v>
      </c>
      <c r="I153" s="222">
        <v>3</v>
      </c>
      <c r="J153" s="21" t="s">
        <v>457</v>
      </c>
      <c r="K153" s="322" t="s">
        <v>559</v>
      </c>
      <c r="L153" s="322"/>
      <c r="M153" s="322"/>
      <c r="N153" s="322"/>
      <c r="O153" s="76" t="s">
        <v>494</v>
      </c>
      <c r="P153" s="21"/>
    </row>
    <row r="154" spans="2:16" ht="13.5" outlineLevel="1">
      <c r="B154" s="322" t="s">
        <v>564</v>
      </c>
      <c r="C154" s="322"/>
      <c r="D154" s="173">
        <v>1</v>
      </c>
      <c r="E154" s="320" t="s">
        <v>456</v>
      </c>
      <c r="F154" s="21" t="s">
        <v>457</v>
      </c>
      <c r="G154" s="320" t="s">
        <v>458</v>
      </c>
      <c r="H154" s="21" t="s">
        <v>457</v>
      </c>
      <c r="I154" s="320" t="s">
        <v>457</v>
      </c>
      <c r="J154" s="21" t="s">
        <v>457</v>
      </c>
      <c r="K154" s="322" t="s">
        <v>565</v>
      </c>
      <c r="L154" s="322"/>
      <c r="M154" s="322"/>
      <c r="N154" s="322"/>
      <c r="O154" s="76" t="s">
        <v>494</v>
      </c>
      <c r="P154" s="21"/>
    </row>
    <row r="155" spans="2:16" ht="13.5" outlineLevel="1">
      <c r="B155" s="322"/>
      <c r="C155" s="322"/>
      <c r="D155" s="173"/>
      <c r="E155" s="222"/>
      <c r="F155" s="21"/>
      <c r="G155" s="222"/>
      <c r="H155" s="21"/>
      <c r="I155" s="222"/>
      <c r="J155" s="21"/>
      <c r="K155" s="322"/>
      <c r="L155" s="322"/>
      <c r="M155" s="322"/>
      <c r="N155" s="322"/>
      <c r="O155" s="76"/>
      <c r="P155" s="21"/>
    </row>
    <row r="156" spans="2:16" ht="13.5" outlineLevel="1">
      <c r="B156" s="322"/>
      <c r="C156" s="322"/>
      <c r="D156" s="173"/>
      <c r="E156" s="222"/>
      <c r="F156" s="21"/>
      <c r="G156" s="222"/>
      <c r="H156" s="21"/>
      <c r="I156" s="222"/>
      <c r="J156" s="21"/>
      <c r="K156" s="322"/>
      <c r="L156" s="322"/>
      <c r="M156" s="322"/>
      <c r="N156" s="322"/>
      <c r="O156" s="76"/>
      <c r="P156" s="21"/>
    </row>
    <row r="157" spans="2:16" ht="13.5" outlineLevel="1">
      <c r="B157" s="322"/>
      <c r="C157" s="322"/>
      <c r="D157" s="173"/>
      <c r="E157" s="222"/>
      <c r="F157" s="21"/>
      <c r="G157" s="222"/>
      <c r="H157" s="21"/>
      <c r="I157" s="222"/>
      <c r="J157" s="21"/>
      <c r="K157" s="322"/>
      <c r="L157" s="322"/>
      <c r="M157" s="322"/>
      <c r="N157" s="322"/>
      <c r="O157" s="76"/>
      <c r="P157" s="21"/>
    </row>
    <row r="158" spans="2:16" ht="13.5" outlineLevel="1">
      <c r="B158" s="322"/>
      <c r="C158" s="322"/>
      <c r="D158" s="173"/>
      <c r="E158" s="222"/>
      <c r="F158" s="21"/>
      <c r="G158" s="222"/>
      <c r="H158" s="21"/>
      <c r="I158" s="222"/>
      <c r="J158" s="21"/>
      <c r="K158" s="322"/>
      <c r="L158" s="322"/>
      <c r="M158" s="322"/>
      <c r="N158" s="322"/>
      <c r="O158" s="76"/>
      <c r="P158" s="21"/>
    </row>
    <row r="159" spans="2:16" ht="13.5" outlineLevel="1">
      <c r="B159" s="322" t="s">
        <v>481</v>
      </c>
      <c r="C159" s="322"/>
      <c r="D159" s="173">
        <v>1</v>
      </c>
      <c r="E159" s="320" t="s">
        <v>456</v>
      </c>
      <c r="F159" s="21" t="s">
        <v>457</v>
      </c>
      <c r="G159" s="320" t="s">
        <v>458</v>
      </c>
      <c r="H159" s="21" t="s">
        <v>457</v>
      </c>
      <c r="I159" s="320" t="s">
        <v>457</v>
      </c>
      <c r="J159" s="21" t="s">
        <v>457</v>
      </c>
      <c r="K159" s="322" t="s">
        <v>482</v>
      </c>
      <c r="L159" s="322"/>
      <c r="M159" s="322"/>
      <c r="N159" s="322"/>
      <c r="O159" s="76" t="s">
        <v>495</v>
      </c>
      <c r="P159" s="21"/>
    </row>
    <row r="160" spans="2:16" ht="13.5" outlineLevel="1">
      <c r="B160" s="362" t="s">
        <v>507</v>
      </c>
      <c r="C160" s="362"/>
      <c r="D160" s="173">
        <v>1</v>
      </c>
      <c r="E160" s="320" t="s">
        <v>456</v>
      </c>
      <c r="F160" s="21" t="s">
        <v>457</v>
      </c>
      <c r="G160" s="320" t="s">
        <v>458</v>
      </c>
      <c r="H160" s="21" t="s">
        <v>457</v>
      </c>
      <c r="I160" s="320" t="s">
        <v>457</v>
      </c>
      <c r="J160" s="21" t="s">
        <v>457</v>
      </c>
      <c r="K160" s="362" t="s">
        <v>510</v>
      </c>
      <c r="L160" s="362"/>
      <c r="M160" s="362"/>
      <c r="N160" s="362"/>
      <c r="O160" s="76" t="s">
        <v>495</v>
      </c>
      <c r="P160" s="21"/>
    </row>
    <row r="161" spans="2:16" ht="13.5" outlineLevel="1">
      <c r="B161" s="362" t="s">
        <v>550</v>
      </c>
      <c r="C161" s="362"/>
      <c r="D161" s="173">
        <v>1</v>
      </c>
      <c r="E161" s="320" t="s">
        <v>456</v>
      </c>
      <c r="F161" s="21" t="s">
        <v>457</v>
      </c>
      <c r="G161" s="320" t="s">
        <v>458</v>
      </c>
      <c r="H161" s="21" t="s">
        <v>457</v>
      </c>
      <c r="I161" s="320" t="s">
        <v>457</v>
      </c>
      <c r="J161" s="21" t="s">
        <v>457</v>
      </c>
      <c r="K161" s="322" t="s">
        <v>551</v>
      </c>
      <c r="L161" s="322"/>
      <c r="M161" s="322"/>
      <c r="N161" s="322"/>
      <c r="O161" s="76" t="s">
        <v>495</v>
      </c>
      <c r="P161" s="21"/>
    </row>
    <row r="162" spans="2:16" ht="13.5" outlineLevel="1">
      <c r="B162" s="322" t="s">
        <v>552</v>
      </c>
      <c r="C162" s="322"/>
      <c r="D162" s="173">
        <v>1</v>
      </c>
      <c r="E162" s="320" t="s">
        <v>538</v>
      </c>
      <c r="F162" s="21" t="s">
        <v>457</v>
      </c>
      <c r="G162" s="320" t="s">
        <v>487</v>
      </c>
      <c r="H162" s="21" t="s">
        <v>553</v>
      </c>
      <c r="I162" s="222">
        <v>3</v>
      </c>
      <c r="J162" s="21" t="s">
        <v>457</v>
      </c>
      <c r="K162" s="322" t="s">
        <v>554</v>
      </c>
      <c r="L162" s="322"/>
      <c r="M162" s="322"/>
      <c r="N162" s="322"/>
      <c r="O162" s="76" t="s">
        <v>495</v>
      </c>
      <c r="P162" s="21"/>
    </row>
    <row r="163" spans="2:16" ht="13.5" outlineLevel="1">
      <c r="B163" s="322"/>
      <c r="C163" s="322"/>
      <c r="D163" s="173"/>
      <c r="E163" s="222"/>
      <c r="F163" s="21"/>
      <c r="G163" s="222"/>
      <c r="H163" s="21"/>
      <c r="I163" s="222"/>
      <c r="J163" s="21"/>
      <c r="K163" s="322"/>
      <c r="L163" s="322"/>
      <c r="M163" s="322"/>
      <c r="N163" s="322"/>
      <c r="O163" s="76"/>
      <c r="P163" s="21"/>
    </row>
    <row r="164" spans="2:16" ht="13.5" outlineLevel="1">
      <c r="B164" s="322"/>
      <c r="C164" s="322"/>
      <c r="D164" s="173"/>
      <c r="E164" s="222"/>
      <c r="F164" s="21"/>
      <c r="G164" s="222"/>
      <c r="H164" s="21"/>
      <c r="I164" s="222"/>
      <c r="J164" s="21"/>
      <c r="K164" s="322"/>
      <c r="L164" s="322"/>
      <c r="M164" s="322"/>
      <c r="N164" s="322"/>
      <c r="O164" s="76"/>
      <c r="P164" s="21"/>
    </row>
    <row r="165" spans="2:16" ht="13.5" outlineLevel="1">
      <c r="B165" s="322" t="s">
        <v>541</v>
      </c>
      <c r="C165" s="322"/>
      <c r="D165" s="173">
        <v>1</v>
      </c>
      <c r="E165" s="320" t="s">
        <v>456</v>
      </c>
      <c r="F165" s="21" t="s">
        <v>457</v>
      </c>
      <c r="G165" s="320" t="s">
        <v>458</v>
      </c>
      <c r="H165" s="21" t="s">
        <v>457</v>
      </c>
      <c r="I165" s="320" t="s">
        <v>457</v>
      </c>
      <c r="J165" s="21" t="s">
        <v>457</v>
      </c>
      <c r="K165" s="322" t="s">
        <v>545</v>
      </c>
      <c r="L165" s="322"/>
      <c r="M165" s="322"/>
      <c r="N165" s="322"/>
      <c r="O165" s="76" t="s">
        <v>555</v>
      </c>
      <c r="P165" s="21"/>
    </row>
    <row r="166" spans="2:16" ht="13.5" outlineLevel="1">
      <c r="B166" s="322"/>
      <c r="C166" s="322"/>
      <c r="D166" s="173"/>
      <c r="E166" s="222"/>
      <c r="F166" s="21"/>
      <c r="G166" s="222"/>
      <c r="H166" s="21"/>
      <c r="I166" s="222"/>
      <c r="J166" s="21"/>
      <c r="K166" s="322"/>
      <c r="L166" s="322"/>
      <c r="M166" s="322"/>
      <c r="N166" s="322"/>
      <c r="O166" s="76"/>
      <c r="P166" s="21"/>
    </row>
    <row r="167" spans="2:16" ht="13.5" outlineLevel="1">
      <c r="B167" s="322"/>
      <c r="C167" s="322"/>
      <c r="D167" s="173"/>
      <c r="E167" s="222"/>
      <c r="F167" s="21"/>
      <c r="G167" s="222"/>
      <c r="H167" s="21"/>
      <c r="I167" s="222"/>
      <c r="J167" s="21"/>
      <c r="K167" s="322"/>
      <c r="L167" s="322"/>
      <c r="M167" s="322"/>
      <c r="N167" s="322"/>
      <c r="O167" s="76"/>
      <c r="P167" s="21"/>
    </row>
    <row r="168" spans="2:16" ht="13.5" outlineLevel="1">
      <c r="B168" s="322"/>
      <c r="C168" s="322"/>
      <c r="D168" s="173"/>
      <c r="E168" s="222"/>
      <c r="F168" s="21"/>
      <c r="G168" s="222"/>
      <c r="H168" s="21"/>
      <c r="I168" s="222"/>
      <c r="J168" s="21"/>
      <c r="K168" s="322"/>
      <c r="L168" s="322"/>
      <c r="M168" s="322"/>
      <c r="N168" s="322"/>
      <c r="O168" s="76"/>
      <c r="P168" s="21"/>
    </row>
    <row r="169" spans="2:16" ht="13.5" outlineLevel="1">
      <c r="B169" s="322"/>
      <c r="C169" s="322"/>
      <c r="D169" s="173"/>
      <c r="E169" s="222"/>
      <c r="F169" s="21"/>
      <c r="G169" s="222"/>
      <c r="H169" s="21"/>
      <c r="I169" s="222"/>
      <c r="J169" s="21"/>
      <c r="K169" s="322"/>
      <c r="L169" s="322"/>
      <c r="M169" s="322"/>
      <c r="N169" s="322"/>
      <c r="O169" s="76"/>
      <c r="P169" s="21"/>
    </row>
    <row r="170" spans="2:17" ht="15" customHeight="1" outlineLevel="1">
      <c r="B170" s="324"/>
      <c r="C170" s="324"/>
      <c r="D170" s="171"/>
      <c r="E170" s="223"/>
      <c r="F170" s="171"/>
      <c r="G170" s="223"/>
      <c r="H170" s="171"/>
      <c r="I170" s="223"/>
      <c r="J170" s="171"/>
      <c r="K170" s="324"/>
      <c r="L170" s="324"/>
      <c r="M170" s="324"/>
      <c r="N170" s="324"/>
      <c r="O170" s="224"/>
      <c r="P170" s="171"/>
      <c r="Q170" s="18"/>
    </row>
    <row r="171" spans="2:16" ht="13.5">
      <c r="B171" s="363" t="s">
        <v>167</v>
      </c>
      <c r="C171" s="363"/>
      <c r="D171" s="363"/>
      <c r="E171" s="363"/>
      <c r="F171" s="363"/>
      <c r="G171" s="363"/>
      <c r="H171" s="363"/>
      <c r="I171" s="363"/>
      <c r="J171" s="363"/>
      <c r="K171" s="363"/>
      <c r="L171" s="363"/>
      <c r="M171" s="363"/>
      <c r="N171" s="363"/>
      <c r="O171" s="363"/>
      <c r="P171" s="363"/>
    </row>
    <row r="172" spans="2:16" ht="13.5">
      <c r="B172" s="25"/>
      <c r="C172" s="25"/>
      <c r="D172" s="25"/>
      <c r="E172" s="25"/>
      <c r="F172" s="25"/>
      <c r="G172" s="25"/>
      <c r="H172" s="25"/>
      <c r="I172" s="25"/>
      <c r="J172" s="25"/>
      <c r="K172" s="25"/>
      <c r="L172" s="25"/>
      <c r="M172" s="25"/>
      <c r="N172" s="25"/>
      <c r="O172" s="25"/>
      <c r="P172" s="25"/>
    </row>
    <row r="173" spans="2:16" ht="13.5">
      <c r="B173" s="225" t="s">
        <v>168</v>
      </c>
      <c r="C173" s="226" t="s">
        <v>169</v>
      </c>
      <c r="D173" s="227" t="str">
        <f>SUM(D175:D193)&amp;"/"&amp;M9</f>
        <v>94/124</v>
      </c>
      <c r="E173" s="25"/>
      <c r="F173" s="25"/>
      <c r="G173" s="25"/>
      <c r="H173" s="25"/>
      <c r="I173" s="25"/>
      <c r="J173" s="25"/>
      <c r="K173" s="25"/>
      <c r="L173" s="25"/>
      <c r="M173" s="25"/>
      <c r="N173" s="25"/>
      <c r="O173" s="25"/>
      <c r="P173" s="25"/>
    </row>
    <row r="174" spans="2:16" ht="14.25" thickBot="1">
      <c r="B174" s="360" t="s">
        <v>170</v>
      </c>
      <c r="C174" s="360"/>
      <c r="D174" s="219" t="s">
        <v>171</v>
      </c>
      <c r="E174" s="220" t="s">
        <v>98</v>
      </c>
      <c r="F174" s="361" t="s">
        <v>163</v>
      </c>
      <c r="G174" s="361"/>
      <c r="H174" s="361"/>
      <c r="I174" s="361"/>
      <c r="J174" s="25"/>
      <c r="K174" s="25"/>
      <c r="L174" s="25"/>
      <c r="M174" s="25"/>
      <c r="N174" s="25"/>
      <c r="O174" s="25"/>
      <c r="P174" s="25"/>
    </row>
    <row r="175" spans="2:16" ht="13.5" hidden="1" outlineLevel="1">
      <c r="B175" s="322" t="s">
        <v>462</v>
      </c>
      <c r="C175" s="322"/>
      <c r="D175" s="168">
        <v>30</v>
      </c>
      <c r="E175" s="233" t="s">
        <v>463</v>
      </c>
      <c r="F175" s="322" t="s">
        <v>533</v>
      </c>
      <c r="G175" s="322"/>
      <c r="H175" s="322"/>
      <c r="I175" s="322"/>
      <c r="J175" s="25"/>
      <c r="K175" s="25"/>
      <c r="L175" s="25"/>
      <c r="M175" s="25"/>
      <c r="N175" s="25"/>
      <c r="O175" s="25"/>
      <c r="P175" s="25"/>
    </row>
    <row r="176" spans="2:16" ht="13.5" hidden="1" outlineLevel="1">
      <c r="B176" s="322" t="s">
        <v>465</v>
      </c>
      <c r="C176" s="322"/>
      <c r="D176" s="168">
        <v>3</v>
      </c>
      <c r="E176" s="233" t="s">
        <v>463</v>
      </c>
      <c r="F176" s="322" t="s">
        <v>466</v>
      </c>
      <c r="G176" s="322"/>
      <c r="H176" s="322"/>
      <c r="I176" s="322"/>
      <c r="J176" s="25"/>
      <c r="K176" s="25"/>
      <c r="L176" s="25"/>
      <c r="M176" s="25"/>
      <c r="N176" s="25"/>
      <c r="O176" s="25"/>
      <c r="P176" s="25"/>
    </row>
    <row r="177" spans="2:16" ht="13.5" hidden="1" outlineLevel="1">
      <c r="B177" s="322" t="s">
        <v>467</v>
      </c>
      <c r="C177" s="322"/>
      <c r="D177" s="168">
        <v>10</v>
      </c>
      <c r="E177" s="233" t="s">
        <v>463</v>
      </c>
      <c r="F177" s="322" t="s">
        <v>512</v>
      </c>
      <c r="G177" s="322"/>
      <c r="H177" s="322"/>
      <c r="I177" s="322"/>
      <c r="J177" s="25"/>
      <c r="K177" s="25"/>
      <c r="L177" s="25"/>
      <c r="M177" s="25"/>
      <c r="N177" s="25"/>
      <c r="O177" s="25"/>
      <c r="P177" s="25"/>
    </row>
    <row r="178" spans="2:16" ht="13.5" hidden="1" outlineLevel="1">
      <c r="B178" s="322"/>
      <c r="C178" s="322"/>
      <c r="D178" s="168"/>
      <c r="E178" s="228"/>
      <c r="F178" s="322"/>
      <c r="G178" s="322"/>
      <c r="H178" s="322"/>
      <c r="I178" s="322"/>
      <c r="J178" s="25"/>
      <c r="K178" s="25"/>
      <c r="L178" s="25"/>
      <c r="M178" s="25"/>
      <c r="N178" s="25"/>
      <c r="O178" s="25"/>
      <c r="P178" s="25"/>
    </row>
    <row r="179" spans="2:16" ht="13.5" hidden="1" outlineLevel="1">
      <c r="B179" s="322" t="s">
        <v>468</v>
      </c>
      <c r="C179" s="322"/>
      <c r="D179" s="168">
        <v>0</v>
      </c>
      <c r="E179" s="233" t="s">
        <v>469</v>
      </c>
      <c r="F179" s="322" t="s">
        <v>471</v>
      </c>
      <c r="G179" s="322"/>
      <c r="H179" s="322"/>
      <c r="I179" s="322"/>
      <c r="J179" s="25"/>
      <c r="K179" s="25"/>
      <c r="L179" s="25"/>
      <c r="M179" s="25"/>
      <c r="N179" s="25"/>
      <c r="O179" s="25"/>
      <c r="P179" s="25"/>
    </row>
    <row r="180" spans="2:16" ht="13.5" hidden="1" outlineLevel="1">
      <c r="B180" s="322" t="s">
        <v>470</v>
      </c>
      <c r="C180" s="322"/>
      <c r="D180" s="168">
        <v>5</v>
      </c>
      <c r="E180" s="233" t="s">
        <v>469</v>
      </c>
      <c r="F180" s="322" t="s">
        <v>473</v>
      </c>
      <c r="G180" s="322"/>
      <c r="H180" s="322"/>
      <c r="I180" s="322"/>
      <c r="J180" s="25"/>
      <c r="K180" s="25"/>
      <c r="L180" s="25"/>
      <c r="M180" s="25"/>
      <c r="N180" s="25"/>
      <c r="O180" s="25"/>
      <c r="P180" s="25"/>
    </row>
    <row r="181" spans="2:16" ht="13.5" hidden="1" outlineLevel="1">
      <c r="B181" s="322" t="s">
        <v>472</v>
      </c>
      <c r="C181" s="322"/>
      <c r="D181" s="168">
        <v>8</v>
      </c>
      <c r="E181" s="233" t="s">
        <v>469</v>
      </c>
      <c r="F181" s="322" t="s">
        <v>514</v>
      </c>
      <c r="G181" s="322"/>
      <c r="H181" s="322"/>
      <c r="I181" s="322"/>
      <c r="J181" s="25"/>
      <c r="K181" s="25"/>
      <c r="L181" s="25"/>
      <c r="M181" s="25"/>
      <c r="N181" s="25"/>
      <c r="O181" s="25"/>
      <c r="P181" s="25"/>
    </row>
    <row r="182" spans="2:16" ht="13.5" hidden="1" outlineLevel="1">
      <c r="B182" s="322" t="s">
        <v>476</v>
      </c>
      <c r="C182" s="322"/>
      <c r="D182" s="168">
        <v>5</v>
      </c>
      <c r="E182" s="233" t="s">
        <v>469</v>
      </c>
      <c r="F182" s="322" t="s">
        <v>515</v>
      </c>
      <c r="G182" s="322"/>
      <c r="H182" s="322"/>
      <c r="I182" s="322"/>
      <c r="J182" s="25"/>
      <c r="K182" s="25"/>
      <c r="L182" s="25"/>
      <c r="M182" s="25"/>
      <c r="N182" s="25"/>
      <c r="O182" s="25"/>
      <c r="P182" s="25"/>
    </row>
    <row r="183" spans="2:16" ht="13.5" hidden="1" outlineLevel="1">
      <c r="B183" s="322"/>
      <c r="C183" s="322"/>
      <c r="D183" s="168"/>
      <c r="E183" s="228"/>
      <c r="F183" s="322"/>
      <c r="G183" s="322"/>
      <c r="H183" s="322"/>
      <c r="I183" s="322"/>
      <c r="J183" s="25"/>
      <c r="K183" s="25"/>
      <c r="L183" s="25"/>
      <c r="M183" s="25"/>
      <c r="N183" s="25"/>
      <c r="O183" s="25"/>
      <c r="P183" s="25"/>
    </row>
    <row r="184" spans="2:16" ht="13.5" hidden="1" outlineLevel="1">
      <c r="B184" s="322" t="s">
        <v>474</v>
      </c>
      <c r="C184" s="322"/>
      <c r="D184" s="168">
        <v>0</v>
      </c>
      <c r="E184" s="233" t="s">
        <v>475</v>
      </c>
      <c r="F184" s="322" t="s">
        <v>513</v>
      </c>
      <c r="G184" s="322"/>
      <c r="H184" s="322"/>
      <c r="I184" s="322"/>
      <c r="J184" s="25"/>
      <c r="K184" s="25"/>
      <c r="L184" s="25"/>
      <c r="M184" s="25"/>
      <c r="N184" s="25"/>
      <c r="O184" s="25"/>
      <c r="P184" s="25"/>
    </row>
    <row r="185" spans="2:16" ht="13.5" hidden="1" outlineLevel="1">
      <c r="B185" s="322" t="s">
        <v>477</v>
      </c>
      <c r="C185" s="322"/>
      <c r="D185" s="168">
        <v>-5</v>
      </c>
      <c r="E185" s="233" t="s">
        <v>475</v>
      </c>
      <c r="F185" s="322" t="s">
        <v>478</v>
      </c>
      <c r="G185" s="322"/>
      <c r="H185" s="322"/>
      <c r="I185" s="322"/>
      <c r="J185" s="25"/>
      <c r="K185" s="25"/>
      <c r="L185" s="25"/>
      <c r="M185" s="25"/>
      <c r="N185" s="25"/>
      <c r="O185" s="25"/>
      <c r="P185" s="25"/>
    </row>
    <row r="186" spans="2:16" ht="13.5" hidden="1" outlineLevel="1">
      <c r="B186" s="322" t="s">
        <v>479</v>
      </c>
      <c r="C186" s="322"/>
      <c r="D186" s="168">
        <v>10</v>
      </c>
      <c r="E186" s="233" t="s">
        <v>475</v>
      </c>
      <c r="F186" s="322" t="s">
        <v>480</v>
      </c>
      <c r="G186" s="322"/>
      <c r="H186" s="322"/>
      <c r="I186" s="322"/>
      <c r="J186" s="25"/>
      <c r="K186" s="25"/>
      <c r="L186" s="25"/>
      <c r="M186" s="25"/>
      <c r="N186" s="25"/>
      <c r="O186" s="25"/>
      <c r="P186" s="25"/>
    </row>
    <row r="187" spans="2:16" ht="13.5" hidden="1" outlineLevel="1">
      <c r="B187" s="322" t="s">
        <v>496</v>
      </c>
      <c r="C187" s="322"/>
      <c r="D187" s="168">
        <v>10</v>
      </c>
      <c r="E187" s="233" t="s">
        <v>475</v>
      </c>
      <c r="F187" s="322" t="s">
        <v>516</v>
      </c>
      <c r="G187" s="322"/>
      <c r="H187" s="322"/>
      <c r="I187" s="322"/>
      <c r="J187" s="25"/>
      <c r="K187" s="25"/>
      <c r="L187" s="25"/>
      <c r="M187" s="25"/>
      <c r="N187" s="25"/>
      <c r="O187" s="25"/>
      <c r="P187" s="25"/>
    </row>
    <row r="188" spans="2:16" ht="13.5" hidden="1" outlineLevel="1">
      <c r="B188" s="322" t="s">
        <v>506</v>
      </c>
      <c r="C188" s="322"/>
      <c r="D188" s="168">
        <v>8</v>
      </c>
      <c r="E188" s="233" t="s">
        <v>475</v>
      </c>
      <c r="F188" s="322" t="s">
        <v>511</v>
      </c>
      <c r="G188" s="322"/>
      <c r="H188" s="322"/>
      <c r="I188" s="322"/>
      <c r="J188" s="25"/>
      <c r="K188" s="25"/>
      <c r="L188" s="25"/>
      <c r="M188" s="25"/>
      <c r="N188" s="25"/>
      <c r="O188" s="25"/>
      <c r="P188" s="25"/>
    </row>
    <row r="189" spans="2:16" ht="13.5" hidden="1" outlineLevel="1">
      <c r="B189" s="322" t="s">
        <v>534</v>
      </c>
      <c r="C189" s="322"/>
      <c r="D189" s="168">
        <v>10</v>
      </c>
      <c r="E189" s="233" t="s">
        <v>475</v>
      </c>
      <c r="F189" s="322" t="s">
        <v>535</v>
      </c>
      <c r="G189" s="322"/>
      <c r="H189" s="322"/>
      <c r="I189" s="322"/>
      <c r="J189" s="25"/>
      <c r="K189" s="25"/>
      <c r="L189" s="25"/>
      <c r="M189" s="25"/>
      <c r="N189" s="25"/>
      <c r="O189" s="25"/>
      <c r="P189" s="25"/>
    </row>
    <row r="190" spans="2:16" ht="13.5" hidden="1" outlineLevel="1">
      <c r="B190" s="322"/>
      <c r="C190" s="322"/>
      <c r="D190" s="168"/>
      <c r="E190" s="228"/>
      <c r="F190" s="322"/>
      <c r="G190" s="322"/>
      <c r="H190" s="322"/>
      <c r="I190" s="322"/>
      <c r="J190" s="25"/>
      <c r="K190" s="25"/>
      <c r="L190" s="25"/>
      <c r="M190" s="25"/>
      <c r="N190" s="25"/>
      <c r="O190" s="25"/>
      <c r="P190" s="25"/>
    </row>
    <row r="191" spans="2:16" ht="13.5" hidden="1" outlineLevel="1">
      <c r="B191" s="322"/>
      <c r="C191" s="322"/>
      <c r="D191" s="168"/>
      <c r="E191" s="228"/>
      <c r="F191" s="322"/>
      <c r="G191" s="322"/>
      <c r="H191" s="322"/>
      <c r="I191" s="322"/>
      <c r="J191" s="25"/>
      <c r="K191" s="25"/>
      <c r="L191" s="25"/>
      <c r="M191" s="25"/>
      <c r="N191" s="25"/>
      <c r="O191" s="25"/>
      <c r="P191" s="25"/>
    </row>
    <row r="192" spans="2:16" ht="13.5" hidden="1" outlineLevel="1">
      <c r="B192" s="322"/>
      <c r="C192" s="322"/>
      <c r="D192" s="168"/>
      <c r="E192" s="228"/>
      <c r="F192" s="322"/>
      <c r="G192" s="322"/>
      <c r="H192" s="322"/>
      <c r="I192" s="322"/>
      <c r="J192" s="25"/>
      <c r="K192" s="25"/>
      <c r="L192" s="25"/>
      <c r="M192" s="25"/>
      <c r="N192" s="25"/>
      <c r="O192" s="25"/>
      <c r="P192" s="25"/>
    </row>
    <row r="193" spans="2:16" ht="13.5" hidden="1" outlineLevel="1">
      <c r="B193" s="322"/>
      <c r="C193" s="322"/>
      <c r="D193" s="168"/>
      <c r="E193" s="228"/>
      <c r="F193" s="322"/>
      <c r="G193" s="322"/>
      <c r="H193" s="322"/>
      <c r="I193" s="322"/>
      <c r="J193" s="25"/>
      <c r="K193" s="25"/>
      <c r="L193" s="25"/>
      <c r="M193" s="25"/>
      <c r="N193" s="25"/>
      <c r="O193" s="25"/>
      <c r="P193" s="25"/>
    </row>
    <row r="194" spans="2:16" ht="14.25" collapsed="1" thickBot="1">
      <c r="B194" s="364" t="s">
        <v>172</v>
      </c>
      <c r="C194" s="364"/>
      <c r="D194" s="364"/>
      <c r="E194" s="364"/>
      <c r="F194" s="364"/>
      <c r="G194" s="364"/>
      <c r="H194" s="364"/>
      <c r="I194" s="364"/>
      <c r="J194" s="25"/>
      <c r="K194" s="25"/>
      <c r="L194" s="25"/>
      <c r="M194" s="25"/>
      <c r="N194" s="25"/>
      <c r="O194" s="25"/>
      <c r="P194" s="25"/>
    </row>
    <row r="195" spans="2:16" ht="13.5">
      <c r="B195" s="25"/>
      <c r="C195" s="25"/>
      <c r="D195" s="25"/>
      <c r="E195" s="25"/>
      <c r="F195" s="25"/>
      <c r="G195" s="25"/>
      <c r="H195" s="25"/>
      <c r="I195" s="25"/>
      <c r="J195" s="25"/>
      <c r="K195" s="25"/>
      <c r="L195" s="25"/>
      <c r="M195" s="25"/>
      <c r="N195" s="25"/>
      <c r="O195" s="25"/>
      <c r="P195" s="25"/>
    </row>
    <row r="196" spans="2:16" ht="13.5">
      <c r="B196" s="365" t="s">
        <v>173</v>
      </c>
      <c r="C196" s="365"/>
      <c r="D196" s="49"/>
      <c r="E196" s="229"/>
      <c r="F196" s="229"/>
      <c r="G196" s="229"/>
      <c r="H196" s="229"/>
      <c r="I196" s="229"/>
      <c r="J196" s="229"/>
      <c r="K196" s="230"/>
      <c r="L196" s="230"/>
      <c r="M196" s="25"/>
      <c r="N196" s="25"/>
      <c r="P196" s="95" t="s">
        <v>174</v>
      </c>
    </row>
    <row r="197" spans="2:16" ht="14.25" thickBot="1">
      <c r="B197" s="331" t="s">
        <v>158</v>
      </c>
      <c r="C197" s="331"/>
      <c r="D197" s="366" t="s">
        <v>175</v>
      </c>
      <c r="E197" s="366"/>
      <c r="F197" s="367" t="s">
        <v>176</v>
      </c>
      <c r="G197" s="367"/>
      <c r="H197" s="99" t="s">
        <v>177</v>
      </c>
      <c r="I197" s="368" t="s">
        <v>178</v>
      </c>
      <c r="J197" s="368"/>
      <c r="K197" s="368"/>
      <c r="L197" s="368"/>
      <c r="M197" s="368"/>
      <c r="N197" s="213" t="s">
        <v>179</v>
      </c>
      <c r="O197" s="331" t="s">
        <v>180</v>
      </c>
      <c r="P197" s="331"/>
    </row>
    <row r="198" spans="2:16" ht="13.5" outlineLevel="1">
      <c r="B198" s="344" t="s">
        <v>536</v>
      </c>
      <c r="C198" s="344"/>
      <c r="D198" s="369" t="s">
        <v>461</v>
      </c>
      <c r="E198" s="369"/>
      <c r="F198" s="370" t="s">
        <v>492</v>
      </c>
      <c r="G198" s="370"/>
      <c r="H198" s="231">
        <v>1</v>
      </c>
      <c r="I198" s="371"/>
      <c r="J198" s="371"/>
      <c r="K198" s="371"/>
      <c r="L198" s="371"/>
      <c r="M198" s="371"/>
      <c r="N198" s="232" t="s">
        <v>181</v>
      </c>
      <c r="O198" s="372" t="s">
        <v>182</v>
      </c>
      <c r="P198" s="372"/>
    </row>
    <row r="199" spans="2:16" ht="13.5" outlineLevel="1">
      <c r="B199" s="322"/>
      <c r="C199" s="322"/>
      <c r="D199" s="374"/>
      <c r="E199" s="374"/>
      <c r="F199" s="334"/>
      <c r="G199" s="334"/>
      <c r="H199" s="109"/>
      <c r="I199" s="375"/>
      <c r="J199" s="375"/>
      <c r="K199" s="375"/>
      <c r="L199" s="375"/>
      <c r="M199" s="375"/>
      <c r="N199" s="228" t="s">
        <v>183</v>
      </c>
      <c r="O199" s="373" t="s">
        <v>184</v>
      </c>
      <c r="P199" s="373"/>
    </row>
    <row r="200" spans="2:16" ht="13.5" outlineLevel="1">
      <c r="B200" s="322"/>
      <c r="C200" s="322"/>
      <c r="D200" s="374"/>
      <c r="E200" s="374"/>
      <c r="F200" s="334"/>
      <c r="G200" s="334"/>
      <c r="H200" s="109"/>
      <c r="I200" s="375"/>
      <c r="J200" s="375"/>
      <c r="K200" s="375"/>
      <c r="L200" s="375"/>
      <c r="M200" s="375"/>
      <c r="N200" s="228" t="s">
        <v>185</v>
      </c>
      <c r="O200" s="376" t="s">
        <v>186</v>
      </c>
      <c r="P200" s="376"/>
    </row>
    <row r="201" spans="2:16" ht="13.5" outlineLevel="1">
      <c r="B201" s="322"/>
      <c r="C201" s="322"/>
      <c r="D201" s="374"/>
      <c r="E201" s="374"/>
      <c r="F201" s="334"/>
      <c r="G201" s="334"/>
      <c r="H201" s="109"/>
      <c r="I201" s="375"/>
      <c r="J201" s="375"/>
      <c r="K201" s="375"/>
      <c r="L201" s="375"/>
      <c r="M201" s="375"/>
      <c r="N201" s="228" t="s">
        <v>187</v>
      </c>
      <c r="O201" s="373" t="s">
        <v>188</v>
      </c>
      <c r="P201" s="373"/>
    </row>
    <row r="202" spans="2:16" ht="14.25" outlineLevel="1" thickBot="1">
      <c r="B202" s="324"/>
      <c r="C202" s="324"/>
      <c r="D202" s="377"/>
      <c r="E202" s="377"/>
      <c r="F202" s="378"/>
      <c r="G202" s="378"/>
      <c r="H202" s="235"/>
      <c r="I202" s="379"/>
      <c r="J202" s="379"/>
      <c r="K202" s="379"/>
      <c r="L202" s="379"/>
      <c r="M202" s="379"/>
      <c r="N202" s="234"/>
      <c r="O202" s="379"/>
      <c r="P202" s="379"/>
    </row>
    <row r="204" spans="2:3" ht="13.5">
      <c r="B204" s="56" t="s">
        <v>189</v>
      </c>
      <c r="C204" s="49" t="s">
        <v>190</v>
      </c>
    </row>
    <row r="205" spans="2:12" ht="13.5">
      <c r="B205" s="380"/>
      <c r="C205" s="380"/>
      <c r="D205" s="380"/>
      <c r="E205" s="380"/>
      <c r="F205" s="380"/>
      <c r="G205" s="380"/>
      <c r="H205" s="380"/>
      <c r="I205" s="380"/>
      <c r="J205" s="380"/>
      <c r="K205" s="380"/>
      <c r="L205" s="380"/>
    </row>
    <row r="206" spans="2:12" ht="13.5">
      <c r="B206" s="380"/>
      <c r="C206" s="380"/>
      <c r="D206" s="380"/>
      <c r="E206" s="380"/>
      <c r="F206" s="380"/>
      <c r="G206" s="380"/>
      <c r="H206" s="380"/>
      <c r="I206" s="380"/>
      <c r="J206" s="380"/>
      <c r="K206" s="380"/>
      <c r="L206" s="380"/>
    </row>
    <row r="207" spans="2:12" ht="13.5">
      <c r="B207" s="380"/>
      <c r="C207" s="380"/>
      <c r="D207" s="380"/>
      <c r="E207" s="380"/>
      <c r="F207" s="380"/>
      <c r="G207" s="380"/>
      <c r="H207" s="380"/>
      <c r="I207" s="380"/>
      <c r="J207" s="380"/>
      <c r="K207" s="380"/>
      <c r="L207" s="380"/>
    </row>
    <row r="208" spans="2:12" ht="13.5">
      <c r="B208" s="380"/>
      <c r="C208" s="380"/>
      <c r="D208" s="380"/>
      <c r="E208" s="380"/>
      <c r="F208" s="380"/>
      <c r="G208" s="380"/>
      <c r="H208" s="380"/>
      <c r="I208" s="380"/>
      <c r="J208" s="380"/>
      <c r="K208" s="380"/>
      <c r="L208" s="380"/>
    </row>
    <row r="209" spans="2:12" ht="13.5">
      <c r="B209" s="380"/>
      <c r="C209" s="380"/>
      <c r="D209" s="380"/>
      <c r="E209" s="380"/>
      <c r="F209" s="380"/>
      <c r="G209" s="380"/>
      <c r="H209" s="380"/>
      <c r="I209" s="380"/>
      <c r="J209" s="380"/>
      <c r="K209" s="380"/>
      <c r="L209" s="380"/>
    </row>
    <row r="210" spans="2:12" ht="13.5">
      <c r="B210" s="380"/>
      <c r="C210" s="380"/>
      <c r="D210" s="380"/>
      <c r="E210" s="380"/>
      <c r="F210" s="380"/>
      <c r="G210" s="380"/>
      <c r="H210" s="380"/>
      <c r="I210" s="380"/>
      <c r="J210" s="380"/>
      <c r="K210" s="380"/>
      <c r="L210" s="380"/>
    </row>
    <row r="211" spans="2:12" ht="13.5">
      <c r="B211" s="380"/>
      <c r="C211" s="380"/>
      <c r="D211" s="380"/>
      <c r="E211" s="380"/>
      <c r="F211" s="380"/>
      <c r="G211" s="380"/>
      <c r="H211" s="380"/>
      <c r="I211" s="380"/>
      <c r="J211" s="380"/>
      <c r="K211" s="380"/>
      <c r="L211" s="380"/>
    </row>
    <row r="212" spans="2:12" ht="13.5">
      <c r="B212" s="380"/>
      <c r="C212" s="380"/>
      <c r="D212" s="380"/>
      <c r="E212" s="380"/>
      <c r="F212" s="380"/>
      <c r="G212" s="380"/>
      <c r="H212" s="380"/>
      <c r="I212" s="380"/>
      <c r="J212" s="380"/>
      <c r="K212" s="380"/>
      <c r="L212" s="380"/>
    </row>
    <row r="213" spans="2:12" ht="13.5">
      <c r="B213" s="380"/>
      <c r="C213" s="380"/>
      <c r="D213" s="380"/>
      <c r="E213" s="380"/>
      <c r="F213" s="380"/>
      <c r="G213" s="380"/>
      <c r="H213" s="380"/>
      <c r="I213" s="380"/>
      <c r="J213" s="380"/>
      <c r="K213" s="380"/>
      <c r="L213" s="380"/>
    </row>
  </sheetData>
  <sheetProtection selectLockedCells="1" selectUnlockedCells="1"/>
  <mergeCells count="258">
    <mergeCell ref="F184:I184"/>
    <mergeCell ref="B185:C185"/>
    <mergeCell ref="F185:I185"/>
    <mergeCell ref="B191:C191"/>
    <mergeCell ref="F191:I191"/>
    <mergeCell ref="B189:C189"/>
    <mergeCell ref="F189:I189"/>
    <mergeCell ref="B190:C190"/>
    <mergeCell ref="F190:I190"/>
    <mergeCell ref="B187:C187"/>
    <mergeCell ref="B182:C182"/>
    <mergeCell ref="F182:I182"/>
    <mergeCell ref="B205:L213"/>
    <mergeCell ref="B179:C179"/>
    <mergeCell ref="F179:I179"/>
    <mergeCell ref="B180:C180"/>
    <mergeCell ref="F180:I180"/>
    <mergeCell ref="D199:E199"/>
    <mergeCell ref="F199:G199"/>
    <mergeCell ref="I199:M199"/>
    <mergeCell ref="B183:C183"/>
    <mergeCell ref="B201:C201"/>
    <mergeCell ref="D201:E201"/>
    <mergeCell ref="F201:G201"/>
    <mergeCell ref="I201:M201"/>
    <mergeCell ref="B199:C199"/>
    <mergeCell ref="B186:C186"/>
    <mergeCell ref="F186:I186"/>
    <mergeCell ref="F183:I183"/>
    <mergeCell ref="B184:C184"/>
    <mergeCell ref="O201:P201"/>
    <mergeCell ref="B202:C202"/>
    <mergeCell ref="D202:E202"/>
    <mergeCell ref="F202:G202"/>
    <mergeCell ref="I202:M202"/>
    <mergeCell ref="O202:P202"/>
    <mergeCell ref="O199:P199"/>
    <mergeCell ref="B200:C200"/>
    <mergeCell ref="D200:E200"/>
    <mergeCell ref="F200:G200"/>
    <mergeCell ref="I200:M200"/>
    <mergeCell ref="O200:P200"/>
    <mergeCell ref="O197:P197"/>
    <mergeCell ref="B198:C198"/>
    <mergeCell ref="D198:E198"/>
    <mergeCell ref="F198:G198"/>
    <mergeCell ref="I198:M198"/>
    <mergeCell ref="O198:P198"/>
    <mergeCell ref="B193:C193"/>
    <mergeCell ref="F193:I193"/>
    <mergeCell ref="B194:I194"/>
    <mergeCell ref="B196:C196"/>
    <mergeCell ref="B197:C197"/>
    <mergeCell ref="D197:E197"/>
    <mergeCell ref="F197:G197"/>
    <mergeCell ref="I197:M197"/>
    <mergeCell ref="F187:I187"/>
    <mergeCell ref="B188:C188"/>
    <mergeCell ref="F188:I188"/>
    <mergeCell ref="B192:C192"/>
    <mergeCell ref="F192:I192"/>
    <mergeCell ref="B176:C176"/>
    <mergeCell ref="F176:I176"/>
    <mergeCell ref="B177:C177"/>
    <mergeCell ref="F177:I177"/>
    <mergeCell ref="B181:C181"/>
    <mergeCell ref="F181:I181"/>
    <mergeCell ref="B178:C178"/>
    <mergeCell ref="F178:I178"/>
    <mergeCell ref="B170:C170"/>
    <mergeCell ref="K170:N170"/>
    <mergeCell ref="B171:P171"/>
    <mergeCell ref="B174:C174"/>
    <mergeCell ref="F174:I174"/>
    <mergeCell ref="B175:C175"/>
    <mergeCell ref="F175:I175"/>
    <mergeCell ref="B167:C167"/>
    <mergeCell ref="K167:N167"/>
    <mergeCell ref="B168:C168"/>
    <mergeCell ref="K168:N168"/>
    <mergeCell ref="B169:C169"/>
    <mergeCell ref="K169:N169"/>
    <mergeCell ref="B164:C164"/>
    <mergeCell ref="K164:N164"/>
    <mergeCell ref="B165:C165"/>
    <mergeCell ref="K165:N165"/>
    <mergeCell ref="B166:C166"/>
    <mergeCell ref="K166:N166"/>
    <mergeCell ref="B159:C159"/>
    <mergeCell ref="K159:N159"/>
    <mergeCell ref="B160:C160"/>
    <mergeCell ref="K160:N160"/>
    <mergeCell ref="B163:C163"/>
    <mergeCell ref="K163:N163"/>
    <mergeCell ref="B161:C161"/>
    <mergeCell ref="K161:N161"/>
    <mergeCell ref="B162:C162"/>
    <mergeCell ref="K162:N162"/>
    <mergeCell ref="B148:C148"/>
    <mergeCell ref="K148:N148"/>
    <mergeCell ref="B149:C149"/>
    <mergeCell ref="K149:N149"/>
    <mergeCell ref="B158:C158"/>
    <mergeCell ref="K158:N158"/>
    <mergeCell ref="B150:C150"/>
    <mergeCell ref="K150:N150"/>
    <mergeCell ref="B151:C151"/>
    <mergeCell ref="K151:N151"/>
    <mergeCell ref="B144:C144"/>
    <mergeCell ref="K144:N144"/>
    <mergeCell ref="B145:C145"/>
    <mergeCell ref="K145:N145"/>
    <mergeCell ref="B147:C147"/>
    <mergeCell ref="K147:N147"/>
    <mergeCell ref="B146:C146"/>
    <mergeCell ref="K146:N146"/>
    <mergeCell ref="B140:D140"/>
    <mergeCell ref="E140:F140"/>
    <mergeCell ref="B141:D141"/>
    <mergeCell ref="E141:F141"/>
    <mergeCell ref="B143:C143"/>
    <mergeCell ref="K143:N143"/>
    <mergeCell ref="B135:D135"/>
    <mergeCell ref="E135:F135"/>
    <mergeCell ref="B137:D137"/>
    <mergeCell ref="E137:F137"/>
    <mergeCell ref="B138:D138"/>
    <mergeCell ref="E138:F138"/>
    <mergeCell ref="E130:F130"/>
    <mergeCell ref="E131:F131"/>
    <mergeCell ref="B132:D132"/>
    <mergeCell ref="E132:F132"/>
    <mergeCell ref="B134:D134"/>
    <mergeCell ref="E134:F134"/>
    <mergeCell ref="E124:F124"/>
    <mergeCell ref="E125:F125"/>
    <mergeCell ref="E126:F126"/>
    <mergeCell ref="E127:F127"/>
    <mergeCell ref="E128:F128"/>
    <mergeCell ref="E129:F129"/>
    <mergeCell ref="F116:G116"/>
    <mergeCell ref="F117:G117"/>
    <mergeCell ref="F118:G118"/>
    <mergeCell ref="E121:F121"/>
    <mergeCell ref="E122:F122"/>
    <mergeCell ref="E123:F123"/>
    <mergeCell ref="F110:G110"/>
    <mergeCell ref="F111:G111"/>
    <mergeCell ref="F112:G112"/>
    <mergeCell ref="F113:G113"/>
    <mergeCell ref="F114:G114"/>
    <mergeCell ref="F115:G115"/>
    <mergeCell ref="B104:C104"/>
    <mergeCell ref="E104:G104"/>
    <mergeCell ref="C106:E106"/>
    <mergeCell ref="F107:G107"/>
    <mergeCell ref="F108:G108"/>
    <mergeCell ref="F109:G109"/>
    <mergeCell ref="B101:C101"/>
    <mergeCell ref="E101:G101"/>
    <mergeCell ref="B102:C102"/>
    <mergeCell ref="E102:G102"/>
    <mergeCell ref="B103:C103"/>
    <mergeCell ref="E103:G103"/>
    <mergeCell ref="B98:C98"/>
    <mergeCell ref="E98:G98"/>
    <mergeCell ref="B99:C99"/>
    <mergeCell ref="E99:G99"/>
    <mergeCell ref="B100:C100"/>
    <mergeCell ref="E100:G100"/>
    <mergeCell ref="B91:C91"/>
    <mergeCell ref="B95:C95"/>
    <mergeCell ref="E95:G95"/>
    <mergeCell ref="B96:C96"/>
    <mergeCell ref="E96:G96"/>
    <mergeCell ref="B97:C97"/>
    <mergeCell ref="E97:G97"/>
    <mergeCell ref="B85:C85"/>
    <mergeCell ref="B86:C86"/>
    <mergeCell ref="B87:C87"/>
    <mergeCell ref="B88:C88"/>
    <mergeCell ref="B89:C89"/>
    <mergeCell ref="B90:C90"/>
    <mergeCell ref="C70:P70"/>
    <mergeCell ref="C71:P71"/>
    <mergeCell ref="C72:P72"/>
    <mergeCell ref="C73:P73"/>
    <mergeCell ref="C74:P74"/>
    <mergeCell ref="C75:D75"/>
    <mergeCell ref="C62:D62"/>
    <mergeCell ref="C63:D63"/>
    <mergeCell ref="C64:D64"/>
    <mergeCell ref="B65:B69"/>
    <mergeCell ref="C65:D65"/>
    <mergeCell ref="C66:D66"/>
    <mergeCell ref="C67:D67"/>
    <mergeCell ref="C68:D68"/>
    <mergeCell ref="C69:D69"/>
    <mergeCell ref="C56:D56"/>
    <mergeCell ref="C57:D57"/>
    <mergeCell ref="C58:D58"/>
    <mergeCell ref="C59:D59"/>
    <mergeCell ref="C60:D60"/>
    <mergeCell ref="C61:D61"/>
    <mergeCell ref="C51:D51"/>
    <mergeCell ref="B52:B53"/>
    <mergeCell ref="C52:D52"/>
    <mergeCell ref="C53:D53"/>
    <mergeCell ref="C54:P54"/>
    <mergeCell ref="C55:P55"/>
    <mergeCell ref="K40:L40"/>
    <mergeCell ref="K41:L41"/>
    <mergeCell ref="K42:L42"/>
    <mergeCell ref="M47:O47"/>
    <mergeCell ref="C49:D49"/>
    <mergeCell ref="C50:D50"/>
    <mergeCell ref="K27:N27"/>
    <mergeCell ref="J28:J32"/>
    <mergeCell ref="K28:N32"/>
    <mergeCell ref="B30:G30"/>
    <mergeCell ref="B34:G34"/>
    <mergeCell ref="K39:L39"/>
    <mergeCell ref="L12:L13"/>
    <mergeCell ref="M12:M13"/>
    <mergeCell ref="N12:N13"/>
    <mergeCell ref="K25:N25"/>
    <mergeCell ref="B26:G26"/>
    <mergeCell ref="K26:N26"/>
    <mergeCell ref="N10:O10"/>
    <mergeCell ref="B12:B13"/>
    <mergeCell ref="C12:C13"/>
    <mergeCell ref="D12:D13"/>
    <mergeCell ref="E12:F12"/>
    <mergeCell ref="G12:G13"/>
    <mergeCell ref="H12:H13"/>
    <mergeCell ref="I12:I13"/>
    <mergeCell ref="J12:J13"/>
    <mergeCell ref="K12:K13"/>
    <mergeCell ref="B155:C155"/>
    <mergeCell ref="K155:N155"/>
    <mergeCell ref="C2:E2"/>
    <mergeCell ref="I2:I3"/>
    <mergeCell ref="N2:O9"/>
    <mergeCell ref="I4:J4"/>
    <mergeCell ref="C5:E5"/>
    <mergeCell ref="C7:D7"/>
    <mergeCell ref="C8:D8"/>
    <mergeCell ref="C9:D9"/>
    <mergeCell ref="B156:C156"/>
    <mergeCell ref="K156:N156"/>
    <mergeCell ref="B152:C152"/>
    <mergeCell ref="K152:N152"/>
    <mergeCell ref="B157:C157"/>
    <mergeCell ref="K157:N157"/>
    <mergeCell ref="B153:C153"/>
    <mergeCell ref="K153:N153"/>
    <mergeCell ref="B154:C154"/>
    <mergeCell ref="K154:N154"/>
  </mergeCells>
  <dataValidations count="12">
    <dataValidation operator="equal" allowBlank="1" showErrorMessage="1" sqref="K2:K3">
      <formula1>0</formula1>
    </dataValidation>
    <dataValidation type="list" operator="equal" allowBlank="1" sqref="C7">
      <formula1>武器・種族・職業のリスト!$B$21:$B$37</formula1>
    </dataValidation>
    <dataValidation type="list" operator="equal" allowBlank="1" sqref="C8">
      <formula1>武器・種族・職業のリスト!$B$38:$B$50</formula1>
    </dataValidation>
    <dataValidation type="list" operator="equal" allowBlank="1" sqref="C9">
      <formula1>武器・種族・職業のリスト!$B$4:$B$17</formula1>
    </dataValidation>
    <dataValidation type="list" operator="equal" allowBlank="1" sqref="C50:C51">
      <formula1>武器・種族・職業のリスト!$B$54:$B$175</formula1>
    </dataValidation>
    <dataValidation type="list" operator="equal" allowBlank="1" sqref="C60">
      <formula1>防具リスト表!$B$5:$B$35</formula1>
    </dataValidation>
    <dataValidation type="list" operator="equal" allowBlank="1" sqref="C61:C62">
      <formula1>防具リスト表!$B$43:$B$53</formula1>
    </dataValidation>
    <dataValidation type="list" operator="equal" allowBlank="1" sqref="C63:C64">
      <formula1>防具リスト表!$B$62:$B$82</formula1>
    </dataValidation>
    <dataValidation type="list" operator="equal" allowBlank="1" sqref="B86:B90">
      <formula1>好感度表!$B$4:$B$25</formula1>
    </dataValidation>
    <dataValidation type="list" operator="equal" allowBlank="1" sqref="B111:B114">
      <formula1>武器・種族・職業のリスト!$B$21:$B$51</formula1>
    </dataValidation>
    <dataValidation type="list" operator="equal" allowBlank="1" sqref="B116:B117">
      <formula1>武器・種族・職業のリスト!$O$18:$O$27</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B7" sqref="B7:D7"/>
    </sheetView>
  </sheetViews>
  <sheetFormatPr defaultColWidth="9.875" defaultRowHeight="13.5"/>
  <cols>
    <col min="1" max="14" width="9.875" style="1" customWidth="1"/>
    <col min="15" max="15" width="17.625" style="1" customWidth="1"/>
    <col min="16" max="16384" width="9.875" style="1" customWidth="1"/>
  </cols>
  <sheetData>
    <row r="1" ht="13.5">
      <c r="L1" s="49" t="s">
        <v>191</v>
      </c>
    </row>
    <row r="2" spans="2:12" ht="13.5">
      <c r="B2" s="1" t="s">
        <v>192</v>
      </c>
      <c r="D2" s="49" t="s">
        <v>193</v>
      </c>
      <c r="K2" s="1" t="s">
        <v>194</v>
      </c>
      <c r="L2" s="49" t="s">
        <v>195</v>
      </c>
    </row>
    <row r="3" spans="2:15" ht="13.5">
      <c r="B3" s="323" t="s">
        <v>196</v>
      </c>
      <c r="C3" s="323"/>
      <c r="D3" s="323"/>
      <c r="E3" s="331" t="s">
        <v>197</v>
      </c>
      <c r="F3" s="331"/>
      <c r="G3" s="331"/>
      <c r="H3" s="331"/>
      <c r="K3" s="236" t="s">
        <v>196</v>
      </c>
      <c r="L3" s="331"/>
      <c r="M3" s="331"/>
      <c r="N3" s="331"/>
      <c r="O3" s="331"/>
    </row>
    <row r="4" spans="2:15" ht="13.5">
      <c r="B4" s="381" t="s">
        <v>530</v>
      </c>
      <c r="C4" s="381"/>
      <c r="D4" s="381"/>
      <c r="E4" s="342"/>
      <c r="F4" s="342"/>
      <c r="G4" s="342"/>
      <c r="H4" s="342"/>
      <c r="K4" s="382" t="s">
        <v>74</v>
      </c>
      <c r="L4" s="323"/>
      <c r="M4" s="323"/>
      <c r="N4" s="323"/>
      <c r="O4" s="323"/>
    </row>
    <row r="5" spans="2:15" ht="13.5">
      <c r="B5" s="383" t="s">
        <v>531</v>
      </c>
      <c r="C5" s="383"/>
      <c r="D5" s="383"/>
      <c r="E5" s="322"/>
      <c r="F5" s="322"/>
      <c r="G5" s="322"/>
      <c r="H5" s="322"/>
      <c r="K5" s="382"/>
      <c r="L5" s="382"/>
      <c r="M5" s="323"/>
      <c r="N5" s="323"/>
      <c r="O5" s="323"/>
    </row>
    <row r="6" spans="2:15" ht="13.5">
      <c r="B6" s="383" t="s">
        <v>548</v>
      </c>
      <c r="C6" s="383"/>
      <c r="D6" s="383"/>
      <c r="E6" s="322"/>
      <c r="F6" s="322"/>
      <c r="G6" s="322"/>
      <c r="H6" s="322"/>
      <c r="K6" s="382"/>
      <c r="L6" s="382"/>
      <c r="M6" s="323"/>
      <c r="N6" s="323"/>
      <c r="O6" s="323"/>
    </row>
    <row r="7" spans="2:15" ht="13.5">
      <c r="B7" s="383" t="s">
        <v>563</v>
      </c>
      <c r="C7" s="383"/>
      <c r="D7" s="383"/>
      <c r="E7" s="322"/>
      <c r="F7" s="322"/>
      <c r="G7" s="322"/>
      <c r="H7" s="322"/>
      <c r="K7" s="382"/>
      <c r="L7" s="382"/>
      <c r="M7" s="323"/>
      <c r="N7" s="323"/>
      <c r="O7" s="323"/>
    </row>
    <row r="8" spans="2:15" ht="13.5">
      <c r="B8" s="383"/>
      <c r="C8" s="383"/>
      <c r="D8" s="383"/>
      <c r="E8" s="322"/>
      <c r="F8" s="322"/>
      <c r="G8" s="322"/>
      <c r="H8" s="322"/>
      <c r="K8" s="382"/>
      <c r="L8" s="382"/>
      <c r="M8" s="323"/>
      <c r="N8" s="323"/>
      <c r="O8" s="323"/>
    </row>
    <row r="9" spans="2:15" ht="13.5">
      <c r="B9" s="383"/>
      <c r="C9" s="383"/>
      <c r="D9" s="383"/>
      <c r="E9" s="322"/>
      <c r="F9" s="322"/>
      <c r="G9" s="322"/>
      <c r="H9" s="322"/>
      <c r="K9" s="382"/>
      <c r="L9" s="382"/>
      <c r="M9" s="323"/>
      <c r="N9" s="323"/>
      <c r="O9" s="323"/>
    </row>
    <row r="10" spans="2:15" ht="13.5">
      <c r="B10" s="383"/>
      <c r="C10" s="383"/>
      <c r="D10" s="383"/>
      <c r="E10" s="322"/>
      <c r="F10" s="322"/>
      <c r="G10" s="322"/>
      <c r="H10" s="322"/>
      <c r="K10" s="382"/>
      <c r="L10" s="382"/>
      <c r="M10" s="323"/>
      <c r="N10" s="323"/>
      <c r="O10" s="323"/>
    </row>
    <row r="11" spans="2:15" ht="13.5">
      <c r="B11" s="383"/>
      <c r="C11" s="383"/>
      <c r="D11" s="383"/>
      <c r="E11" s="322"/>
      <c r="F11" s="322"/>
      <c r="G11" s="322"/>
      <c r="H11" s="322"/>
      <c r="K11" s="382"/>
      <c r="L11" s="382"/>
      <c r="M11" s="323"/>
      <c r="N11" s="323"/>
      <c r="O11" s="323"/>
    </row>
    <row r="12" spans="2:15" ht="13.5">
      <c r="B12" s="383"/>
      <c r="C12" s="383"/>
      <c r="D12" s="383"/>
      <c r="E12" s="322"/>
      <c r="F12" s="322"/>
      <c r="G12" s="322"/>
      <c r="H12" s="322"/>
      <c r="K12" s="382"/>
      <c r="L12" s="382"/>
      <c r="M12" s="323"/>
      <c r="N12" s="323"/>
      <c r="O12" s="323"/>
    </row>
    <row r="13" spans="2:15" ht="13.5">
      <c r="B13" s="383"/>
      <c r="C13" s="383"/>
      <c r="D13" s="383"/>
      <c r="E13" s="322"/>
      <c r="F13" s="322"/>
      <c r="G13" s="322"/>
      <c r="H13" s="322"/>
      <c r="K13" s="382"/>
      <c r="L13" s="382"/>
      <c r="M13" s="323"/>
      <c r="N13" s="323"/>
      <c r="O13" s="323"/>
    </row>
    <row r="14" spans="2:15" ht="13.5">
      <c r="B14" s="383"/>
      <c r="C14" s="383"/>
      <c r="D14" s="383"/>
      <c r="E14" s="322"/>
      <c r="F14" s="322"/>
      <c r="G14" s="322"/>
      <c r="H14" s="322"/>
      <c r="K14" s="382"/>
      <c r="L14" s="382"/>
      <c r="M14" s="323"/>
      <c r="N14" s="323"/>
      <c r="O14" s="323"/>
    </row>
    <row r="15" spans="2:15" ht="13.5">
      <c r="B15" s="383"/>
      <c r="C15" s="383"/>
      <c r="D15" s="383"/>
      <c r="E15" s="322"/>
      <c r="F15" s="322"/>
      <c r="G15" s="322"/>
      <c r="H15" s="322"/>
      <c r="K15" s="382"/>
      <c r="L15" s="382"/>
      <c r="M15" s="323"/>
      <c r="N15" s="323"/>
      <c r="O15" s="323"/>
    </row>
    <row r="16" spans="2:15" ht="13.5">
      <c r="B16" s="383"/>
      <c r="C16" s="383"/>
      <c r="D16" s="383"/>
      <c r="E16" s="322"/>
      <c r="F16" s="322"/>
      <c r="G16" s="322"/>
      <c r="H16" s="322"/>
      <c r="K16" s="382"/>
      <c r="L16" s="382"/>
      <c r="M16" s="323"/>
      <c r="N16" s="323"/>
      <c r="O16" s="323"/>
    </row>
    <row r="17" spans="2:15" ht="13.5">
      <c r="B17" s="383"/>
      <c r="C17" s="383"/>
      <c r="D17" s="383"/>
      <c r="E17" s="322"/>
      <c r="F17" s="322"/>
      <c r="G17" s="322"/>
      <c r="H17" s="322"/>
      <c r="K17" s="382"/>
      <c r="L17" s="382"/>
      <c r="M17" s="323"/>
      <c r="N17" s="323"/>
      <c r="O17" s="323"/>
    </row>
    <row r="18" spans="2:15" ht="13.5">
      <c r="B18" s="383"/>
      <c r="C18" s="383"/>
      <c r="D18" s="383"/>
      <c r="E18" s="322"/>
      <c r="F18" s="322"/>
      <c r="G18" s="322"/>
      <c r="H18" s="322"/>
      <c r="K18" s="382"/>
      <c r="L18" s="382"/>
      <c r="M18" s="323"/>
      <c r="N18" s="323"/>
      <c r="O18" s="323"/>
    </row>
    <row r="19" spans="2:15" ht="13.5">
      <c r="B19" s="383"/>
      <c r="C19" s="383"/>
      <c r="D19" s="383"/>
      <c r="E19" s="322"/>
      <c r="F19" s="322"/>
      <c r="G19" s="322"/>
      <c r="H19" s="322"/>
      <c r="K19" s="382"/>
      <c r="L19" s="382"/>
      <c r="M19" s="323"/>
      <c r="N19" s="323"/>
      <c r="O19" s="323"/>
    </row>
    <row r="20" spans="2:15" ht="13.5">
      <c r="B20" s="383"/>
      <c r="C20" s="383"/>
      <c r="D20" s="383"/>
      <c r="E20" s="322"/>
      <c r="F20" s="322"/>
      <c r="G20" s="322"/>
      <c r="H20" s="322"/>
      <c r="K20" s="382"/>
      <c r="L20" s="382"/>
      <c r="M20" s="323"/>
      <c r="N20" s="323"/>
      <c r="O20" s="323"/>
    </row>
    <row r="21" spans="2:15" ht="13.5">
      <c r="B21" s="383"/>
      <c r="C21" s="383"/>
      <c r="D21" s="383"/>
      <c r="E21" s="322"/>
      <c r="F21" s="322"/>
      <c r="G21" s="322"/>
      <c r="H21" s="322"/>
      <c r="K21" s="382"/>
      <c r="L21" s="382"/>
      <c r="M21" s="323"/>
      <c r="N21" s="323"/>
      <c r="O21" s="323"/>
    </row>
    <row r="22" spans="2:15" ht="13.5">
      <c r="B22" s="383"/>
      <c r="C22" s="383"/>
      <c r="D22" s="383"/>
      <c r="E22" s="322"/>
      <c r="F22" s="322"/>
      <c r="G22" s="322"/>
      <c r="H22" s="322"/>
      <c r="K22" s="382"/>
      <c r="L22" s="382"/>
      <c r="M22" s="323"/>
      <c r="N22" s="323"/>
      <c r="O22" s="323"/>
    </row>
    <row r="23" spans="2:15" ht="13.5">
      <c r="B23" s="383"/>
      <c r="C23" s="383"/>
      <c r="D23" s="383"/>
      <c r="E23" s="322"/>
      <c r="F23" s="322"/>
      <c r="G23" s="322"/>
      <c r="H23" s="322"/>
      <c r="K23" s="382"/>
      <c r="L23" s="382"/>
      <c r="M23" s="323"/>
      <c r="N23" s="323"/>
      <c r="O23" s="323"/>
    </row>
    <row r="24" spans="2:15" ht="13.5">
      <c r="B24" s="384"/>
      <c r="C24" s="384"/>
      <c r="D24" s="384"/>
      <c r="E24" s="324"/>
      <c r="F24" s="324"/>
      <c r="G24" s="324"/>
      <c r="H24" s="324"/>
      <c r="K24" s="382"/>
      <c r="L24" s="382"/>
      <c r="M24" s="323"/>
      <c r="N24" s="323"/>
      <c r="O24" s="323"/>
    </row>
  </sheetData>
  <sheetProtection selectLockedCells="1" selectUnlockedCells="1"/>
  <mergeCells count="47">
    <mergeCell ref="B22:D22"/>
    <mergeCell ref="E22:H22"/>
    <mergeCell ref="B23:D23"/>
    <mergeCell ref="E23:H23"/>
    <mergeCell ref="B24:D24"/>
    <mergeCell ref="E24:H24"/>
    <mergeCell ref="B19:D19"/>
    <mergeCell ref="E19:H19"/>
    <mergeCell ref="B20:D20"/>
    <mergeCell ref="E20:H20"/>
    <mergeCell ref="B21:D21"/>
    <mergeCell ref="E21:H21"/>
    <mergeCell ref="B16:D16"/>
    <mergeCell ref="E16:H16"/>
    <mergeCell ref="B17:D17"/>
    <mergeCell ref="E17:H17"/>
    <mergeCell ref="B18:D18"/>
    <mergeCell ref="E18:H18"/>
    <mergeCell ref="B13:D13"/>
    <mergeCell ref="E13:H13"/>
    <mergeCell ref="B14:D14"/>
    <mergeCell ref="E14:H14"/>
    <mergeCell ref="B15:D15"/>
    <mergeCell ref="E15:H15"/>
    <mergeCell ref="B10:D10"/>
    <mergeCell ref="E10:H10"/>
    <mergeCell ref="B11:D11"/>
    <mergeCell ref="E11:H11"/>
    <mergeCell ref="B12:D12"/>
    <mergeCell ref="E12:H12"/>
    <mergeCell ref="E6:H6"/>
    <mergeCell ref="B7:D7"/>
    <mergeCell ref="E7:H7"/>
    <mergeCell ref="B8:D8"/>
    <mergeCell ref="E8:H8"/>
    <mergeCell ref="B9:D9"/>
    <mergeCell ref="E9:H9"/>
    <mergeCell ref="B3:D3"/>
    <mergeCell ref="E3:H3"/>
    <mergeCell ref="L3:O3"/>
    <mergeCell ref="B4:D4"/>
    <mergeCell ref="E4:H4"/>
    <mergeCell ref="K4:K24"/>
    <mergeCell ref="L4:O24"/>
    <mergeCell ref="B5:D5"/>
    <mergeCell ref="E5:H5"/>
    <mergeCell ref="B6:D6"/>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D8" sqref="D8"/>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198</v>
      </c>
    </row>
    <row r="2" spans="2:3" ht="13.5">
      <c r="B2" s="25" t="s">
        <v>126</v>
      </c>
      <c r="C2" s="49" t="s">
        <v>199</v>
      </c>
    </row>
    <row r="3" spans="2:9" ht="13.5">
      <c r="B3" s="237" t="s">
        <v>128</v>
      </c>
      <c r="C3" s="59" t="s">
        <v>200</v>
      </c>
      <c r="D3" s="98" t="s">
        <v>201</v>
      </c>
      <c r="E3" s="204" t="s">
        <v>202</v>
      </c>
      <c r="F3" s="59" t="s">
        <v>32</v>
      </c>
      <c r="G3" s="59" t="s">
        <v>131</v>
      </c>
      <c r="I3" s="238" t="s">
        <v>203</v>
      </c>
    </row>
    <row r="4" spans="2:9" ht="13.5">
      <c r="B4" s="239" t="s">
        <v>519</v>
      </c>
      <c r="C4" s="173">
        <v>130</v>
      </c>
      <c r="D4" s="240">
        <v>2</v>
      </c>
      <c r="E4" s="241">
        <v>0</v>
      </c>
      <c r="F4" s="173">
        <v>0</v>
      </c>
      <c r="G4" s="173">
        <f aca="true" t="shared" si="0" ref="G4:G25">SUM(D4:E4)</f>
        <v>2</v>
      </c>
      <c r="I4" s="1" t="s">
        <v>204</v>
      </c>
    </row>
    <row r="5" spans="2:7" ht="13.5">
      <c r="B5" s="242" t="s">
        <v>528</v>
      </c>
      <c r="C5" s="21" t="s">
        <v>529</v>
      </c>
      <c r="D5" s="243">
        <v>2</v>
      </c>
      <c r="E5" s="241">
        <v>0</v>
      </c>
      <c r="F5" s="173">
        <v>0</v>
      </c>
      <c r="G5" s="173">
        <f t="shared" si="0"/>
        <v>2</v>
      </c>
    </row>
    <row r="6" spans="2:7" ht="13.5">
      <c r="B6" s="242" t="s">
        <v>546</v>
      </c>
      <c r="C6" s="21" t="s">
        <v>547</v>
      </c>
      <c r="D6" s="243">
        <v>1</v>
      </c>
      <c r="E6" s="241">
        <v>0</v>
      </c>
      <c r="F6" s="173">
        <v>0</v>
      </c>
      <c r="G6" s="173">
        <f t="shared" si="0"/>
        <v>1</v>
      </c>
    </row>
    <row r="7" spans="2:7" ht="13.5">
      <c r="B7" s="242" t="s">
        <v>561</v>
      </c>
      <c r="C7" s="21" t="s">
        <v>562</v>
      </c>
      <c r="D7" s="243">
        <v>1</v>
      </c>
      <c r="E7" s="241">
        <v>0</v>
      </c>
      <c r="F7" s="173">
        <v>0</v>
      </c>
      <c r="G7" s="173">
        <f t="shared" si="0"/>
        <v>1</v>
      </c>
    </row>
    <row r="8" spans="2:7" ht="13.5">
      <c r="B8" s="242"/>
      <c r="C8" s="21"/>
      <c r="D8" s="243">
        <v>0</v>
      </c>
      <c r="E8" s="241">
        <v>0</v>
      </c>
      <c r="F8" s="173">
        <v>0</v>
      </c>
      <c r="G8" s="173">
        <f t="shared" si="0"/>
        <v>0</v>
      </c>
    </row>
    <row r="9" spans="2:7" ht="13.5">
      <c r="B9" s="242"/>
      <c r="C9" s="21"/>
      <c r="D9" s="243">
        <v>0</v>
      </c>
      <c r="E9" s="241">
        <v>0</v>
      </c>
      <c r="F9" s="173">
        <v>0</v>
      </c>
      <c r="G9" s="173">
        <f t="shared" si="0"/>
        <v>0</v>
      </c>
    </row>
    <row r="10" spans="2:7" ht="13.5">
      <c r="B10" s="242"/>
      <c r="C10" s="21"/>
      <c r="D10" s="243">
        <v>0</v>
      </c>
      <c r="E10" s="241">
        <v>0</v>
      </c>
      <c r="F10" s="173">
        <v>0</v>
      </c>
      <c r="G10" s="173">
        <f t="shared" si="0"/>
        <v>0</v>
      </c>
    </row>
    <row r="11" spans="2:7" ht="13.5">
      <c r="B11" s="242"/>
      <c r="C11" s="21"/>
      <c r="D11" s="243">
        <v>0</v>
      </c>
      <c r="E11" s="241">
        <v>0</v>
      </c>
      <c r="F11" s="173">
        <v>0</v>
      </c>
      <c r="G11" s="173">
        <f t="shared" si="0"/>
        <v>0</v>
      </c>
    </row>
    <row r="12" spans="2:7" ht="13.5">
      <c r="B12" s="242"/>
      <c r="C12" s="21"/>
      <c r="D12" s="243">
        <v>0</v>
      </c>
      <c r="E12" s="241">
        <v>0</v>
      </c>
      <c r="F12" s="173">
        <v>0</v>
      </c>
      <c r="G12" s="173">
        <f t="shared" si="0"/>
        <v>0</v>
      </c>
    </row>
    <row r="13" spans="2:7" ht="13.5">
      <c r="B13" s="242"/>
      <c r="C13" s="21"/>
      <c r="D13" s="243">
        <v>0</v>
      </c>
      <c r="E13" s="241">
        <v>0</v>
      </c>
      <c r="F13" s="173">
        <v>0</v>
      </c>
      <c r="G13" s="173">
        <f t="shared" si="0"/>
        <v>0</v>
      </c>
    </row>
    <row r="14" spans="2:7" ht="13.5">
      <c r="B14" s="242"/>
      <c r="C14" s="21"/>
      <c r="D14" s="243">
        <v>0</v>
      </c>
      <c r="E14" s="241">
        <v>0</v>
      </c>
      <c r="F14" s="173">
        <v>0</v>
      </c>
      <c r="G14" s="173">
        <f t="shared" si="0"/>
        <v>0</v>
      </c>
    </row>
    <row r="15" spans="2:7" ht="13.5">
      <c r="B15" s="242"/>
      <c r="C15" s="21"/>
      <c r="D15" s="243">
        <v>0</v>
      </c>
      <c r="E15" s="241">
        <v>0</v>
      </c>
      <c r="F15" s="173">
        <v>0</v>
      </c>
      <c r="G15" s="173">
        <f t="shared" si="0"/>
        <v>0</v>
      </c>
    </row>
    <row r="16" spans="2:7" ht="13.5">
      <c r="B16" s="242"/>
      <c r="C16" s="21"/>
      <c r="D16" s="243">
        <v>0</v>
      </c>
      <c r="E16" s="241">
        <v>0</v>
      </c>
      <c r="F16" s="173">
        <v>0</v>
      </c>
      <c r="G16" s="173">
        <f t="shared" si="0"/>
        <v>0</v>
      </c>
    </row>
    <row r="17" spans="2:7" ht="13.5">
      <c r="B17" s="242"/>
      <c r="C17" s="21"/>
      <c r="D17" s="243">
        <v>0</v>
      </c>
      <c r="E17" s="241">
        <v>0</v>
      </c>
      <c r="F17" s="173">
        <v>0</v>
      </c>
      <c r="G17" s="173">
        <f t="shared" si="0"/>
        <v>0</v>
      </c>
    </row>
    <row r="18" spans="2:7" ht="13.5">
      <c r="B18" s="242"/>
      <c r="C18" s="21"/>
      <c r="D18" s="243">
        <v>0</v>
      </c>
      <c r="E18" s="241">
        <v>0</v>
      </c>
      <c r="F18" s="173">
        <v>0</v>
      </c>
      <c r="G18" s="173">
        <f t="shared" si="0"/>
        <v>0</v>
      </c>
    </row>
    <row r="19" spans="2:7" ht="13.5">
      <c r="B19" s="242"/>
      <c r="C19" s="21"/>
      <c r="D19" s="243">
        <v>0</v>
      </c>
      <c r="E19" s="241">
        <v>0</v>
      </c>
      <c r="F19" s="173">
        <v>0</v>
      </c>
      <c r="G19" s="173">
        <f t="shared" si="0"/>
        <v>0</v>
      </c>
    </row>
    <row r="20" spans="2:7" ht="13.5">
      <c r="B20" s="242"/>
      <c r="C20" s="21"/>
      <c r="D20" s="243">
        <v>0</v>
      </c>
      <c r="E20" s="241">
        <v>0</v>
      </c>
      <c r="F20" s="173">
        <v>0</v>
      </c>
      <c r="G20" s="173">
        <f t="shared" si="0"/>
        <v>0</v>
      </c>
    </row>
    <row r="21" spans="2:7" ht="13.5">
      <c r="B21" s="242"/>
      <c r="C21" s="21"/>
      <c r="D21" s="243">
        <v>0</v>
      </c>
      <c r="E21" s="241">
        <v>0</v>
      </c>
      <c r="F21" s="173">
        <v>0</v>
      </c>
      <c r="G21" s="173">
        <f t="shared" si="0"/>
        <v>0</v>
      </c>
    </row>
    <row r="22" spans="2:7" ht="13.5">
      <c r="B22" s="242"/>
      <c r="C22" s="21"/>
      <c r="D22" s="243">
        <v>0</v>
      </c>
      <c r="E22" s="241">
        <v>0</v>
      </c>
      <c r="F22" s="173">
        <v>0</v>
      </c>
      <c r="G22" s="173">
        <f t="shared" si="0"/>
        <v>0</v>
      </c>
    </row>
    <row r="23" spans="2:7" ht="13.5">
      <c r="B23" s="242"/>
      <c r="C23" s="21"/>
      <c r="D23" s="243">
        <v>0</v>
      </c>
      <c r="E23" s="241">
        <v>0</v>
      </c>
      <c r="F23" s="173">
        <v>0</v>
      </c>
      <c r="G23" s="173">
        <f t="shared" si="0"/>
        <v>0</v>
      </c>
    </row>
    <row r="24" spans="2:7" ht="13.5">
      <c r="B24" s="242"/>
      <c r="C24" s="21"/>
      <c r="D24" s="243">
        <v>0</v>
      </c>
      <c r="E24" s="241">
        <v>0</v>
      </c>
      <c r="F24" s="173">
        <v>0</v>
      </c>
      <c r="G24" s="173">
        <f t="shared" si="0"/>
        <v>0</v>
      </c>
    </row>
    <row r="25" spans="2:7" ht="13.5">
      <c r="B25" s="242" t="s">
        <v>61</v>
      </c>
      <c r="C25" s="21"/>
      <c r="D25" s="243">
        <v>0</v>
      </c>
      <c r="E25" s="244">
        <v>0</v>
      </c>
      <c r="F25" s="173">
        <v>0</v>
      </c>
      <c r="G25" s="173">
        <f t="shared" si="0"/>
        <v>0</v>
      </c>
    </row>
    <row r="26" spans="2:7" ht="13.5">
      <c r="B26" s="213" t="s">
        <v>113</v>
      </c>
      <c r="C26" s="59"/>
      <c r="D26" s="140">
        <f>SUM(D4:D25)</f>
        <v>6</v>
      </c>
      <c r="E26" s="140">
        <f>SUM(E4:E25)</f>
        <v>0</v>
      </c>
      <c r="F26" s="140">
        <f>SUM(F4:F25)</f>
        <v>0</v>
      </c>
      <c r="G26" s="140">
        <f>SUM(G4:G25)</f>
        <v>6</v>
      </c>
    </row>
    <row r="29" spans="2:7" ht="13.5">
      <c r="B29" s="25" t="s">
        <v>126</v>
      </c>
      <c r="C29" s="49" t="s">
        <v>205</v>
      </c>
      <c r="G29" s="1" t="s">
        <v>206</v>
      </c>
    </row>
    <row r="30" spans="2:7" ht="13.5">
      <c r="B30" s="237" t="s">
        <v>128</v>
      </c>
      <c r="C30" s="59" t="s">
        <v>200</v>
      </c>
      <c r="D30" s="98" t="s">
        <v>129</v>
      </c>
      <c r="E30" s="204" t="s">
        <v>130</v>
      </c>
      <c r="F30" s="59" t="s">
        <v>32</v>
      </c>
      <c r="G30" s="59" t="s">
        <v>131</v>
      </c>
    </row>
    <row r="31" spans="2:7" ht="13.5">
      <c r="B31" s="239" t="s">
        <v>520</v>
      </c>
      <c r="C31" s="321" t="s">
        <v>521</v>
      </c>
      <c r="D31" s="240">
        <v>1</v>
      </c>
      <c r="E31" s="241">
        <v>0</v>
      </c>
      <c r="F31" s="173">
        <v>0</v>
      </c>
      <c r="G31" s="173">
        <f aca="true" t="shared" si="1" ref="G31:G52">SUM(D31:E31)</f>
        <v>1</v>
      </c>
    </row>
    <row r="32" spans="2:7" ht="13.5">
      <c r="B32" s="242" t="s">
        <v>519</v>
      </c>
      <c r="C32" s="21">
        <v>130</v>
      </c>
      <c r="D32" s="243">
        <v>2</v>
      </c>
      <c r="E32" s="241">
        <v>0</v>
      </c>
      <c r="F32" s="173">
        <v>0</v>
      </c>
      <c r="G32" s="173">
        <f t="shared" si="1"/>
        <v>2</v>
      </c>
    </row>
    <row r="33" spans="2:7" ht="13.5">
      <c r="B33" s="242" t="s">
        <v>546</v>
      </c>
      <c r="C33" s="21" t="s">
        <v>547</v>
      </c>
      <c r="D33" s="243">
        <v>1</v>
      </c>
      <c r="E33" s="241">
        <v>0</v>
      </c>
      <c r="F33" s="173">
        <v>0</v>
      </c>
      <c r="G33" s="173">
        <f t="shared" si="1"/>
        <v>1</v>
      </c>
    </row>
    <row r="34" spans="2:7" ht="13.5">
      <c r="B34" s="242" t="s">
        <v>560</v>
      </c>
      <c r="C34" s="21" t="s">
        <v>529</v>
      </c>
      <c r="D34" s="243">
        <v>1</v>
      </c>
      <c r="E34" s="241">
        <v>0</v>
      </c>
      <c r="F34" s="173">
        <v>0</v>
      </c>
      <c r="G34" s="173">
        <f t="shared" si="1"/>
        <v>1</v>
      </c>
    </row>
    <row r="35" spans="2:7" ht="13.5">
      <c r="B35" s="242"/>
      <c r="C35" s="21"/>
      <c r="D35" s="243">
        <v>0</v>
      </c>
      <c r="E35" s="241">
        <v>0</v>
      </c>
      <c r="F35" s="173">
        <v>0</v>
      </c>
      <c r="G35" s="173">
        <f t="shared" si="1"/>
        <v>0</v>
      </c>
    </row>
    <row r="36" spans="2:7" ht="13.5">
      <c r="B36" s="242"/>
      <c r="C36" s="21"/>
      <c r="D36" s="243">
        <v>0</v>
      </c>
      <c r="E36" s="241">
        <v>0</v>
      </c>
      <c r="F36" s="173">
        <v>0</v>
      </c>
      <c r="G36" s="173">
        <f t="shared" si="1"/>
        <v>0</v>
      </c>
    </row>
    <row r="37" spans="2:7" ht="13.5">
      <c r="B37" s="242"/>
      <c r="C37" s="21"/>
      <c r="D37" s="243">
        <v>0</v>
      </c>
      <c r="E37" s="241">
        <v>0</v>
      </c>
      <c r="F37" s="173">
        <v>0</v>
      </c>
      <c r="G37" s="173">
        <f t="shared" si="1"/>
        <v>0</v>
      </c>
    </row>
    <row r="38" spans="2:7" ht="13.5">
      <c r="B38" s="242"/>
      <c r="C38" s="21"/>
      <c r="D38" s="243">
        <v>0</v>
      </c>
      <c r="E38" s="241">
        <v>0</v>
      </c>
      <c r="F38" s="173">
        <v>0</v>
      </c>
      <c r="G38" s="173">
        <f t="shared" si="1"/>
        <v>0</v>
      </c>
    </row>
    <row r="39" spans="2:7" ht="13.5">
      <c r="B39" s="242"/>
      <c r="C39" s="21"/>
      <c r="D39" s="243">
        <v>0</v>
      </c>
      <c r="E39" s="241">
        <v>0</v>
      </c>
      <c r="F39" s="173">
        <v>0</v>
      </c>
      <c r="G39" s="173">
        <f t="shared" si="1"/>
        <v>0</v>
      </c>
    </row>
    <row r="40" spans="2:7" ht="13.5">
      <c r="B40" s="242"/>
      <c r="C40" s="21"/>
      <c r="D40" s="243">
        <v>0</v>
      </c>
      <c r="E40" s="241">
        <v>0</v>
      </c>
      <c r="F40" s="173">
        <v>0</v>
      </c>
      <c r="G40" s="173">
        <f t="shared" si="1"/>
        <v>0</v>
      </c>
    </row>
    <row r="41" spans="2:7" ht="13.5">
      <c r="B41" s="242"/>
      <c r="C41" s="21"/>
      <c r="D41" s="243">
        <v>0</v>
      </c>
      <c r="E41" s="241">
        <v>0</v>
      </c>
      <c r="F41" s="173">
        <v>0</v>
      </c>
      <c r="G41" s="173">
        <f t="shared" si="1"/>
        <v>0</v>
      </c>
    </row>
    <row r="42" spans="2:7" ht="13.5">
      <c r="B42" s="242"/>
      <c r="C42" s="21"/>
      <c r="D42" s="243">
        <v>0</v>
      </c>
      <c r="E42" s="241">
        <v>0</v>
      </c>
      <c r="F42" s="173">
        <v>0</v>
      </c>
      <c r="G42" s="173">
        <f t="shared" si="1"/>
        <v>0</v>
      </c>
    </row>
    <row r="43" spans="2:7" ht="13.5">
      <c r="B43" s="242"/>
      <c r="C43" s="21"/>
      <c r="D43" s="243">
        <v>0</v>
      </c>
      <c r="E43" s="241">
        <v>0</v>
      </c>
      <c r="F43" s="173">
        <v>0</v>
      </c>
      <c r="G43" s="173">
        <f t="shared" si="1"/>
        <v>0</v>
      </c>
    </row>
    <row r="44" spans="2:7" ht="13.5">
      <c r="B44" s="242"/>
      <c r="C44" s="21"/>
      <c r="D44" s="243">
        <v>0</v>
      </c>
      <c r="E44" s="241">
        <v>0</v>
      </c>
      <c r="F44" s="173">
        <v>0</v>
      </c>
      <c r="G44" s="173">
        <f t="shared" si="1"/>
        <v>0</v>
      </c>
    </row>
    <row r="45" spans="2:7" ht="13.5">
      <c r="B45" s="242"/>
      <c r="C45" s="21"/>
      <c r="D45" s="243">
        <v>0</v>
      </c>
      <c r="E45" s="241">
        <v>0</v>
      </c>
      <c r="F45" s="173">
        <v>0</v>
      </c>
      <c r="G45" s="173">
        <f t="shared" si="1"/>
        <v>0</v>
      </c>
    </row>
    <row r="46" spans="2:7" ht="13.5">
      <c r="B46" s="242"/>
      <c r="C46" s="21"/>
      <c r="D46" s="243">
        <v>0</v>
      </c>
      <c r="E46" s="241">
        <v>0</v>
      </c>
      <c r="F46" s="173">
        <v>0</v>
      </c>
      <c r="G46" s="173">
        <f t="shared" si="1"/>
        <v>0</v>
      </c>
    </row>
    <row r="47" spans="2:7" ht="13.5">
      <c r="B47" s="242"/>
      <c r="C47" s="21"/>
      <c r="D47" s="243">
        <v>0</v>
      </c>
      <c r="E47" s="241">
        <v>0</v>
      </c>
      <c r="F47" s="173">
        <v>0</v>
      </c>
      <c r="G47" s="173">
        <f t="shared" si="1"/>
        <v>0</v>
      </c>
    </row>
    <row r="48" spans="2:7" ht="13.5">
      <c r="B48" s="242"/>
      <c r="C48" s="21"/>
      <c r="D48" s="243">
        <v>0</v>
      </c>
      <c r="E48" s="241">
        <v>0</v>
      </c>
      <c r="F48" s="173">
        <v>0</v>
      </c>
      <c r="G48" s="173">
        <f t="shared" si="1"/>
        <v>0</v>
      </c>
    </row>
    <row r="49" spans="2:7" ht="13.5">
      <c r="B49" s="242"/>
      <c r="C49" s="21"/>
      <c r="D49" s="243">
        <v>0</v>
      </c>
      <c r="E49" s="241">
        <v>0</v>
      </c>
      <c r="F49" s="173">
        <v>0</v>
      </c>
      <c r="G49" s="173">
        <f t="shared" si="1"/>
        <v>0</v>
      </c>
    </row>
    <row r="50" spans="2:7" ht="13.5">
      <c r="B50" s="242"/>
      <c r="C50" s="21"/>
      <c r="D50" s="243">
        <v>0</v>
      </c>
      <c r="E50" s="241">
        <v>0</v>
      </c>
      <c r="F50" s="173">
        <v>0</v>
      </c>
      <c r="G50" s="173">
        <f t="shared" si="1"/>
        <v>0</v>
      </c>
    </row>
    <row r="51" spans="2:7" ht="13.5">
      <c r="B51" s="242"/>
      <c r="C51" s="21"/>
      <c r="D51" s="243">
        <v>0</v>
      </c>
      <c r="E51" s="241">
        <v>0</v>
      </c>
      <c r="F51" s="173">
        <v>0</v>
      </c>
      <c r="G51" s="173">
        <f t="shared" si="1"/>
        <v>0</v>
      </c>
    </row>
    <row r="52" spans="2:7" ht="13.5">
      <c r="B52" s="242"/>
      <c r="C52" s="21"/>
      <c r="D52" s="243">
        <v>0</v>
      </c>
      <c r="E52" s="244">
        <v>0</v>
      </c>
      <c r="F52" s="173">
        <v>0</v>
      </c>
      <c r="G52" s="173">
        <f t="shared" si="1"/>
        <v>0</v>
      </c>
    </row>
    <row r="53" spans="2:7" ht="13.5">
      <c r="B53" s="213" t="s">
        <v>113</v>
      </c>
      <c r="C53" s="59"/>
      <c r="D53" s="140">
        <f>SUM(D31:D52)</f>
        <v>5</v>
      </c>
      <c r="E53" s="140">
        <f>SUM(E31:E52)</f>
        <v>0</v>
      </c>
      <c r="F53" s="140">
        <f>SUM(F31:F52)</f>
        <v>0</v>
      </c>
      <c r="G53" s="140">
        <f>SUM(G31:G52)</f>
        <v>5</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133">
      <selection activeCell="L38" sqref="L38"/>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5"/>
    </row>
    <row r="2" spans="2:3" ht="13.5">
      <c r="B2" s="385" t="s">
        <v>207</v>
      </c>
      <c r="C2" s="385"/>
    </row>
    <row r="3" spans="2:11" ht="13.5">
      <c r="B3" s="139" t="s">
        <v>29</v>
      </c>
      <c r="C3" s="117" t="s">
        <v>54</v>
      </c>
      <c r="D3" s="99" t="s">
        <v>55</v>
      </c>
      <c r="E3" s="99" t="s">
        <v>56</v>
      </c>
      <c r="F3" s="99" t="s">
        <v>208</v>
      </c>
      <c r="G3" s="99" t="s">
        <v>58</v>
      </c>
      <c r="H3" s="99" t="s">
        <v>59</v>
      </c>
      <c r="I3" s="99" t="s">
        <v>60</v>
      </c>
      <c r="J3" s="99" t="s">
        <v>62</v>
      </c>
      <c r="K3" s="60" t="s">
        <v>33</v>
      </c>
    </row>
    <row r="4" spans="2:11" ht="13.5">
      <c r="B4" s="144" t="s">
        <v>30</v>
      </c>
      <c r="C4" s="64">
        <v>3</v>
      </c>
      <c r="D4" s="64">
        <v>2</v>
      </c>
      <c r="E4" s="64">
        <v>3</v>
      </c>
      <c r="F4" s="64">
        <v>2</v>
      </c>
      <c r="G4" s="64">
        <v>2</v>
      </c>
      <c r="H4" s="64">
        <v>2</v>
      </c>
      <c r="I4" s="64">
        <v>2</v>
      </c>
      <c r="J4" s="64">
        <v>1</v>
      </c>
      <c r="K4" s="33">
        <v>2</v>
      </c>
    </row>
    <row r="5" spans="2:11" ht="13.5">
      <c r="B5" s="21" t="s">
        <v>209</v>
      </c>
      <c r="C5" s="73">
        <v>2</v>
      </c>
      <c r="D5" s="73">
        <v>3</v>
      </c>
      <c r="E5" s="73">
        <v>2</v>
      </c>
      <c r="F5" s="73">
        <v>2</v>
      </c>
      <c r="G5" s="73">
        <v>2</v>
      </c>
      <c r="H5" s="73">
        <v>3</v>
      </c>
      <c r="I5" s="73">
        <v>2</v>
      </c>
      <c r="J5" s="73">
        <v>2</v>
      </c>
      <c r="K5" s="128">
        <v>1</v>
      </c>
    </row>
    <row r="6" spans="2:11" ht="13.5">
      <c r="B6" s="21" t="s">
        <v>210</v>
      </c>
      <c r="C6" s="73">
        <v>2</v>
      </c>
      <c r="D6" s="73">
        <v>3</v>
      </c>
      <c r="E6" s="73">
        <v>2</v>
      </c>
      <c r="F6" s="73">
        <v>2</v>
      </c>
      <c r="G6" s="73">
        <v>3</v>
      </c>
      <c r="H6" s="73">
        <v>2</v>
      </c>
      <c r="I6" s="73">
        <v>1</v>
      </c>
      <c r="J6" s="73">
        <v>2</v>
      </c>
      <c r="K6" s="128">
        <v>2</v>
      </c>
    </row>
    <row r="7" spans="2:11" ht="13.5">
      <c r="B7" s="21" t="s">
        <v>211</v>
      </c>
      <c r="C7" s="73">
        <v>3</v>
      </c>
      <c r="D7" s="73">
        <v>1</v>
      </c>
      <c r="E7" s="73">
        <v>2</v>
      </c>
      <c r="F7" s="73">
        <v>3</v>
      </c>
      <c r="G7" s="73">
        <v>2</v>
      </c>
      <c r="H7" s="73">
        <v>3</v>
      </c>
      <c r="I7" s="73">
        <v>3</v>
      </c>
      <c r="J7" s="73">
        <v>1</v>
      </c>
      <c r="K7" s="128">
        <v>1</v>
      </c>
    </row>
    <row r="8" spans="2:11" ht="13.5">
      <c r="B8" s="168" t="s">
        <v>212</v>
      </c>
      <c r="C8" s="73">
        <v>3</v>
      </c>
      <c r="D8" s="73">
        <v>2</v>
      </c>
      <c r="E8" s="73">
        <v>2</v>
      </c>
      <c r="F8" s="73">
        <v>3</v>
      </c>
      <c r="G8" s="73">
        <v>2</v>
      </c>
      <c r="H8" s="73">
        <v>2</v>
      </c>
      <c r="I8" s="73">
        <v>2</v>
      </c>
      <c r="J8" s="73">
        <v>2</v>
      </c>
      <c r="K8" s="128">
        <v>1</v>
      </c>
    </row>
    <row r="9" spans="2:15" ht="13.5">
      <c r="B9" s="168" t="s">
        <v>213</v>
      </c>
      <c r="C9" s="73">
        <v>3</v>
      </c>
      <c r="D9" s="73">
        <v>1</v>
      </c>
      <c r="E9" s="73">
        <v>3</v>
      </c>
      <c r="F9" s="73">
        <v>2</v>
      </c>
      <c r="G9" s="73">
        <v>3</v>
      </c>
      <c r="H9" s="73">
        <v>2</v>
      </c>
      <c r="I9" s="73">
        <v>3</v>
      </c>
      <c r="J9" s="73">
        <v>1</v>
      </c>
      <c r="K9" s="128">
        <v>1</v>
      </c>
      <c r="O9" s="1" t="s">
        <v>214</v>
      </c>
    </row>
    <row r="10" spans="2:15" ht="13.5">
      <c r="B10" s="168" t="s">
        <v>215</v>
      </c>
      <c r="C10" s="73">
        <v>2</v>
      </c>
      <c r="D10" s="73">
        <v>3</v>
      </c>
      <c r="E10" s="73">
        <v>2</v>
      </c>
      <c r="F10" s="73">
        <v>2</v>
      </c>
      <c r="G10" s="73">
        <v>3</v>
      </c>
      <c r="H10" s="73">
        <v>3</v>
      </c>
      <c r="I10" s="73">
        <v>2</v>
      </c>
      <c r="J10" s="73">
        <v>2</v>
      </c>
      <c r="K10" s="128">
        <v>1</v>
      </c>
      <c r="O10" s="1" t="s">
        <v>214</v>
      </c>
    </row>
    <row r="11" spans="2:11" ht="13.5">
      <c r="B11" s="168" t="s">
        <v>216</v>
      </c>
      <c r="C11" s="73">
        <v>3</v>
      </c>
      <c r="D11" s="73">
        <v>2</v>
      </c>
      <c r="E11" s="73">
        <v>3</v>
      </c>
      <c r="F11" s="73">
        <v>2</v>
      </c>
      <c r="G11" s="73">
        <v>2</v>
      </c>
      <c r="H11" s="73">
        <v>2</v>
      </c>
      <c r="I11" s="73">
        <v>2</v>
      </c>
      <c r="J11" s="73">
        <v>1</v>
      </c>
      <c r="K11" s="128">
        <v>2</v>
      </c>
    </row>
    <row r="12" spans="2:11" ht="13.5">
      <c r="B12" s="21" t="s">
        <v>217</v>
      </c>
      <c r="C12" s="73">
        <v>2</v>
      </c>
      <c r="D12" s="73">
        <v>3</v>
      </c>
      <c r="E12" s="73">
        <v>2</v>
      </c>
      <c r="F12" s="73">
        <v>2</v>
      </c>
      <c r="G12" s="73">
        <v>2</v>
      </c>
      <c r="H12" s="73">
        <v>3</v>
      </c>
      <c r="I12" s="73">
        <v>2</v>
      </c>
      <c r="J12" s="73">
        <v>2</v>
      </c>
      <c r="K12" s="128">
        <v>1</v>
      </c>
    </row>
    <row r="13" spans="2:14" ht="13.5">
      <c r="B13" s="21" t="s">
        <v>218</v>
      </c>
      <c r="C13" s="73">
        <v>2</v>
      </c>
      <c r="D13" s="73">
        <v>3</v>
      </c>
      <c r="E13" s="73">
        <v>2</v>
      </c>
      <c r="F13" s="73">
        <v>2</v>
      </c>
      <c r="G13" s="73">
        <v>3</v>
      </c>
      <c r="H13" s="73">
        <v>2</v>
      </c>
      <c r="I13" s="73">
        <v>1</v>
      </c>
      <c r="J13" s="73">
        <v>2</v>
      </c>
      <c r="K13" s="128">
        <v>2</v>
      </c>
      <c r="N13"/>
    </row>
    <row r="14" spans="2:14" ht="13.5">
      <c r="B14" s="21" t="s">
        <v>219</v>
      </c>
      <c r="C14" s="73">
        <v>3</v>
      </c>
      <c r="D14" s="73">
        <v>1</v>
      </c>
      <c r="E14" s="73">
        <v>2</v>
      </c>
      <c r="F14" s="73">
        <v>3</v>
      </c>
      <c r="G14" s="73">
        <v>2</v>
      </c>
      <c r="H14" s="73">
        <v>3</v>
      </c>
      <c r="I14" s="73">
        <v>3</v>
      </c>
      <c r="J14" s="73">
        <v>1</v>
      </c>
      <c r="K14" s="128">
        <v>1</v>
      </c>
      <c r="N14" s="246"/>
    </row>
    <row r="15" spans="2:14" ht="13.5">
      <c r="B15" s="168" t="s">
        <v>220</v>
      </c>
      <c r="C15" s="73">
        <v>3</v>
      </c>
      <c r="D15" s="73">
        <v>2</v>
      </c>
      <c r="E15" s="73">
        <v>2</v>
      </c>
      <c r="F15" s="73">
        <v>3</v>
      </c>
      <c r="G15" s="73">
        <v>2</v>
      </c>
      <c r="H15" s="73">
        <v>2</v>
      </c>
      <c r="I15" s="73">
        <v>2</v>
      </c>
      <c r="J15" s="73">
        <v>2</v>
      </c>
      <c r="K15" s="128">
        <v>1</v>
      </c>
      <c r="N15" s="247"/>
    </row>
    <row r="16" spans="2:14" ht="13.5">
      <c r="B16" s="168" t="s">
        <v>221</v>
      </c>
      <c r="C16" s="73">
        <v>3</v>
      </c>
      <c r="D16" s="73">
        <v>1</v>
      </c>
      <c r="E16" s="73">
        <v>3</v>
      </c>
      <c r="F16" s="73">
        <v>2</v>
      </c>
      <c r="G16" s="73">
        <v>3</v>
      </c>
      <c r="H16" s="73">
        <v>2</v>
      </c>
      <c r="I16" s="73">
        <v>3</v>
      </c>
      <c r="J16" s="73">
        <v>1</v>
      </c>
      <c r="K16" s="128">
        <v>1</v>
      </c>
      <c r="N16" s="247"/>
    </row>
    <row r="17" spans="2:15" ht="13.5">
      <c r="B17" s="248" t="s">
        <v>222</v>
      </c>
      <c r="C17" s="84">
        <v>2</v>
      </c>
      <c r="D17" s="84">
        <v>3</v>
      </c>
      <c r="E17" s="84">
        <v>2</v>
      </c>
      <c r="F17" s="84">
        <v>2</v>
      </c>
      <c r="G17" s="84">
        <v>3</v>
      </c>
      <c r="H17" s="84">
        <v>3</v>
      </c>
      <c r="I17" s="84">
        <v>2</v>
      </c>
      <c r="J17" s="84">
        <v>2</v>
      </c>
      <c r="K17" s="137">
        <v>1</v>
      </c>
      <c r="N17" s="247"/>
      <c r="O17" s="249" t="s">
        <v>223</v>
      </c>
    </row>
    <row r="18" spans="14:15" ht="13.5">
      <c r="N18" s="247"/>
      <c r="O18" s="250" t="s">
        <v>224</v>
      </c>
    </row>
    <row r="19" spans="2:15" ht="13.5">
      <c r="B19" s="386" t="s">
        <v>225</v>
      </c>
      <c r="C19" s="386"/>
      <c r="N19" s="252"/>
      <c r="O19" s="162" t="s">
        <v>226</v>
      </c>
    </row>
    <row r="20" spans="2:15" ht="13.5">
      <c r="B20" s="213" t="s">
        <v>29</v>
      </c>
      <c r="C20" s="117" t="s">
        <v>54</v>
      </c>
      <c r="D20" s="99" t="s">
        <v>55</v>
      </c>
      <c r="E20" s="99" t="s">
        <v>56</v>
      </c>
      <c r="F20" s="99" t="s">
        <v>208</v>
      </c>
      <c r="G20" s="99" t="s">
        <v>58</v>
      </c>
      <c r="H20" s="100" t="s">
        <v>59</v>
      </c>
      <c r="I20" s="61" t="s">
        <v>26</v>
      </c>
      <c r="J20" s="59" t="s">
        <v>4</v>
      </c>
      <c r="K20" s="59" t="s">
        <v>9</v>
      </c>
      <c r="L20" s="253" t="s">
        <v>227</v>
      </c>
      <c r="M20" s="60" t="s">
        <v>228</v>
      </c>
      <c r="O20" s="162" t="s">
        <v>229</v>
      </c>
    </row>
    <row r="21" spans="2:15" ht="13.5">
      <c r="B21" s="169" t="s">
        <v>230</v>
      </c>
      <c r="C21" s="254">
        <v>1</v>
      </c>
      <c r="D21" s="73">
        <v>0</v>
      </c>
      <c r="E21" s="73">
        <v>1</v>
      </c>
      <c r="F21" s="73">
        <v>0</v>
      </c>
      <c r="G21" s="73">
        <v>0</v>
      </c>
      <c r="H21" s="255">
        <v>1</v>
      </c>
      <c r="I21" s="73">
        <v>1</v>
      </c>
      <c r="J21" s="256">
        <v>15</v>
      </c>
      <c r="K21" s="128">
        <v>10</v>
      </c>
      <c r="L21" s="257">
        <v>7</v>
      </c>
      <c r="M21" s="258">
        <v>5</v>
      </c>
      <c r="O21" s="162" t="s">
        <v>231</v>
      </c>
    </row>
    <row r="22" spans="2:15" ht="13.5">
      <c r="B22" s="169" t="s">
        <v>232</v>
      </c>
      <c r="C22" s="254">
        <v>0</v>
      </c>
      <c r="D22" s="73">
        <v>1</v>
      </c>
      <c r="E22" s="73">
        <v>0</v>
      </c>
      <c r="F22" s="73">
        <v>0</v>
      </c>
      <c r="G22" s="73">
        <v>1</v>
      </c>
      <c r="H22" s="255">
        <v>2</v>
      </c>
      <c r="I22" s="73">
        <v>0</v>
      </c>
      <c r="J22" s="256">
        <v>10</v>
      </c>
      <c r="K22" s="128">
        <v>15</v>
      </c>
      <c r="L22" s="257">
        <v>5</v>
      </c>
      <c r="M22" s="258">
        <v>7</v>
      </c>
      <c r="O22" s="162" t="s">
        <v>233</v>
      </c>
    </row>
    <row r="23" spans="2:15" ht="13.5">
      <c r="B23" s="169" t="s">
        <v>234</v>
      </c>
      <c r="C23" s="254">
        <v>1</v>
      </c>
      <c r="D23" s="73">
        <v>0</v>
      </c>
      <c r="E23" s="73">
        <v>1</v>
      </c>
      <c r="F23" s="73">
        <v>0</v>
      </c>
      <c r="G23" s="73">
        <v>1</v>
      </c>
      <c r="H23" s="255">
        <v>0</v>
      </c>
      <c r="I23" s="73">
        <v>1</v>
      </c>
      <c r="J23" s="256">
        <v>12</v>
      </c>
      <c r="K23" s="128">
        <v>13</v>
      </c>
      <c r="L23" s="257">
        <v>6</v>
      </c>
      <c r="M23" s="258">
        <v>6</v>
      </c>
      <c r="O23" s="162" t="s">
        <v>235</v>
      </c>
    </row>
    <row r="24" spans="2:15" ht="13.5">
      <c r="B24" s="169" t="s">
        <v>166</v>
      </c>
      <c r="C24" s="254">
        <v>0</v>
      </c>
      <c r="D24" s="73">
        <v>1</v>
      </c>
      <c r="E24" s="73">
        <v>1</v>
      </c>
      <c r="F24" s="73">
        <v>1</v>
      </c>
      <c r="G24" s="73">
        <v>0</v>
      </c>
      <c r="H24" s="255">
        <v>1</v>
      </c>
      <c r="I24" s="73">
        <v>0</v>
      </c>
      <c r="J24" s="256">
        <v>13</v>
      </c>
      <c r="K24" s="128">
        <v>12</v>
      </c>
      <c r="L24" s="257">
        <v>6</v>
      </c>
      <c r="M24" s="258">
        <v>6</v>
      </c>
      <c r="O24" s="162" t="s">
        <v>236</v>
      </c>
    </row>
    <row r="25" spans="2:15" ht="13.5">
      <c r="B25" s="126" t="s">
        <v>237</v>
      </c>
      <c r="C25" s="259">
        <v>0</v>
      </c>
      <c r="D25" s="257">
        <v>1</v>
      </c>
      <c r="E25" s="257">
        <v>0</v>
      </c>
      <c r="F25" s="257">
        <v>1</v>
      </c>
      <c r="G25" s="257">
        <v>0</v>
      </c>
      <c r="H25" s="260">
        <v>1</v>
      </c>
      <c r="I25" s="73">
        <v>0</v>
      </c>
      <c r="J25" s="259">
        <v>8</v>
      </c>
      <c r="K25" s="258">
        <v>14</v>
      </c>
      <c r="L25" s="257">
        <v>5</v>
      </c>
      <c r="M25" s="258">
        <v>7</v>
      </c>
      <c r="O25" s="162" t="s">
        <v>238</v>
      </c>
    </row>
    <row r="26" spans="2:15" ht="13.5">
      <c r="B26" s="126" t="s">
        <v>239</v>
      </c>
      <c r="C26" s="259">
        <v>1</v>
      </c>
      <c r="D26" s="257">
        <v>0</v>
      </c>
      <c r="E26" s="257">
        <v>1</v>
      </c>
      <c r="F26" s="257">
        <v>0</v>
      </c>
      <c r="G26" s="257">
        <v>0</v>
      </c>
      <c r="H26" s="260">
        <v>0</v>
      </c>
      <c r="I26" s="73">
        <v>1</v>
      </c>
      <c r="J26" s="259">
        <v>10</v>
      </c>
      <c r="K26" s="258">
        <v>12</v>
      </c>
      <c r="L26" s="257">
        <v>6</v>
      </c>
      <c r="M26" s="258">
        <v>6</v>
      </c>
      <c r="O26" s="261" t="s">
        <v>240</v>
      </c>
    </row>
    <row r="27" spans="2:13" ht="13.5">
      <c r="B27" s="126" t="s">
        <v>241</v>
      </c>
      <c r="C27" s="259">
        <v>0</v>
      </c>
      <c r="D27" s="257">
        <v>0</v>
      </c>
      <c r="E27" s="257">
        <v>1</v>
      </c>
      <c r="F27" s="257">
        <v>0</v>
      </c>
      <c r="G27" s="257">
        <v>1</v>
      </c>
      <c r="H27" s="260">
        <v>0</v>
      </c>
      <c r="I27" s="73">
        <v>1</v>
      </c>
      <c r="J27" s="259">
        <v>14</v>
      </c>
      <c r="K27" s="258">
        <v>8</v>
      </c>
      <c r="L27" s="257">
        <v>6</v>
      </c>
      <c r="M27" s="258">
        <v>6</v>
      </c>
    </row>
    <row r="28" spans="2:13" ht="13.5">
      <c r="B28" s="126" t="s">
        <v>242</v>
      </c>
      <c r="C28" s="259">
        <v>1</v>
      </c>
      <c r="D28" s="257">
        <v>0</v>
      </c>
      <c r="E28" s="257">
        <v>1</v>
      </c>
      <c r="F28" s="257">
        <v>0</v>
      </c>
      <c r="G28" s="257">
        <v>1</v>
      </c>
      <c r="H28" s="260">
        <v>0</v>
      </c>
      <c r="I28" s="73">
        <v>0</v>
      </c>
      <c r="J28" s="259">
        <v>10</v>
      </c>
      <c r="K28" s="258">
        <v>12</v>
      </c>
      <c r="L28" s="257">
        <v>8</v>
      </c>
      <c r="M28" s="258">
        <v>4</v>
      </c>
    </row>
    <row r="29" spans="2:13" ht="13.5">
      <c r="B29" s="126" t="s">
        <v>243</v>
      </c>
      <c r="C29" s="259">
        <v>1</v>
      </c>
      <c r="D29" s="257">
        <v>0</v>
      </c>
      <c r="E29" s="257">
        <v>0</v>
      </c>
      <c r="F29" s="257">
        <v>1</v>
      </c>
      <c r="G29" s="257">
        <v>0</v>
      </c>
      <c r="H29" s="260">
        <v>1</v>
      </c>
      <c r="I29" s="73">
        <v>0</v>
      </c>
      <c r="J29" s="259">
        <v>13</v>
      </c>
      <c r="K29" s="258">
        <v>9</v>
      </c>
      <c r="L29" s="257">
        <v>7</v>
      </c>
      <c r="M29" s="258">
        <v>5</v>
      </c>
    </row>
    <row r="30" spans="2:13" ht="13.5">
      <c r="B30" s="126" t="s">
        <v>244</v>
      </c>
      <c r="C30" s="259">
        <v>0</v>
      </c>
      <c r="D30" s="257">
        <v>2</v>
      </c>
      <c r="E30" s="257">
        <v>0</v>
      </c>
      <c r="F30" s="257">
        <v>0</v>
      </c>
      <c r="G30" s="257">
        <v>0</v>
      </c>
      <c r="H30" s="260">
        <v>2</v>
      </c>
      <c r="I30" s="73">
        <v>-1</v>
      </c>
      <c r="J30" s="259">
        <v>0</v>
      </c>
      <c r="K30" s="258">
        <v>22</v>
      </c>
      <c r="L30" s="257">
        <v>4</v>
      </c>
      <c r="M30" s="258">
        <v>8</v>
      </c>
    </row>
    <row r="31" spans="2:13" ht="13.5">
      <c r="B31" s="126" t="s">
        <v>245</v>
      </c>
      <c r="C31" s="259">
        <v>1</v>
      </c>
      <c r="D31" s="257">
        <v>1</v>
      </c>
      <c r="E31" s="257">
        <v>1</v>
      </c>
      <c r="F31" s="257">
        <v>0</v>
      </c>
      <c r="G31" s="257">
        <v>0</v>
      </c>
      <c r="H31" s="260">
        <v>0</v>
      </c>
      <c r="I31" s="73">
        <v>0</v>
      </c>
      <c r="J31" s="259">
        <v>12</v>
      </c>
      <c r="K31" s="258">
        <v>10</v>
      </c>
      <c r="L31" s="257">
        <v>7</v>
      </c>
      <c r="M31" s="258">
        <v>5</v>
      </c>
    </row>
    <row r="32" spans="2:13" ht="13.5">
      <c r="B32" s="126" t="s">
        <v>246</v>
      </c>
      <c r="C32" s="259">
        <v>0</v>
      </c>
      <c r="D32" s="257">
        <v>1</v>
      </c>
      <c r="E32" s="257">
        <v>0</v>
      </c>
      <c r="F32" s="257">
        <v>1</v>
      </c>
      <c r="G32" s="257">
        <v>0</v>
      </c>
      <c r="H32" s="257">
        <v>2</v>
      </c>
      <c r="I32" s="73">
        <v>0</v>
      </c>
      <c r="J32" s="257">
        <v>9</v>
      </c>
      <c r="K32" s="258">
        <v>13</v>
      </c>
      <c r="L32" s="257">
        <v>5</v>
      </c>
      <c r="M32" s="258">
        <v>7</v>
      </c>
    </row>
    <row r="33" spans="2:13" ht="13.5">
      <c r="B33" s="126" t="s">
        <v>247</v>
      </c>
      <c r="C33" s="259">
        <v>1</v>
      </c>
      <c r="D33" s="257">
        <v>0</v>
      </c>
      <c r="E33" s="257">
        <v>0</v>
      </c>
      <c r="F33" s="257">
        <v>1</v>
      </c>
      <c r="G33" s="257">
        <v>1</v>
      </c>
      <c r="H33" s="257">
        <v>0</v>
      </c>
      <c r="I33" s="73">
        <v>0</v>
      </c>
      <c r="J33" s="257">
        <v>12</v>
      </c>
      <c r="K33" s="258">
        <v>10</v>
      </c>
      <c r="L33" s="257">
        <v>6</v>
      </c>
      <c r="M33" s="258">
        <v>6</v>
      </c>
    </row>
    <row r="34" spans="2:13" ht="13.5">
      <c r="B34" s="126" t="s">
        <v>248</v>
      </c>
      <c r="C34" s="259">
        <v>0</v>
      </c>
      <c r="D34" s="257">
        <v>0</v>
      </c>
      <c r="E34" s="257">
        <v>1</v>
      </c>
      <c r="F34" s="257">
        <v>0</v>
      </c>
      <c r="G34" s="257">
        <v>1</v>
      </c>
      <c r="H34" s="257">
        <v>1</v>
      </c>
      <c r="I34" s="73">
        <v>1</v>
      </c>
      <c r="J34" s="257">
        <v>11</v>
      </c>
      <c r="K34" s="258">
        <v>11</v>
      </c>
      <c r="L34" s="73">
        <v>5</v>
      </c>
      <c r="M34" s="128">
        <v>7</v>
      </c>
    </row>
    <row r="35" spans="2:13" ht="13.5">
      <c r="B35" s="126" t="s">
        <v>249</v>
      </c>
      <c r="C35" s="259">
        <v>0</v>
      </c>
      <c r="D35" s="257">
        <v>1</v>
      </c>
      <c r="E35" s="257">
        <v>0</v>
      </c>
      <c r="F35" s="257">
        <v>0</v>
      </c>
      <c r="G35" s="257">
        <v>1</v>
      </c>
      <c r="H35" s="257">
        <v>1</v>
      </c>
      <c r="I35" s="73">
        <v>0</v>
      </c>
      <c r="J35" s="257">
        <v>8</v>
      </c>
      <c r="K35" s="258">
        <v>14</v>
      </c>
      <c r="L35" s="73">
        <v>5</v>
      </c>
      <c r="M35" s="128">
        <v>7</v>
      </c>
    </row>
    <row r="36" spans="2:13" ht="13.5">
      <c r="B36" s="262" t="s">
        <v>250</v>
      </c>
      <c r="C36" s="263">
        <v>2</v>
      </c>
      <c r="D36" s="264">
        <v>0</v>
      </c>
      <c r="E36" s="264">
        <v>0</v>
      </c>
      <c r="F36" s="264">
        <v>0</v>
      </c>
      <c r="G36" s="264">
        <v>0</v>
      </c>
      <c r="H36" s="264">
        <v>1</v>
      </c>
      <c r="I36" s="84">
        <v>0</v>
      </c>
      <c r="J36" s="264">
        <v>14</v>
      </c>
      <c r="K36" s="265">
        <v>9</v>
      </c>
      <c r="L36" s="84">
        <v>7</v>
      </c>
      <c r="M36" s="137">
        <v>5</v>
      </c>
    </row>
    <row r="37" spans="2:13" ht="13.5">
      <c r="B37" s="262" t="s">
        <v>19</v>
      </c>
      <c r="C37" s="263">
        <v>1</v>
      </c>
      <c r="D37" s="264">
        <v>1</v>
      </c>
      <c r="E37" s="264">
        <v>0</v>
      </c>
      <c r="F37" s="264">
        <v>0</v>
      </c>
      <c r="G37" s="264">
        <v>0</v>
      </c>
      <c r="H37" s="264">
        <v>1</v>
      </c>
      <c r="I37" s="84">
        <v>1</v>
      </c>
      <c r="J37" s="264">
        <v>12</v>
      </c>
      <c r="K37" s="265">
        <v>12</v>
      </c>
      <c r="L37" s="84">
        <v>6</v>
      </c>
      <c r="M37" s="137">
        <v>6</v>
      </c>
    </row>
    <row r="38" spans="2:15" ht="13.5">
      <c r="B38" s="126" t="s">
        <v>237</v>
      </c>
      <c r="C38" s="259">
        <v>0</v>
      </c>
      <c r="D38" s="257">
        <v>2</v>
      </c>
      <c r="E38" s="257">
        <v>0</v>
      </c>
      <c r="F38" s="257">
        <v>1</v>
      </c>
      <c r="G38" s="257">
        <v>0</v>
      </c>
      <c r="H38" s="260">
        <v>1</v>
      </c>
      <c r="I38" s="73">
        <v>0</v>
      </c>
      <c r="J38" s="259">
        <v>8</v>
      </c>
      <c r="K38" s="258">
        <v>14</v>
      </c>
      <c r="O38"/>
    </row>
    <row r="39" spans="2:15" ht="13.5">
      <c r="B39" s="126" t="s">
        <v>239</v>
      </c>
      <c r="C39" s="259">
        <v>1</v>
      </c>
      <c r="D39" s="257">
        <v>1</v>
      </c>
      <c r="E39" s="257">
        <v>1</v>
      </c>
      <c r="F39" s="257">
        <v>0</v>
      </c>
      <c r="G39" s="257">
        <v>0</v>
      </c>
      <c r="H39" s="260">
        <v>0</v>
      </c>
      <c r="I39" s="73">
        <v>1</v>
      </c>
      <c r="J39" s="259">
        <v>10</v>
      </c>
      <c r="K39" s="258">
        <v>12</v>
      </c>
      <c r="M39"/>
      <c r="O39"/>
    </row>
    <row r="40" spans="2:13" ht="13.5">
      <c r="B40" s="126" t="s">
        <v>241</v>
      </c>
      <c r="C40" s="259">
        <v>0</v>
      </c>
      <c r="D40" s="257">
        <v>0</v>
      </c>
      <c r="E40" s="257">
        <v>1</v>
      </c>
      <c r="F40" s="257">
        <v>1</v>
      </c>
      <c r="G40" s="257">
        <v>1</v>
      </c>
      <c r="H40" s="260">
        <v>0</v>
      </c>
      <c r="I40" s="73">
        <v>1</v>
      </c>
      <c r="J40" s="259">
        <v>14</v>
      </c>
      <c r="K40" s="258">
        <v>8</v>
      </c>
      <c r="M40"/>
    </row>
    <row r="41" spans="2:13" ht="13.5">
      <c r="B41" s="126" t="s">
        <v>242</v>
      </c>
      <c r="C41" s="259">
        <v>1</v>
      </c>
      <c r="D41" s="257">
        <v>0</v>
      </c>
      <c r="E41" s="257">
        <v>2</v>
      </c>
      <c r="F41" s="257">
        <v>0</v>
      </c>
      <c r="G41" s="257">
        <v>1</v>
      </c>
      <c r="H41" s="260">
        <v>0</v>
      </c>
      <c r="I41" s="73">
        <v>0</v>
      </c>
      <c r="J41" s="259">
        <v>10</v>
      </c>
      <c r="K41" s="258">
        <v>12</v>
      </c>
      <c r="M41"/>
    </row>
    <row r="42" spans="2:13" ht="13.5">
      <c r="B42" s="126" t="s">
        <v>243</v>
      </c>
      <c r="C42" s="259">
        <v>2</v>
      </c>
      <c r="D42" s="257">
        <v>0</v>
      </c>
      <c r="E42" s="257">
        <v>0</v>
      </c>
      <c r="F42" s="257">
        <v>1</v>
      </c>
      <c r="G42" s="257">
        <v>0</v>
      </c>
      <c r="H42" s="260">
        <v>1</v>
      </c>
      <c r="I42" s="73">
        <v>0</v>
      </c>
      <c r="J42" s="259">
        <v>13</v>
      </c>
      <c r="K42" s="258">
        <v>9</v>
      </c>
      <c r="M42"/>
    </row>
    <row r="43" spans="2:13" ht="13.5">
      <c r="B43" s="126" t="s">
        <v>244</v>
      </c>
      <c r="C43" s="259">
        <v>0</v>
      </c>
      <c r="D43" s="257">
        <v>2</v>
      </c>
      <c r="E43" s="257">
        <v>0</v>
      </c>
      <c r="F43" s="257">
        <v>0</v>
      </c>
      <c r="G43" s="257">
        <v>1</v>
      </c>
      <c r="H43" s="257">
        <v>2</v>
      </c>
      <c r="I43" s="73">
        <v>-1</v>
      </c>
      <c r="J43" s="257">
        <v>0</v>
      </c>
      <c r="K43" s="258">
        <v>22</v>
      </c>
      <c r="M43"/>
    </row>
    <row r="44" spans="2:13" ht="13.5">
      <c r="B44" s="126" t="s">
        <v>245</v>
      </c>
      <c r="C44" s="259">
        <v>2</v>
      </c>
      <c r="D44" s="257">
        <v>1</v>
      </c>
      <c r="E44" s="257">
        <v>1</v>
      </c>
      <c r="F44" s="257">
        <v>0</v>
      </c>
      <c r="G44" s="257">
        <v>0</v>
      </c>
      <c r="H44" s="257">
        <v>0</v>
      </c>
      <c r="I44" s="73">
        <v>0</v>
      </c>
      <c r="J44" s="257">
        <v>12</v>
      </c>
      <c r="K44" s="258">
        <v>10</v>
      </c>
      <c r="M44"/>
    </row>
    <row r="45" spans="2:11" ht="13.5">
      <c r="B45" s="126" t="s">
        <v>246</v>
      </c>
      <c r="C45" s="259">
        <v>0</v>
      </c>
      <c r="D45" s="257">
        <v>1</v>
      </c>
      <c r="E45" s="257">
        <v>0</v>
      </c>
      <c r="F45" s="257">
        <v>1</v>
      </c>
      <c r="G45" s="257">
        <v>0</v>
      </c>
      <c r="H45" s="257">
        <v>2</v>
      </c>
      <c r="I45" s="73">
        <v>0</v>
      </c>
      <c r="J45" s="257">
        <v>9</v>
      </c>
      <c r="K45" s="258">
        <v>13</v>
      </c>
    </row>
    <row r="46" spans="2:11" ht="13.5">
      <c r="B46" s="126" t="s">
        <v>247</v>
      </c>
      <c r="C46" s="259">
        <v>1</v>
      </c>
      <c r="D46" s="257">
        <v>0</v>
      </c>
      <c r="E46" s="257">
        <v>0</v>
      </c>
      <c r="F46" s="257">
        <v>1</v>
      </c>
      <c r="G46" s="257">
        <v>1</v>
      </c>
      <c r="H46" s="257">
        <v>0</v>
      </c>
      <c r="I46" s="73">
        <v>1</v>
      </c>
      <c r="J46" s="257">
        <v>12</v>
      </c>
      <c r="K46" s="258">
        <v>10</v>
      </c>
    </row>
    <row r="47" spans="2:11" ht="13.5">
      <c r="B47" s="126" t="s">
        <v>248</v>
      </c>
      <c r="C47" s="259">
        <v>0</v>
      </c>
      <c r="D47" s="257">
        <v>0</v>
      </c>
      <c r="E47" s="257">
        <v>1</v>
      </c>
      <c r="F47" s="257">
        <v>0</v>
      </c>
      <c r="G47" s="257">
        <v>1</v>
      </c>
      <c r="H47" s="257">
        <v>1</v>
      </c>
      <c r="I47" s="73">
        <v>1</v>
      </c>
      <c r="J47" s="257">
        <v>11</v>
      </c>
      <c r="K47" s="258">
        <v>11</v>
      </c>
    </row>
    <row r="48" spans="2:11" ht="13.5">
      <c r="B48" s="126" t="s">
        <v>249</v>
      </c>
      <c r="C48" s="257">
        <v>0</v>
      </c>
      <c r="D48" s="257">
        <v>1</v>
      </c>
      <c r="E48" s="257">
        <v>0</v>
      </c>
      <c r="F48" s="257">
        <v>0</v>
      </c>
      <c r="G48" s="257">
        <v>2</v>
      </c>
      <c r="H48" s="257">
        <v>1</v>
      </c>
      <c r="I48" s="73">
        <v>0</v>
      </c>
      <c r="J48" s="257">
        <v>8</v>
      </c>
      <c r="K48" s="258">
        <v>14</v>
      </c>
    </row>
    <row r="49" spans="1:256" ht="13.5">
      <c r="A49"/>
      <c r="B49" s="266" t="s">
        <v>250</v>
      </c>
      <c r="C49" s="267">
        <v>2</v>
      </c>
      <c r="D49" s="267">
        <v>0</v>
      </c>
      <c r="E49" s="267">
        <v>0</v>
      </c>
      <c r="F49" s="267">
        <v>0</v>
      </c>
      <c r="G49" s="267">
        <v>0</v>
      </c>
      <c r="H49" s="267">
        <v>2</v>
      </c>
      <c r="I49" s="267">
        <v>0</v>
      </c>
      <c r="J49" s="267">
        <v>13</v>
      </c>
      <c r="K49" s="268">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 r="A50"/>
      <c r="B50" s="266" t="s">
        <v>19</v>
      </c>
      <c r="C50" s="263">
        <v>1</v>
      </c>
      <c r="D50" s="264">
        <v>1</v>
      </c>
      <c r="E50" s="264">
        <v>0</v>
      </c>
      <c r="F50" s="264">
        <v>0</v>
      </c>
      <c r="G50" s="264">
        <v>0</v>
      </c>
      <c r="H50" s="264">
        <v>1</v>
      </c>
      <c r="I50" s="84">
        <v>0</v>
      </c>
      <c r="J50" s="264">
        <v>12</v>
      </c>
      <c r="K50" s="265">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251</v>
      </c>
    </row>
    <row r="53" spans="2:17" ht="13.5">
      <c r="B53" s="269" t="s">
        <v>97</v>
      </c>
      <c r="C53" s="270"/>
      <c r="D53" s="99" t="s">
        <v>98</v>
      </c>
      <c r="E53" s="99" t="s">
        <v>99</v>
      </c>
      <c r="F53" s="99" t="s">
        <v>8</v>
      </c>
      <c r="G53" s="99" t="s">
        <v>100</v>
      </c>
      <c r="H53" s="99" t="s">
        <v>101</v>
      </c>
      <c r="I53" s="271" t="s">
        <v>102</v>
      </c>
      <c r="J53" s="99" t="s">
        <v>103</v>
      </c>
      <c r="K53" s="99" t="s">
        <v>104</v>
      </c>
      <c r="L53" s="99" t="s">
        <v>105</v>
      </c>
      <c r="M53" s="99" t="s">
        <v>75</v>
      </c>
      <c r="N53" s="251"/>
      <c r="O53" s="251"/>
      <c r="P53" s="251"/>
      <c r="Q53" s="251"/>
    </row>
    <row r="54" spans="2:17" ht="13.5">
      <c r="B54" s="272" t="s">
        <v>107</v>
      </c>
      <c r="C54" s="273"/>
      <c r="D54" s="102" t="s">
        <v>116</v>
      </c>
      <c r="E54" s="102" t="s">
        <v>117</v>
      </c>
      <c r="F54" s="274">
        <v>1</v>
      </c>
      <c r="G54" s="274">
        <v>0</v>
      </c>
      <c r="H54" s="274">
        <v>0</v>
      </c>
      <c r="I54" s="275">
        <v>0</v>
      </c>
      <c r="J54" s="274">
        <v>0</v>
      </c>
      <c r="K54" s="274">
        <v>1</v>
      </c>
      <c r="L54" s="274">
        <v>0</v>
      </c>
      <c r="M54" s="274">
        <v>0</v>
      </c>
      <c r="N54" s="276"/>
      <c r="O54" s="276"/>
      <c r="P54" s="276"/>
      <c r="Q54" s="276"/>
    </row>
    <row r="55" spans="2:17" ht="13.5">
      <c r="B55" s="272" t="s">
        <v>252</v>
      </c>
      <c r="C55" s="273"/>
      <c r="D55" s="102" t="s">
        <v>253</v>
      </c>
      <c r="E55" s="102" t="s">
        <v>254</v>
      </c>
      <c r="F55" s="274">
        <v>1</v>
      </c>
      <c r="G55" s="274">
        <v>0</v>
      </c>
      <c r="H55" s="274">
        <v>0</v>
      </c>
      <c r="I55" s="275">
        <f>キャラクターシート!I2+3</f>
        <v>8</v>
      </c>
      <c r="J55" s="274">
        <v>0</v>
      </c>
      <c r="K55" s="274">
        <v>1</v>
      </c>
      <c r="L55" s="274">
        <v>0</v>
      </c>
      <c r="M55" s="274">
        <v>0</v>
      </c>
      <c r="N55" s="276"/>
      <c r="O55" s="276"/>
      <c r="P55" s="276"/>
      <c r="Q55" s="276"/>
    </row>
    <row r="56" spans="2:17" ht="13.5">
      <c r="B56" s="272" t="s">
        <v>255</v>
      </c>
      <c r="C56" s="273"/>
      <c r="D56" s="277" t="s">
        <v>256</v>
      </c>
      <c r="E56" s="277" t="s">
        <v>117</v>
      </c>
      <c r="F56" s="105">
        <v>1</v>
      </c>
      <c r="G56" s="105">
        <v>4</v>
      </c>
      <c r="H56" s="105">
        <v>0</v>
      </c>
      <c r="I56" s="105">
        <v>2</v>
      </c>
      <c r="J56" s="105">
        <v>0</v>
      </c>
      <c r="K56" s="277">
        <v>1</v>
      </c>
      <c r="L56" s="278">
        <v>30000</v>
      </c>
      <c r="M56" s="105">
        <v>1</v>
      </c>
      <c r="N56" s="276"/>
      <c r="O56" s="276"/>
      <c r="P56" s="276"/>
      <c r="Q56" s="276"/>
    </row>
    <row r="57" spans="2:17" ht="13.5">
      <c r="B57" s="272" t="s">
        <v>257</v>
      </c>
      <c r="C57" s="273"/>
      <c r="D57" s="109" t="s">
        <v>256</v>
      </c>
      <c r="E57" s="109" t="s">
        <v>117</v>
      </c>
      <c r="F57" s="73">
        <v>1</v>
      </c>
      <c r="G57" s="73">
        <v>6</v>
      </c>
      <c r="H57" s="73">
        <v>-1</v>
      </c>
      <c r="I57" s="73">
        <v>3</v>
      </c>
      <c r="J57" s="73">
        <v>-1</v>
      </c>
      <c r="K57" s="109">
        <v>1</v>
      </c>
      <c r="L57" s="279">
        <v>50000</v>
      </c>
      <c r="M57" s="73">
        <v>1</v>
      </c>
      <c r="N57" s="276"/>
      <c r="O57" s="276"/>
      <c r="P57" s="276"/>
      <c r="Q57" s="276"/>
    </row>
    <row r="58" spans="2:17" ht="13.5">
      <c r="B58" s="272" t="s">
        <v>258</v>
      </c>
      <c r="C58" s="273"/>
      <c r="D58" s="109" t="s">
        <v>256</v>
      </c>
      <c r="E58" s="109" t="s">
        <v>117</v>
      </c>
      <c r="F58" s="73">
        <v>1</v>
      </c>
      <c r="G58" s="73">
        <v>5</v>
      </c>
      <c r="H58" s="73">
        <v>-1</v>
      </c>
      <c r="I58" s="73">
        <v>5</v>
      </c>
      <c r="J58" s="73">
        <v>0</v>
      </c>
      <c r="K58" s="109">
        <v>1</v>
      </c>
      <c r="L58" s="279">
        <v>60000</v>
      </c>
      <c r="M58" s="73">
        <v>1</v>
      </c>
      <c r="N58" s="276"/>
      <c r="O58" s="276"/>
      <c r="P58" s="276"/>
      <c r="Q58" s="276"/>
    </row>
    <row r="59" spans="2:17" ht="13.5">
      <c r="B59" s="272" t="s">
        <v>259</v>
      </c>
      <c r="C59" s="273"/>
      <c r="D59" s="109" t="s">
        <v>256</v>
      </c>
      <c r="E59" s="109" t="s">
        <v>117</v>
      </c>
      <c r="F59" s="73">
        <v>2</v>
      </c>
      <c r="G59" s="73">
        <v>8</v>
      </c>
      <c r="H59" s="73">
        <v>-1</v>
      </c>
      <c r="I59" s="73">
        <v>7</v>
      </c>
      <c r="J59" s="73">
        <v>-1</v>
      </c>
      <c r="K59" s="109">
        <v>1</v>
      </c>
      <c r="L59" s="279">
        <v>100000</v>
      </c>
      <c r="M59" s="73">
        <v>1</v>
      </c>
      <c r="N59" s="276"/>
      <c r="O59" s="276"/>
      <c r="P59" s="276"/>
      <c r="Q59" s="276"/>
    </row>
    <row r="60" spans="2:17" ht="13.5">
      <c r="B60" s="272" t="s">
        <v>260</v>
      </c>
      <c r="C60" s="273"/>
      <c r="D60" s="109" t="s">
        <v>256</v>
      </c>
      <c r="E60" s="109" t="s">
        <v>117</v>
      </c>
      <c r="F60" s="73">
        <v>2</v>
      </c>
      <c r="G60" s="73">
        <v>7</v>
      </c>
      <c r="H60" s="73">
        <v>-1</v>
      </c>
      <c r="I60" s="73">
        <v>6</v>
      </c>
      <c r="J60" s="73">
        <v>0</v>
      </c>
      <c r="K60" s="109">
        <v>1</v>
      </c>
      <c r="L60" s="279">
        <v>90000</v>
      </c>
      <c r="M60" s="73">
        <v>2</v>
      </c>
      <c r="N60" s="276"/>
      <c r="O60" s="276"/>
      <c r="P60" s="276"/>
      <c r="Q60" s="276"/>
    </row>
    <row r="61" spans="2:17" ht="13.5">
      <c r="B61" s="272" t="s">
        <v>261</v>
      </c>
      <c r="C61" s="273"/>
      <c r="D61" s="109" t="s">
        <v>256</v>
      </c>
      <c r="E61" s="109" t="s">
        <v>254</v>
      </c>
      <c r="F61" s="73">
        <v>2</v>
      </c>
      <c r="G61" s="73">
        <v>12</v>
      </c>
      <c r="H61" s="73">
        <v>-3</v>
      </c>
      <c r="I61" s="73">
        <v>10</v>
      </c>
      <c r="J61" s="73">
        <v>-1</v>
      </c>
      <c r="K61" s="109">
        <v>1</v>
      </c>
      <c r="L61" s="279">
        <v>110000</v>
      </c>
      <c r="M61" s="73">
        <v>1</v>
      </c>
      <c r="N61" s="276"/>
      <c r="O61" s="276"/>
      <c r="P61" s="276"/>
      <c r="Q61" s="276"/>
    </row>
    <row r="62" spans="2:17" ht="13.5">
      <c r="B62" s="272" t="s">
        <v>262</v>
      </c>
      <c r="C62" s="273"/>
      <c r="D62" s="109" t="s">
        <v>256</v>
      </c>
      <c r="E62" s="109" t="s">
        <v>117</v>
      </c>
      <c r="F62" s="73">
        <v>3</v>
      </c>
      <c r="G62" s="73">
        <v>10</v>
      </c>
      <c r="H62" s="73">
        <v>-1</v>
      </c>
      <c r="I62" s="73">
        <v>8</v>
      </c>
      <c r="J62" s="73">
        <v>-1</v>
      </c>
      <c r="K62" s="109">
        <v>1</v>
      </c>
      <c r="L62" s="279">
        <v>150000</v>
      </c>
      <c r="M62" s="73">
        <v>1</v>
      </c>
      <c r="N62" s="276"/>
      <c r="O62" s="276"/>
      <c r="P62" s="276"/>
      <c r="Q62" s="276"/>
    </row>
    <row r="63" spans="2:17" ht="13.5">
      <c r="B63" s="272" t="s">
        <v>263</v>
      </c>
      <c r="C63" s="273"/>
      <c r="D63" s="109" t="s">
        <v>256</v>
      </c>
      <c r="E63" s="109" t="s">
        <v>254</v>
      </c>
      <c r="F63" s="73">
        <v>4</v>
      </c>
      <c r="G63" s="73">
        <v>14</v>
      </c>
      <c r="H63" s="73">
        <v>-2</v>
      </c>
      <c r="I63" s="73">
        <v>12</v>
      </c>
      <c r="J63" s="73">
        <v>-2</v>
      </c>
      <c r="K63" s="109">
        <v>1</v>
      </c>
      <c r="L63" s="279">
        <v>250000</v>
      </c>
      <c r="M63" s="73">
        <v>1</v>
      </c>
      <c r="N63" s="276"/>
      <c r="O63" s="276"/>
      <c r="P63" s="276"/>
      <c r="Q63" s="276"/>
    </row>
    <row r="64" spans="2:17" ht="13.5">
      <c r="B64" s="272" t="s">
        <v>264</v>
      </c>
      <c r="C64" s="273"/>
      <c r="D64" s="109" t="s">
        <v>256</v>
      </c>
      <c r="E64" s="109" t="s">
        <v>117</v>
      </c>
      <c r="F64" s="73">
        <v>5</v>
      </c>
      <c r="G64" s="73">
        <v>10</v>
      </c>
      <c r="H64" s="73">
        <v>-1</v>
      </c>
      <c r="I64" s="73">
        <v>9</v>
      </c>
      <c r="J64" s="73">
        <v>0</v>
      </c>
      <c r="K64" s="109">
        <v>1</v>
      </c>
      <c r="L64" s="279">
        <v>250000</v>
      </c>
      <c r="M64" s="73">
        <v>2</v>
      </c>
      <c r="N64" s="276"/>
      <c r="O64" s="276"/>
      <c r="P64" s="276"/>
      <c r="Q64" s="276"/>
    </row>
    <row r="65" spans="2:17" ht="13.5">
      <c r="B65" s="272" t="s">
        <v>265</v>
      </c>
      <c r="C65" s="273"/>
      <c r="D65" s="109" t="s">
        <v>256</v>
      </c>
      <c r="E65" s="109" t="s">
        <v>254</v>
      </c>
      <c r="F65" s="73">
        <v>6</v>
      </c>
      <c r="G65" s="73">
        <v>16</v>
      </c>
      <c r="H65" s="73">
        <v>-2</v>
      </c>
      <c r="I65" s="73">
        <v>15</v>
      </c>
      <c r="J65" s="73">
        <v>-2</v>
      </c>
      <c r="K65" s="109">
        <v>1</v>
      </c>
      <c r="L65" s="279">
        <v>300000</v>
      </c>
      <c r="M65" s="73">
        <v>1</v>
      </c>
      <c r="N65" s="276"/>
      <c r="O65" s="276"/>
      <c r="P65" s="276"/>
      <c r="Q65" s="276"/>
    </row>
    <row r="66" spans="2:17" ht="13.5">
      <c r="B66" s="272" t="s">
        <v>266</v>
      </c>
      <c r="C66" s="273"/>
      <c r="D66" s="109" t="s">
        <v>267</v>
      </c>
      <c r="E66" s="109" t="s">
        <v>117</v>
      </c>
      <c r="F66" s="73">
        <v>1</v>
      </c>
      <c r="G66" s="73">
        <v>1</v>
      </c>
      <c r="H66" s="73">
        <v>0</v>
      </c>
      <c r="I66" s="73">
        <v>1</v>
      </c>
      <c r="J66" s="73">
        <v>0</v>
      </c>
      <c r="K66" s="109">
        <v>1</v>
      </c>
      <c r="L66" s="279">
        <v>10000</v>
      </c>
      <c r="M66" s="73">
        <v>1</v>
      </c>
      <c r="N66" s="276"/>
      <c r="O66" s="276"/>
      <c r="P66" s="276"/>
      <c r="Q66" s="276"/>
    </row>
    <row r="67" spans="2:17" ht="13.5">
      <c r="B67" s="272" t="s">
        <v>268</v>
      </c>
      <c r="C67" s="273"/>
      <c r="D67" s="109" t="s">
        <v>267</v>
      </c>
      <c r="E67" s="109" t="s">
        <v>117</v>
      </c>
      <c r="F67" s="73">
        <v>1</v>
      </c>
      <c r="G67" s="73">
        <v>2</v>
      </c>
      <c r="H67" s="73">
        <v>0</v>
      </c>
      <c r="I67" s="73">
        <v>2</v>
      </c>
      <c r="J67" s="73">
        <v>0</v>
      </c>
      <c r="K67" s="109">
        <v>1</v>
      </c>
      <c r="L67" s="279">
        <v>20000</v>
      </c>
      <c r="M67" s="73">
        <v>2</v>
      </c>
      <c r="N67" s="276"/>
      <c r="O67" s="276"/>
      <c r="P67" s="276"/>
      <c r="Q67" s="276"/>
    </row>
    <row r="68" spans="2:17" ht="13.5">
      <c r="B68" s="272" t="s">
        <v>269</v>
      </c>
      <c r="C68" s="273"/>
      <c r="D68" s="109" t="s">
        <v>267</v>
      </c>
      <c r="E68" s="109" t="s">
        <v>117</v>
      </c>
      <c r="F68" s="73">
        <v>2</v>
      </c>
      <c r="G68" s="73">
        <v>2</v>
      </c>
      <c r="H68" s="73">
        <v>0</v>
      </c>
      <c r="I68" s="73">
        <v>3</v>
      </c>
      <c r="J68" s="73">
        <v>0</v>
      </c>
      <c r="K68" s="109">
        <v>1</v>
      </c>
      <c r="L68" s="279">
        <v>40000</v>
      </c>
      <c r="M68" s="73">
        <v>2</v>
      </c>
      <c r="N68" s="276"/>
      <c r="O68" s="276"/>
      <c r="P68" s="276"/>
      <c r="Q68" s="276"/>
    </row>
    <row r="69" spans="2:17" ht="13.5">
      <c r="B69" s="272" t="s">
        <v>270</v>
      </c>
      <c r="C69" s="273"/>
      <c r="D69" s="109" t="s">
        <v>267</v>
      </c>
      <c r="E69" s="109" t="s">
        <v>117</v>
      </c>
      <c r="F69" s="73">
        <v>3</v>
      </c>
      <c r="G69" s="73">
        <v>2</v>
      </c>
      <c r="H69" s="73">
        <v>0</v>
      </c>
      <c r="I69" s="73">
        <v>5</v>
      </c>
      <c r="J69" s="73">
        <v>0</v>
      </c>
      <c r="K69" s="109">
        <v>1</v>
      </c>
      <c r="L69" s="279">
        <v>120000</v>
      </c>
      <c r="M69" s="73">
        <v>3</v>
      </c>
      <c r="N69" s="276"/>
      <c r="O69" s="276"/>
      <c r="P69" s="276"/>
      <c r="Q69" s="276"/>
    </row>
    <row r="70" spans="2:17" ht="13.5">
      <c r="B70" s="272" t="s">
        <v>271</v>
      </c>
      <c r="C70" s="273"/>
      <c r="D70" s="109" t="s">
        <v>267</v>
      </c>
      <c r="E70" s="109" t="s">
        <v>117</v>
      </c>
      <c r="F70" s="73">
        <v>4</v>
      </c>
      <c r="G70" s="73">
        <v>2</v>
      </c>
      <c r="H70" s="73">
        <v>0</v>
      </c>
      <c r="I70" s="73">
        <v>5</v>
      </c>
      <c r="J70" s="73">
        <v>0</v>
      </c>
      <c r="K70" s="109">
        <v>1</v>
      </c>
      <c r="L70" s="279">
        <v>160000</v>
      </c>
      <c r="M70" s="73">
        <v>5</v>
      </c>
      <c r="N70" s="276"/>
      <c r="O70" s="276"/>
      <c r="P70" s="276"/>
      <c r="Q70" s="276"/>
    </row>
    <row r="71" spans="2:17" ht="13.5">
      <c r="B71" s="272" t="s">
        <v>272</v>
      </c>
      <c r="C71" s="273"/>
      <c r="D71" s="109" t="s">
        <v>267</v>
      </c>
      <c r="E71" s="109" t="s">
        <v>117</v>
      </c>
      <c r="F71" s="73">
        <v>5</v>
      </c>
      <c r="G71" s="73">
        <v>3</v>
      </c>
      <c r="H71" s="73">
        <v>1</v>
      </c>
      <c r="I71" s="73">
        <v>7</v>
      </c>
      <c r="J71" s="73">
        <v>0</v>
      </c>
      <c r="K71" s="109">
        <v>1</v>
      </c>
      <c r="L71" s="279">
        <v>200000</v>
      </c>
      <c r="M71" s="73">
        <v>4</v>
      </c>
      <c r="N71" s="276"/>
      <c r="O71" s="276"/>
      <c r="P71" s="276"/>
      <c r="Q71" s="276"/>
    </row>
    <row r="72" spans="2:17" ht="13.5">
      <c r="B72" s="272" t="s">
        <v>273</v>
      </c>
      <c r="C72" s="273"/>
      <c r="D72" s="109" t="s">
        <v>274</v>
      </c>
      <c r="E72" s="109" t="s">
        <v>254</v>
      </c>
      <c r="F72" s="73">
        <v>1</v>
      </c>
      <c r="G72" s="73">
        <v>6</v>
      </c>
      <c r="H72" s="73">
        <v>1</v>
      </c>
      <c r="I72" s="73">
        <v>5</v>
      </c>
      <c r="J72" s="73">
        <v>-1</v>
      </c>
      <c r="K72" s="109">
        <v>1</v>
      </c>
      <c r="L72" s="279">
        <v>30000</v>
      </c>
      <c r="M72" s="73">
        <v>1</v>
      </c>
      <c r="N72" s="276"/>
      <c r="O72" s="276"/>
      <c r="P72" s="276"/>
      <c r="Q72" s="276"/>
    </row>
    <row r="73" spans="2:17" ht="13.5">
      <c r="B73" s="272" t="s">
        <v>275</v>
      </c>
      <c r="C73" s="273"/>
      <c r="D73" s="109" t="s">
        <v>274</v>
      </c>
      <c r="E73" s="109" t="s">
        <v>254</v>
      </c>
      <c r="F73" s="73">
        <v>2</v>
      </c>
      <c r="G73" s="73">
        <v>8</v>
      </c>
      <c r="H73" s="73">
        <v>1</v>
      </c>
      <c r="I73" s="73">
        <v>7</v>
      </c>
      <c r="J73" s="73">
        <v>-1</v>
      </c>
      <c r="K73" s="109">
        <v>1</v>
      </c>
      <c r="L73" s="279">
        <v>90000</v>
      </c>
      <c r="M73" s="73">
        <v>1</v>
      </c>
      <c r="N73" s="276"/>
      <c r="O73" s="276"/>
      <c r="P73" s="276"/>
      <c r="Q73" s="276"/>
    </row>
    <row r="74" spans="2:17" ht="13.5">
      <c r="B74" s="272" t="s">
        <v>276</v>
      </c>
      <c r="C74" s="273"/>
      <c r="D74" s="109" t="s">
        <v>274</v>
      </c>
      <c r="E74" s="109" t="s">
        <v>254</v>
      </c>
      <c r="F74" s="73">
        <v>3</v>
      </c>
      <c r="G74" s="73">
        <v>12</v>
      </c>
      <c r="H74" s="73">
        <v>0</v>
      </c>
      <c r="I74" s="73">
        <v>9</v>
      </c>
      <c r="J74" s="73">
        <v>-1</v>
      </c>
      <c r="K74" s="109">
        <v>1</v>
      </c>
      <c r="L74" s="279">
        <v>130000</v>
      </c>
      <c r="M74" s="73">
        <v>2</v>
      </c>
      <c r="N74" s="276"/>
      <c r="O74" s="276"/>
      <c r="P74" s="276"/>
      <c r="Q74" s="276"/>
    </row>
    <row r="75" spans="2:17" ht="13.5">
      <c r="B75" s="272" t="s">
        <v>277</v>
      </c>
      <c r="C75" s="273"/>
      <c r="D75" s="109" t="s">
        <v>274</v>
      </c>
      <c r="E75" s="109" t="s">
        <v>254</v>
      </c>
      <c r="F75" s="73">
        <v>4</v>
      </c>
      <c r="G75" s="73">
        <v>14</v>
      </c>
      <c r="H75" s="73">
        <v>1</v>
      </c>
      <c r="I75" s="73">
        <v>11</v>
      </c>
      <c r="J75" s="73">
        <v>-2</v>
      </c>
      <c r="K75" s="109">
        <v>1</v>
      </c>
      <c r="L75" s="279">
        <v>180000</v>
      </c>
      <c r="M75" s="73">
        <v>1</v>
      </c>
      <c r="N75" s="276"/>
      <c r="O75" s="276"/>
      <c r="P75" s="276"/>
      <c r="Q75" s="276"/>
    </row>
    <row r="76" spans="2:17" ht="13.5">
      <c r="B76" s="272" t="s">
        <v>278</v>
      </c>
      <c r="C76" s="273"/>
      <c r="D76" s="109" t="s">
        <v>274</v>
      </c>
      <c r="E76" s="109" t="s">
        <v>254</v>
      </c>
      <c r="F76" s="73">
        <v>5</v>
      </c>
      <c r="G76" s="73">
        <v>12</v>
      </c>
      <c r="H76" s="73">
        <v>1</v>
      </c>
      <c r="I76" s="73">
        <v>13</v>
      </c>
      <c r="J76" s="73">
        <v>-1</v>
      </c>
      <c r="K76" s="109">
        <v>1</v>
      </c>
      <c r="L76" s="279">
        <v>230000</v>
      </c>
      <c r="M76" s="73">
        <v>3</v>
      </c>
      <c r="N76" s="276"/>
      <c r="O76" s="276"/>
      <c r="P76" s="276"/>
      <c r="Q76" s="276"/>
    </row>
    <row r="77" spans="2:17" ht="13.5">
      <c r="B77" s="272" t="s">
        <v>279</v>
      </c>
      <c r="C77" s="273"/>
      <c r="D77" s="109" t="s">
        <v>274</v>
      </c>
      <c r="E77" s="109" t="s">
        <v>254</v>
      </c>
      <c r="F77" s="73">
        <v>6</v>
      </c>
      <c r="G77" s="73">
        <v>15</v>
      </c>
      <c r="H77" s="73">
        <v>1</v>
      </c>
      <c r="I77" s="73">
        <v>15</v>
      </c>
      <c r="J77" s="73">
        <v>-2</v>
      </c>
      <c r="K77" s="109">
        <v>1</v>
      </c>
      <c r="L77" s="279">
        <v>270000</v>
      </c>
      <c r="M77" s="73">
        <v>1</v>
      </c>
      <c r="N77" s="276"/>
      <c r="O77" s="276"/>
      <c r="P77" s="276"/>
      <c r="Q77" s="276"/>
    </row>
    <row r="78" spans="2:17" ht="13.5">
      <c r="B78" s="272" t="s">
        <v>280</v>
      </c>
      <c r="C78" s="273"/>
      <c r="D78" s="109" t="s">
        <v>281</v>
      </c>
      <c r="E78" s="109" t="s">
        <v>117</v>
      </c>
      <c r="F78" s="73">
        <v>1</v>
      </c>
      <c r="G78" s="73">
        <v>5</v>
      </c>
      <c r="H78" s="73">
        <v>-2</v>
      </c>
      <c r="I78" s="73">
        <v>8</v>
      </c>
      <c r="J78" s="73">
        <v>-1</v>
      </c>
      <c r="K78" s="109">
        <v>1</v>
      </c>
      <c r="L78" s="279">
        <v>30000</v>
      </c>
      <c r="M78" s="73">
        <v>0</v>
      </c>
      <c r="N78" s="276"/>
      <c r="O78" s="276"/>
      <c r="P78" s="276"/>
      <c r="Q78" s="276"/>
    </row>
    <row r="79" spans="2:17" ht="13.5">
      <c r="B79" s="272" t="s">
        <v>282</v>
      </c>
      <c r="C79" s="273"/>
      <c r="D79" s="109" t="s">
        <v>281</v>
      </c>
      <c r="E79" s="109" t="s">
        <v>254</v>
      </c>
      <c r="F79" s="73">
        <v>2</v>
      </c>
      <c r="G79" s="73">
        <v>10</v>
      </c>
      <c r="H79" s="73">
        <v>-3</v>
      </c>
      <c r="I79" s="73">
        <v>10</v>
      </c>
      <c r="J79" s="73">
        <v>-2</v>
      </c>
      <c r="K79" s="109">
        <v>1</v>
      </c>
      <c r="L79" s="279">
        <v>60000</v>
      </c>
      <c r="M79" s="73">
        <v>0</v>
      </c>
      <c r="N79" s="276"/>
      <c r="O79" s="276"/>
      <c r="P79" s="276"/>
      <c r="Q79" s="276"/>
    </row>
    <row r="80" spans="2:17" ht="13.5">
      <c r="B80" s="272" t="s">
        <v>283</v>
      </c>
      <c r="C80" s="273"/>
      <c r="D80" s="109" t="s">
        <v>281</v>
      </c>
      <c r="E80" s="109" t="s">
        <v>254</v>
      </c>
      <c r="F80" s="73">
        <v>3</v>
      </c>
      <c r="G80" s="73">
        <v>10</v>
      </c>
      <c r="H80" s="73">
        <v>-2</v>
      </c>
      <c r="I80" s="73">
        <v>13</v>
      </c>
      <c r="J80" s="73">
        <v>-2</v>
      </c>
      <c r="K80" s="109">
        <v>1</v>
      </c>
      <c r="L80" s="279">
        <v>120000</v>
      </c>
      <c r="M80" s="73">
        <v>2</v>
      </c>
      <c r="N80" s="276"/>
      <c r="O80" s="276"/>
      <c r="P80" s="276"/>
      <c r="Q80" s="276"/>
    </row>
    <row r="81" spans="2:17" ht="13.5">
      <c r="B81" s="272" t="s">
        <v>284</v>
      </c>
      <c r="C81" s="273"/>
      <c r="D81" s="109" t="s">
        <v>281</v>
      </c>
      <c r="E81" s="109" t="s">
        <v>254</v>
      </c>
      <c r="F81" s="73">
        <v>4</v>
      </c>
      <c r="G81" s="73">
        <v>12</v>
      </c>
      <c r="H81" s="73">
        <v>-4</v>
      </c>
      <c r="I81" s="73">
        <v>14</v>
      </c>
      <c r="J81" s="73">
        <v>-2</v>
      </c>
      <c r="K81" s="109">
        <v>1</v>
      </c>
      <c r="L81" s="279">
        <v>170000</v>
      </c>
      <c r="M81" s="73">
        <v>0</v>
      </c>
      <c r="N81" s="276"/>
      <c r="O81" s="276"/>
      <c r="P81" s="276"/>
      <c r="Q81" s="276"/>
    </row>
    <row r="82" spans="2:17" ht="13.5">
      <c r="B82" s="272" t="s">
        <v>285</v>
      </c>
      <c r="C82" s="273"/>
      <c r="D82" s="109" t="s">
        <v>281</v>
      </c>
      <c r="E82" s="109" t="s">
        <v>254</v>
      </c>
      <c r="F82" s="73">
        <v>5</v>
      </c>
      <c r="G82" s="73">
        <v>14</v>
      </c>
      <c r="H82" s="73">
        <v>-3</v>
      </c>
      <c r="I82" s="73">
        <v>16</v>
      </c>
      <c r="J82" s="73">
        <v>-3</v>
      </c>
      <c r="K82" s="109">
        <v>1</v>
      </c>
      <c r="L82" s="279">
        <v>240000</v>
      </c>
      <c r="M82" s="73">
        <v>2</v>
      </c>
      <c r="N82" s="276"/>
      <c r="O82" s="276"/>
      <c r="P82" s="276"/>
      <c r="Q82" s="276"/>
    </row>
    <row r="83" spans="2:17" ht="13.5">
      <c r="B83" s="272" t="s">
        <v>286</v>
      </c>
      <c r="C83" s="273"/>
      <c r="D83" s="109" t="s">
        <v>281</v>
      </c>
      <c r="E83" s="109" t="s">
        <v>254</v>
      </c>
      <c r="F83" s="73">
        <v>6</v>
      </c>
      <c r="G83" s="73">
        <v>15</v>
      </c>
      <c r="H83" s="73">
        <v>-4</v>
      </c>
      <c r="I83" s="73">
        <v>18</v>
      </c>
      <c r="J83" s="73">
        <v>-2</v>
      </c>
      <c r="K83" s="109">
        <v>1</v>
      </c>
      <c r="L83" s="279">
        <v>320000</v>
      </c>
      <c r="M83" s="73">
        <v>0</v>
      </c>
      <c r="N83" s="276"/>
      <c r="O83" s="276"/>
      <c r="P83" s="276"/>
      <c r="Q83" s="276"/>
    </row>
    <row r="84" spans="2:17" ht="13.5">
      <c r="B84" s="272" t="s">
        <v>287</v>
      </c>
      <c r="C84" s="273"/>
      <c r="D84" s="109" t="s">
        <v>288</v>
      </c>
      <c r="E84" s="109" t="s">
        <v>254</v>
      </c>
      <c r="F84" s="73">
        <v>1</v>
      </c>
      <c r="G84" s="73">
        <v>5</v>
      </c>
      <c r="H84" s="73">
        <v>-1</v>
      </c>
      <c r="I84" s="73">
        <v>5</v>
      </c>
      <c r="J84" s="73">
        <v>-1</v>
      </c>
      <c r="K84" s="109" t="s">
        <v>289</v>
      </c>
      <c r="L84" s="279">
        <v>40000</v>
      </c>
      <c r="M84" s="73">
        <v>0</v>
      </c>
      <c r="N84" s="276"/>
      <c r="O84" s="276"/>
      <c r="P84" s="276"/>
      <c r="Q84" s="276"/>
    </row>
    <row r="85" spans="2:17" ht="13.5">
      <c r="B85" s="272" t="s">
        <v>290</v>
      </c>
      <c r="C85" s="273"/>
      <c r="D85" s="109" t="s">
        <v>288</v>
      </c>
      <c r="E85" s="109" t="s">
        <v>117</v>
      </c>
      <c r="F85" s="73">
        <v>2</v>
      </c>
      <c r="G85" s="73">
        <v>4</v>
      </c>
      <c r="H85" s="73">
        <v>-2</v>
      </c>
      <c r="I85" s="73">
        <v>5</v>
      </c>
      <c r="J85" s="73">
        <v>0</v>
      </c>
      <c r="K85" s="109" t="s">
        <v>291</v>
      </c>
      <c r="L85" s="279">
        <v>70000</v>
      </c>
      <c r="M85" s="73">
        <v>0</v>
      </c>
      <c r="N85" s="276"/>
      <c r="O85" s="276"/>
      <c r="P85" s="276"/>
      <c r="Q85" s="276"/>
    </row>
    <row r="86" spans="2:17" ht="13.5">
      <c r="B86" s="272" t="s">
        <v>292</v>
      </c>
      <c r="C86" s="273"/>
      <c r="D86" s="109" t="s">
        <v>288</v>
      </c>
      <c r="E86" s="109" t="s">
        <v>254</v>
      </c>
      <c r="F86" s="73">
        <v>3</v>
      </c>
      <c r="G86" s="73">
        <v>7</v>
      </c>
      <c r="H86" s="73">
        <v>-2</v>
      </c>
      <c r="I86" s="73">
        <v>8</v>
      </c>
      <c r="J86" s="73">
        <v>-1</v>
      </c>
      <c r="K86" s="109" t="s">
        <v>289</v>
      </c>
      <c r="L86" s="279">
        <v>120000</v>
      </c>
      <c r="M86" s="73">
        <v>1</v>
      </c>
      <c r="N86" s="276"/>
      <c r="O86" s="276"/>
      <c r="P86" s="276"/>
      <c r="Q86" s="276"/>
    </row>
    <row r="87" spans="2:17" ht="13.5">
      <c r="B87" s="272" t="s">
        <v>293</v>
      </c>
      <c r="C87" s="273"/>
      <c r="D87" s="109" t="s">
        <v>288</v>
      </c>
      <c r="E87" s="109" t="s">
        <v>254</v>
      </c>
      <c r="F87" s="73">
        <v>4</v>
      </c>
      <c r="G87" s="73">
        <v>5</v>
      </c>
      <c r="H87" s="73">
        <v>-2</v>
      </c>
      <c r="I87" s="73">
        <v>10</v>
      </c>
      <c r="J87" s="73">
        <v>-1</v>
      </c>
      <c r="K87" s="109" t="s">
        <v>291</v>
      </c>
      <c r="L87" s="279">
        <v>160000</v>
      </c>
      <c r="M87" s="73">
        <v>0</v>
      </c>
      <c r="N87" s="276"/>
      <c r="O87" s="276"/>
      <c r="P87" s="276"/>
      <c r="Q87" s="276"/>
    </row>
    <row r="88" spans="2:17" ht="13.5">
      <c r="B88" s="272" t="s">
        <v>294</v>
      </c>
      <c r="C88" s="273"/>
      <c r="D88" s="109" t="s">
        <v>288</v>
      </c>
      <c r="E88" s="109" t="s">
        <v>254</v>
      </c>
      <c r="F88" s="73">
        <v>5</v>
      </c>
      <c r="G88" s="73">
        <v>9</v>
      </c>
      <c r="H88" s="73">
        <v>-1</v>
      </c>
      <c r="I88" s="73">
        <v>10</v>
      </c>
      <c r="J88" s="73">
        <v>-1</v>
      </c>
      <c r="K88" s="109" t="s">
        <v>289</v>
      </c>
      <c r="L88" s="279">
        <v>260000</v>
      </c>
      <c r="M88" s="73">
        <v>1</v>
      </c>
      <c r="N88" s="276"/>
      <c r="O88" s="276"/>
      <c r="P88" s="276"/>
      <c r="Q88" s="276"/>
    </row>
    <row r="89" spans="2:17" ht="13.5">
      <c r="B89" s="272" t="s">
        <v>295</v>
      </c>
      <c r="C89" s="273"/>
      <c r="D89" s="280" t="s">
        <v>288</v>
      </c>
      <c r="E89" s="280" t="s">
        <v>254</v>
      </c>
      <c r="F89" s="281">
        <v>6</v>
      </c>
      <c r="G89" s="281">
        <v>11</v>
      </c>
      <c r="H89" s="281">
        <v>-3</v>
      </c>
      <c r="I89" s="281">
        <v>13</v>
      </c>
      <c r="J89" s="281">
        <v>-2</v>
      </c>
      <c r="K89" s="280" t="s">
        <v>289</v>
      </c>
      <c r="L89" s="282">
        <v>320000</v>
      </c>
      <c r="M89" s="281">
        <v>0</v>
      </c>
      <c r="N89" s="276"/>
      <c r="O89" s="276"/>
      <c r="P89" s="276"/>
      <c r="Q89" s="276"/>
    </row>
    <row r="90" spans="2:17" ht="13.5">
      <c r="B90" s="283" t="s">
        <v>296</v>
      </c>
      <c r="C90" s="284"/>
      <c r="D90" s="277" t="s">
        <v>256</v>
      </c>
      <c r="E90" s="277" t="s">
        <v>117</v>
      </c>
      <c r="F90" s="105">
        <v>4</v>
      </c>
      <c r="G90" s="105">
        <v>5</v>
      </c>
      <c r="H90" s="105">
        <v>1</v>
      </c>
      <c r="I90" s="105">
        <v>8</v>
      </c>
      <c r="J90" s="105">
        <v>0</v>
      </c>
      <c r="K90" s="277">
        <v>1</v>
      </c>
      <c r="L90" s="278">
        <v>320000</v>
      </c>
      <c r="M90" s="105">
        <v>3</v>
      </c>
      <c r="N90" s="276"/>
      <c r="O90" s="276"/>
      <c r="P90" s="276"/>
      <c r="Q90" s="276"/>
    </row>
    <row r="91" spans="2:17" ht="13.5">
      <c r="B91" s="285" t="s">
        <v>297</v>
      </c>
      <c r="C91" s="284"/>
      <c r="D91" s="109" t="s">
        <v>256</v>
      </c>
      <c r="E91" s="109" t="s">
        <v>254</v>
      </c>
      <c r="F91" s="73">
        <v>5</v>
      </c>
      <c r="G91" s="73">
        <v>15</v>
      </c>
      <c r="H91" s="73">
        <v>-2</v>
      </c>
      <c r="I91" s="73">
        <v>12</v>
      </c>
      <c r="J91" s="73">
        <v>-2</v>
      </c>
      <c r="K91" s="109">
        <v>1</v>
      </c>
      <c r="L91" s="279">
        <v>400000</v>
      </c>
      <c r="M91" s="73">
        <v>3</v>
      </c>
      <c r="N91" s="276"/>
      <c r="O91" s="276"/>
      <c r="P91" s="276"/>
      <c r="Q91" s="276"/>
    </row>
    <row r="92" spans="2:17" ht="13.5">
      <c r="B92" s="285" t="s">
        <v>298</v>
      </c>
      <c r="C92" s="284"/>
      <c r="D92" s="109" t="s">
        <v>256</v>
      </c>
      <c r="E92" s="109" t="s">
        <v>117</v>
      </c>
      <c r="F92" s="73">
        <v>5</v>
      </c>
      <c r="G92" s="73">
        <v>5</v>
      </c>
      <c r="H92" s="73">
        <v>-2</v>
      </c>
      <c r="I92" s="73">
        <v>10</v>
      </c>
      <c r="J92" s="73">
        <v>0</v>
      </c>
      <c r="K92" s="109">
        <v>1</v>
      </c>
      <c r="L92" s="279">
        <v>450000</v>
      </c>
      <c r="M92" s="73">
        <v>3</v>
      </c>
      <c r="N92" s="276"/>
      <c r="O92" s="276"/>
      <c r="P92" s="276"/>
      <c r="Q92" s="276"/>
    </row>
    <row r="93" spans="2:17" ht="13.5">
      <c r="B93" s="286" t="s">
        <v>299</v>
      </c>
      <c r="C93" s="284"/>
      <c r="D93" s="109" t="s">
        <v>256</v>
      </c>
      <c r="E93" s="109" t="s">
        <v>254</v>
      </c>
      <c r="F93" s="73">
        <v>6</v>
      </c>
      <c r="G93" s="73">
        <v>6</v>
      </c>
      <c r="H93" s="73">
        <v>-3</v>
      </c>
      <c r="I93" s="73">
        <v>18</v>
      </c>
      <c r="J93" s="73">
        <v>-1</v>
      </c>
      <c r="K93" s="109">
        <v>1</v>
      </c>
      <c r="L93" s="279">
        <v>600000</v>
      </c>
      <c r="M93" s="73">
        <v>4</v>
      </c>
      <c r="N93" s="276"/>
      <c r="O93" s="276"/>
      <c r="P93" s="276"/>
      <c r="Q93" s="276"/>
    </row>
    <row r="94" spans="2:17" ht="13.5">
      <c r="B94" s="286" t="s">
        <v>300</v>
      </c>
      <c r="C94" s="284"/>
      <c r="D94" s="109" t="s">
        <v>256</v>
      </c>
      <c r="E94" s="109" t="s">
        <v>117</v>
      </c>
      <c r="F94" s="73">
        <v>7</v>
      </c>
      <c r="G94" s="73">
        <v>10</v>
      </c>
      <c r="H94" s="73">
        <v>0</v>
      </c>
      <c r="I94" s="73">
        <v>12</v>
      </c>
      <c r="J94" s="73">
        <v>-1</v>
      </c>
      <c r="K94" s="109">
        <v>1</v>
      </c>
      <c r="L94" s="279">
        <v>680000</v>
      </c>
      <c r="M94" s="73">
        <v>4</v>
      </c>
      <c r="N94" s="276"/>
      <c r="O94" s="276"/>
      <c r="P94" s="276"/>
      <c r="Q94" s="276"/>
    </row>
    <row r="95" spans="2:17" ht="13.5">
      <c r="B95" s="286" t="s">
        <v>301</v>
      </c>
      <c r="C95" s="284"/>
      <c r="D95" s="109" t="s">
        <v>256</v>
      </c>
      <c r="E95" s="109" t="s">
        <v>254</v>
      </c>
      <c r="F95" s="73">
        <v>7</v>
      </c>
      <c r="G95" s="73">
        <v>12</v>
      </c>
      <c r="H95" s="73">
        <v>0</v>
      </c>
      <c r="I95" s="73">
        <v>15</v>
      </c>
      <c r="J95" s="73">
        <v>-2</v>
      </c>
      <c r="K95" s="109">
        <v>1</v>
      </c>
      <c r="L95" s="279">
        <v>740000</v>
      </c>
      <c r="M95" s="73">
        <v>7</v>
      </c>
      <c r="N95" s="276"/>
      <c r="O95" s="276"/>
      <c r="P95" s="276"/>
      <c r="Q95" s="276"/>
    </row>
    <row r="96" spans="2:17" ht="13.5">
      <c r="B96" s="286" t="s">
        <v>302</v>
      </c>
      <c r="C96" s="284"/>
      <c r="D96" s="109" t="s">
        <v>256</v>
      </c>
      <c r="E96" s="109" t="s">
        <v>254</v>
      </c>
      <c r="F96" s="73">
        <v>8</v>
      </c>
      <c r="G96" s="73">
        <v>9</v>
      </c>
      <c r="H96" s="73">
        <v>-2</v>
      </c>
      <c r="I96" s="73">
        <v>0</v>
      </c>
      <c r="J96" s="73">
        <v>0</v>
      </c>
      <c r="K96" s="109">
        <v>1</v>
      </c>
      <c r="L96" s="279">
        <v>800000</v>
      </c>
      <c r="M96" s="73">
        <v>0</v>
      </c>
      <c r="N96" s="276"/>
      <c r="O96" s="276"/>
      <c r="P96" s="276"/>
      <c r="Q96" s="276"/>
    </row>
    <row r="97" spans="2:17" ht="13.5">
      <c r="B97" s="286" t="s">
        <v>303</v>
      </c>
      <c r="C97" s="284"/>
      <c r="D97" s="109" t="s">
        <v>256</v>
      </c>
      <c r="E97" s="109" t="s">
        <v>117</v>
      </c>
      <c r="F97" s="73">
        <v>8</v>
      </c>
      <c r="G97" s="73">
        <v>5</v>
      </c>
      <c r="H97" s="73">
        <v>-2</v>
      </c>
      <c r="I97" s="73">
        <v>18</v>
      </c>
      <c r="J97" s="73">
        <v>0</v>
      </c>
      <c r="K97" s="109">
        <v>1</v>
      </c>
      <c r="L97" s="279">
        <v>820000</v>
      </c>
      <c r="M97" s="73">
        <v>5</v>
      </c>
      <c r="N97" s="276"/>
      <c r="O97" s="276"/>
      <c r="P97" s="276"/>
      <c r="Q97" s="276"/>
    </row>
    <row r="98" spans="2:17" ht="13.5">
      <c r="B98" s="285" t="s">
        <v>304</v>
      </c>
      <c r="C98" s="284"/>
      <c r="D98" s="109" t="s">
        <v>256</v>
      </c>
      <c r="E98" s="109" t="s">
        <v>254</v>
      </c>
      <c r="F98" s="73">
        <v>8</v>
      </c>
      <c r="G98" s="73">
        <v>16</v>
      </c>
      <c r="H98" s="73">
        <v>-2</v>
      </c>
      <c r="I98" s="73">
        <v>17</v>
      </c>
      <c r="J98" s="73">
        <v>-2</v>
      </c>
      <c r="K98" s="109">
        <v>1</v>
      </c>
      <c r="L98" s="279">
        <v>950000</v>
      </c>
      <c r="M98" s="73">
        <v>3</v>
      </c>
      <c r="N98" s="276"/>
      <c r="O98" s="276"/>
      <c r="P98" s="276"/>
      <c r="Q98" s="276"/>
    </row>
    <row r="99" spans="2:17" ht="13.5">
      <c r="B99" s="285" t="s">
        <v>305</v>
      </c>
      <c r="C99" s="284"/>
      <c r="D99" s="109" t="s">
        <v>256</v>
      </c>
      <c r="E99" s="109" t="s">
        <v>254</v>
      </c>
      <c r="F99" s="73">
        <v>9</v>
      </c>
      <c r="G99" s="73">
        <v>17</v>
      </c>
      <c r="H99" s="73">
        <v>-2</v>
      </c>
      <c r="I99" s="73">
        <v>22</v>
      </c>
      <c r="J99" s="73">
        <v>-1</v>
      </c>
      <c r="K99" s="109">
        <v>1</v>
      </c>
      <c r="L99" s="279">
        <v>1000000</v>
      </c>
      <c r="M99" s="73">
        <v>5</v>
      </c>
      <c r="N99" s="276"/>
      <c r="O99" s="276"/>
      <c r="P99" s="276"/>
      <c r="Q99" s="276"/>
    </row>
    <row r="100" spans="2:17" ht="13.5">
      <c r="B100" s="285" t="s">
        <v>306</v>
      </c>
      <c r="C100" s="284"/>
      <c r="D100" s="277" t="s">
        <v>256</v>
      </c>
      <c r="E100" s="277" t="s">
        <v>254</v>
      </c>
      <c r="F100" s="105">
        <v>8</v>
      </c>
      <c r="G100" s="105">
        <v>17</v>
      </c>
      <c r="H100" s="105">
        <v>-2</v>
      </c>
      <c r="I100" s="105">
        <v>18</v>
      </c>
      <c r="J100" s="105">
        <v>-2</v>
      </c>
      <c r="K100" s="277">
        <v>1</v>
      </c>
      <c r="L100" s="278">
        <v>940000</v>
      </c>
      <c r="M100" s="105">
        <v>8</v>
      </c>
      <c r="N100" s="276"/>
      <c r="O100" s="276"/>
      <c r="P100" s="276"/>
      <c r="Q100" s="276"/>
    </row>
    <row r="101" spans="2:17" ht="13.5">
      <c r="B101" s="285" t="s">
        <v>307</v>
      </c>
      <c r="C101" s="284"/>
      <c r="D101" s="109" t="s">
        <v>256</v>
      </c>
      <c r="E101" s="109" t="s">
        <v>254</v>
      </c>
      <c r="F101" s="73">
        <v>9</v>
      </c>
      <c r="G101" s="73">
        <v>18</v>
      </c>
      <c r="H101" s="73">
        <v>-2</v>
      </c>
      <c r="I101" s="73">
        <v>20</v>
      </c>
      <c r="J101" s="73">
        <v>-2</v>
      </c>
      <c r="K101" s="109">
        <v>1</v>
      </c>
      <c r="L101" s="279">
        <v>1100000</v>
      </c>
      <c r="M101" s="73">
        <v>6</v>
      </c>
      <c r="N101" s="276"/>
      <c r="O101" s="276"/>
      <c r="P101" s="276"/>
      <c r="Q101" s="276"/>
    </row>
    <row r="102" spans="2:17" ht="13.5">
      <c r="B102" s="285" t="s">
        <v>308</v>
      </c>
      <c r="C102" s="284"/>
      <c r="D102" s="109" t="s">
        <v>256</v>
      </c>
      <c r="E102" s="109" t="s">
        <v>117</v>
      </c>
      <c r="F102" s="73">
        <v>9</v>
      </c>
      <c r="G102" s="73">
        <v>10</v>
      </c>
      <c r="H102" s="73">
        <v>0</v>
      </c>
      <c r="I102" s="73">
        <v>15</v>
      </c>
      <c r="J102" s="73">
        <v>-1</v>
      </c>
      <c r="K102" s="109">
        <v>1</v>
      </c>
      <c r="L102" s="279">
        <v>980000</v>
      </c>
      <c r="M102" s="73">
        <v>8</v>
      </c>
      <c r="N102" s="276"/>
      <c r="O102" s="276"/>
      <c r="P102" s="276"/>
      <c r="Q102" s="276"/>
    </row>
    <row r="103" spans="2:17" ht="13.5">
      <c r="B103" s="285" t="s">
        <v>309</v>
      </c>
      <c r="C103" s="284"/>
      <c r="D103" s="109" t="s">
        <v>256</v>
      </c>
      <c r="E103" s="109" t="s">
        <v>117</v>
      </c>
      <c r="F103" s="73">
        <v>10</v>
      </c>
      <c r="G103" s="73">
        <v>11</v>
      </c>
      <c r="H103" s="73">
        <v>-1</v>
      </c>
      <c r="I103" s="73">
        <v>15</v>
      </c>
      <c r="J103" s="73">
        <v>-1</v>
      </c>
      <c r="K103" s="109">
        <v>1</v>
      </c>
      <c r="L103" s="279">
        <v>1080000</v>
      </c>
      <c r="M103" s="73">
        <v>6</v>
      </c>
      <c r="N103" s="276"/>
      <c r="O103" s="276"/>
      <c r="P103" s="276"/>
      <c r="Q103" s="276"/>
    </row>
    <row r="104" spans="2:17" ht="13.5" customHeight="1">
      <c r="B104" s="285" t="s">
        <v>310</v>
      </c>
      <c r="C104" s="284"/>
      <c r="D104" s="109" t="s">
        <v>256</v>
      </c>
      <c r="E104" s="109" t="s">
        <v>117</v>
      </c>
      <c r="F104" s="73">
        <v>10</v>
      </c>
      <c r="G104" s="73">
        <v>6</v>
      </c>
      <c r="H104" s="73">
        <v>-1</v>
      </c>
      <c r="I104" s="73">
        <v>15</v>
      </c>
      <c r="J104" s="73">
        <v>-1</v>
      </c>
      <c r="K104" s="109">
        <v>1</v>
      </c>
      <c r="L104" s="279">
        <v>1200000</v>
      </c>
      <c r="M104" s="73">
        <v>2</v>
      </c>
      <c r="N104" s="276"/>
      <c r="O104" s="276"/>
      <c r="P104" s="276"/>
      <c r="Q104" s="276"/>
    </row>
    <row r="105" spans="2:17" ht="12.75" customHeight="1">
      <c r="B105" s="285" t="s">
        <v>311</v>
      </c>
      <c r="C105" s="284"/>
      <c r="D105" s="109" t="s">
        <v>256</v>
      </c>
      <c r="E105" s="109" t="s">
        <v>254</v>
      </c>
      <c r="F105" s="73">
        <v>10</v>
      </c>
      <c r="G105" s="73">
        <v>12</v>
      </c>
      <c r="H105" s="73">
        <v>-2</v>
      </c>
      <c r="I105" s="73">
        <v>20</v>
      </c>
      <c r="J105" s="73">
        <v>-1</v>
      </c>
      <c r="K105" s="109">
        <v>1</v>
      </c>
      <c r="L105" s="279">
        <v>1200000</v>
      </c>
      <c r="M105" s="73">
        <v>5</v>
      </c>
      <c r="N105" s="276"/>
      <c r="O105" s="276"/>
      <c r="P105" s="276"/>
      <c r="Q105" s="276"/>
    </row>
    <row r="106" spans="2:17" ht="13.5">
      <c r="B106" s="285" t="s">
        <v>312</v>
      </c>
      <c r="C106" s="284"/>
      <c r="D106" s="109" t="s">
        <v>256</v>
      </c>
      <c r="E106" s="109" t="s">
        <v>117</v>
      </c>
      <c r="F106" s="73">
        <v>10</v>
      </c>
      <c r="G106" s="73">
        <v>7</v>
      </c>
      <c r="H106" s="73">
        <v>-3</v>
      </c>
      <c r="I106" s="73">
        <v>12</v>
      </c>
      <c r="J106" s="73">
        <v>-1</v>
      </c>
      <c r="K106" s="109">
        <v>1</v>
      </c>
      <c r="L106" s="279">
        <v>1300000</v>
      </c>
      <c r="M106" s="73">
        <v>14</v>
      </c>
      <c r="N106" s="276"/>
      <c r="O106" s="276"/>
      <c r="P106" s="276"/>
      <c r="Q106" s="276"/>
    </row>
    <row r="107" spans="2:17" ht="13.5">
      <c r="B107" s="285" t="s">
        <v>313</v>
      </c>
      <c r="C107" s="284"/>
      <c r="D107" s="109" t="s">
        <v>256</v>
      </c>
      <c r="E107" s="109" t="s">
        <v>117</v>
      </c>
      <c r="F107" s="73">
        <v>10</v>
      </c>
      <c r="G107" s="73">
        <v>4</v>
      </c>
      <c r="H107" s="73">
        <v>-2</v>
      </c>
      <c r="I107" s="73">
        <v>13</v>
      </c>
      <c r="J107" s="73">
        <v>0</v>
      </c>
      <c r="K107" s="109">
        <v>1</v>
      </c>
      <c r="L107" s="279">
        <v>1220000</v>
      </c>
      <c r="M107" s="73">
        <v>6</v>
      </c>
      <c r="N107" s="276"/>
      <c r="O107" s="276"/>
      <c r="P107" s="276"/>
      <c r="Q107" s="276"/>
    </row>
    <row r="108" spans="2:17" ht="13.5">
      <c r="B108" s="285" t="s">
        <v>314</v>
      </c>
      <c r="C108" s="284"/>
      <c r="D108" s="109" t="s">
        <v>256</v>
      </c>
      <c r="E108" s="109" t="s">
        <v>117</v>
      </c>
      <c r="F108" s="73">
        <v>10</v>
      </c>
      <c r="G108" s="73">
        <v>10</v>
      </c>
      <c r="H108" s="73">
        <v>-1</v>
      </c>
      <c r="I108" s="73">
        <v>15</v>
      </c>
      <c r="J108" s="73">
        <v>-1</v>
      </c>
      <c r="K108" s="109">
        <v>1</v>
      </c>
      <c r="L108" s="279">
        <v>1200000</v>
      </c>
      <c r="M108" s="73">
        <v>8</v>
      </c>
      <c r="N108" s="276"/>
      <c r="O108" s="276"/>
      <c r="P108" s="276"/>
      <c r="Q108" s="276"/>
    </row>
    <row r="109" spans="2:17" ht="13.5">
      <c r="B109" s="285" t="s">
        <v>315</v>
      </c>
      <c r="C109" s="284"/>
      <c r="D109" s="109" t="s">
        <v>256</v>
      </c>
      <c r="E109" s="109" t="s">
        <v>117</v>
      </c>
      <c r="F109" s="73">
        <v>10</v>
      </c>
      <c r="G109" s="73">
        <v>10</v>
      </c>
      <c r="H109" s="73">
        <v>-1</v>
      </c>
      <c r="I109" s="73">
        <v>15</v>
      </c>
      <c r="J109" s="73">
        <v>-1</v>
      </c>
      <c r="K109" s="109">
        <v>1</v>
      </c>
      <c r="L109" s="279">
        <v>1200000</v>
      </c>
      <c r="M109" s="73">
        <v>8</v>
      </c>
      <c r="N109" s="276"/>
      <c r="O109" s="276"/>
      <c r="P109" s="276"/>
      <c r="Q109" s="276"/>
    </row>
    <row r="110" spans="2:17" ht="13.5">
      <c r="B110" s="285" t="s">
        <v>316</v>
      </c>
      <c r="C110" s="284"/>
      <c r="D110" s="109" t="s">
        <v>256</v>
      </c>
      <c r="E110" s="109" t="s">
        <v>117</v>
      </c>
      <c r="F110" s="73">
        <v>11</v>
      </c>
      <c r="G110" s="73">
        <v>12</v>
      </c>
      <c r="H110" s="73">
        <v>-3</v>
      </c>
      <c r="I110" s="73">
        <v>18</v>
      </c>
      <c r="J110" s="73">
        <v>1</v>
      </c>
      <c r="K110" s="109">
        <v>1</v>
      </c>
      <c r="L110" s="279">
        <v>1200000</v>
      </c>
      <c r="M110" s="73">
        <v>10</v>
      </c>
      <c r="N110" s="276"/>
      <c r="O110" s="276"/>
      <c r="P110" s="276"/>
      <c r="Q110" s="276"/>
    </row>
    <row r="111" spans="2:17" ht="13.5">
      <c r="B111" s="285" t="s">
        <v>317</v>
      </c>
      <c r="C111" s="284"/>
      <c r="D111" s="109" t="s">
        <v>256</v>
      </c>
      <c r="E111" s="109" t="s">
        <v>254</v>
      </c>
      <c r="F111" s="73">
        <v>11</v>
      </c>
      <c r="G111" s="73">
        <v>20</v>
      </c>
      <c r="H111" s="73">
        <v>-1</v>
      </c>
      <c r="I111" s="73">
        <v>22</v>
      </c>
      <c r="J111" s="73">
        <v>-2</v>
      </c>
      <c r="K111" s="109">
        <v>1</v>
      </c>
      <c r="L111" s="279">
        <v>1400000</v>
      </c>
      <c r="M111" s="73">
        <v>4</v>
      </c>
      <c r="N111" s="276"/>
      <c r="O111" s="276"/>
      <c r="P111" s="276"/>
      <c r="Q111" s="276"/>
    </row>
    <row r="112" spans="2:17" ht="13.5">
      <c r="B112" s="285" t="s">
        <v>318</v>
      </c>
      <c r="C112" s="284"/>
      <c r="D112" s="109" t="s">
        <v>256</v>
      </c>
      <c r="E112" s="109" t="s">
        <v>117</v>
      </c>
      <c r="F112" s="73">
        <v>12</v>
      </c>
      <c r="G112" s="73">
        <v>5</v>
      </c>
      <c r="H112" s="73">
        <v>-1</v>
      </c>
      <c r="I112" s="73">
        <v>16</v>
      </c>
      <c r="J112" s="73">
        <v>1</v>
      </c>
      <c r="K112" s="109">
        <v>1</v>
      </c>
      <c r="L112" s="279">
        <v>1350000</v>
      </c>
      <c r="M112" s="73">
        <v>7</v>
      </c>
      <c r="N112" s="276"/>
      <c r="O112" s="276"/>
      <c r="P112" s="276"/>
      <c r="Q112" s="276"/>
    </row>
    <row r="113" spans="2:17" ht="13.5">
      <c r="B113" s="285" t="s">
        <v>319</v>
      </c>
      <c r="C113" s="284"/>
      <c r="D113" s="109" t="s">
        <v>256</v>
      </c>
      <c r="E113" s="109" t="s">
        <v>254</v>
      </c>
      <c r="F113" s="73">
        <v>12</v>
      </c>
      <c r="G113" s="73">
        <v>25</v>
      </c>
      <c r="H113" s="73">
        <v>-3</v>
      </c>
      <c r="I113" s="73">
        <v>25</v>
      </c>
      <c r="J113" s="73">
        <v>-1</v>
      </c>
      <c r="K113" s="109">
        <v>1</v>
      </c>
      <c r="L113" s="279">
        <v>1500000</v>
      </c>
      <c r="M113" s="73">
        <v>5</v>
      </c>
      <c r="N113" s="276"/>
      <c r="O113" s="276"/>
      <c r="P113" s="276"/>
      <c r="Q113" s="276"/>
    </row>
    <row r="114" spans="2:17" ht="13.5">
      <c r="B114" s="285" t="s">
        <v>320</v>
      </c>
      <c r="C114" s="284"/>
      <c r="D114" s="109" t="s">
        <v>256</v>
      </c>
      <c r="E114" s="109" t="s">
        <v>117</v>
      </c>
      <c r="F114" s="73">
        <v>13</v>
      </c>
      <c r="G114" s="73">
        <v>6</v>
      </c>
      <c r="H114" s="73">
        <v>1</v>
      </c>
      <c r="I114" s="73">
        <v>20</v>
      </c>
      <c r="J114" s="73">
        <v>0</v>
      </c>
      <c r="K114" s="109">
        <v>1</v>
      </c>
      <c r="L114" s="279">
        <v>1460000</v>
      </c>
      <c r="M114" s="73">
        <v>5</v>
      </c>
      <c r="N114" s="276"/>
      <c r="O114" s="276"/>
      <c r="P114" s="276"/>
      <c r="Q114" s="276"/>
    </row>
    <row r="115" spans="2:17" ht="13.5">
      <c r="B115" s="285" t="s">
        <v>321</v>
      </c>
      <c r="C115" s="284"/>
      <c r="D115" s="109" t="s">
        <v>256</v>
      </c>
      <c r="E115" s="109" t="s">
        <v>254</v>
      </c>
      <c r="F115" s="73">
        <v>13</v>
      </c>
      <c r="G115" s="73">
        <v>20</v>
      </c>
      <c r="H115" s="73">
        <v>-2</v>
      </c>
      <c r="I115" s="73">
        <v>26</v>
      </c>
      <c r="J115" s="73">
        <v>-1</v>
      </c>
      <c r="K115" s="109">
        <v>1</v>
      </c>
      <c r="L115" s="279">
        <v>1600000</v>
      </c>
      <c r="M115" s="73">
        <v>8</v>
      </c>
      <c r="N115" s="276"/>
      <c r="O115" s="276"/>
      <c r="P115" s="276"/>
      <c r="Q115" s="276"/>
    </row>
    <row r="116" spans="2:17" ht="13.5">
      <c r="B116" s="285" t="s">
        <v>322</v>
      </c>
      <c r="C116" s="284"/>
      <c r="D116" s="109" t="s">
        <v>256</v>
      </c>
      <c r="E116" s="109" t="s">
        <v>117</v>
      </c>
      <c r="F116" s="73">
        <v>14</v>
      </c>
      <c r="G116" s="73">
        <v>10</v>
      </c>
      <c r="H116" s="73">
        <v>0</v>
      </c>
      <c r="I116" s="73">
        <v>22</v>
      </c>
      <c r="J116" s="73">
        <v>0</v>
      </c>
      <c r="K116" s="109">
        <v>1</v>
      </c>
      <c r="L116" s="279">
        <v>2600000</v>
      </c>
      <c r="M116" s="73">
        <v>12</v>
      </c>
      <c r="N116" s="276"/>
      <c r="O116" s="276"/>
      <c r="P116" s="276"/>
      <c r="Q116" s="276"/>
    </row>
    <row r="117" spans="2:17" ht="13.5">
      <c r="B117" s="285" t="s">
        <v>323</v>
      </c>
      <c r="C117" s="284"/>
      <c r="D117" s="109" t="s">
        <v>256</v>
      </c>
      <c r="E117" s="109" t="s">
        <v>254</v>
      </c>
      <c r="F117" s="73">
        <v>15</v>
      </c>
      <c r="G117" s="73">
        <v>14</v>
      </c>
      <c r="H117" s="73">
        <v>-1</v>
      </c>
      <c r="I117" s="73">
        <v>28</v>
      </c>
      <c r="J117" s="73">
        <v>-1</v>
      </c>
      <c r="K117" s="109">
        <v>1</v>
      </c>
      <c r="L117" s="279">
        <v>2300000</v>
      </c>
      <c r="M117" s="73">
        <v>10</v>
      </c>
      <c r="N117" s="276"/>
      <c r="O117" s="276"/>
      <c r="P117" s="276"/>
      <c r="Q117" s="276"/>
    </row>
    <row r="118" spans="2:17" ht="13.5">
      <c r="B118" s="285" t="s">
        <v>324</v>
      </c>
      <c r="C118" s="284"/>
      <c r="D118" s="109" t="s">
        <v>267</v>
      </c>
      <c r="E118" s="109" t="s">
        <v>117</v>
      </c>
      <c r="F118" s="73">
        <v>3</v>
      </c>
      <c r="G118" s="73">
        <v>2</v>
      </c>
      <c r="H118" s="73">
        <v>1</v>
      </c>
      <c r="I118" s="73">
        <v>2</v>
      </c>
      <c r="J118" s="73">
        <v>0</v>
      </c>
      <c r="K118" s="109">
        <v>1</v>
      </c>
      <c r="L118" s="279">
        <v>250000</v>
      </c>
      <c r="M118" s="73">
        <v>4</v>
      </c>
      <c r="N118" s="276"/>
      <c r="O118" s="276"/>
      <c r="P118" s="276"/>
      <c r="Q118" s="276"/>
    </row>
    <row r="119" spans="2:17" ht="13.5">
      <c r="B119" s="285" t="s">
        <v>325</v>
      </c>
      <c r="C119" s="284"/>
      <c r="D119" s="109" t="s">
        <v>267</v>
      </c>
      <c r="E119" s="109" t="s">
        <v>117</v>
      </c>
      <c r="F119" s="73">
        <v>3</v>
      </c>
      <c r="G119" s="73">
        <v>2</v>
      </c>
      <c r="H119" s="73">
        <v>1</v>
      </c>
      <c r="I119" s="73">
        <v>1</v>
      </c>
      <c r="J119" s="73">
        <v>0</v>
      </c>
      <c r="K119" s="109">
        <v>1</v>
      </c>
      <c r="L119" s="279">
        <v>220000</v>
      </c>
      <c r="M119" s="73">
        <v>6</v>
      </c>
      <c r="N119" s="276"/>
      <c r="O119" s="276"/>
      <c r="P119" s="276"/>
      <c r="Q119" s="276"/>
    </row>
    <row r="120" spans="2:17" ht="13.5">
      <c r="B120" s="285" t="s">
        <v>326</v>
      </c>
      <c r="C120" s="284"/>
      <c r="D120" s="109" t="s">
        <v>267</v>
      </c>
      <c r="E120" s="109" t="s">
        <v>117</v>
      </c>
      <c r="F120" s="73">
        <v>4</v>
      </c>
      <c r="G120" s="73">
        <v>2</v>
      </c>
      <c r="H120" s="73">
        <v>1</v>
      </c>
      <c r="I120" s="73">
        <v>2</v>
      </c>
      <c r="J120" s="73">
        <v>0</v>
      </c>
      <c r="K120" s="109">
        <v>1</v>
      </c>
      <c r="L120" s="279">
        <v>260000</v>
      </c>
      <c r="M120" s="73">
        <v>5</v>
      </c>
      <c r="N120" s="276"/>
      <c r="O120" s="276"/>
      <c r="P120" s="276"/>
      <c r="Q120" s="276"/>
    </row>
    <row r="121" spans="2:17" ht="13.5">
      <c r="B121" s="285" t="s">
        <v>327</v>
      </c>
      <c r="C121" s="284"/>
      <c r="D121" s="109" t="s">
        <v>267</v>
      </c>
      <c r="E121" s="109" t="s">
        <v>117</v>
      </c>
      <c r="F121" s="73">
        <v>5</v>
      </c>
      <c r="G121" s="73">
        <v>3</v>
      </c>
      <c r="H121" s="73">
        <v>1</v>
      </c>
      <c r="I121" s="73">
        <v>7</v>
      </c>
      <c r="J121" s="73">
        <v>1</v>
      </c>
      <c r="K121" s="109">
        <v>1</v>
      </c>
      <c r="L121" s="279">
        <v>330000</v>
      </c>
      <c r="M121" s="73">
        <v>5</v>
      </c>
      <c r="N121" s="276"/>
      <c r="O121" s="276"/>
      <c r="P121" s="276"/>
      <c r="Q121" s="276"/>
    </row>
    <row r="122" spans="2:17" ht="13.5">
      <c r="B122" s="285" t="s">
        <v>328</v>
      </c>
      <c r="C122" s="284"/>
      <c r="D122" s="109" t="s">
        <v>267</v>
      </c>
      <c r="E122" s="109" t="s">
        <v>117</v>
      </c>
      <c r="F122" s="73">
        <v>5</v>
      </c>
      <c r="G122" s="73">
        <v>5</v>
      </c>
      <c r="H122" s="73">
        <v>1</v>
      </c>
      <c r="I122" s="73">
        <v>3</v>
      </c>
      <c r="J122" s="73">
        <v>0</v>
      </c>
      <c r="K122" s="109">
        <v>1</v>
      </c>
      <c r="L122" s="279">
        <v>380000</v>
      </c>
      <c r="M122" s="73">
        <v>8</v>
      </c>
      <c r="N122" s="276"/>
      <c r="O122" s="276"/>
      <c r="P122" s="276"/>
      <c r="Q122" s="276"/>
    </row>
    <row r="123" spans="2:17" ht="13.5">
      <c r="B123" s="285" t="s">
        <v>329</v>
      </c>
      <c r="C123" s="284"/>
      <c r="D123" s="109" t="s">
        <v>267</v>
      </c>
      <c r="E123" s="109" t="s">
        <v>117</v>
      </c>
      <c r="F123" s="73">
        <v>6</v>
      </c>
      <c r="G123" s="73">
        <v>3</v>
      </c>
      <c r="H123" s="73">
        <v>1</v>
      </c>
      <c r="I123" s="73">
        <v>8</v>
      </c>
      <c r="J123" s="73">
        <v>1</v>
      </c>
      <c r="K123" s="109">
        <v>1</v>
      </c>
      <c r="L123" s="279">
        <v>400000</v>
      </c>
      <c r="M123" s="73">
        <v>3</v>
      </c>
      <c r="N123" s="276"/>
      <c r="O123" s="276"/>
      <c r="P123" s="276"/>
      <c r="Q123" s="276"/>
    </row>
    <row r="124" spans="2:17" ht="13.5">
      <c r="B124" s="285" t="s">
        <v>330</v>
      </c>
      <c r="C124" s="284"/>
      <c r="D124" s="109" t="s">
        <v>267</v>
      </c>
      <c r="E124" s="109" t="s">
        <v>117</v>
      </c>
      <c r="F124" s="73">
        <v>6</v>
      </c>
      <c r="G124" s="73">
        <v>5</v>
      </c>
      <c r="H124" s="73">
        <v>1</v>
      </c>
      <c r="I124" s="73">
        <v>5</v>
      </c>
      <c r="J124" s="73">
        <v>0</v>
      </c>
      <c r="K124" s="109">
        <v>1</v>
      </c>
      <c r="L124" s="279">
        <v>740000</v>
      </c>
      <c r="M124" s="73">
        <v>13</v>
      </c>
      <c r="N124" s="276"/>
      <c r="O124" s="276"/>
      <c r="P124" s="276"/>
      <c r="Q124" s="276"/>
    </row>
    <row r="125" spans="2:17" ht="13.5">
      <c r="B125" s="285" t="s">
        <v>331</v>
      </c>
      <c r="C125" s="284"/>
      <c r="D125" s="109" t="s">
        <v>267</v>
      </c>
      <c r="E125" s="109" t="s">
        <v>117</v>
      </c>
      <c r="F125" s="73">
        <v>6</v>
      </c>
      <c r="G125" s="73">
        <v>3</v>
      </c>
      <c r="H125" s="73">
        <v>1</v>
      </c>
      <c r="I125" s="73">
        <v>8</v>
      </c>
      <c r="J125" s="73">
        <v>0</v>
      </c>
      <c r="K125" s="109">
        <v>1</v>
      </c>
      <c r="L125" s="279">
        <v>700000</v>
      </c>
      <c r="M125" s="73">
        <v>7</v>
      </c>
      <c r="N125" s="276"/>
      <c r="O125" s="276"/>
      <c r="P125" s="276"/>
      <c r="Q125" s="276"/>
    </row>
    <row r="126" spans="2:17" ht="13.5">
      <c r="B126" s="285" t="s">
        <v>332</v>
      </c>
      <c r="C126" s="284"/>
      <c r="D126" s="109" t="s">
        <v>267</v>
      </c>
      <c r="E126" s="109" t="s">
        <v>117</v>
      </c>
      <c r="F126" s="73">
        <v>7</v>
      </c>
      <c r="G126" s="73">
        <v>2</v>
      </c>
      <c r="H126" s="73">
        <v>1</v>
      </c>
      <c r="I126" s="73">
        <v>10</v>
      </c>
      <c r="J126" s="73">
        <v>0</v>
      </c>
      <c r="K126" s="109">
        <v>1</v>
      </c>
      <c r="L126" s="279">
        <v>800000</v>
      </c>
      <c r="M126" s="73">
        <v>6</v>
      </c>
      <c r="N126" s="276"/>
      <c r="O126" s="276"/>
      <c r="P126" s="276"/>
      <c r="Q126" s="276"/>
    </row>
    <row r="127" spans="2:17" ht="13.5">
      <c r="B127" s="285" t="s">
        <v>333</v>
      </c>
      <c r="C127" s="284"/>
      <c r="D127" s="109" t="s">
        <v>267</v>
      </c>
      <c r="E127" s="109" t="s">
        <v>117</v>
      </c>
      <c r="F127" s="73">
        <v>8</v>
      </c>
      <c r="G127" s="73">
        <v>3</v>
      </c>
      <c r="H127" s="73">
        <v>1</v>
      </c>
      <c r="I127" s="73">
        <v>12</v>
      </c>
      <c r="J127" s="73">
        <v>0</v>
      </c>
      <c r="K127" s="109">
        <v>1</v>
      </c>
      <c r="L127" s="279">
        <v>950000</v>
      </c>
      <c r="M127" s="73">
        <v>12</v>
      </c>
      <c r="N127" s="276"/>
      <c r="O127" s="276"/>
      <c r="P127" s="276"/>
      <c r="Q127" s="276"/>
    </row>
    <row r="128" spans="2:17" ht="13.5">
      <c r="B128" s="285" t="s">
        <v>334</v>
      </c>
      <c r="C128" s="284"/>
      <c r="D128" s="109" t="s">
        <v>267</v>
      </c>
      <c r="E128" s="109" t="s">
        <v>117</v>
      </c>
      <c r="F128" s="73">
        <v>8</v>
      </c>
      <c r="G128" s="73">
        <v>5</v>
      </c>
      <c r="H128" s="73">
        <v>1</v>
      </c>
      <c r="I128" s="73">
        <v>12</v>
      </c>
      <c r="J128" s="73">
        <v>1</v>
      </c>
      <c r="K128" s="109">
        <v>1</v>
      </c>
      <c r="L128" s="279">
        <v>980000</v>
      </c>
      <c r="M128" s="73">
        <v>4</v>
      </c>
      <c r="N128" s="276"/>
      <c r="O128" s="276"/>
      <c r="P128" s="276"/>
      <c r="Q128" s="276"/>
    </row>
    <row r="129" spans="2:17" ht="13.5">
      <c r="B129" s="285" t="s">
        <v>335</v>
      </c>
      <c r="C129" s="284"/>
      <c r="D129" s="109" t="s">
        <v>267</v>
      </c>
      <c r="E129" s="109" t="s">
        <v>117</v>
      </c>
      <c r="F129" s="73">
        <v>9</v>
      </c>
      <c r="G129" s="73">
        <v>5</v>
      </c>
      <c r="H129" s="73">
        <v>1</v>
      </c>
      <c r="I129" s="73">
        <v>3</v>
      </c>
      <c r="J129" s="73">
        <v>0</v>
      </c>
      <c r="K129" s="109">
        <v>1</v>
      </c>
      <c r="L129" s="279">
        <v>1000000</v>
      </c>
      <c r="M129" s="73">
        <v>3</v>
      </c>
      <c r="N129" s="276"/>
      <c r="O129" s="276"/>
      <c r="P129" s="276"/>
      <c r="Q129" s="276"/>
    </row>
    <row r="130" spans="2:17" ht="13.5">
      <c r="B130" s="285" t="s">
        <v>336</v>
      </c>
      <c r="C130" s="284"/>
      <c r="D130" s="109" t="s">
        <v>267</v>
      </c>
      <c r="E130" s="109" t="s">
        <v>117</v>
      </c>
      <c r="F130" s="73">
        <v>10</v>
      </c>
      <c r="G130" s="73">
        <v>6</v>
      </c>
      <c r="H130" s="73">
        <v>1</v>
      </c>
      <c r="I130" s="73">
        <v>12</v>
      </c>
      <c r="J130" s="73">
        <v>0</v>
      </c>
      <c r="K130" s="109">
        <v>1</v>
      </c>
      <c r="L130" s="279">
        <v>1200000</v>
      </c>
      <c r="M130" s="73">
        <v>8</v>
      </c>
      <c r="N130" s="276"/>
      <c r="O130" s="276"/>
      <c r="P130" s="276"/>
      <c r="Q130" s="276"/>
    </row>
    <row r="131" spans="2:17" ht="13.5">
      <c r="B131" s="285" t="s">
        <v>337</v>
      </c>
      <c r="C131" s="284"/>
      <c r="D131" s="109" t="s">
        <v>267</v>
      </c>
      <c r="E131" s="109" t="s">
        <v>117</v>
      </c>
      <c r="F131" s="73">
        <v>10</v>
      </c>
      <c r="G131" s="73">
        <v>4</v>
      </c>
      <c r="H131" s="73">
        <v>1</v>
      </c>
      <c r="I131" s="73">
        <v>8</v>
      </c>
      <c r="J131" s="73">
        <v>0</v>
      </c>
      <c r="K131" s="109">
        <v>1</v>
      </c>
      <c r="L131" s="279">
        <v>1250000</v>
      </c>
      <c r="M131" s="73">
        <v>15</v>
      </c>
      <c r="N131" s="276"/>
      <c r="O131" s="276"/>
      <c r="P131" s="276"/>
      <c r="Q131" s="276"/>
    </row>
    <row r="132" spans="2:17" ht="13.5">
      <c r="B132" s="285" t="s">
        <v>338</v>
      </c>
      <c r="C132" s="284"/>
      <c r="D132" s="109" t="s">
        <v>267</v>
      </c>
      <c r="E132" s="109" t="s">
        <v>117</v>
      </c>
      <c r="F132" s="73">
        <v>11</v>
      </c>
      <c r="G132" s="73">
        <v>5</v>
      </c>
      <c r="H132" s="73">
        <v>1</v>
      </c>
      <c r="I132" s="73">
        <v>9</v>
      </c>
      <c r="J132" s="73">
        <v>1</v>
      </c>
      <c r="K132" s="109">
        <v>1</v>
      </c>
      <c r="L132" s="279">
        <v>1260000</v>
      </c>
      <c r="M132" s="73">
        <v>10</v>
      </c>
      <c r="N132" s="276"/>
      <c r="O132" s="276"/>
      <c r="P132" s="276"/>
      <c r="Q132" s="276"/>
    </row>
    <row r="133" spans="2:17" ht="13.5">
      <c r="B133" s="285" t="s">
        <v>339</v>
      </c>
      <c r="C133" s="284"/>
      <c r="D133" s="109" t="s">
        <v>267</v>
      </c>
      <c r="E133" s="109" t="s">
        <v>117</v>
      </c>
      <c r="F133" s="73">
        <v>11</v>
      </c>
      <c r="G133" s="73">
        <v>6</v>
      </c>
      <c r="H133" s="73">
        <v>1</v>
      </c>
      <c r="I133" s="73">
        <v>14</v>
      </c>
      <c r="J133" s="73">
        <v>2</v>
      </c>
      <c r="K133" s="109">
        <v>1</v>
      </c>
      <c r="L133" s="279">
        <v>1320000</v>
      </c>
      <c r="M133" s="73">
        <v>13</v>
      </c>
      <c r="N133" s="276"/>
      <c r="O133" s="276"/>
      <c r="P133" s="276"/>
      <c r="Q133" s="276"/>
    </row>
    <row r="134" spans="2:17" ht="13.5">
      <c r="B134" s="285" t="s">
        <v>340</v>
      </c>
      <c r="C134" s="284"/>
      <c r="D134" s="109" t="s">
        <v>267</v>
      </c>
      <c r="E134" s="109" t="s">
        <v>117</v>
      </c>
      <c r="F134" s="73">
        <v>12</v>
      </c>
      <c r="G134" s="73">
        <v>5</v>
      </c>
      <c r="H134" s="73">
        <v>1</v>
      </c>
      <c r="I134" s="73">
        <v>1</v>
      </c>
      <c r="J134" s="73">
        <v>0</v>
      </c>
      <c r="K134" s="109">
        <v>1</v>
      </c>
      <c r="L134" s="279">
        <v>1380000</v>
      </c>
      <c r="M134" s="73">
        <v>12</v>
      </c>
      <c r="N134" s="276"/>
      <c r="O134" s="276"/>
      <c r="P134" s="276"/>
      <c r="Q134" s="276"/>
    </row>
    <row r="135" spans="2:17" ht="13.5">
      <c r="B135" s="285" t="s">
        <v>341</v>
      </c>
      <c r="C135" s="284"/>
      <c r="D135" s="109" t="s">
        <v>267</v>
      </c>
      <c r="E135" s="109" t="s">
        <v>117</v>
      </c>
      <c r="F135" s="73">
        <v>13</v>
      </c>
      <c r="G135" s="73">
        <v>6</v>
      </c>
      <c r="H135" s="73">
        <v>1</v>
      </c>
      <c r="I135" s="73">
        <v>12</v>
      </c>
      <c r="J135" s="73">
        <v>1</v>
      </c>
      <c r="K135" s="109">
        <v>1</v>
      </c>
      <c r="L135" s="279">
        <v>1400000</v>
      </c>
      <c r="M135" s="73">
        <v>18</v>
      </c>
      <c r="N135" s="276"/>
      <c r="O135" s="276"/>
      <c r="P135" s="276"/>
      <c r="Q135" s="276"/>
    </row>
    <row r="136" spans="2:17" ht="13.5">
      <c r="B136" s="285" t="s">
        <v>342</v>
      </c>
      <c r="C136" s="284"/>
      <c r="D136" s="109" t="s">
        <v>267</v>
      </c>
      <c r="E136" s="109" t="s">
        <v>117</v>
      </c>
      <c r="F136" s="73">
        <v>14</v>
      </c>
      <c r="G136" s="73">
        <v>5</v>
      </c>
      <c r="H136" s="73">
        <v>1</v>
      </c>
      <c r="I136" s="73">
        <v>9</v>
      </c>
      <c r="J136" s="73">
        <v>0</v>
      </c>
      <c r="K136" s="109">
        <v>1</v>
      </c>
      <c r="L136" s="279">
        <v>1880000</v>
      </c>
      <c r="M136" s="73">
        <v>16</v>
      </c>
      <c r="N136" s="276"/>
      <c r="O136" s="276"/>
      <c r="P136" s="276"/>
      <c r="Q136" s="276"/>
    </row>
    <row r="137" spans="2:17" ht="13.5">
      <c r="B137" s="285" t="s">
        <v>343</v>
      </c>
      <c r="C137" s="284"/>
      <c r="D137" s="109" t="s">
        <v>267</v>
      </c>
      <c r="E137" s="109" t="s">
        <v>117</v>
      </c>
      <c r="F137" s="73">
        <v>15</v>
      </c>
      <c r="G137" s="73">
        <v>6</v>
      </c>
      <c r="H137" s="73">
        <v>1</v>
      </c>
      <c r="I137" s="73">
        <v>18</v>
      </c>
      <c r="J137" s="73">
        <v>2</v>
      </c>
      <c r="K137" s="109">
        <v>1</v>
      </c>
      <c r="L137" s="279">
        <v>2100000</v>
      </c>
      <c r="M137" s="73">
        <v>13</v>
      </c>
      <c r="N137" s="276"/>
      <c r="O137" s="276"/>
      <c r="P137" s="276"/>
      <c r="Q137" s="276"/>
    </row>
    <row r="138" spans="2:17" ht="13.5">
      <c r="B138" s="285" t="s">
        <v>344</v>
      </c>
      <c r="C138" s="284"/>
      <c r="D138" s="109" t="s">
        <v>274</v>
      </c>
      <c r="E138" s="109" t="s">
        <v>254</v>
      </c>
      <c r="F138" s="73">
        <v>4</v>
      </c>
      <c r="G138" s="73">
        <v>8</v>
      </c>
      <c r="H138" s="73">
        <v>1</v>
      </c>
      <c r="I138" s="73">
        <v>10</v>
      </c>
      <c r="J138" s="73">
        <v>-1</v>
      </c>
      <c r="K138" s="109">
        <v>1</v>
      </c>
      <c r="L138" s="279">
        <v>340000</v>
      </c>
      <c r="M138" s="73">
        <v>6</v>
      </c>
      <c r="N138" s="276"/>
      <c r="O138" s="276"/>
      <c r="P138" s="276"/>
      <c r="Q138" s="276"/>
    </row>
    <row r="139" spans="2:17" ht="13.5">
      <c r="B139" s="285" t="s">
        <v>345</v>
      </c>
      <c r="C139" s="284"/>
      <c r="D139" s="109" t="s">
        <v>274</v>
      </c>
      <c r="E139" s="109" t="s">
        <v>254</v>
      </c>
      <c r="F139" s="73">
        <v>4</v>
      </c>
      <c r="G139" s="73">
        <v>8</v>
      </c>
      <c r="H139" s="73">
        <v>0</v>
      </c>
      <c r="I139" s="73">
        <v>3</v>
      </c>
      <c r="J139" s="73">
        <v>-2</v>
      </c>
      <c r="K139" s="109">
        <v>1</v>
      </c>
      <c r="L139" s="279">
        <v>380000</v>
      </c>
      <c r="M139" s="73">
        <v>7</v>
      </c>
      <c r="N139" s="276"/>
      <c r="O139" s="276"/>
      <c r="P139" s="276"/>
      <c r="Q139" s="276"/>
    </row>
    <row r="140" spans="2:17" ht="13.5">
      <c r="B140" s="285" t="s">
        <v>346</v>
      </c>
      <c r="C140" s="284"/>
      <c r="D140" s="109" t="s">
        <v>274</v>
      </c>
      <c r="E140" s="109" t="s">
        <v>254</v>
      </c>
      <c r="F140" s="73">
        <v>5</v>
      </c>
      <c r="G140" s="73">
        <v>8</v>
      </c>
      <c r="H140" s="73">
        <v>0</v>
      </c>
      <c r="I140" s="73">
        <v>2</v>
      </c>
      <c r="J140" s="73">
        <v>-1</v>
      </c>
      <c r="K140" s="109">
        <v>1</v>
      </c>
      <c r="L140" s="279">
        <v>470000</v>
      </c>
      <c r="M140" s="73">
        <v>6</v>
      </c>
      <c r="N140" s="276"/>
      <c r="O140" s="276"/>
      <c r="P140" s="276"/>
      <c r="Q140" s="276"/>
    </row>
    <row r="141" spans="2:17" ht="13.5">
      <c r="B141" s="285" t="s">
        <v>347</v>
      </c>
      <c r="C141" s="284"/>
      <c r="D141" s="109" t="s">
        <v>274</v>
      </c>
      <c r="E141" s="109" t="s">
        <v>254</v>
      </c>
      <c r="F141" s="73">
        <v>5</v>
      </c>
      <c r="G141" s="73">
        <v>10</v>
      </c>
      <c r="H141" s="73">
        <v>1</v>
      </c>
      <c r="I141" s="73">
        <v>12</v>
      </c>
      <c r="J141" s="73">
        <v>-1</v>
      </c>
      <c r="K141" s="109">
        <v>1</v>
      </c>
      <c r="L141" s="279">
        <v>560000</v>
      </c>
      <c r="M141" s="73">
        <v>3</v>
      </c>
      <c r="N141" s="276"/>
      <c r="O141" s="276"/>
      <c r="P141" s="276"/>
      <c r="Q141" s="276"/>
    </row>
    <row r="142" spans="2:17" ht="13.5">
      <c r="B142" s="285" t="s">
        <v>348</v>
      </c>
      <c r="C142" s="284"/>
      <c r="D142" s="109" t="s">
        <v>274</v>
      </c>
      <c r="E142" s="109" t="s">
        <v>254</v>
      </c>
      <c r="F142" s="73">
        <v>6</v>
      </c>
      <c r="G142" s="73">
        <v>8</v>
      </c>
      <c r="H142" s="73">
        <v>1</v>
      </c>
      <c r="I142" s="73">
        <v>14</v>
      </c>
      <c r="J142" s="73">
        <v>-1</v>
      </c>
      <c r="K142" s="109">
        <v>1</v>
      </c>
      <c r="L142" s="279">
        <v>750000</v>
      </c>
      <c r="M142" s="73">
        <v>3</v>
      </c>
      <c r="N142" s="276"/>
      <c r="O142" s="276"/>
      <c r="P142" s="276"/>
      <c r="Q142" s="276"/>
    </row>
    <row r="143" spans="2:17" ht="13.5">
      <c r="B143" s="285" t="s">
        <v>349</v>
      </c>
      <c r="C143" s="284"/>
      <c r="D143" s="109" t="s">
        <v>274</v>
      </c>
      <c r="E143" s="109" t="s">
        <v>254</v>
      </c>
      <c r="F143" s="73">
        <v>7</v>
      </c>
      <c r="G143" s="73">
        <v>6</v>
      </c>
      <c r="H143" s="73">
        <v>0</v>
      </c>
      <c r="I143" s="73">
        <v>2</v>
      </c>
      <c r="J143" s="73">
        <v>-2</v>
      </c>
      <c r="K143" s="109">
        <v>1</v>
      </c>
      <c r="L143" s="279">
        <v>840000</v>
      </c>
      <c r="M143" s="73">
        <v>15</v>
      </c>
      <c r="N143" s="276"/>
      <c r="O143" s="276"/>
      <c r="P143" s="276"/>
      <c r="Q143" s="276"/>
    </row>
    <row r="144" spans="2:17" ht="13.5">
      <c r="B144" s="285" t="s">
        <v>350</v>
      </c>
      <c r="C144" s="284"/>
      <c r="D144" s="109" t="s">
        <v>274</v>
      </c>
      <c r="E144" s="109" t="s">
        <v>254</v>
      </c>
      <c r="F144" s="73">
        <v>7</v>
      </c>
      <c r="G144" s="73">
        <v>11</v>
      </c>
      <c r="H144" s="73">
        <v>1</v>
      </c>
      <c r="I144" s="73">
        <v>15</v>
      </c>
      <c r="J144" s="73">
        <v>-1</v>
      </c>
      <c r="K144" s="109">
        <v>1</v>
      </c>
      <c r="L144" s="279">
        <v>740000</v>
      </c>
      <c r="M144" s="73">
        <v>7</v>
      </c>
      <c r="N144" s="276"/>
      <c r="O144" s="276"/>
      <c r="P144" s="276"/>
      <c r="Q144" s="276"/>
    </row>
    <row r="145" spans="2:17" ht="13.5">
      <c r="B145" s="285" t="s">
        <v>351</v>
      </c>
      <c r="C145" s="284"/>
      <c r="D145" s="109" t="s">
        <v>274</v>
      </c>
      <c r="E145" s="109" t="s">
        <v>254</v>
      </c>
      <c r="F145" s="73">
        <v>8</v>
      </c>
      <c r="G145" s="73">
        <v>13</v>
      </c>
      <c r="H145" s="73">
        <v>1</v>
      </c>
      <c r="I145" s="73">
        <v>15</v>
      </c>
      <c r="J145" s="73">
        <v>-1</v>
      </c>
      <c r="K145" s="109">
        <v>1</v>
      </c>
      <c r="L145" s="279">
        <v>820000</v>
      </c>
      <c r="M145" s="73">
        <v>4</v>
      </c>
      <c r="N145" s="276"/>
      <c r="O145" s="276"/>
      <c r="P145" s="276"/>
      <c r="Q145" s="276"/>
    </row>
    <row r="146" spans="2:17" ht="13.5">
      <c r="B146" s="285" t="s">
        <v>352</v>
      </c>
      <c r="C146" s="284"/>
      <c r="D146" s="109" t="s">
        <v>274</v>
      </c>
      <c r="E146" s="109" t="s">
        <v>254</v>
      </c>
      <c r="F146" s="73">
        <v>9</v>
      </c>
      <c r="G146" s="73">
        <v>14</v>
      </c>
      <c r="H146" s="73">
        <v>1</v>
      </c>
      <c r="I146" s="73">
        <v>5</v>
      </c>
      <c r="J146" s="73">
        <v>-1</v>
      </c>
      <c r="K146" s="109">
        <v>1</v>
      </c>
      <c r="L146" s="279">
        <v>1000000</v>
      </c>
      <c r="M146" s="73">
        <v>18</v>
      </c>
      <c r="N146" s="276"/>
      <c r="O146" s="276"/>
      <c r="P146" s="276"/>
      <c r="Q146" s="276"/>
    </row>
    <row r="147" spans="2:17" ht="13.5">
      <c r="B147" s="285" t="s">
        <v>353</v>
      </c>
      <c r="C147" s="284"/>
      <c r="D147" s="109" t="s">
        <v>274</v>
      </c>
      <c r="E147" s="109" t="s">
        <v>254</v>
      </c>
      <c r="F147" s="73">
        <v>9</v>
      </c>
      <c r="G147" s="73">
        <v>12</v>
      </c>
      <c r="H147" s="73">
        <v>1</v>
      </c>
      <c r="I147" s="73">
        <v>18</v>
      </c>
      <c r="J147" s="73">
        <v>-1</v>
      </c>
      <c r="K147" s="109">
        <v>1</v>
      </c>
      <c r="L147" s="279">
        <v>960000</v>
      </c>
      <c r="M147" s="73">
        <v>8</v>
      </c>
      <c r="N147" s="276"/>
      <c r="O147" s="276"/>
      <c r="P147" s="276"/>
      <c r="Q147" s="276"/>
    </row>
    <row r="148" spans="2:17" ht="13.5">
      <c r="B148" s="285" t="s">
        <v>354</v>
      </c>
      <c r="C148" s="284"/>
      <c r="D148" s="109" t="s">
        <v>274</v>
      </c>
      <c r="E148" s="109" t="s">
        <v>254</v>
      </c>
      <c r="F148" s="73">
        <v>10</v>
      </c>
      <c r="G148" s="73">
        <v>10</v>
      </c>
      <c r="H148" s="73">
        <v>0</v>
      </c>
      <c r="I148" s="73">
        <v>22</v>
      </c>
      <c r="J148" s="73">
        <v>-1</v>
      </c>
      <c r="K148" s="109">
        <v>1</v>
      </c>
      <c r="L148" s="279">
        <v>1200000</v>
      </c>
      <c r="M148" s="73">
        <v>4</v>
      </c>
      <c r="N148" s="276"/>
      <c r="O148" s="276"/>
      <c r="P148" s="276"/>
      <c r="Q148" s="276"/>
    </row>
    <row r="149" spans="2:17" ht="13.5">
      <c r="B149" s="285" t="s">
        <v>355</v>
      </c>
      <c r="C149" s="284"/>
      <c r="D149" s="109" t="s">
        <v>274</v>
      </c>
      <c r="E149" s="109" t="s">
        <v>254</v>
      </c>
      <c r="F149" s="73">
        <v>10</v>
      </c>
      <c r="G149" s="73">
        <v>13</v>
      </c>
      <c r="H149" s="73">
        <v>1</v>
      </c>
      <c r="I149" s="73">
        <v>20</v>
      </c>
      <c r="J149" s="73">
        <v>-1</v>
      </c>
      <c r="K149" s="109">
        <v>1</v>
      </c>
      <c r="L149" s="279">
        <v>1150000</v>
      </c>
      <c r="M149" s="73">
        <v>4</v>
      </c>
      <c r="N149" s="276"/>
      <c r="O149" s="276"/>
      <c r="P149" s="276"/>
      <c r="Q149" s="276"/>
    </row>
    <row r="150" spans="2:17" ht="13.5">
      <c r="B150" s="285" t="s">
        <v>356</v>
      </c>
      <c r="C150" s="284"/>
      <c r="D150" s="109" t="s">
        <v>274</v>
      </c>
      <c r="E150" s="109" t="s">
        <v>254</v>
      </c>
      <c r="F150" s="73">
        <v>11</v>
      </c>
      <c r="G150" s="73">
        <v>15</v>
      </c>
      <c r="H150" s="73">
        <v>1</v>
      </c>
      <c r="I150" s="73">
        <v>22</v>
      </c>
      <c r="J150" s="73">
        <v>-1</v>
      </c>
      <c r="K150" s="109">
        <v>1</v>
      </c>
      <c r="L150" s="279">
        <v>1340000</v>
      </c>
      <c r="M150" s="73">
        <v>7</v>
      </c>
      <c r="N150" s="276"/>
      <c r="O150" s="276"/>
      <c r="P150" s="276"/>
      <c r="Q150" s="276"/>
    </row>
    <row r="151" spans="2:17" ht="13.5">
      <c r="B151" s="285" t="s">
        <v>357</v>
      </c>
      <c r="C151" s="284"/>
      <c r="D151" s="109" t="s">
        <v>274</v>
      </c>
      <c r="E151" s="109" t="s">
        <v>254</v>
      </c>
      <c r="F151" s="73">
        <v>12</v>
      </c>
      <c r="G151" s="73">
        <v>16</v>
      </c>
      <c r="H151" s="73">
        <v>1</v>
      </c>
      <c r="I151" s="73">
        <v>24</v>
      </c>
      <c r="J151" s="73">
        <v>-1</v>
      </c>
      <c r="K151" s="109">
        <v>1</v>
      </c>
      <c r="L151" s="279">
        <v>1480000</v>
      </c>
      <c r="M151" s="73">
        <v>4</v>
      </c>
      <c r="N151" s="276"/>
      <c r="O151" s="276"/>
      <c r="P151" s="276"/>
      <c r="Q151" s="276"/>
    </row>
    <row r="152" spans="2:17" ht="13.5">
      <c r="B152" s="285" t="s">
        <v>358</v>
      </c>
      <c r="C152" s="284"/>
      <c r="D152" s="109" t="s">
        <v>274</v>
      </c>
      <c r="E152" s="109" t="s">
        <v>254</v>
      </c>
      <c r="F152" s="73">
        <v>12</v>
      </c>
      <c r="G152" s="73">
        <v>10</v>
      </c>
      <c r="H152" s="73">
        <v>0</v>
      </c>
      <c r="I152" s="73">
        <v>6</v>
      </c>
      <c r="J152" s="73">
        <v>-2</v>
      </c>
      <c r="K152" s="109">
        <v>1</v>
      </c>
      <c r="L152" s="279">
        <v>1600000</v>
      </c>
      <c r="M152" s="73">
        <v>20</v>
      </c>
      <c r="N152" s="276"/>
      <c r="O152" s="276"/>
      <c r="P152" s="276"/>
      <c r="Q152" s="276"/>
    </row>
    <row r="153" spans="2:17" ht="13.5">
      <c r="B153" s="285" t="s">
        <v>359</v>
      </c>
      <c r="C153" s="284"/>
      <c r="D153" s="109" t="s">
        <v>274</v>
      </c>
      <c r="E153" s="109" t="s">
        <v>254</v>
      </c>
      <c r="F153" s="73">
        <v>12</v>
      </c>
      <c r="G153" s="73">
        <v>12</v>
      </c>
      <c r="H153" s="73">
        <v>1</v>
      </c>
      <c r="I153" s="73">
        <v>10</v>
      </c>
      <c r="J153" s="73">
        <v>-1</v>
      </c>
      <c r="K153" s="109">
        <v>1</v>
      </c>
      <c r="L153" s="279">
        <v>1520000</v>
      </c>
      <c r="M153" s="73">
        <v>14</v>
      </c>
      <c r="N153" s="276"/>
      <c r="O153" s="276"/>
      <c r="P153" s="276"/>
      <c r="Q153" s="276"/>
    </row>
    <row r="154" spans="2:17" ht="13.5">
      <c r="B154" s="285" t="s">
        <v>360</v>
      </c>
      <c r="C154" s="284"/>
      <c r="D154" s="109" t="s">
        <v>274</v>
      </c>
      <c r="E154" s="109" t="s">
        <v>254</v>
      </c>
      <c r="F154" s="73">
        <v>13</v>
      </c>
      <c r="G154" s="73">
        <v>14</v>
      </c>
      <c r="H154" s="73">
        <v>1</v>
      </c>
      <c r="I154" s="73">
        <v>23</v>
      </c>
      <c r="J154" s="73">
        <v>-1</v>
      </c>
      <c r="K154" s="109">
        <v>1</v>
      </c>
      <c r="L154" s="279">
        <v>1550000</v>
      </c>
      <c r="M154" s="73">
        <v>10</v>
      </c>
      <c r="N154" s="276"/>
      <c r="O154" s="276"/>
      <c r="P154" s="276"/>
      <c r="Q154" s="276"/>
    </row>
    <row r="155" spans="2:17" ht="13.5">
      <c r="B155" s="285" t="s">
        <v>361</v>
      </c>
      <c r="C155" s="284"/>
      <c r="D155" s="109" t="s">
        <v>274</v>
      </c>
      <c r="E155" s="109" t="s">
        <v>254</v>
      </c>
      <c r="F155" s="73">
        <v>14</v>
      </c>
      <c r="G155" s="73">
        <v>13</v>
      </c>
      <c r="H155" s="73">
        <v>1</v>
      </c>
      <c r="I155" s="73">
        <v>25</v>
      </c>
      <c r="J155" s="73">
        <v>1</v>
      </c>
      <c r="K155" s="109">
        <v>1</v>
      </c>
      <c r="L155" s="279">
        <v>1820000</v>
      </c>
      <c r="M155" s="73">
        <v>4</v>
      </c>
      <c r="N155" s="276"/>
      <c r="O155" s="276"/>
      <c r="P155" s="276"/>
      <c r="Q155" s="276"/>
    </row>
    <row r="156" spans="2:17" ht="13.5">
      <c r="B156" s="285" t="s">
        <v>362</v>
      </c>
      <c r="C156" s="284"/>
      <c r="D156" s="109" t="s">
        <v>274</v>
      </c>
      <c r="E156" s="109" t="s">
        <v>254</v>
      </c>
      <c r="F156" s="73">
        <v>15</v>
      </c>
      <c r="G156" s="73">
        <v>15</v>
      </c>
      <c r="H156" s="73">
        <v>1</v>
      </c>
      <c r="I156" s="73">
        <v>26</v>
      </c>
      <c r="J156" s="73">
        <v>-1</v>
      </c>
      <c r="K156" s="109">
        <v>1</v>
      </c>
      <c r="L156" s="279">
        <v>2100000</v>
      </c>
      <c r="M156" s="73">
        <v>10</v>
      </c>
      <c r="N156" s="276"/>
      <c r="O156" s="276"/>
      <c r="P156" s="276"/>
      <c r="Q156" s="276"/>
    </row>
    <row r="157" spans="2:17" ht="13.5">
      <c r="B157" s="285" t="s">
        <v>363</v>
      </c>
      <c r="C157" s="284"/>
      <c r="D157" s="109" t="s">
        <v>274</v>
      </c>
      <c r="E157" s="109" t="s">
        <v>254</v>
      </c>
      <c r="F157" s="73">
        <v>15</v>
      </c>
      <c r="G157" s="73">
        <v>16</v>
      </c>
      <c r="H157" s="73">
        <v>1</v>
      </c>
      <c r="I157" s="73">
        <v>28</v>
      </c>
      <c r="J157" s="73">
        <v>-1</v>
      </c>
      <c r="K157" s="109">
        <v>1</v>
      </c>
      <c r="L157" s="279">
        <v>2400000</v>
      </c>
      <c r="M157" s="73">
        <v>4</v>
      </c>
      <c r="N157" s="276"/>
      <c r="O157" s="276"/>
      <c r="P157" s="276"/>
      <c r="Q157" s="276"/>
    </row>
    <row r="158" spans="2:17" ht="13.5">
      <c r="B158" s="285" t="s">
        <v>364</v>
      </c>
      <c r="C158" s="284"/>
      <c r="D158" s="109" t="s">
        <v>281</v>
      </c>
      <c r="E158" s="109" t="s">
        <v>254</v>
      </c>
      <c r="F158" s="73">
        <v>5</v>
      </c>
      <c r="G158" s="73">
        <v>16</v>
      </c>
      <c r="H158" s="73">
        <v>-4</v>
      </c>
      <c r="I158" s="73">
        <v>17</v>
      </c>
      <c r="J158" s="73">
        <v>-3</v>
      </c>
      <c r="K158" s="109">
        <v>1</v>
      </c>
      <c r="L158" s="279">
        <v>420000</v>
      </c>
      <c r="M158" s="73">
        <v>3</v>
      </c>
      <c r="N158" s="276"/>
      <c r="O158" s="276"/>
      <c r="P158" s="276"/>
      <c r="Q158" s="276"/>
    </row>
    <row r="159" spans="2:17" ht="13.5">
      <c r="B159" s="285" t="s">
        <v>365</v>
      </c>
      <c r="C159" s="284"/>
      <c r="D159" s="109" t="s">
        <v>281</v>
      </c>
      <c r="E159" s="109" t="s">
        <v>254</v>
      </c>
      <c r="F159" s="73">
        <v>7</v>
      </c>
      <c r="G159" s="73">
        <v>18</v>
      </c>
      <c r="H159" s="73">
        <v>-3</v>
      </c>
      <c r="I159" s="73">
        <v>20</v>
      </c>
      <c r="J159" s="73">
        <v>-3</v>
      </c>
      <c r="K159" s="109">
        <v>1</v>
      </c>
      <c r="L159" s="279">
        <v>860000</v>
      </c>
      <c r="M159" s="73">
        <v>5</v>
      </c>
      <c r="N159" s="276"/>
      <c r="O159" s="276"/>
      <c r="P159" s="276"/>
      <c r="Q159" s="276"/>
    </row>
    <row r="160" spans="2:17" ht="13.5">
      <c r="B160" s="285" t="s">
        <v>366</v>
      </c>
      <c r="C160" s="284"/>
      <c r="D160" s="109" t="s">
        <v>281</v>
      </c>
      <c r="E160" s="109" t="s">
        <v>254</v>
      </c>
      <c r="F160" s="73">
        <v>8</v>
      </c>
      <c r="G160" s="73">
        <v>16</v>
      </c>
      <c r="H160" s="73">
        <v>-4</v>
      </c>
      <c r="I160" s="73">
        <v>22</v>
      </c>
      <c r="J160" s="73">
        <v>-2</v>
      </c>
      <c r="K160" s="109">
        <v>1</v>
      </c>
      <c r="L160" s="279">
        <v>950000</v>
      </c>
      <c r="M160" s="73">
        <v>7</v>
      </c>
      <c r="N160" s="276"/>
      <c r="O160" s="276"/>
      <c r="P160" s="276"/>
      <c r="Q160" s="276"/>
    </row>
    <row r="161" spans="2:17" ht="13.5">
      <c r="B161" s="285" t="s">
        <v>367</v>
      </c>
      <c r="C161" s="284"/>
      <c r="D161" s="109" t="s">
        <v>281</v>
      </c>
      <c r="E161" s="109" t="s">
        <v>254</v>
      </c>
      <c r="F161" s="73">
        <v>9</v>
      </c>
      <c r="G161" s="73">
        <v>20</v>
      </c>
      <c r="H161" s="73">
        <v>-5</v>
      </c>
      <c r="I161" s="73">
        <v>26</v>
      </c>
      <c r="J161" s="73">
        <v>-3</v>
      </c>
      <c r="K161" s="109">
        <v>1</v>
      </c>
      <c r="L161" s="279">
        <v>1080000</v>
      </c>
      <c r="M161" s="73">
        <v>3</v>
      </c>
      <c r="N161" s="276"/>
      <c r="O161" s="276"/>
      <c r="P161" s="276"/>
      <c r="Q161" s="276"/>
    </row>
    <row r="162" spans="2:17" ht="13.5">
      <c r="B162" s="285" t="s">
        <v>368</v>
      </c>
      <c r="C162" s="284"/>
      <c r="D162" s="109" t="s">
        <v>281</v>
      </c>
      <c r="E162" s="109" t="s">
        <v>254</v>
      </c>
      <c r="F162" s="73">
        <v>9</v>
      </c>
      <c r="G162" s="73">
        <v>17</v>
      </c>
      <c r="H162" s="73">
        <v>-2</v>
      </c>
      <c r="I162" s="73">
        <v>22</v>
      </c>
      <c r="J162" s="73">
        <v>-3</v>
      </c>
      <c r="K162" s="109">
        <v>1</v>
      </c>
      <c r="L162" s="279">
        <v>920000</v>
      </c>
      <c r="M162" s="73">
        <v>6</v>
      </c>
      <c r="N162" s="276"/>
      <c r="O162" s="276"/>
      <c r="P162" s="276"/>
      <c r="Q162" s="276"/>
    </row>
    <row r="163" spans="2:17" ht="13.5">
      <c r="B163" s="285" t="s">
        <v>369</v>
      </c>
      <c r="C163" s="284"/>
      <c r="D163" s="109" t="s">
        <v>281</v>
      </c>
      <c r="E163" s="109" t="s">
        <v>254</v>
      </c>
      <c r="F163" s="73">
        <v>10</v>
      </c>
      <c r="G163" s="73">
        <v>20</v>
      </c>
      <c r="H163" s="73">
        <v>-3</v>
      </c>
      <c r="I163" s="73">
        <v>20</v>
      </c>
      <c r="J163" s="73">
        <v>-3</v>
      </c>
      <c r="K163" s="109">
        <v>1</v>
      </c>
      <c r="L163" s="279">
        <v>1400000</v>
      </c>
      <c r="M163" s="73">
        <v>8</v>
      </c>
      <c r="N163" s="276"/>
      <c r="O163" s="276"/>
      <c r="P163" s="276"/>
      <c r="Q163" s="276"/>
    </row>
    <row r="164" spans="2:17" ht="13.5">
      <c r="B164" s="285" t="s">
        <v>370</v>
      </c>
      <c r="C164" s="284"/>
      <c r="D164" s="109" t="s">
        <v>281</v>
      </c>
      <c r="E164" s="109" t="s">
        <v>254</v>
      </c>
      <c r="F164" s="73">
        <v>12</v>
      </c>
      <c r="G164" s="73">
        <v>24</v>
      </c>
      <c r="H164" s="73">
        <v>-2</v>
      </c>
      <c r="I164" s="73">
        <v>28</v>
      </c>
      <c r="J164" s="73">
        <v>-3</v>
      </c>
      <c r="K164" s="109">
        <v>1</v>
      </c>
      <c r="L164" s="279">
        <v>1650000</v>
      </c>
      <c r="M164" s="73">
        <v>9</v>
      </c>
      <c r="N164" s="276"/>
      <c r="O164" s="276"/>
      <c r="P164" s="276"/>
      <c r="Q164" s="276"/>
    </row>
    <row r="165" spans="2:17" ht="13.5">
      <c r="B165" s="285" t="s">
        <v>371</v>
      </c>
      <c r="C165" s="284"/>
      <c r="D165" s="109" t="s">
        <v>281</v>
      </c>
      <c r="E165" s="109" t="s">
        <v>254</v>
      </c>
      <c r="F165" s="73">
        <v>15</v>
      </c>
      <c r="G165" s="73">
        <v>20</v>
      </c>
      <c r="H165" s="73">
        <v>-5</v>
      </c>
      <c r="I165" s="73">
        <v>35</v>
      </c>
      <c r="J165" s="73">
        <v>-3</v>
      </c>
      <c r="K165" s="109">
        <v>1</v>
      </c>
      <c r="L165" s="279">
        <v>2400000</v>
      </c>
      <c r="M165" s="73">
        <v>3</v>
      </c>
      <c r="N165" s="276"/>
      <c r="O165" s="276"/>
      <c r="P165" s="276"/>
      <c r="Q165" s="276"/>
    </row>
    <row r="166" spans="2:17" ht="13.5">
      <c r="B166" s="285" t="s">
        <v>372</v>
      </c>
      <c r="C166" s="284"/>
      <c r="D166" s="109" t="s">
        <v>288</v>
      </c>
      <c r="E166" s="109" t="s">
        <v>254</v>
      </c>
      <c r="F166" s="73">
        <v>5</v>
      </c>
      <c r="G166" s="73">
        <v>6</v>
      </c>
      <c r="H166" s="73">
        <v>0</v>
      </c>
      <c r="I166" s="73">
        <v>10</v>
      </c>
      <c r="J166" s="73">
        <v>0</v>
      </c>
      <c r="K166" s="109" t="s">
        <v>291</v>
      </c>
      <c r="L166" s="279">
        <v>400000</v>
      </c>
      <c r="M166" s="73">
        <v>6</v>
      </c>
      <c r="N166" s="276"/>
      <c r="O166" s="276"/>
      <c r="P166" s="276"/>
      <c r="Q166" s="276"/>
    </row>
    <row r="167" spans="2:17" ht="13.5">
      <c r="B167" s="285" t="s">
        <v>373</v>
      </c>
      <c r="C167" s="284"/>
      <c r="D167" s="109" t="s">
        <v>288</v>
      </c>
      <c r="E167" s="109" t="s">
        <v>254</v>
      </c>
      <c r="F167" s="73">
        <v>7</v>
      </c>
      <c r="G167" s="73">
        <v>8</v>
      </c>
      <c r="H167" s="73">
        <v>0</v>
      </c>
      <c r="I167" s="73">
        <v>15</v>
      </c>
      <c r="J167" s="73">
        <v>0</v>
      </c>
      <c r="K167" s="109" t="s">
        <v>289</v>
      </c>
      <c r="L167" s="279">
        <v>700000</v>
      </c>
      <c r="M167" s="73">
        <v>7</v>
      </c>
      <c r="N167" s="276"/>
      <c r="O167" s="276"/>
      <c r="P167" s="276"/>
      <c r="Q167" s="276"/>
    </row>
    <row r="168" spans="2:17" ht="13.5">
      <c r="B168" s="285" t="s">
        <v>374</v>
      </c>
      <c r="C168" s="284"/>
      <c r="D168" s="109" t="s">
        <v>288</v>
      </c>
      <c r="E168" s="109" t="s">
        <v>254</v>
      </c>
      <c r="F168" s="73">
        <v>8</v>
      </c>
      <c r="G168" s="73">
        <v>9</v>
      </c>
      <c r="H168" s="73">
        <v>-1</v>
      </c>
      <c r="I168" s="73">
        <v>17</v>
      </c>
      <c r="J168" s="73">
        <v>-1</v>
      </c>
      <c r="K168" s="109" t="s">
        <v>291</v>
      </c>
      <c r="L168" s="279">
        <v>1200000</v>
      </c>
      <c r="M168" s="73">
        <v>7</v>
      </c>
      <c r="N168" s="276"/>
      <c r="O168" s="276"/>
      <c r="P168" s="276"/>
      <c r="Q168" s="276"/>
    </row>
    <row r="169" spans="2:17" ht="13.5">
      <c r="B169" s="285" t="s">
        <v>375</v>
      </c>
      <c r="C169" s="284"/>
      <c r="D169" s="109" t="s">
        <v>288</v>
      </c>
      <c r="E169" s="109" t="s">
        <v>254</v>
      </c>
      <c r="F169" s="73">
        <v>9</v>
      </c>
      <c r="G169" s="73">
        <v>10</v>
      </c>
      <c r="H169" s="73">
        <v>1</v>
      </c>
      <c r="I169" s="73">
        <v>16</v>
      </c>
      <c r="J169" s="73">
        <v>0</v>
      </c>
      <c r="K169" s="109" t="s">
        <v>289</v>
      </c>
      <c r="L169" s="279">
        <v>1500000</v>
      </c>
      <c r="M169" s="73">
        <v>7</v>
      </c>
      <c r="N169" s="276"/>
      <c r="O169" s="276"/>
      <c r="P169" s="276"/>
      <c r="Q169" s="276"/>
    </row>
    <row r="170" spans="2:17" ht="13.5">
      <c r="B170" s="285" t="s">
        <v>376</v>
      </c>
      <c r="C170" s="284"/>
      <c r="D170" s="109" t="s">
        <v>288</v>
      </c>
      <c r="E170" s="109" t="s">
        <v>254</v>
      </c>
      <c r="F170" s="73">
        <v>10</v>
      </c>
      <c r="G170" s="73">
        <v>9</v>
      </c>
      <c r="H170" s="73">
        <v>0</v>
      </c>
      <c r="I170" s="73">
        <v>15</v>
      </c>
      <c r="J170" s="73">
        <v>-1</v>
      </c>
      <c r="K170" s="109" t="s">
        <v>291</v>
      </c>
      <c r="L170" s="279">
        <v>1300000</v>
      </c>
      <c r="M170" s="73">
        <v>5</v>
      </c>
      <c r="N170" s="276"/>
      <c r="O170" s="276"/>
      <c r="P170" s="276"/>
      <c r="Q170" s="276"/>
    </row>
    <row r="171" spans="2:17" ht="13.5">
      <c r="B171" s="285" t="s">
        <v>377</v>
      </c>
      <c r="C171" s="284"/>
      <c r="D171" s="109" t="s">
        <v>288</v>
      </c>
      <c r="E171" s="109" t="s">
        <v>254</v>
      </c>
      <c r="F171" s="73">
        <v>12</v>
      </c>
      <c r="G171" s="73">
        <v>10</v>
      </c>
      <c r="H171" s="73">
        <v>1</v>
      </c>
      <c r="I171" s="73">
        <v>20</v>
      </c>
      <c r="J171" s="73">
        <v>0</v>
      </c>
      <c r="K171" s="109" t="s">
        <v>289</v>
      </c>
      <c r="L171" s="279">
        <v>1640000</v>
      </c>
      <c r="M171" s="73">
        <v>10</v>
      </c>
      <c r="N171" s="276"/>
      <c r="O171" s="276"/>
      <c r="P171" s="276"/>
      <c r="Q171" s="276"/>
    </row>
    <row r="172" spans="2:17" ht="13.5">
      <c r="B172" s="285" t="s">
        <v>378</v>
      </c>
      <c r="C172" s="284"/>
      <c r="D172" s="109" t="s">
        <v>288</v>
      </c>
      <c r="E172" s="109" t="s">
        <v>254</v>
      </c>
      <c r="F172" s="73">
        <v>14</v>
      </c>
      <c r="G172" s="73">
        <v>10</v>
      </c>
      <c r="H172" s="73">
        <v>0</v>
      </c>
      <c r="I172" s="73">
        <v>30</v>
      </c>
      <c r="J172" s="73">
        <v>0</v>
      </c>
      <c r="K172" s="109" t="s">
        <v>379</v>
      </c>
      <c r="L172" s="279">
        <v>2450000</v>
      </c>
      <c r="M172" s="73">
        <v>12</v>
      </c>
      <c r="N172" s="276"/>
      <c r="O172" s="276"/>
      <c r="P172" s="276"/>
      <c r="Q172" s="276"/>
    </row>
    <row r="173" spans="2:17" ht="13.5">
      <c r="B173" s="285" t="s">
        <v>380</v>
      </c>
      <c r="C173" s="284"/>
      <c r="D173" s="109" t="s">
        <v>288</v>
      </c>
      <c r="E173" s="109" t="s">
        <v>254</v>
      </c>
      <c r="F173" s="73">
        <v>15</v>
      </c>
      <c r="G173" s="73">
        <v>12</v>
      </c>
      <c r="H173" s="73">
        <v>1</v>
      </c>
      <c r="I173" s="73">
        <v>25</v>
      </c>
      <c r="J173" s="73">
        <v>0</v>
      </c>
      <c r="K173" s="109" t="s">
        <v>289</v>
      </c>
      <c r="L173" s="279">
        <v>2600000</v>
      </c>
      <c r="M173" s="73">
        <v>9</v>
      </c>
      <c r="N173" s="276"/>
      <c r="O173" s="276"/>
      <c r="P173" s="276"/>
      <c r="Q173" s="276"/>
    </row>
    <row r="174" spans="2:17" ht="13.5">
      <c r="B174" s="285" t="s">
        <v>381</v>
      </c>
      <c r="C174" s="284"/>
      <c r="D174" s="109" t="s">
        <v>382</v>
      </c>
      <c r="E174" s="109" t="s">
        <v>117</v>
      </c>
      <c r="F174" s="73">
        <v>1</v>
      </c>
      <c r="G174" s="73">
        <v>5</v>
      </c>
      <c r="H174" s="73">
        <v>-2</v>
      </c>
      <c r="I174" s="73">
        <v>0</v>
      </c>
      <c r="J174" s="73">
        <v>0</v>
      </c>
      <c r="K174" s="109">
        <v>1</v>
      </c>
      <c r="L174" s="279">
        <v>80000</v>
      </c>
      <c r="M174" s="73">
        <v>0</v>
      </c>
      <c r="N174" s="276"/>
      <c r="O174" s="276"/>
      <c r="P174" s="276"/>
      <c r="Q174" s="276"/>
    </row>
    <row r="175" spans="2:17" ht="13.5">
      <c r="B175" s="285" t="s">
        <v>383</v>
      </c>
      <c r="C175" s="284"/>
      <c r="D175" s="109" t="s">
        <v>382</v>
      </c>
      <c r="E175" s="109" t="s">
        <v>254</v>
      </c>
      <c r="F175" s="73">
        <v>1</v>
      </c>
      <c r="G175" s="73">
        <v>10</v>
      </c>
      <c r="H175" s="73">
        <v>0</v>
      </c>
      <c r="I175" s="73">
        <v>0</v>
      </c>
      <c r="J175" s="73">
        <v>-2</v>
      </c>
      <c r="K175" s="109" t="s">
        <v>289</v>
      </c>
      <c r="L175" s="279">
        <v>140000</v>
      </c>
      <c r="M175" s="73">
        <v>0</v>
      </c>
      <c r="N175" s="276"/>
      <c r="O175" s="276"/>
      <c r="P175" s="276"/>
      <c r="Q175" s="276"/>
    </row>
    <row r="176" spans="2:17" ht="13.5">
      <c r="B176" s="285"/>
      <c r="C176" s="284"/>
      <c r="D176" s="109"/>
      <c r="E176" s="109"/>
      <c r="F176" s="73"/>
      <c r="G176" s="73"/>
      <c r="H176" s="73"/>
      <c r="I176" s="73"/>
      <c r="J176" s="73"/>
      <c r="K176" s="109"/>
      <c r="L176" s="279"/>
      <c r="M176" s="73"/>
      <c r="N176" s="276"/>
      <c r="O176" s="276"/>
      <c r="P176" s="276"/>
      <c r="Q176" s="276"/>
    </row>
    <row r="177" spans="2:17" ht="13.5">
      <c r="B177" s="285"/>
      <c r="C177" s="284"/>
      <c r="D177" s="109"/>
      <c r="E177" s="109"/>
      <c r="F177" s="73"/>
      <c r="G177" s="73"/>
      <c r="H177" s="73"/>
      <c r="I177" s="73"/>
      <c r="J177" s="73"/>
      <c r="K177" s="109"/>
      <c r="L177" s="279"/>
      <c r="M177" s="73"/>
      <c r="N177" s="276"/>
      <c r="O177" s="276"/>
      <c r="P177" s="276"/>
      <c r="Q177" s="276"/>
    </row>
    <row r="178" spans="2:17" ht="13.5">
      <c r="B178" s="285"/>
      <c r="C178" s="284"/>
      <c r="D178" s="109"/>
      <c r="E178" s="109"/>
      <c r="F178" s="73"/>
      <c r="G178" s="73"/>
      <c r="H178" s="73"/>
      <c r="I178" s="73"/>
      <c r="J178" s="73"/>
      <c r="K178" s="109"/>
      <c r="L178" s="279"/>
      <c r="M178" s="73"/>
      <c r="N178" s="276"/>
      <c r="O178" s="276"/>
      <c r="P178" s="276"/>
      <c r="Q178" s="276"/>
    </row>
    <row r="179" spans="2:17" ht="13.5">
      <c r="B179" s="285"/>
      <c r="C179" s="284"/>
      <c r="D179" s="109"/>
      <c r="E179" s="109"/>
      <c r="F179" s="73"/>
      <c r="G179" s="73"/>
      <c r="H179" s="73"/>
      <c r="I179" s="73"/>
      <c r="J179" s="73"/>
      <c r="K179" s="109"/>
      <c r="L179" s="279"/>
      <c r="M179" s="73"/>
      <c r="N179" s="276"/>
      <c r="O179" s="276"/>
      <c r="P179" s="276"/>
      <c r="Q179" s="276"/>
    </row>
    <row r="180" spans="2:17" ht="13.5">
      <c r="B180" s="285"/>
      <c r="C180" s="284"/>
      <c r="D180" s="109"/>
      <c r="E180" s="109"/>
      <c r="F180" s="73"/>
      <c r="G180" s="73"/>
      <c r="H180" s="73"/>
      <c r="I180" s="73"/>
      <c r="J180" s="73"/>
      <c r="K180" s="109"/>
      <c r="L180" s="279"/>
      <c r="M180" s="73"/>
      <c r="N180" s="276"/>
      <c r="O180" s="276"/>
      <c r="P180" s="276"/>
      <c r="Q180" s="276"/>
    </row>
    <row r="181" spans="2:17" ht="13.5">
      <c r="B181" s="285"/>
      <c r="C181" s="284"/>
      <c r="D181" s="109"/>
      <c r="E181" s="109"/>
      <c r="F181" s="73"/>
      <c r="G181" s="73"/>
      <c r="H181" s="73"/>
      <c r="I181" s="73"/>
      <c r="J181" s="73"/>
      <c r="K181" s="109"/>
      <c r="L181" s="279"/>
      <c r="M181" s="73"/>
      <c r="N181" s="276"/>
      <c r="O181" s="276"/>
      <c r="P181" s="276"/>
      <c r="Q181" s="276"/>
    </row>
    <row r="182" spans="2:17" ht="13.5">
      <c r="B182" s="285"/>
      <c r="C182" s="284"/>
      <c r="D182" s="109"/>
      <c r="E182" s="109"/>
      <c r="F182" s="73"/>
      <c r="G182" s="73"/>
      <c r="H182" s="73"/>
      <c r="I182" s="73"/>
      <c r="J182" s="73"/>
      <c r="K182" s="109"/>
      <c r="L182" s="279"/>
      <c r="M182" s="73"/>
      <c r="N182" s="276"/>
      <c r="O182" s="276"/>
      <c r="P182" s="276"/>
      <c r="Q182" s="276"/>
    </row>
    <row r="183" spans="2:17" ht="13.5">
      <c r="B183" s="285"/>
      <c r="C183" s="284"/>
      <c r="D183" s="109"/>
      <c r="E183" s="109"/>
      <c r="F183" s="73"/>
      <c r="G183" s="73"/>
      <c r="H183" s="73"/>
      <c r="I183" s="73"/>
      <c r="J183" s="73"/>
      <c r="K183" s="109"/>
      <c r="L183" s="279"/>
      <c r="M183" s="73"/>
      <c r="N183" s="276"/>
      <c r="O183" s="276"/>
      <c r="P183" s="276"/>
      <c r="Q183" s="276"/>
    </row>
    <row r="184" spans="2:17" ht="13.5">
      <c r="B184" s="285"/>
      <c r="C184" s="284"/>
      <c r="D184" s="109"/>
      <c r="E184" s="109"/>
      <c r="F184" s="73"/>
      <c r="G184" s="73"/>
      <c r="H184" s="73"/>
      <c r="I184" s="73"/>
      <c r="J184" s="73"/>
      <c r="K184" s="109"/>
      <c r="L184" s="279"/>
      <c r="M184" s="73"/>
      <c r="N184" s="276"/>
      <c r="O184" s="276"/>
      <c r="P184" s="276"/>
      <c r="Q184" s="276"/>
    </row>
    <row r="185" spans="2:17" ht="13.5">
      <c r="B185" s="285"/>
      <c r="C185" s="284"/>
      <c r="D185" s="109"/>
      <c r="E185" s="109"/>
      <c r="F185" s="73"/>
      <c r="G185" s="73"/>
      <c r="H185" s="73"/>
      <c r="I185" s="73"/>
      <c r="J185" s="73"/>
      <c r="K185" s="109"/>
      <c r="L185" s="279"/>
      <c r="M185" s="73"/>
      <c r="N185" s="276"/>
      <c r="O185" s="276"/>
      <c r="P185" s="276"/>
      <c r="Q185" s="276"/>
    </row>
    <row r="186" spans="2:17" ht="13.5">
      <c r="B186" s="285"/>
      <c r="C186" s="284"/>
      <c r="D186" s="109"/>
      <c r="E186" s="109"/>
      <c r="F186" s="73"/>
      <c r="G186" s="73"/>
      <c r="H186" s="73"/>
      <c r="I186" s="73"/>
      <c r="J186" s="73"/>
      <c r="K186" s="109"/>
      <c r="L186" s="279"/>
      <c r="M186" s="73"/>
      <c r="N186" s="276"/>
      <c r="O186" s="276"/>
      <c r="P186" s="276"/>
      <c r="Q186" s="276"/>
    </row>
    <row r="187" spans="2:17" ht="13.5">
      <c r="B187" s="285"/>
      <c r="C187" s="284"/>
      <c r="D187" s="109"/>
      <c r="E187" s="109"/>
      <c r="F187" s="73"/>
      <c r="G187" s="73"/>
      <c r="H187" s="73"/>
      <c r="I187" s="73"/>
      <c r="J187" s="73"/>
      <c r="K187" s="109"/>
      <c r="L187" s="279"/>
      <c r="M187" s="73"/>
      <c r="N187" s="276"/>
      <c r="O187" s="276"/>
      <c r="P187" s="276"/>
      <c r="Q187" s="276"/>
    </row>
    <row r="188" spans="2:17" ht="13.5">
      <c r="B188" s="285"/>
      <c r="C188" s="284"/>
      <c r="D188" s="109"/>
      <c r="E188" s="109"/>
      <c r="F188" s="73"/>
      <c r="G188" s="73"/>
      <c r="H188" s="73"/>
      <c r="I188" s="73"/>
      <c r="J188" s="73"/>
      <c r="K188" s="109"/>
      <c r="L188" s="279"/>
      <c r="M188" s="73"/>
      <c r="N188" s="276"/>
      <c r="O188" s="276"/>
      <c r="P188" s="276"/>
      <c r="Q188" s="276"/>
    </row>
    <row r="189" spans="2:17" ht="13.5">
      <c r="B189" s="285"/>
      <c r="C189" s="284"/>
      <c r="D189" s="109"/>
      <c r="E189" s="109"/>
      <c r="F189" s="73"/>
      <c r="G189" s="73"/>
      <c r="H189" s="73"/>
      <c r="I189" s="73"/>
      <c r="J189" s="73"/>
      <c r="K189" s="109"/>
      <c r="L189" s="279"/>
      <c r="M189" s="73"/>
      <c r="N189" s="276"/>
      <c r="O189" s="276"/>
      <c r="P189" s="276"/>
      <c r="Q189" s="276"/>
    </row>
    <row r="190" spans="2:17" ht="13.5">
      <c r="B190" s="285"/>
      <c r="C190" s="284"/>
      <c r="D190" s="109"/>
      <c r="E190" s="109"/>
      <c r="F190" s="73"/>
      <c r="G190" s="73"/>
      <c r="H190" s="73"/>
      <c r="I190" s="73"/>
      <c r="J190" s="73"/>
      <c r="K190" s="109"/>
      <c r="L190" s="279"/>
      <c r="M190" s="73"/>
      <c r="N190" s="276"/>
      <c r="O190" s="276"/>
      <c r="P190" s="276"/>
      <c r="Q190" s="276"/>
    </row>
    <row r="191" spans="2:17" ht="13.5">
      <c r="B191" s="285"/>
      <c r="C191" s="284"/>
      <c r="D191" s="109"/>
      <c r="E191" s="109"/>
      <c r="F191" s="73"/>
      <c r="G191" s="73"/>
      <c r="H191" s="73"/>
      <c r="I191" s="73"/>
      <c r="J191" s="73"/>
      <c r="K191" s="109"/>
      <c r="L191" s="279"/>
      <c r="M191" s="73"/>
      <c r="N191" s="276"/>
      <c r="O191" s="276"/>
      <c r="P191" s="276"/>
      <c r="Q191" s="276"/>
    </row>
    <row r="192" spans="2:17" ht="13.5">
      <c r="B192" s="285"/>
      <c r="C192" s="284"/>
      <c r="D192" s="109"/>
      <c r="E192" s="109"/>
      <c r="F192" s="73"/>
      <c r="G192" s="73"/>
      <c r="H192" s="73"/>
      <c r="I192" s="73"/>
      <c r="J192" s="73"/>
      <c r="K192" s="109"/>
      <c r="L192" s="279"/>
      <c r="M192" s="73"/>
      <c r="N192" s="276"/>
      <c r="O192" s="276"/>
      <c r="P192" s="276"/>
      <c r="Q192" s="276"/>
    </row>
    <row r="193" spans="2:17" ht="13.5">
      <c r="B193" s="285"/>
      <c r="C193" s="284"/>
      <c r="D193" s="109"/>
      <c r="E193" s="109"/>
      <c r="F193" s="73"/>
      <c r="G193" s="73"/>
      <c r="H193" s="73"/>
      <c r="I193" s="73"/>
      <c r="J193" s="73"/>
      <c r="K193" s="109"/>
      <c r="L193" s="279"/>
      <c r="M193" s="73"/>
      <c r="N193" s="276"/>
      <c r="O193" s="276"/>
      <c r="P193" s="276"/>
      <c r="Q193" s="276"/>
    </row>
    <row r="194" spans="2:17" ht="13.5">
      <c r="B194" s="285"/>
      <c r="C194" s="284"/>
      <c r="D194" s="109"/>
      <c r="E194" s="109"/>
      <c r="F194" s="73"/>
      <c r="G194" s="73"/>
      <c r="H194" s="73"/>
      <c r="I194" s="73"/>
      <c r="J194" s="73"/>
      <c r="K194" s="109"/>
      <c r="L194" s="279"/>
      <c r="M194" s="73"/>
      <c r="N194" s="276"/>
      <c r="O194" s="276"/>
      <c r="P194" s="276"/>
      <c r="Q194" s="276"/>
    </row>
    <row r="195" spans="2:17" ht="13.5">
      <c r="B195" s="285"/>
      <c r="C195" s="284"/>
      <c r="D195" s="109"/>
      <c r="E195" s="109"/>
      <c r="F195" s="73"/>
      <c r="G195" s="73"/>
      <c r="H195" s="73"/>
      <c r="I195" s="73"/>
      <c r="J195" s="73"/>
      <c r="K195" s="109"/>
      <c r="L195" s="279"/>
      <c r="M195" s="73"/>
      <c r="N195" s="276"/>
      <c r="O195" s="276"/>
      <c r="P195" s="276"/>
      <c r="Q195" s="276"/>
    </row>
    <row r="196" spans="2:17" ht="13.5">
      <c r="B196" s="285"/>
      <c r="C196" s="284"/>
      <c r="D196" s="109"/>
      <c r="E196" s="109"/>
      <c r="F196" s="73"/>
      <c r="G196" s="73"/>
      <c r="H196" s="73"/>
      <c r="I196" s="73"/>
      <c r="J196" s="73"/>
      <c r="K196" s="109"/>
      <c r="L196" s="279"/>
      <c r="M196" s="73"/>
      <c r="N196" s="276"/>
      <c r="O196" s="276"/>
      <c r="P196" s="276"/>
      <c r="Q196" s="276"/>
    </row>
    <row r="197" spans="2:17" ht="13.5">
      <c r="B197" s="285"/>
      <c r="C197" s="284"/>
      <c r="D197" s="109"/>
      <c r="E197" s="109"/>
      <c r="F197" s="73"/>
      <c r="G197" s="73"/>
      <c r="H197" s="73"/>
      <c r="I197" s="73"/>
      <c r="J197" s="73"/>
      <c r="K197" s="109"/>
      <c r="L197" s="279"/>
      <c r="M197" s="73"/>
      <c r="N197" s="276"/>
      <c r="O197" s="276"/>
      <c r="P197" s="276"/>
      <c r="Q197" s="276"/>
    </row>
    <row r="198" spans="2:17" ht="13.5">
      <c r="B198" s="285"/>
      <c r="C198" s="284"/>
      <c r="D198" s="109"/>
      <c r="E198" s="109"/>
      <c r="F198" s="73"/>
      <c r="G198" s="73"/>
      <c r="H198" s="73"/>
      <c r="I198" s="73"/>
      <c r="J198" s="73"/>
      <c r="K198" s="109"/>
      <c r="L198" s="279"/>
      <c r="M198" s="73"/>
      <c r="N198" s="276"/>
      <c r="O198" s="276"/>
      <c r="P198" s="276"/>
      <c r="Q198" s="276"/>
    </row>
    <row r="199" spans="2:17" ht="13.5">
      <c r="B199" s="285"/>
      <c r="C199" s="284"/>
      <c r="D199" s="109"/>
      <c r="E199" s="109"/>
      <c r="F199" s="73"/>
      <c r="G199" s="73"/>
      <c r="H199" s="73"/>
      <c r="I199" s="73"/>
      <c r="J199" s="73"/>
      <c r="K199" s="109"/>
      <c r="L199" s="279"/>
      <c r="M199" s="73"/>
      <c r="N199" s="276"/>
      <c r="O199" s="276"/>
      <c r="P199" s="276"/>
      <c r="Q199" s="276"/>
    </row>
    <row r="200" spans="2:17" ht="13.5">
      <c r="B200" s="285"/>
      <c r="C200" s="284"/>
      <c r="D200" s="109"/>
      <c r="E200" s="109"/>
      <c r="F200" s="73"/>
      <c r="G200" s="73"/>
      <c r="H200" s="73"/>
      <c r="I200" s="73"/>
      <c r="J200" s="73"/>
      <c r="K200" s="109"/>
      <c r="L200" s="279"/>
      <c r="M200" s="73"/>
      <c r="N200" s="276"/>
      <c r="O200" s="276"/>
      <c r="P200" s="276"/>
      <c r="Q200" s="276"/>
    </row>
    <row r="201" spans="2:17" ht="13.5">
      <c r="B201" s="285"/>
      <c r="C201" s="284"/>
      <c r="D201" s="109"/>
      <c r="E201" s="109"/>
      <c r="F201" s="73"/>
      <c r="G201" s="73"/>
      <c r="H201" s="73"/>
      <c r="I201" s="73"/>
      <c r="J201" s="73"/>
      <c r="K201" s="109"/>
      <c r="L201" s="279"/>
      <c r="M201" s="73"/>
      <c r="N201" s="276"/>
      <c r="O201" s="276"/>
      <c r="P201" s="276"/>
      <c r="Q201" s="276"/>
    </row>
    <row r="202" spans="2:17" ht="13.5">
      <c r="B202" s="285"/>
      <c r="C202" s="284"/>
      <c r="D202" s="109"/>
      <c r="E202" s="109"/>
      <c r="F202" s="73"/>
      <c r="G202" s="73"/>
      <c r="H202" s="73"/>
      <c r="I202" s="73"/>
      <c r="J202" s="73"/>
      <c r="K202" s="109"/>
      <c r="L202" s="279"/>
      <c r="M202" s="73"/>
      <c r="N202" s="276"/>
      <c r="O202" s="276"/>
      <c r="P202" s="276"/>
      <c r="Q202" s="276"/>
    </row>
    <row r="203" spans="2:17" ht="13.5">
      <c r="B203" s="285"/>
      <c r="C203" s="284"/>
      <c r="D203" s="109"/>
      <c r="E203" s="109"/>
      <c r="F203" s="73"/>
      <c r="G203" s="73"/>
      <c r="H203" s="73"/>
      <c r="I203" s="73"/>
      <c r="J203" s="73"/>
      <c r="K203" s="109"/>
      <c r="L203" s="279"/>
      <c r="M203" s="73"/>
      <c r="N203" s="276"/>
      <c r="O203" s="276"/>
      <c r="P203" s="276"/>
      <c r="Q203" s="276"/>
    </row>
    <row r="204" spans="2:17" ht="13.5">
      <c r="B204" s="285"/>
      <c r="C204" s="284"/>
      <c r="D204" s="109"/>
      <c r="E204" s="109"/>
      <c r="F204" s="73"/>
      <c r="G204" s="73"/>
      <c r="H204" s="73"/>
      <c r="I204" s="73"/>
      <c r="J204" s="73"/>
      <c r="K204" s="109"/>
      <c r="L204" s="279"/>
      <c r="M204" s="73"/>
      <c r="N204" s="276"/>
      <c r="O204" s="276"/>
      <c r="P204" s="276"/>
      <c r="Q204" s="276"/>
    </row>
    <row r="205" spans="2:17" ht="13.5">
      <c r="B205" s="285"/>
      <c r="C205" s="284"/>
      <c r="D205" s="109"/>
      <c r="E205" s="109"/>
      <c r="F205" s="73"/>
      <c r="G205" s="73"/>
      <c r="H205" s="73"/>
      <c r="I205" s="73"/>
      <c r="J205" s="73"/>
      <c r="K205" s="109"/>
      <c r="L205" s="279"/>
      <c r="M205" s="73"/>
      <c r="N205" s="276"/>
      <c r="O205" s="276"/>
      <c r="P205" s="276"/>
      <c r="Q205" s="276"/>
    </row>
    <row r="206" spans="2:17" ht="13.5">
      <c r="B206" s="285"/>
      <c r="C206" s="284"/>
      <c r="D206" s="109"/>
      <c r="E206" s="109"/>
      <c r="F206" s="73"/>
      <c r="G206" s="73"/>
      <c r="H206" s="73"/>
      <c r="I206" s="73"/>
      <c r="J206" s="73"/>
      <c r="K206" s="109"/>
      <c r="L206" s="279"/>
      <c r="M206" s="73"/>
      <c r="N206" s="276"/>
      <c r="O206" s="276"/>
      <c r="P206" s="276"/>
      <c r="Q206" s="276"/>
    </row>
    <row r="207" spans="2:17" ht="13.5">
      <c r="B207" s="285"/>
      <c r="C207" s="284"/>
      <c r="D207" s="109"/>
      <c r="E207" s="109"/>
      <c r="F207" s="73"/>
      <c r="G207" s="73"/>
      <c r="H207" s="73"/>
      <c r="I207" s="73"/>
      <c r="J207" s="73"/>
      <c r="K207" s="109"/>
      <c r="L207" s="279"/>
      <c r="M207" s="73"/>
      <c r="N207" s="276"/>
      <c r="O207" s="276"/>
      <c r="P207" s="276"/>
      <c r="Q207" s="276"/>
    </row>
    <row r="208" spans="2:17" ht="13.5">
      <c r="B208" s="285"/>
      <c r="C208" s="284"/>
      <c r="D208" s="109"/>
      <c r="E208" s="109"/>
      <c r="F208" s="73"/>
      <c r="G208" s="73"/>
      <c r="H208" s="73"/>
      <c r="I208" s="73"/>
      <c r="J208" s="73"/>
      <c r="K208" s="109"/>
      <c r="L208" s="279"/>
      <c r="M208" s="73"/>
      <c r="N208" s="276"/>
      <c r="O208" s="276"/>
      <c r="P208" s="276"/>
      <c r="Q208" s="276"/>
    </row>
    <row r="209" spans="2:17" ht="13.5">
      <c r="B209" s="285"/>
      <c r="C209" s="284"/>
      <c r="D209" s="109"/>
      <c r="E209" s="109"/>
      <c r="F209" s="73"/>
      <c r="G209" s="73"/>
      <c r="H209" s="73"/>
      <c r="I209" s="73"/>
      <c r="J209" s="73"/>
      <c r="K209" s="109"/>
      <c r="L209" s="279"/>
      <c r="M209" s="73"/>
      <c r="N209" s="276"/>
      <c r="O209" s="276"/>
      <c r="P209" s="276"/>
      <c r="Q209" s="276"/>
    </row>
    <row r="210" spans="2:17" ht="13.5">
      <c r="B210" s="285"/>
      <c r="C210" s="284"/>
      <c r="D210" s="109"/>
      <c r="E210" s="109"/>
      <c r="F210" s="73"/>
      <c r="G210" s="73"/>
      <c r="H210" s="73"/>
      <c r="I210" s="73"/>
      <c r="J210" s="73"/>
      <c r="K210" s="109"/>
      <c r="L210" s="279"/>
      <c r="M210" s="73"/>
      <c r="N210" s="276"/>
      <c r="O210" s="276"/>
      <c r="P210" s="276"/>
      <c r="Q210" s="276"/>
    </row>
    <row r="211" spans="2:17" ht="13.5">
      <c r="B211" s="285"/>
      <c r="C211" s="284"/>
      <c r="D211" s="109"/>
      <c r="E211" s="109"/>
      <c r="F211" s="73"/>
      <c r="G211" s="73"/>
      <c r="H211" s="73"/>
      <c r="I211" s="73"/>
      <c r="J211" s="73"/>
      <c r="K211" s="109"/>
      <c r="L211" s="279"/>
      <c r="M211" s="73"/>
      <c r="N211" s="276"/>
      <c r="O211" s="276"/>
      <c r="P211" s="276"/>
      <c r="Q211" s="276"/>
    </row>
    <row r="212" spans="2:17" ht="13.5">
      <c r="B212" s="285"/>
      <c r="C212" s="284"/>
      <c r="D212" s="109"/>
      <c r="E212" s="109"/>
      <c r="F212" s="73"/>
      <c r="G212" s="73"/>
      <c r="H212" s="73"/>
      <c r="I212" s="73"/>
      <c r="J212" s="73"/>
      <c r="K212" s="109"/>
      <c r="L212" s="279"/>
      <c r="M212" s="73"/>
      <c r="N212" s="276"/>
      <c r="O212" s="276"/>
      <c r="P212" s="276"/>
      <c r="Q212" s="276"/>
    </row>
    <row r="213" spans="2:17" ht="13.5">
      <c r="B213" s="285"/>
      <c r="C213" s="284"/>
      <c r="D213" s="109"/>
      <c r="E213" s="109"/>
      <c r="F213" s="73"/>
      <c r="G213" s="73"/>
      <c r="H213" s="73"/>
      <c r="I213" s="73"/>
      <c r="J213" s="73"/>
      <c r="K213" s="109"/>
      <c r="L213" s="279"/>
      <c r="M213" s="73"/>
      <c r="N213" s="276"/>
      <c r="O213" s="276"/>
      <c r="P213" s="276"/>
      <c r="Q213" s="276"/>
    </row>
    <row r="214" spans="2:17" ht="13.5">
      <c r="B214" s="285"/>
      <c r="C214" s="284"/>
      <c r="D214" s="109"/>
      <c r="E214" s="109"/>
      <c r="F214" s="73"/>
      <c r="G214" s="73"/>
      <c r="H214" s="73"/>
      <c r="I214" s="73"/>
      <c r="J214" s="73"/>
      <c r="K214" s="109"/>
      <c r="L214" s="279"/>
      <c r="M214" s="73"/>
      <c r="N214" s="276"/>
      <c r="O214" s="276"/>
      <c r="P214" s="276"/>
      <c r="Q214" s="276"/>
    </row>
    <row r="215" spans="2:17" ht="13.5">
      <c r="B215" s="285"/>
      <c r="C215" s="284"/>
      <c r="D215" s="109"/>
      <c r="E215" s="109"/>
      <c r="F215" s="73"/>
      <c r="G215" s="73"/>
      <c r="H215" s="73"/>
      <c r="I215" s="73"/>
      <c r="J215" s="73"/>
      <c r="K215" s="109"/>
      <c r="L215" s="279"/>
      <c r="M215" s="73"/>
      <c r="N215" s="276"/>
      <c r="O215" s="276"/>
      <c r="P215" s="276"/>
      <c r="Q215" s="276"/>
    </row>
    <row r="216" spans="2:17" ht="13.5">
      <c r="B216" s="285"/>
      <c r="C216" s="284"/>
      <c r="D216" s="109"/>
      <c r="E216" s="109"/>
      <c r="F216" s="73"/>
      <c r="G216" s="73"/>
      <c r="H216" s="73"/>
      <c r="I216" s="73"/>
      <c r="J216" s="73"/>
      <c r="K216" s="109"/>
      <c r="L216" s="279"/>
      <c r="M216" s="73"/>
      <c r="N216" s="276"/>
      <c r="O216" s="276"/>
      <c r="P216" s="276"/>
      <c r="Q216" s="276"/>
    </row>
    <row r="217" spans="2:17" ht="13.5">
      <c r="B217" s="285"/>
      <c r="C217" s="284"/>
      <c r="D217" s="109"/>
      <c r="E217" s="109"/>
      <c r="F217" s="73"/>
      <c r="G217" s="73"/>
      <c r="H217" s="73"/>
      <c r="I217" s="73"/>
      <c r="J217" s="73"/>
      <c r="K217" s="109"/>
      <c r="L217" s="279"/>
      <c r="M217" s="73"/>
      <c r="N217" s="276"/>
      <c r="O217" s="276"/>
      <c r="P217" s="276"/>
      <c r="Q217" s="276"/>
    </row>
    <row r="218" spans="2:17" ht="13.5">
      <c r="B218" s="285"/>
      <c r="C218" s="284"/>
      <c r="D218" s="109"/>
      <c r="E218" s="109"/>
      <c r="F218" s="73"/>
      <c r="G218" s="73"/>
      <c r="H218" s="73"/>
      <c r="I218" s="73"/>
      <c r="J218" s="73"/>
      <c r="K218" s="109"/>
      <c r="L218" s="279"/>
      <c r="M218" s="73"/>
      <c r="N218" s="276"/>
      <c r="O218" s="276"/>
      <c r="P218" s="276"/>
      <c r="Q218" s="276"/>
    </row>
    <row r="219" spans="2:17" ht="13.5">
      <c r="B219" s="285"/>
      <c r="C219" s="284"/>
      <c r="D219" s="109"/>
      <c r="E219" s="109"/>
      <c r="F219" s="73"/>
      <c r="G219" s="73"/>
      <c r="H219" s="73"/>
      <c r="I219" s="73"/>
      <c r="J219" s="73"/>
      <c r="K219" s="109"/>
      <c r="L219" s="279"/>
      <c r="M219" s="73"/>
      <c r="N219" s="276"/>
      <c r="O219" s="276"/>
      <c r="P219" s="276"/>
      <c r="Q219" s="276"/>
    </row>
    <row r="220" spans="2:17" ht="13.5">
      <c r="B220" s="285"/>
      <c r="C220" s="284"/>
      <c r="D220" s="109"/>
      <c r="E220" s="109"/>
      <c r="F220" s="73"/>
      <c r="G220" s="73"/>
      <c r="H220" s="73"/>
      <c r="I220" s="73"/>
      <c r="J220" s="73"/>
      <c r="K220" s="109"/>
      <c r="L220" s="279"/>
      <c r="M220" s="73"/>
      <c r="N220" s="276"/>
      <c r="O220" s="276"/>
      <c r="P220" s="276"/>
      <c r="Q220" s="276"/>
    </row>
    <row r="221" spans="2:17" ht="13.5">
      <c r="B221" s="285"/>
      <c r="C221" s="284"/>
      <c r="D221" s="109"/>
      <c r="E221" s="109"/>
      <c r="F221" s="73"/>
      <c r="G221" s="73"/>
      <c r="H221" s="73"/>
      <c r="I221" s="73"/>
      <c r="J221" s="73"/>
      <c r="K221" s="109"/>
      <c r="L221" s="279"/>
      <c r="M221" s="73"/>
      <c r="N221" s="276"/>
      <c r="O221" s="276"/>
      <c r="P221" s="276"/>
      <c r="Q221" s="276"/>
    </row>
    <row r="222" spans="2:17" ht="13.5">
      <c r="B222" s="285"/>
      <c r="C222" s="284"/>
      <c r="D222" s="109"/>
      <c r="E222" s="109"/>
      <c r="F222" s="73"/>
      <c r="G222" s="73"/>
      <c r="H222" s="73"/>
      <c r="I222" s="73"/>
      <c r="J222" s="73"/>
      <c r="K222" s="109"/>
      <c r="L222" s="279"/>
      <c r="M222" s="73"/>
      <c r="N222" s="276"/>
      <c r="O222" s="276"/>
      <c r="P222" s="276"/>
      <c r="Q222" s="276"/>
    </row>
    <row r="223" spans="2:17" ht="13.5">
      <c r="B223" s="285"/>
      <c r="C223" s="284"/>
      <c r="D223" s="109"/>
      <c r="E223" s="109"/>
      <c r="F223" s="73"/>
      <c r="G223" s="73"/>
      <c r="H223" s="73"/>
      <c r="I223" s="73"/>
      <c r="J223" s="73"/>
      <c r="K223" s="109"/>
      <c r="L223" s="279"/>
      <c r="M223" s="73"/>
      <c r="N223" s="276"/>
      <c r="O223" s="276"/>
      <c r="P223" s="276"/>
      <c r="Q223" s="276"/>
    </row>
    <row r="224" spans="2:17" ht="13.5">
      <c r="B224" s="285"/>
      <c r="C224" s="284"/>
      <c r="D224" s="109"/>
      <c r="E224" s="109"/>
      <c r="F224" s="73"/>
      <c r="G224" s="73"/>
      <c r="H224" s="73"/>
      <c r="I224" s="73"/>
      <c r="J224" s="73"/>
      <c r="K224" s="109"/>
      <c r="L224" s="279"/>
      <c r="M224" s="73"/>
      <c r="N224" s="276"/>
      <c r="O224" s="276"/>
      <c r="P224" s="276"/>
      <c r="Q224" s="276"/>
    </row>
    <row r="225" spans="2:17" ht="13.5">
      <c r="B225" s="285"/>
      <c r="C225" s="284"/>
      <c r="D225" s="109"/>
      <c r="E225" s="109"/>
      <c r="F225" s="73"/>
      <c r="G225" s="73"/>
      <c r="H225" s="73"/>
      <c r="I225" s="73"/>
      <c r="J225" s="73"/>
      <c r="K225" s="109"/>
      <c r="L225" s="279"/>
      <c r="M225" s="73"/>
      <c r="N225" s="276"/>
      <c r="O225" s="276"/>
      <c r="P225" s="276"/>
      <c r="Q225" s="276"/>
    </row>
    <row r="226" spans="2:17" ht="13.5">
      <c r="B226" s="285"/>
      <c r="C226" s="284"/>
      <c r="D226" s="109"/>
      <c r="E226" s="109"/>
      <c r="F226" s="73"/>
      <c r="G226" s="73"/>
      <c r="H226" s="73"/>
      <c r="I226" s="73"/>
      <c r="J226" s="73"/>
      <c r="K226" s="109"/>
      <c r="L226" s="279"/>
      <c r="M226" s="73"/>
      <c r="N226" s="276"/>
      <c r="O226" s="276"/>
      <c r="P226" s="276"/>
      <c r="Q226" s="276"/>
    </row>
    <row r="227" spans="2:17" ht="13.5">
      <c r="B227" s="285"/>
      <c r="C227" s="284"/>
      <c r="D227" s="109"/>
      <c r="E227" s="109"/>
      <c r="F227" s="73"/>
      <c r="G227" s="73"/>
      <c r="H227" s="73"/>
      <c r="I227" s="73"/>
      <c r="J227" s="73"/>
      <c r="K227" s="109"/>
      <c r="L227" s="279"/>
      <c r="M227" s="73"/>
      <c r="N227" s="276"/>
      <c r="O227" s="276"/>
      <c r="P227" s="276"/>
      <c r="Q227" s="276"/>
    </row>
    <row r="228" spans="2:17" ht="13.5">
      <c r="B228" s="285"/>
      <c r="C228" s="284"/>
      <c r="D228" s="109"/>
      <c r="E228" s="109"/>
      <c r="F228" s="73"/>
      <c r="G228" s="73"/>
      <c r="H228" s="73"/>
      <c r="I228" s="73"/>
      <c r="J228" s="73"/>
      <c r="K228" s="109"/>
      <c r="L228" s="279"/>
      <c r="M228" s="73"/>
      <c r="N228" s="276"/>
      <c r="O228" s="276"/>
      <c r="P228" s="276"/>
      <c r="Q228" s="276"/>
    </row>
    <row r="229" spans="2:17" ht="13.5">
      <c r="B229" s="285"/>
      <c r="C229" s="284"/>
      <c r="D229" s="109"/>
      <c r="E229" s="109"/>
      <c r="F229" s="73"/>
      <c r="G229" s="73"/>
      <c r="H229" s="73"/>
      <c r="I229" s="73"/>
      <c r="J229" s="73"/>
      <c r="K229" s="109"/>
      <c r="L229" s="279"/>
      <c r="M229" s="73"/>
      <c r="N229" s="276"/>
      <c r="O229" s="276"/>
      <c r="P229" s="276"/>
      <c r="Q229" s="276"/>
    </row>
    <row r="230" spans="2:17" ht="13.5">
      <c r="B230" s="285"/>
      <c r="C230" s="284"/>
      <c r="D230" s="109"/>
      <c r="E230" s="109"/>
      <c r="F230" s="73"/>
      <c r="G230" s="73"/>
      <c r="H230" s="73"/>
      <c r="I230" s="73"/>
      <c r="J230" s="73"/>
      <c r="K230" s="109"/>
      <c r="L230" s="279"/>
      <c r="M230" s="73"/>
      <c r="N230" s="276"/>
      <c r="O230" s="276"/>
      <c r="P230" s="276"/>
      <c r="Q230" s="276"/>
    </row>
    <row r="231" spans="2:17" ht="13.5">
      <c r="B231" s="285"/>
      <c r="C231" s="284"/>
      <c r="D231" s="109"/>
      <c r="E231" s="109"/>
      <c r="F231" s="73"/>
      <c r="G231" s="73"/>
      <c r="H231" s="73"/>
      <c r="I231" s="73"/>
      <c r="J231" s="73"/>
      <c r="K231" s="109"/>
      <c r="L231" s="279"/>
      <c r="M231" s="73"/>
      <c r="N231" s="276"/>
      <c r="O231" s="276"/>
      <c r="P231" s="276"/>
      <c r="Q231" s="276"/>
    </row>
    <row r="232" spans="2:17" ht="13.5">
      <c r="B232" s="285"/>
      <c r="C232" s="284"/>
      <c r="D232" s="109"/>
      <c r="E232" s="109"/>
      <c r="F232" s="73"/>
      <c r="G232" s="73"/>
      <c r="H232" s="73"/>
      <c r="I232" s="73"/>
      <c r="J232" s="73"/>
      <c r="K232" s="109"/>
      <c r="L232" s="279"/>
      <c r="M232" s="73"/>
      <c r="N232" s="276"/>
      <c r="O232" s="276"/>
      <c r="P232" s="276"/>
      <c r="Q232" s="276"/>
    </row>
    <row r="233" spans="2:17" ht="13.5">
      <c r="B233" s="285"/>
      <c r="C233" s="284"/>
      <c r="D233" s="109"/>
      <c r="E233" s="109"/>
      <c r="F233" s="73"/>
      <c r="G233" s="73"/>
      <c r="H233" s="73"/>
      <c r="I233" s="73"/>
      <c r="J233" s="73"/>
      <c r="K233" s="109"/>
      <c r="L233" s="279"/>
      <c r="M233" s="73"/>
      <c r="N233" s="276"/>
      <c r="O233" s="276"/>
      <c r="P233" s="276"/>
      <c r="Q233" s="276"/>
    </row>
    <row r="234" spans="2:17" ht="13.5">
      <c r="B234" s="285"/>
      <c r="C234" s="284"/>
      <c r="D234" s="109"/>
      <c r="E234" s="109"/>
      <c r="F234" s="73"/>
      <c r="G234" s="73"/>
      <c r="H234" s="73"/>
      <c r="I234" s="73"/>
      <c r="J234" s="73"/>
      <c r="K234" s="109"/>
      <c r="L234" s="279"/>
      <c r="M234" s="73"/>
      <c r="N234" s="276"/>
      <c r="O234" s="276"/>
      <c r="P234" s="276"/>
      <c r="Q234" s="276"/>
    </row>
    <row r="235" spans="2:17" ht="13.5">
      <c r="B235" s="285"/>
      <c r="C235" s="284"/>
      <c r="D235" s="109"/>
      <c r="E235" s="109"/>
      <c r="F235" s="73"/>
      <c r="G235" s="73"/>
      <c r="H235" s="73"/>
      <c r="I235" s="73"/>
      <c r="J235" s="73"/>
      <c r="K235" s="109"/>
      <c r="L235" s="279"/>
      <c r="M235" s="73"/>
      <c r="N235" s="276"/>
      <c r="O235" s="276"/>
      <c r="P235" s="276"/>
      <c r="Q235" s="276"/>
    </row>
    <row r="236" spans="2:17" ht="13.5">
      <c r="B236" s="285"/>
      <c r="C236" s="284"/>
      <c r="D236" s="109"/>
      <c r="E236" s="109"/>
      <c r="F236" s="73"/>
      <c r="G236" s="73"/>
      <c r="H236" s="73"/>
      <c r="I236" s="73"/>
      <c r="J236" s="73"/>
      <c r="K236" s="109"/>
      <c r="L236" s="279"/>
      <c r="M236" s="73"/>
      <c r="N236" s="276"/>
      <c r="O236" s="276"/>
      <c r="P236" s="276"/>
      <c r="Q236" s="276"/>
    </row>
    <row r="237" spans="2:17" ht="13.5">
      <c r="B237" s="287"/>
      <c r="C237" s="288"/>
      <c r="D237" s="235"/>
      <c r="E237" s="235"/>
      <c r="F237" s="84"/>
      <c r="G237" s="84"/>
      <c r="H237" s="84"/>
      <c r="I237" s="84"/>
      <c r="J237" s="84"/>
      <c r="K237" s="235"/>
      <c r="L237" s="289"/>
      <c r="M237" s="84"/>
      <c r="N237" s="276"/>
      <c r="O237" s="276"/>
      <c r="P237" s="276"/>
      <c r="Q237" s="276"/>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1">
      <selection activeCell="J17" sqref="J17"/>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384</v>
      </c>
    </row>
    <row r="4" spans="2:15" ht="13.5">
      <c r="B4" s="290" t="s">
        <v>97</v>
      </c>
      <c r="C4" s="291"/>
      <c r="D4" s="62" t="s">
        <v>98</v>
      </c>
      <c r="E4" s="62" t="s">
        <v>99</v>
      </c>
      <c r="F4" s="62" t="s">
        <v>8</v>
      </c>
      <c r="G4" s="62" t="s">
        <v>100</v>
      </c>
      <c r="H4" s="62" t="s">
        <v>114</v>
      </c>
      <c r="I4" s="292" t="s">
        <v>102</v>
      </c>
      <c r="J4" s="293" t="s">
        <v>385</v>
      </c>
      <c r="K4" s="62" t="s">
        <v>104</v>
      </c>
      <c r="L4" s="293" t="s">
        <v>105</v>
      </c>
      <c r="M4" s="62" t="s">
        <v>22</v>
      </c>
      <c r="N4" s="293" t="s">
        <v>27</v>
      </c>
      <c r="O4" s="141" t="s">
        <v>136</v>
      </c>
    </row>
    <row r="5" spans="2:15" ht="13.5">
      <c r="B5" s="294" t="s">
        <v>116</v>
      </c>
      <c r="C5" s="295"/>
      <c r="D5" s="296">
        <v>0</v>
      </c>
      <c r="E5" s="297">
        <v>0</v>
      </c>
      <c r="F5" s="297">
        <v>0</v>
      </c>
      <c r="G5" s="297">
        <v>0</v>
      </c>
      <c r="H5" s="297">
        <v>0</v>
      </c>
      <c r="I5" s="298">
        <v>0</v>
      </c>
      <c r="J5" s="297">
        <v>0</v>
      </c>
      <c r="K5" s="297">
        <v>0</v>
      </c>
      <c r="L5" s="297">
        <v>0</v>
      </c>
      <c r="M5" s="297">
        <v>0</v>
      </c>
      <c r="N5" s="299">
        <v>0</v>
      </c>
      <c r="O5" s="177"/>
    </row>
    <row r="6" spans="2:15" ht="13.5">
      <c r="B6" s="272" t="s">
        <v>386</v>
      </c>
      <c r="C6" s="300"/>
      <c r="D6" s="228" t="s">
        <v>387</v>
      </c>
      <c r="E6" s="109" t="s">
        <v>388</v>
      </c>
      <c r="F6" s="73">
        <v>1</v>
      </c>
      <c r="G6" s="73">
        <v>3</v>
      </c>
      <c r="H6" s="73">
        <v>0</v>
      </c>
      <c r="I6" s="73">
        <v>0</v>
      </c>
      <c r="J6" s="73">
        <v>0</v>
      </c>
      <c r="K6" s="274">
        <v>0</v>
      </c>
      <c r="L6" s="279">
        <v>30000</v>
      </c>
      <c r="M6" s="73">
        <v>3</v>
      </c>
      <c r="N6" s="128">
        <v>1</v>
      </c>
      <c r="O6" s="179"/>
    </row>
    <row r="7" spans="2:15" ht="13.5">
      <c r="B7" s="272" t="s">
        <v>389</v>
      </c>
      <c r="C7" s="300"/>
      <c r="D7" s="228" t="s">
        <v>390</v>
      </c>
      <c r="E7" s="109" t="s">
        <v>388</v>
      </c>
      <c r="F7" s="73">
        <v>1</v>
      </c>
      <c r="G7" s="73">
        <v>4</v>
      </c>
      <c r="H7" s="73">
        <v>0</v>
      </c>
      <c r="I7" s="73">
        <v>0</v>
      </c>
      <c r="J7" s="73">
        <v>0</v>
      </c>
      <c r="K7" s="274">
        <v>0</v>
      </c>
      <c r="L7" s="279">
        <v>50000</v>
      </c>
      <c r="M7" s="73">
        <v>4</v>
      </c>
      <c r="N7" s="128">
        <v>0</v>
      </c>
      <c r="O7" s="179"/>
    </row>
    <row r="8" spans="2:15" ht="13.5">
      <c r="B8" s="272" t="s">
        <v>391</v>
      </c>
      <c r="C8" s="300"/>
      <c r="D8" s="228" t="s">
        <v>390</v>
      </c>
      <c r="E8" s="109" t="s">
        <v>388</v>
      </c>
      <c r="F8" s="73">
        <v>2</v>
      </c>
      <c r="G8" s="73">
        <v>15</v>
      </c>
      <c r="H8" s="73">
        <v>-8</v>
      </c>
      <c r="I8" s="73">
        <v>0</v>
      </c>
      <c r="J8" s="73">
        <v>0</v>
      </c>
      <c r="K8" s="274">
        <v>0</v>
      </c>
      <c r="L8" s="279">
        <v>200000</v>
      </c>
      <c r="M8" s="73">
        <v>15</v>
      </c>
      <c r="N8" s="128">
        <v>0</v>
      </c>
      <c r="O8" s="179"/>
    </row>
    <row r="9" spans="2:15" ht="13.5">
      <c r="B9" s="272" t="s">
        <v>392</v>
      </c>
      <c r="C9" s="300"/>
      <c r="D9" s="228" t="s">
        <v>390</v>
      </c>
      <c r="E9" s="109" t="s">
        <v>388</v>
      </c>
      <c r="F9" s="73">
        <v>2</v>
      </c>
      <c r="G9" s="73">
        <v>6</v>
      </c>
      <c r="H9" s="73">
        <v>-1</v>
      </c>
      <c r="I9" s="73">
        <v>0</v>
      </c>
      <c r="J9" s="73">
        <v>0</v>
      </c>
      <c r="K9" s="274">
        <v>0</v>
      </c>
      <c r="L9" s="279">
        <v>70000</v>
      </c>
      <c r="M9" s="73">
        <v>6</v>
      </c>
      <c r="N9" s="128">
        <v>0</v>
      </c>
      <c r="O9" s="179"/>
    </row>
    <row r="10" spans="2:15" ht="13.5">
      <c r="B10" s="272" t="s">
        <v>393</v>
      </c>
      <c r="C10" s="300"/>
      <c r="D10" s="228" t="s">
        <v>387</v>
      </c>
      <c r="E10" s="109" t="s">
        <v>388</v>
      </c>
      <c r="F10" s="73">
        <v>2</v>
      </c>
      <c r="G10" s="73">
        <v>2</v>
      </c>
      <c r="H10" s="73">
        <v>0</v>
      </c>
      <c r="I10" s="73">
        <v>0</v>
      </c>
      <c r="J10" s="73">
        <v>0</v>
      </c>
      <c r="K10" s="274">
        <v>0</v>
      </c>
      <c r="L10" s="279">
        <v>90000</v>
      </c>
      <c r="M10" s="73">
        <v>6</v>
      </c>
      <c r="N10" s="128">
        <v>1</v>
      </c>
      <c r="O10" s="179"/>
    </row>
    <row r="11" spans="2:15" ht="13.5">
      <c r="B11" s="272" t="s">
        <v>394</v>
      </c>
      <c r="C11" s="300"/>
      <c r="D11" s="228" t="s">
        <v>390</v>
      </c>
      <c r="E11" s="109" t="s">
        <v>388</v>
      </c>
      <c r="F11" s="73">
        <v>3</v>
      </c>
      <c r="G11" s="73">
        <v>7</v>
      </c>
      <c r="H11" s="73">
        <v>-1</v>
      </c>
      <c r="I11" s="73">
        <v>0</v>
      </c>
      <c r="J11" s="73">
        <v>0</v>
      </c>
      <c r="K11" s="274">
        <v>0</v>
      </c>
      <c r="L11" s="279">
        <v>120000</v>
      </c>
      <c r="M11" s="73">
        <v>8</v>
      </c>
      <c r="N11" s="128">
        <v>0</v>
      </c>
      <c r="O11" s="179"/>
    </row>
    <row r="12" spans="2:15" ht="13.5">
      <c r="B12" s="272" t="s">
        <v>395</v>
      </c>
      <c r="C12" s="300"/>
      <c r="D12" s="228" t="s">
        <v>390</v>
      </c>
      <c r="E12" s="109" t="s">
        <v>388</v>
      </c>
      <c r="F12" s="73">
        <v>4</v>
      </c>
      <c r="G12" s="73">
        <v>10</v>
      </c>
      <c r="H12" s="73">
        <v>-2</v>
      </c>
      <c r="I12" s="73">
        <v>0</v>
      </c>
      <c r="J12" s="73">
        <v>0</v>
      </c>
      <c r="K12" s="274">
        <v>0</v>
      </c>
      <c r="L12" s="279">
        <v>150000</v>
      </c>
      <c r="M12" s="73">
        <v>10</v>
      </c>
      <c r="N12" s="128">
        <v>0</v>
      </c>
      <c r="O12" s="179"/>
    </row>
    <row r="13" spans="2:15" ht="13.5">
      <c r="B13" s="272" t="s">
        <v>396</v>
      </c>
      <c r="C13" s="300"/>
      <c r="D13" s="228" t="s">
        <v>387</v>
      </c>
      <c r="E13" s="109" t="s">
        <v>388</v>
      </c>
      <c r="F13" s="73">
        <v>4</v>
      </c>
      <c r="G13" s="73">
        <v>4</v>
      </c>
      <c r="H13" s="73">
        <v>0</v>
      </c>
      <c r="I13" s="73">
        <v>0</v>
      </c>
      <c r="J13" s="73">
        <v>0</v>
      </c>
      <c r="K13" s="274">
        <v>0</v>
      </c>
      <c r="L13" s="279">
        <v>200000</v>
      </c>
      <c r="M13" s="73">
        <v>8</v>
      </c>
      <c r="N13" s="128">
        <v>2</v>
      </c>
      <c r="O13" s="179"/>
    </row>
    <row r="14" spans="2:15" ht="13.5">
      <c r="B14" s="272" t="s">
        <v>397</v>
      </c>
      <c r="C14" s="300"/>
      <c r="D14" s="228" t="s">
        <v>390</v>
      </c>
      <c r="E14" s="109" t="s">
        <v>388</v>
      </c>
      <c r="F14" s="73">
        <v>5</v>
      </c>
      <c r="G14" s="73">
        <v>11</v>
      </c>
      <c r="H14" s="73">
        <v>-1</v>
      </c>
      <c r="I14" s="73">
        <v>0</v>
      </c>
      <c r="J14" s="73">
        <v>0</v>
      </c>
      <c r="K14" s="301">
        <v>0</v>
      </c>
      <c r="L14" s="279">
        <v>260000</v>
      </c>
      <c r="M14" s="73">
        <v>12</v>
      </c>
      <c r="N14" s="128">
        <v>1</v>
      </c>
      <c r="O14" s="179"/>
    </row>
    <row r="15" spans="2:15" ht="13.5">
      <c r="B15" s="272" t="s">
        <v>398</v>
      </c>
      <c r="C15" s="300"/>
      <c r="D15" s="228" t="s">
        <v>387</v>
      </c>
      <c r="E15" s="109" t="s">
        <v>388</v>
      </c>
      <c r="F15" s="73">
        <v>6</v>
      </c>
      <c r="G15" s="73">
        <v>6</v>
      </c>
      <c r="H15" s="73">
        <v>0</v>
      </c>
      <c r="I15" s="73">
        <v>0</v>
      </c>
      <c r="J15" s="73">
        <v>0</v>
      </c>
      <c r="K15" s="301">
        <v>0</v>
      </c>
      <c r="L15" s="279">
        <v>320000</v>
      </c>
      <c r="M15" s="73">
        <v>10</v>
      </c>
      <c r="N15" s="128">
        <v>3</v>
      </c>
      <c r="O15" s="179"/>
    </row>
    <row r="16" spans="2:15" ht="13.5">
      <c r="B16" s="283" t="s">
        <v>399</v>
      </c>
      <c r="C16" s="302"/>
      <c r="D16" s="303" t="s">
        <v>390</v>
      </c>
      <c r="E16" s="109" t="s">
        <v>388</v>
      </c>
      <c r="F16" s="257">
        <v>3</v>
      </c>
      <c r="G16" s="257">
        <v>4</v>
      </c>
      <c r="H16" s="257">
        <v>0</v>
      </c>
      <c r="I16" s="257">
        <v>0</v>
      </c>
      <c r="J16" s="257">
        <v>0</v>
      </c>
      <c r="K16" s="274">
        <v>0</v>
      </c>
      <c r="L16" s="279">
        <v>320000</v>
      </c>
      <c r="M16" s="257">
        <v>8</v>
      </c>
      <c r="N16" s="258">
        <v>0</v>
      </c>
      <c r="O16" s="179"/>
    </row>
    <row r="17" spans="2:15" ht="13.5">
      <c r="B17" s="283" t="s">
        <v>400</v>
      </c>
      <c r="C17" s="302"/>
      <c r="D17" s="304" t="s">
        <v>390</v>
      </c>
      <c r="E17" s="109" t="s">
        <v>388</v>
      </c>
      <c r="F17" s="305">
        <v>5</v>
      </c>
      <c r="G17" s="305">
        <v>10</v>
      </c>
      <c r="H17" s="281">
        <v>0</v>
      </c>
      <c r="I17" s="281">
        <v>0</v>
      </c>
      <c r="J17" s="305">
        <v>0</v>
      </c>
      <c r="K17" s="274">
        <v>0</v>
      </c>
      <c r="L17" s="282">
        <v>440000</v>
      </c>
      <c r="M17" s="305">
        <v>13</v>
      </c>
      <c r="N17" s="306">
        <v>2</v>
      </c>
      <c r="O17" s="179"/>
    </row>
    <row r="18" spans="2:15" ht="13.5">
      <c r="B18" s="285" t="s">
        <v>401</v>
      </c>
      <c r="C18" s="302"/>
      <c r="D18" s="303" t="s">
        <v>390</v>
      </c>
      <c r="E18" s="109" t="s">
        <v>388</v>
      </c>
      <c r="F18" s="281">
        <v>7</v>
      </c>
      <c r="G18" s="281">
        <v>9</v>
      </c>
      <c r="H18" s="281">
        <v>0</v>
      </c>
      <c r="I18" s="281">
        <v>0</v>
      </c>
      <c r="J18" s="281">
        <v>0</v>
      </c>
      <c r="K18" s="274">
        <v>0</v>
      </c>
      <c r="L18" s="282">
        <v>520000</v>
      </c>
      <c r="M18" s="281">
        <v>12</v>
      </c>
      <c r="N18" s="307">
        <v>4</v>
      </c>
      <c r="O18" s="76"/>
    </row>
    <row r="19" spans="2:15" ht="13.5">
      <c r="B19" s="286" t="s">
        <v>402</v>
      </c>
      <c r="C19" s="302"/>
      <c r="D19" s="303" t="s">
        <v>390</v>
      </c>
      <c r="E19" s="109" t="s">
        <v>388</v>
      </c>
      <c r="F19" s="257">
        <v>7</v>
      </c>
      <c r="G19" s="257">
        <v>9</v>
      </c>
      <c r="H19" s="257">
        <v>-1</v>
      </c>
      <c r="I19" s="257">
        <v>0</v>
      </c>
      <c r="J19" s="257">
        <v>0</v>
      </c>
      <c r="K19" s="274">
        <v>0</v>
      </c>
      <c r="L19" s="279">
        <v>560000</v>
      </c>
      <c r="M19" s="257">
        <v>12</v>
      </c>
      <c r="N19" s="258">
        <v>6</v>
      </c>
      <c r="O19" s="76"/>
    </row>
    <row r="20" spans="2:15" ht="13.5">
      <c r="B20" s="286" t="s">
        <v>403</v>
      </c>
      <c r="C20" s="302"/>
      <c r="D20" s="304" t="s">
        <v>387</v>
      </c>
      <c r="E20" s="109" t="s">
        <v>388</v>
      </c>
      <c r="F20" s="257">
        <v>7</v>
      </c>
      <c r="G20" s="257">
        <v>3</v>
      </c>
      <c r="H20" s="257">
        <v>1</v>
      </c>
      <c r="I20" s="257">
        <v>0</v>
      </c>
      <c r="J20" s="257">
        <v>0</v>
      </c>
      <c r="K20" s="274">
        <v>0</v>
      </c>
      <c r="L20" s="279">
        <v>730000</v>
      </c>
      <c r="M20" s="257">
        <v>4</v>
      </c>
      <c r="N20" s="258">
        <v>5</v>
      </c>
      <c r="O20" s="76"/>
    </row>
    <row r="21" spans="2:15" ht="13.5">
      <c r="B21" s="286" t="s">
        <v>404</v>
      </c>
      <c r="C21" s="302"/>
      <c r="D21" s="303" t="s">
        <v>390</v>
      </c>
      <c r="E21" s="109" t="s">
        <v>388</v>
      </c>
      <c r="F21" s="257">
        <v>8</v>
      </c>
      <c r="G21" s="257">
        <v>12</v>
      </c>
      <c r="H21" s="257">
        <v>0</v>
      </c>
      <c r="I21" s="257">
        <v>0</v>
      </c>
      <c r="J21" s="257">
        <v>0</v>
      </c>
      <c r="K21" s="274">
        <v>0</v>
      </c>
      <c r="L21" s="279">
        <v>750000</v>
      </c>
      <c r="M21" s="257">
        <v>13</v>
      </c>
      <c r="N21" s="258">
        <v>4</v>
      </c>
      <c r="O21" s="76"/>
    </row>
    <row r="22" spans="2:15" ht="13.5">
      <c r="B22" s="286" t="s">
        <v>405</v>
      </c>
      <c r="C22" s="302"/>
      <c r="D22" s="303" t="s">
        <v>390</v>
      </c>
      <c r="E22" s="109" t="s">
        <v>388</v>
      </c>
      <c r="F22" s="257">
        <v>8</v>
      </c>
      <c r="G22" s="257">
        <v>12</v>
      </c>
      <c r="H22" s="257">
        <v>-1</v>
      </c>
      <c r="I22" s="257">
        <v>0</v>
      </c>
      <c r="J22" s="257">
        <v>0</v>
      </c>
      <c r="K22" s="274">
        <v>0</v>
      </c>
      <c r="L22" s="279">
        <v>800000</v>
      </c>
      <c r="M22" s="257">
        <v>13</v>
      </c>
      <c r="N22" s="258">
        <v>5</v>
      </c>
      <c r="O22" s="76"/>
    </row>
    <row r="23" spans="2:15" ht="13.5">
      <c r="B23" s="286" t="s">
        <v>406</v>
      </c>
      <c r="C23" s="302"/>
      <c r="D23" s="303" t="s">
        <v>390</v>
      </c>
      <c r="E23" s="109" t="s">
        <v>388</v>
      </c>
      <c r="F23" s="257">
        <v>9</v>
      </c>
      <c r="G23" s="257">
        <v>18</v>
      </c>
      <c r="H23" s="257">
        <v>-2</v>
      </c>
      <c r="I23" s="257">
        <v>0</v>
      </c>
      <c r="J23" s="257">
        <v>0</v>
      </c>
      <c r="K23" s="274">
        <v>0</v>
      </c>
      <c r="L23" s="279">
        <v>1200000</v>
      </c>
      <c r="M23" s="257">
        <v>22</v>
      </c>
      <c r="N23" s="258">
        <v>0</v>
      </c>
      <c r="O23" s="156"/>
    </row>
    <row r="24" spans="2:15" ht="13.5">
      <c r="B24" s="286" t="s">
        <v>407</v>
      </c>
      <c r="C24" s="302"/>
      <c r="D24" s="303" t="s">
        <v>390</v>
      </c>
      <c r="E24" s="109" t="s">
        <v>388</v>
      </c>
      <c r="F24" s="257">
        <v>9</v>
      </c>
      <c r="G24" s="257">
        <v>14</v>
      </c>
      <c r="H24" s="257">
        <v>-1</v>
      </c>
      <c r="I24" s="73">
        <v>0</v>
      </c>
      <c r="J24" s="73">
        <v>0</v>
      </c>
      <c r="K24" s="301">
        <v>0</v>
      </c>
      <c r="L24" s="279">
        <v>940000</v>
      </c>
      <c r="M24" s="257">
        <v>16</v>
      </c>
      <c r="N24" s="258">
        <v>4</v>
      </c>
      <c r="O24" s="76"/>
    </row>
    <row r="25" spans="2:15" ht="13.5">
      <c r="B25" s="286" t="s">
        <v>408</v>
      </c>
      <c r="C25" s="302"/>
      <c r="D25" s="304" t="s">
        <v>387</v>
      </c>
      <c r="E25" s="109" t="s">
        <v>388</v>
      </c>
      <c r="F25" s="257">
        <v>9</v>
      </c>
      <c r="G25" s="257">
        <v>5</v>
      </c>
      <c r="H25" s="257">
        <v>0</v>
      </c>
      <c r="I25" s="73">
        <v>0</v>
      </c>
      <c r="J25" s="73">
        <v>0</v>
      </c>
      <c r="K25" s="274">
        <v>0</v>
      </c>
      <c r="L25" s="279">
        <v>980000</v>
      </c>
      <c r="M25" s="257">
        <f>2+キャラクターシート!K19</f>
        <v>4</v>
      </c>
      <c r="N25" s="258">
        <f>2+キャラクターシート!K19</f>
        <v>4</v>
      </c>
      <c r="O25" s="76"/>
    </row>
    <row r="26" spans="2:15" ht="13.5">
      <c r="B26" s="286" t="s">
        <v>409</v>
      </c>
      <c r="C26" s="302"/>
      <c r="D26" s="303" t="s">
        <v>390</v>
      </c>
      <c r="E26" s="109" t="s">
        <v>388</v>
      </c>
      <c r="F26" s="257">
        <v>10</v>
      </c>
      <c r="G26" s="257">
        <v>13</v>
      </c>
      <c r="H26" s="257">
        <v>-2</v>
      </c>
      <c r="I26" s="73">
        <v>0</v>
      </c>
      <c r="J26" s="73">
        <v>0</v>
      </c>
      <c r="K26" s="274">
        <v>0</v>
      </c>
      <c r="L26" s="279">
        <v>1280000</v>
      </c>
      <c r="M26" s="257">
        <v>12</v>
      </c>
      <c r="N26" s="258">
        <v>3</v>
      </c>
      <c r="O26" s="76"/>
    </row>
    <row r="27" spans="2:15" ht="13.5">
      <c r="B27" s="286" t="s">
        <v>410</v>
      </c>
      <c r="C27" s="302"/>
      <c r="D27" s="304" t="s">
        <v>387</v>
      </c>
      <c r="E27" s="109" t="s">
        <v>388</v>
      </c>
      <c r="F27" s="257">
        <v>11</v>
      </c>
      <c r="G27" s="257">
        <v>6</v>
      </c>
      <c r="H27" s="257">
        <v>0</v>
      </c>
      <c r="I27" s="73">
        <v>0</v>
      </c>
      <c r="J27" s="73">
        <v>1</v>
      </c>
      <c r="K27" s="274">
        <v>0</v>
      </c>
      <c r="L27" s="279">
        <v>940000</v>
      </c>
      <c r="M27" s="257">
        <v>7</v>
      </c>
      <c r="N27" s="258">
        <v>8</v>
      </c>
      <c r="O27" s="76"/>
    </row>
    <row r="28" spans="2:15" ht="13.5">
      <c r="B28" s="286" t="s">
        <v>411</v>
      </c>
      <c r="C28" s="302"/>
      <c r="D28" s="303" t="s">
        <v>390</v>
      </c>
      <c r="E28" s="109" t="s">
        <v>388</v>
      </c>
      <c r="F28" s="257">
        <v>11</v>
      </c>
      <c r="G28" s="257">
        <v>28</v>
      </c>
      <c r="H28" s="257">
        <v>-6</v>
      </c>
      <c r="I28" s="257">
        <v>0</v>
      </c>
      <c r="J28" s="257">
        <v>0</v>
      </c>
      <c r="K28" s="274">
        <v>0</v>
      </c>
      <c r="L28" s="279">
        <v>1300000</v>
      </c>
      <c r="M28" s="257">
        <v>28</v>
      </c>
      <c r="N28" s="258">
        <v>0</v>
      </c>
      <c r="O28" s="76"/>
    </row>
    <row r="29" spans="2:15" ht="13.5">
      <c r="B29" s="286" t="s">
        <v>412</v>
      </c>
      <c r="C29" s="302"/>
      <c r="D29" s="304" t="s">
        <v>390</v>
      </c>
      <c r="E29" s="109" t="s">
        <v>388</v>
      </c>
      <c r="F29" s="257">
        <v>12</v>
      </c>
      <c r="G29" s="257">
        <v>16</v>
      </c>
      <c r="H29" s="257">
        <v>-1</v>
      </c>
      <c r="I29" s="281">
        <v>0</v>
      </c>
      <c r="J29" s="281">
        <v>0</v>
      </c>
      <c r="K29" s="274">
        <v>0</v>
      </c>
      <c r="L29" s="279">
        <v>1400000</v>
      </c>
      <c r="M29" s="257">
        <v>20</v>
      </c>
      <c r="N29" s="258">
        <v>6</v>
      </c>
      <c r="O29" s="76"/>
    </row>
    <row r="30" spans="2:15" ht="13.5">
      <c r="B30" s="286" t="s">
        <v>413</v>
      </c>
      <c r="C30" s="302"/>
      <c r="D30" s="303" t="s">
        <v>390</v>
      </c>
      <c r="E30" s="109" t="s">
        <v>388</v>
      </c>
      <c r="F30" s="257">
        <v>12</v>
      </c>
      <c r="G30" s="257">
        <v>15</v>
      </c>
      <c r="H30" s="257">
        <v>-1</v>
      </c>
      <c r="I30" s="281">
        <v>0</v>
      </c>
      <c r="J30" s="281">
        <v>0</v>
      </c>
      <c r="K30" s="274">
        <v>0</v>
      </c>
      <c r="L30" s="279">
        <v>1450000</v>
      </c>
      <c r="M30" s="257">
        <v>17</v>
      </c>
      <c r="N30" s="258">
        <v>5</v>
      </c>
      <c r="O30" s="76"/>
    </row>
    <row r="31" spans="2:15" ht="13.5">
      <c r="B31" s="286" t="s">
        <v>414</v>
      </c>
      <c r="C31" s="302"/>
      <c r="D31" s="304" t="s">
        <v>387</v>
      </c>
      <c r="E31" s="109" t="s">
        <v>388</v>
      </c>
      <c r="F31" s="257">
        <v>12</v>
      </c>
      <c r="G31" s="257">
        <v>5</v>
      </c>
      <c r="H31" s="257">
        <v>0</v>
      </c>
      <c r="I31" s="257">
        <v>0</v>
      </c>
      <c r="J31" s="257">
        <v>0</v>
      </c>
      <c r="K31" s="274">
        <v>0</v>
      </c>
      <c r="L31" s="279">
        <v>1400000</v>
      </c>
      <c r="M31" s="257">
        <v>2</v>
      </c>
      <c r="N31" s="258">
        <v>-6</v>
      </c>
      <c r="O31" s="76"/>
    </row>
    <row r="32" spans="2:15" ht="13.5">
      <c r="B32" s="286" t="s">
        <v>415</v>
      </c>
      <c r="C32" s="302"/>
      <c r="D32" s="303" t="s">
        <v>390</v>
      </c>
      <c r="E32" s="109" t="s">
        <v>388</v>
      </c>
      <c r="F32" s="257">
        <v>13</v>
      </c>
      <c r="G32" s="257">
        <v>15</v>
      </c>
      <c r="H32" s="257">
        <v>-2</v>
      </c>
      <c r="I32" s="257">
        <v>0</v>
      </c>
      <c r="J32" s="257">
        <v>0</v>
      </c>
      <c r="K32" s="274">
        <v>0</v>
      </c>
      <c r="L32" s="279">
        <v>1780000</v>
      </c>
      <c r="M32" s="257">
        <v>18</v>
      </c>
      <c r="N32" s="258">
        <v>7</v>
      </c>
      <c r="O32" s="76"/>
    </row>
    <row r="33" spans="2:15" ht="13.5">
      <c r="B33" s="286" t="s">
        <v>416</v>
      </c>
      <c r="C33" s="302"/>
      <c r="D33" s="304" t="s">
        <v>387</v>
      </c>
      <c r="E33" s="109" t="s">
        <v>388</v>
      </c>
      <c r="F33" s="257">
        <v>13</v>
      </c>
      <c r="G33" s="257">
        <v>6</v>
      </c>
      <c r="H33" s="257">
        <v>0</v>
      </c>
      <c r="I33" s="257">
        <v>0</v>
      </c>
      <c r="J33" s="257">
        <v>0</v>
      </c>
      <c r="K33" s="301">
        <v>0</v>
      </c>
      <c r="L33" s="279">
        <v>1550000</v>
      </c>
      <c r="M33" s="257">
        <v>12</v>
      </c>
      <c r="N33" s="258">
        <v>10</v>
      </c>
      <c r="O33" s="76"/>
    </row>
    <row r="34" spans="2:15" ht="13.5">
      <c r="B34" s="286" t="s">
        <v>417</v>
      </c>
      <c r="C34" s="302"/>
      <c r="D34" s="303" t="s">
        <v>390</v>
      </c>
      <c r="E34" s="109" t="s">
        <v>388</v>
      </c>
      <c r="F34" s="257">
        <v>14</v>
      </c>
      <c r="G34" s="257">
        <v>13</v>
      </c>
      <c r="H34" s="257">
        <v>-1</v>
      </c>
      <c r="I34" s="257">
        <v>0</v>
      </c>
      <c r="J34" s="257">
        <v>0</v>
      </c>
      <c r="K34" s="301">
        <v>0</v>
      </c>
      <c r="L34" s="279">
        <v>1900000</v>
      </c>
      <c r="M34" s="257">
        <v>20</v>
      </c>
      <c r="N34" s="258">
        <v>7</v>
      </c>
      <c r="O34" s="76"/>
    </row>
    <row r="35" spans="2:15" ht="13.5">
      <c r="B35" s="286" t="s">
        <v>418</v>
      </c>
      <c r="C35" s="302"/>
      <c r="D35" s="304" t="s">
        <v>387</v>
      </c>
      <c r="E35" s="109" t="s">
        <v>388</v>
      </c>
      <c r="F35" s="257">
        <v>14</v>
      </c>
      <c r="G35" s="257">
        <v>5</v>
      </c>
      <c r="H35" s="257">
        <v>0</v>
      </c>
      <c r="I35" s="257">
        <v>0</v>
      </c>
      <c r="J35" s="257">
        <v>0</v>
      </c>
      <c r="K35" s="274">
        <v>0</v>
      </c>
      <c r="L35" s="279">
        <v>1800000</v>
      </c>
      <c r="M35" s="257">
        <v>6</v>
      </c>
      <c r="N35" s="258">
        <v>12</v>
      </c>
      <c r="O35" s="76"/>
    </row>
    <row r="36" spans="2:15" ht="13.5">
      <c r="B36" s="286"/>
      <c r="C36" s="302"/>
      <c r="D36" s="228"/>
      <c r="E36" s="109"/>
      <c r="F36" s="257"/>
      <c r="G36" s="257"/>
      <c r="H36" s="257"/>
      <c r="I36" s="257"/>
      <c r="J36" s="257"/>
      <c r="K36" s="274">
        <v>0</v>
      </c>
      <c r="L36" s="279">
        <v>0</v>
      </c>
      <c r="M36" s="257">
        <v>0</v>
      </c>
      <c r="N36" s="258"/>
      <c r="O36" s="76"/>
    </row>
    <row r="37" spans="2:15" ht="13.5">
      <c r="B37" s="286"/>
      <c r="C37" s="302"/>
      <c r="D37" s="228"/>
      <c r="E37" s="109"/>
      <c r="F37" s="257"/>
      <c r="G37" s="257"/>
      <c r="H37" s="257"/>
      <c r="I37" s="257"/>
      <c r="J37" s="257"/>
      <c r="K37" s="274">
        <v>0</v>
      </c>
      <c r="L37" s="279">
        <v>0</v>
      </c>
      <c r="M37" s="257">
        <v>0</v>
      </c>
      <c r="N37" s="258"/>
      <c r="O37" s="76"/>
    </row>
    <row r="38" spans="2:15" ht="13.5">
      <c r="B38" s="286"/>
      <c r="C38" s="302"/>
      <c r="D38" s="228"/>
      <c r="E38" s="109"/>
      <c r="F38" s="257"/>
      <c r="G38" s="257"/>
      <c r="H38" s="257"/>
      <c r="I38" s="257"/>
      <c r="J38" s="257"/>
      <c r="K38" s="274">
        <v>0</v>
      </c>
      <c r="L38" s="279">
        <v>0</v>
      </c>
      <c r="M38" s="257">
        <v>0</v>
      </c>
      <c r="N38" s="258"/>
      <c r="O38" s="76"/>
    </row>
    <row r="39" spans="2:15" ht="13.5">
      <c r="B39" s="286"/>
      <c r="C39" s="302"/>
      <c r="D39" s="228"/>
      <c r="E39" s="109"/>
      <c r="F39" s="257"/>
      <c r="G39" s="257"/>
      <c r="H39" s="257"/>
      <c r="I39" s="257"/>
      <c r="J39" s="257"/>
      <c r="K39" s="274">
        <v>0</v>
      </c>
      <c r="L39" s="279">
        <v>0</v>
      </c>
      <c r="M39" s="257">
        <v>0</v>
      </c>
      <c r="N39" s="258"/>
      <c r="O39" s="76"/>
    </row>
    <row r="40" spans="2:15" ht="13.5">
      <c r="B40" s="286"/>
      <c r="C40" s="302"/>
      <c r="D40" s="228"/>
      <c r="E40" s="109"/>
      <c r="F40" s="257"/>
      <c r="G40" s="257"/>
      <c r="H40" s="257"/>
      <c r="I40" s="257"/>
      <c r="J40" s="257"/>
      <c r="K40" s="274">
        <v>0</v>
      </c>
      <c r="L40" s="279">
        <v>0</v>
      </c>
      <c r="M40" s="257">
        <v>0</v>
      </c>
      <c r="N40" s="258"/>
      <c r="O40" s="76"/>
    </row>
    <row r="41" spans="2:15" ht="13.5">
      <c r="B41" s="286"/>
      <c r="C41" s="302"/>
      <c r="D41" s="228"/>
      <c r="E41" s="109"/>
      <c r="F41" s="257"/>
      <c r="G41" s="257"/>
      <c r="H41" s="257"/>
      <c r="I41" s="257"/>
      <c r="J41" s="257"/>
      <c r="K41" s="274">
        <v>0</v>
      </c>
      <c r="L41" s="279">
        <v>0</v>
      </c>
      <c r="M41" s="257">
        <v>0</v>
      </c>
      <c r="N41" s="258"/>
      <c r="O41" s="76"/>
    </row>
    <row r="42" spans="2:15" ht="13.5">
      <c r="B42" s="286"/>
      <c r="C42" s="302"/>
      <c r="D42" s="308"/>
      <c r="E42" s="235"/>
      <c r="F42" s="264"/>
      <c r="G42" s="264"/>
      <c r="H42" s="264"/>
      <c r="I42" s="264"/>
      <c r="J42" s="264"/>
      <c r="K42" s="309">
        <v>0</v>
      </c>
      <c r="L42" s="289">
        <v>0</v>
      </c>
      <c r="M42" s="264">
        <v>0</v>
      </c>
      <c r="N42" s="265"/>
      <c r="O42" s="76"/>
    </row>
    <row r="43" spans="2:15" ht="13.5">
      <c r="B43" s="294" t="s">
        <v>116</v>
      </c>
      <c r="C43" s="295"/>
      <c r="D43" s="296">
        <v>0</v>
      </c>
      <c r="E43" s="297">
        <v>0</v>
      </c>
      <c r="F43" s="297">
        <v>0</v>
      </c>
      <c r="G43" s="297">
        <v>0</v>
      </c>
      <c r="H43" s="297">
        <v>0</v>
      </c>
      <c r="I43" s="298">
        <v>0</v>
      </c>
      <c r="J43" s="297">
        <v>0</v>
      </c>
      <c r="K43" s="274">
        <v>0</v>
      </c>
      <c r="L43" s="297">
        <v>0</v>
      </c>
      <c r="M43" s="297">
        <v>0</v>
      </c>
      <c r="N43" s="299">
        <v>0</v>
      </c>
      <c r="O43" s="177"/>
    </row>
    <row r="44" spans="2:15" ht="13.5">
      <c r="B44" s="272" t="s">
        <v>419</v>
      </c>
      <c r="C44" s="300"/>
      <c r="D44" s="228" t="s">
        <v>420</v>
      </c>
      <c r="E44" s="109" t="s">
        <v>117</v>
      </c>
      <c r="F44" s="73">
        <v>1</v>
      </c>
      <c r="G44" s="73">
        <v>2</v>
      </c>
      <c r="H44" s="73">
        <v>0</v>
      </c>
      <c r="I44" s="73">
        <v>0</v>
      </c>
      <c r="J44" s="73">
        <v>0</v>
      </c>
      <c r="K44" s="274">
        <v>0</v>
      </c>
      <c r="L44" s="279">
        <v>10000</v>
      </c>
      <c r="M44" s="73">
        <v>1</v>
      </c>
      <c r="N44" s="128">
        <v>0</v>
      </c>
      <c r="O44" s="179"/>
    </row>
    <row r="45" spans="2:15" ht="13.5">
      <c r="B45" s="272" t="s">
        <v>421</v>
      </c>
      <c r="C45" s="300"/>
      <c r="D45" s="228" t="s">
        <v>420</v>
      </c>
      <c r="E45" s="109" t="s">
        <v>117</v>
      </c>
      <c r="F45" s="73">
        <v>1</v>
      </c>
      <c r="G45" s="73">
        <v>4</v>
      </c>
      <c r="H45" s="73">
        <v>0</v>
      </c>
      <c r="I45" s="73">
        <v>0</v>
      </c>
      <c r="J45" s="73">
        <v>0</v>
      </c>
      <c r="K45" s="274">
        <v>0</v>
      </c>
      <c r="L45" s="279">
        <v>30000</v>
      </c>
      <c r="M45" s="73">
        <v>2</v>
      </c>
      <c r="N45" s="128">
        <v>0</v>
      </c>
      <c r="O45" s="179"/>
    </row>
    <row r="46" spans="2:15" ht="13.5">
      <c r="B46" s="272" t="s">
        <v>422</v>
      </c>
      <c r="C46" s="300"/>
      <c r="D46" s="228" t="s">
        <v>420</v>
      </c>
      <c r="E46" s="109" t="s">
        <v>117</v>
      </c>
      <c r="F46" s="73">
        <v>3</v>
      </c>
      <c r="G46" s="73">
        <v>5</v>
      </c>
      <c r="H46" s="73">
        <v>-1</v>
      </c>
      <c r="I46" s="73">
        <v>0</v>
      </c>
      <c r="J46" s="73">
        <v>0</v>
      </c>
      <c r="K46" s="274">
        <v>0</v>
      </c>
      <c r="L46" s="279">
        <v>50000</v>
      </c>
      <c r="M46" s="73">
        <v>5</v>
      </c>
      <c r="N46" s="128">
        <v>0</v>
      </c>
      <c r="O46" s="179"/>
    </row>
    <row r="47" spans="2:15" ht="13.5">
      <c r="B47" s="272" t="s">
        <v>423</v>
      </c>
      <c r="C47" s="300"/>
      <c r="D47" s="228" t="s">
        <v>420</v>
      </c>
      <c r="E47" s="109" t="s">
        <v>117</v>
      </c>
      <c r="F47" s="73">
        <v>5</v>
      </c>
      <c r="G47" s="73">
        <v>2</v>
      </c>
      <c r="H47" s="73">
        <v>0</v>
      </c>
      <c r="I47" s="73">
        <v>0</v>
      </c>
      <c r="J47" s="73">
        <v>0</v>
      </c>
      <c r="K47" s="274">
        <v>0</v>
      </c>
      <c r="L47" s="279">
        <v>200000</v>
      </c>
      <c r="M47" s="73">
        <v>2</v>
      </c>
      <c r="N47" s="128">
        <v>3</v>
      </c>
      <c r="O47" s="179"/>
    </row>
    <row r="48" spans="2:15" ht="13.5">
      <c r="B48" s="286" t="s">
        <v>424</v>
      </c>
      <c r="C48" s="302"/>
      <c r="D48" s="228" t="s">
        <v>420</v>
      </c>
      <c r="E48" s="109" t="s">
        <v>117</v>
      </c>
      <c r="F48" s="257">
        <v>4</v>
      </c>
      <c r="G48" s="257">
        <v>3</v>
      </c>
      <c r="H48" s="257">
        <v>-1</v>
      </c>
      <c r="I48" s="257">
        <v>0</v>
      </c>
      <c r="J48" s="257">
        <v>0</v>
      </c>
      <c r="K48" s="274">
        <v>0</v>
      </c>
      <c r="L48" s="279">
        <v>280000</v>
      </c>
      <c r="M48" s="257">
        <v>2</v>
      </c>
      <c r="N48" s="258">
        <v>5</v>
      </c>
      <c r="O48" s="76"/>
    </row>
    <row r="49" spans="2:15" ht="13.5">
      <c r="B49" s="286" t="s">
        <v>425</v>
      </c>
      <c r="C49" s="302"/>
      <c r="D49" s="228" t="s">
        <v>420</v>
      </c>
      <c r="E49" s="109" t="s">
        <v>117</v>
      </c>
      <c r="F49" s="257">
        <v>5</v>
      </c>
      <c r="G49" s="257">
        <v>5</v>
      </c>
      <c r="H49" s="257">
        <v>1</v>
      </c>
      <c r="I49" s="257">
        <v>0</v>
      </c>
      <c r="J49" s="257">
        <v>0</v>
      </c>
      <c r="K49" s="274">
        <v>0</v>
      </c>
      <c r="L49" s="279">
        <v>380000</v>
      </c>
      <c r="M49" s="257">
        <v>0</v>
      </c>
      <c r="N49" s="258">
        <v>1</v>
      </c>
      <c r="O49" s="76"/>
    </row>
    <row r="50" spans="2:15" ht="13.5">
      <c r="B50" s="286" t="s">
        <v>426</v>
      </c>
      <c r="C50" s="302"/>
      <c r="D50" s="228" t="s">
        <v>420</v>
      </c>
      <c r="E50" s="109" t="s">
        <v>117</v>
      </c>
      <c r="F50" s="257">
        <v>6</v>
      </c>
      <c r="G50" s="257">
        <v>5</v>
      </c>
      <c r="H50" s="257">
        <v>-1</v>
      </c>
      <c r="I50" s="257">
        <v>0</v>
      </c>
      <c r="J50" s="257">
        <v>0</v>
      </c>
      <c r="K50" s="274">
        <v>0</v>
      </c>
      <c r="L50" s="279">
        <v>420000</v>
      </c>
      <c r="M50" s="257">
        <v>5</v>
      </c>
      <c r="N50" s="258">
        <v>2</v>
      </c>
      <c r="O50" s="76"/>
    </row>
    <row r="51" spans="2:15" ht="13.5">
      <c r="B51" s="286" t="s">
        <v>427</v>
      </c>
      <c r="C51" s="302"/>
      <c r="D51" s="228" t="s">
        <v>420</v>
      </c>
      <c r="E51" s="109" t="s">
        <v>117</v>
      </c>
      <c r="F51" s="257">
        <v>8</v>
      </c>
      <c r="G51" s="257">
        <v>9</v>
      </c>
      <c r="H51" s="257">
        <v>-2</v>
      </c>
      <c r="I51" s="257">
        <v>0</v>
      </c>
      <c r="J51" s="257">
        <v>0</v>
      </c>
      <c r="K51" s="301">
        <v>0</v>
      </c>
      <c r="L51" s="279">
        <v>640000</v>
      </c>
      <c r="M51" s="257">
        <v>8</v>
      </c>
      <c r="N51" s="258">
        <v>2</v>
      </c>
      <c r="O51" s="76"/>
    </row>
    <row r="52" spans="2:15" ht="13.5">
      <c r="B52" s="286" t="s">
        <v>428</v>
      </c>
      <c r="C52" s="302"/>
      <c r="D52" s="228" t="s">
        <v>420</v>
      </c>
      <c r="E52" s="109" t="s">
        <v>117</v>
      </c>
      <c r="F52" s="257">
        <v>10</v>
      </c>
      <c r="G52" s="257">
        <v>1</v>
      </c>
      <c r="H52" s="257">
        <v>-3</v>
      </c>
      <c r="I52" s="257">
        <v>0</v>
      </c>
      <c r="J52" s="257">
        <v>0</v>
      </c>
      <c r="K52" s="301">
        <v>0</v>
      </c>
      <c r="L52" s="279">
        <v>950000</v>
      </c>
      <c r="M52" s="257">
        <v>6</v>
      </c>
      <c r="N52" s="258">
        <v>4</v>
      </c>
      <c r="O52" s="76"/>
    </row>
    <row r="53" spans="2:15" ht="13.5">
      <c r="B53" s="286" t="s">
        <v>429</v>
      </c>
      <c r="C53" s="302"/>
      <c r="D53" s="228" t="s">
        <v>420</v>
      </c>
      <c r="E53" s="109" t="s">
        <v>117</v>
      </c>
      <c r="F53" s="257">
        <v>12</v>
      </c>
      <c r="G53" s="257">
        <v>6</v>
      </c>
      <c r="H53" s="257">
        <v>-2</v>
      </c>
      <c r="I53" s="257">
        <v>0</v>
      </c>
      <c r="J53" s="257">
        <v>0</v>
      </c>
      <c r="K53" s="310">
        <v>0</v>
      </c>
      <c r="L53" s="279">
        <v>1000000</v>
      </c>
      <c r="M53" s="257">
        <v>0</v>
      </c>
      <c r="N53" s="258">
        <v>8</v>
      </c>
      <c r="O53" s="76"/>
    </row>
    <row r="54" spans="2:15" ht="13.5">
      <c r="B54" s="286"/>
      <c r="C54" s="302"/>
      <c r="D54" s="228"/>
      <c r="E54" s="109"/>
      <c r="F54" s="257"/>
      <c r="G54" s="257"/>
      <c r="H54" s="257"/>
      <c r="I54" s="257"/>
      <c r="J54" s="257"/>
      <c r="K54" s="257"/>
      <c r="L54" s="279">
        <v>0</v>
      </c>
      <c r="M54" s="257">
        <v>0</v>
      </c>
      <c r="N54" s="258"/>
      <c r="O54" s="76"/>
    </row>
    <row r="55" spans="2:15" ht="13.5">
      <c r="B55" s="286"/>
      <c r="C55" s="302"/>
      <c r="D55" s="228"/>
      <c r="E55" s="109"/>
      <c r="F55" s="257"/>
      <c r="G55" s="257"/>
      <c r="H55" s="257"/>
      <c r="I55" s="257"/>
      <c r="J55" s="257"/>
      <c r="K55" s="257"/>
      <c r="L55" s="279">
        <v>0</v>
      </c>
      <c r="M55" s="257">
        <v>0</v>
      </c>
      <c r="N55" s="258"/>
      <c r="O55" s="76"/>
    </row>
    <row r="56" spans="2:15" ht="13.5">
      <c r="B56" s="286"/>
      <c r="C56" s="302"/>
      <c r="D56" s="228"/>
      <c r="E56" s="109"/>
      <c r="F56" s="257"/>
      <c r="G56" s="257"/>
      <c r="H56" s="257"/>
      <c r="I56" s="257"/>
      <c r="J56" s="257"/>
      <c r="K56" s="257"/>
      <c r="L56" s="279">
        <v>0</v>
      </c>
      <c r="M56" s="257">
        <v>0</v>
      </c>
      <c r="N56" s="258"/>
      <c r="O56" s="76"/>
    </row>
    <row r="57" spans="2:15" ht="13.5">
      <c r="B57" s="286"/>
      <c r="C57" s="302"/>
      <c r="D57" s="228"/>
      <c r="E57" s="109"/>
      <c r="F57" s="257"/>
      <c r="G57" s="257"/>
      <c r="H57" s="257"/>
      <c r="I57" s="257"/>
      <c r="J57" s="257"/>
      <c r="K57" s="257"/>
      <c r="L57" s="279">
        <v>0</v>
      </c>
      <c r="M57" s="257">
        <v>0</v>
      </c>
      <c r="N57" s="258"/>
      <c r="O57" s="76"/>
    </row>
    <row r="58" spans="2:15" ht="13.5">
      <c r="B58" s="286"/>
      <c r="C58" s="302"/>
      <c r="D58" s="228"/>
      <c r="E58" s="109"/>
      <c r="F58" s="257"/>
      <c r="G58" s="257"/>
      <c r="H58" s="257"/>
      <c r="I58" s="257"/>
      <c r="J58" s="257"/>
      <c r="K58" s="257"/>
      <c r="L58" s="279">
        <v>0</v>
      </c>
      <c r="M58" s="257">
        <v>0</v>
      </c>
      <c r="N58" s="258"/>
      <c r="O58" s="76"/>
    </row>
    <row r="59" spans="2:15" ht="13.5">
      <c r="B59" s="286"/>
      <c r="C59" s="302"/>
      <c r="D59" s="228"/>
      <c r="E59" s="109"/>
      <c r="F59" s="257"/>
      <c r="G59" s="257"/>
      <c r="H59" s="257"/>
      <c r="I59" s="257"/>
      <c r="J59" s="257"/>
      <c r="K59" s="257"/>
      <c r="L59" s="279">
        <v>0</v>
      </c>
      <c r="M59" s="257">
        <v>0</v>
      </c>
      <c r="N59" s="258"/>
      <c r="O59" s="76"/>
    </row>
    <row r="60" spans="2:15" ht="13.5">
      <c r="B60" s="286"/>
      <c r="C60" s="302"/>
      <c r="D60" s="228"/>
      <c r="E60" s="109"/>
      <c r="F60" s="257"/>
      <c r="G60" s="257"/>
      <c r="H60" s="257"/>
      <c r="I60" s="257"/>
      <c r="J60" s="257"/>
      <c r="K60" s="257"/>
      <c r="L60" s="279">
        <v>0</v>
      </c>
      <c r="M60" s="257">
        <v>0</v>
      </c>
      <c r="N60" s="258"/>
      <c r="O60" s="76"/>
    </row>
    <row r="61" spans="2:15" ht="13.5">
      <c r="B61" s="311"/>
      <c r="C61" s="312"/>
      <c r="D61" s="228"/>
      <c r="E61" s="109"/>
      <c r="F61" s="257"/>
      <c r="G61" s="257"/>
      <c r="H61" s="257"/>
      <c r="I61" s="257"/>
      <c r="J61" s="257"/>
      <c r="K61" s="257"/>
      <c r="L61" s="279">
        <v>0</v>
      </c>
      <c r="M61" s="257">
        <v>0</v>
      </c>
      <c r="N61" s="258"/>
      <c r="O61" s="76"/>
    </row>
    <row r="62" spans="2:15" ht="13.5">
      <c r="B62" s="272" t="s">
        <v>116</v>
      </c>
      <c r="C62" s="300"/>
      <c r="D62" s="296">
        <v>0</v>
      </c>
      <c r="E62" s="297">
        <v>0</v>
      </c>
      <c r="F62" s="297">
        <v>0</v>
      </c>
      <c r="G62" s="297">
        <v>0</v>
      </c>
      <c r="H62" s="297">
        <v>0</v>
      </c>
      <c r="I62" s="298">
        <v>0</v>
      </c>
      <c r="J62" s="297">
        <v>0</v>
      </c>
      <c r="K62" s="313">
        <v>0</v>
      </c>
      <c r="L62" s="297">
        <v>0</v>
      </c>
      <c r="M62" s="297">
        <v>0</v>
      </c>
      <c r="N62" s="299">
        <v>0</v>
      </c>
      <c r="O62" s="177"/>
    </row>
    <row r="63" spans="2:15" ht="13.5">
      <c r="B63" s="272" t="s">
        <v>430</v>
      </c>
      <c r="C63" s="300"/>
      <c r="D63" s="228" t="s">
        <v>431</v>
      </c>
      <c r="E63" s="109" t="s">
        <v>431</v>
      </c>
      <c r="F63" s="73">
        <v>1</v>
      </c>
      <c r="G63" s="73">
        <v>1</v>
      </c>
      <c r="H63" s="73">
        <v>0</v>
      </c>
      <c r="I63" s="73">
        <v>0</v>
      </c>
      <c r="J63" s="73">
        <v>0</v>
      </c>
      <c r="K63" s="274">
        <v>0</v>
      </c>
      <c r="L63" s="279">
        <v>40000</v>
      </c>
      <c r="M63" s="73">
        <v>0</v>
      </c>
      <c r="N63" s="128">
        <v>1</v>
      </c>
      <c r="O63" s="179"/>
    </row>
    <row r="64" spans="2:15" ht="13.5">
      <c r="B64" s="272" t="s">
        <v>432</v>
      </c>
      <c r="C64" s="300"/>
      <c r="D64" s="228" t="s">
        <v>431</v>
      </c>
      <c r="E64" s="109" t="s">
        <v>431</v>
      </c>
      <c r="F64" s="73">
        <v>1</v>
      </c>
      <c r="G64" s="73">
        <v>1</v>
      </c>
      <c r="H64" s="73">
        <v>1</v>
      </c>
      <c r="I64" s="73">
        <v>0</v>
      </c>
      <c r="J64" s="73">
        <v>0</v>
      </c>
      <c r="K64" s="274">
        <v>0</v>
      </c>
      <c r="L64" s="279">
        <v>150000</v>
      </c>
      <c r="M64" s="73">
        <v>1</v>
      </c>
      <c r="N64" s="128">
        <v>0</v>
      </c>
      <c r="O64" s="179"/>
    </row>
    <row r="65" spans="2:15" ht="13.5">
      <c r="B65" s="286" t="s">
        <v>433</v>
      </c>
      <c r="C65" s="302"/>
      <c r="D65" s="228" t="s">
        <v>431</v>
      </c>
      <c r="E65" s="109" t="s">
        <v>431</v>
      </c>
      <c r="F65" s="257">
        <v>1</v>
      </c>
      <c r="G65" s="257">
        <v>1</v>
      </c>
      <c r="H65" s="257">
        <v>0</v>
      </c>
      <c r="I65" s="257">
        <v>0</v>
      </c>
      <c r="J65" s="257">
        <v>0</v>
      </c>
      <c r="K65" s="274">
        <v>0</v>
      </c>
      <c r="L65" s="279">
        <v>150000</v>
      </c>
      <c r="M65" s="257">
        <v>0</v>
      </c>
      <c r="N65" s="258">
        <v>0</v>
      </c>
      <c r="O65" s="76"/>
    </row>
    <row r="66" spans="2:15" ht="13.5">
      <c r="B66" s="286" t="s">
        <v>434</v>
      </c>
      <c r="C66" s="302"/>
      <c r="D66" s="228" t="s">
        <v>431</v>
      </c>
      <c r="E66" s="109" t="s">
        <v>431</v>
      </c>
      <c r="F66" s="257">
        <v>2</v>
      </c>
      <c r="G66" s="257">
        <v>1</v>
      </c>
      <c r="H66" s="257">
        <v>0</v>
      </c>
      <c r="I66" s="257">
        <v>0</v>
      </c>
      <c r="J66" s="257">
        <v>0</v>
      </c>
      <c r="K66" s="274">
        <v>0</v>
      </c>
      <c r="L66" s="279">
        <v>250000</v>
      </c>
      <c r="M66" s="257">
        <v>0</v>
      </c>
      <c r="N66" s="258">
        <v>0</v>
      </c>
      <c r="O66" s="76"/>
    </row>
    <row r="67" spans="2:15" ht="13.5">
      <c r="B67" s="286" t="s">
        <v>435</v>
      </c>
      <c r="C67" s="302"/>
      <c r="D67" s="228" t="s">
        <v>431</v>
      </c>
      <c r="E67" s="109" t="s">
        <v>431</v>
      </c>
      <c r="F67" s="257">
        <v>3</v>
      </c>
      <c r="G67" s="257">
        <v>1</v>
      </c>
      <c r="H67" s="257">
        <v>0</v>
      </c>
      <c r="I67" s="257">
        <v>0</v>
      </c>
      <c r="J67" s="257">
        <v>0</v>
      </c>
      <c r="K67" s="274">
        <v>0</v>
      </c>
      <c r="L67" s="279">
        <v>150000</v>
      </c>
      <c r="M67" s="257">
        <v>0</v>
      </c>
      <c r="N67" s="258">
        <v>0</v>
      </c>
      <c r="O67" s="76"/>
    </row>
    <row r="68" spans="2:15" ht="13.5">
      <c r="B68" s="286" t="s">
        <v>436</v>
      </c>
      <c r="C68" s="302"/>
      <c r="D68" s="228" t="s">
        <v>431</v>
      </c>
      <c r="E68" s="109" t="s">
        <v>431</v>
      </c>
      <c r="F68" s="257">
        <v>4</v>
      </c>
      <c r="G68" s="257">
        <v>1</v>
      </c>
      <c r="H68" s="257">
        <v>0</v>
      </c>
      <c r="I68" s="257">
        <v>0</v>
      </c>
      <c r="J68" s="257">
        <v>0</v>
      </c>
      <c r="K68" s="274">
        <v>0</v>
      </c>
      <c r="L68" s="279">
        <v>300000</v>
      </c>
      <c r="M68" s="257">
        <v>0</v>
      </c>
      <c r="N68" s="258">
        <v>1</v>
      </c>
      <c r="O68" s="76"/>
    </row>
    <row r="69" spans="2:15" ht="13.5">
      <c r="B69" s="286" t="s">
        <v>437</v>
      </c>
      <c r="C69" s="302"/>
      <c r="D69" s="228" t="s">
        <v>431</v>
      </c>
      <c r="E69" s="109" t="s">
        <v>431</v>
      </c>
      <c r="F69" s="257">
        <v>4</v>
      </c>
      <c r="G69" s="257">
        <v>3</v>
      </c>
      <c r="H69" s="257">
        <v>-1</v>
      </c>
      <c r="I69" s="257">
        <v>0</v>
      </c>
      <c r="J69" s="257">
        <v>0</v>
      </c>
      <c r="K69" s="274">
        <v>0</v>
      </c>
      <c r="L69" s="279">
        <v>280000</v>
      </c>
      <c r="M69" s="257">
        <v>2</v>
      </c>
      <c r="N69" s="258">
        <v>0</v>
      </c>
      <c r="O69" s="76"/>
    </row>
    <row r="70" spans="2:15" ht="13.5">
      <c r="B70" s="286" t="s">
        <v>438</v>
      </c>
      <c r="C70" s="302"/>
      <c r="D70" s="228" t="s">
        <v>431</v>
      </c>
      <c r="E70" s="109" t="s">
        <v>431</v>
      </c>
      <c r="F70" s="257">
        <v>5</v>
      </c>
      <c r="G70" s="257">
        <v>1</v>
      </c>
      <c r="H70" s="257">
        <v>0</v>
      </c>
      <c r="I70" s="257">
        <v>0</v>
      </c>
      <c r="J70" s="257">
        <v>0</v>
      </c>
      <c r="K70" s="274">
        <v>0</v>
      </c>
      <c r="L70" s="279">
        <v>500000</v>
      </c>
      <c r="M70" s="257">
        <v>0</v>
      </c>
      <c r="N70" s="258">
        <v>0</v>
      </c>
      <c r="O70" s="156"/>
    </row>
    <row r="71" spans="2:15" ht="13.5">
      <c r="B71" s="286" t="s">
        <v>439</v>
      </c>
      <c r="C71" s="302"/>
      <c r="D71" s="228" t="s">
        <v>431</v>
      </c>
      <c r="E71" s="109" t="s">
        <v>431</v>
      </c>
      <c r="F71" s="257">
        <v>5</v>
      </c>
      <c r="G71" s="257">
        <v>1</v>
      </c>
      <c r="H71" s="257">
        <v>0</v>
      </c>
      <c r="I71" s="257">
        <v>0</v>
      </c>
      <c r="J71" s="257">
        <v>0</v>
      </c>
      <c r="K71" s="301">
        <v>0</v>
      </c>
      <c r="L71" s="279">
        <v>300000</v>
      </c>
      <c r="M71" s="257">
        <v>0</v>
      </c>
      <c r="N71" s="258">
        <v>1</v>
      </c>
      <c r="O71" s="76"/>
    </row>
    <row r="72" spans="2:15" ht="13.5">
      <c r="B72" s="286" t="s">
        <v>440</v>
      </c>
      <c r="C72" s="302"/>
      <c r="D72" s="228" t="s">
        <v>431</v>
      </c>
      <c r="E72" s="109" t="s">
        <v>431</v>
      </c>
      <c r="F72" s="257">
        <v>5</v>
      </c>
      <c r="G72" s="257">
        <v>1</v>
      </c>
      <c r="H72" s="257">
        <v>0</v>
      </c>
      <c r="I72" s="257">
        <v>0</v>
      </c>
      <c r="J72" s="257">
        <v>0</v>
      </c>
      <c r="K72" s="301">
        <v>0</v>
      </c>
      <c r="L72" s="279">
        <v>600000</v>
      </c>
      <c r="M72" s="257">
        <v>-3</v>
      </c>
      <c r="N72" s="258">
        <v>-2</v>
      </c>
      <c r="O72" s="76"/>
    </row>
    <row r="73" spans="2:15" ht="13.5">
      <c r="B73" s="286" t="s">
        <v>441</v>
      </c>
      <c r="C73" s="302"/>
      <c r="D73" s="228" t="s">
        <v>431</v>
      </c>
      <c r="E73" s="109" t="s">
        <v>431</v>
      </c>
      <c r="F73" s="257">
        <v>5</v>
      </c>
      <c r="G73" s="257">
        <v>1</v>
      </c>
      <c r="H73" s="257">
        <v>0</v>
      </c>
      <c r="I73" s="257">
        <v>0</v>
      </c>
      <c r="J73" s="257">
        <v>0</v>
      </c>
      <c r="K73" s="301">
        <v>0</v>
      </c>
      <c r="L73" s="279">
        <v>1200000</v>
      </c>
      <c r="M73" s="257">
        <v>0</v>
      </c>
      <c r="N73" s="258">
        <v>0</v>
      </c>
      <c r="O73" s="76"/>
    </row>
    <row r="74" spans="2:15" ht="13.5">
      <c r="B74" s="286" t="s">
        <v>442</v>
      </c>
      <c r="C74" s="302"/>
      <c r="D74" s="228" t="s">
        <v>431</v>
      </c>
      <c r="E74" s="109" t="s">
        <v>431</v>
      </c>
      <c r="F74" s="257">
        <v>6</v>
      </c>
      <c r="G74" s="257">
        <v>2</v>
      </c>
      <c r="H74" s="257">
        <v>1</v>
      </c>
      <c r="I74" s="257">
        <v>0</v>
      </c>
      <c r="J74" s="257">
        <v>1</v>
      </c>
      <c r="K74" s="301">
        <v>0</v>
      </c>
      <c r="L74" s="279">
        <v>400000</v>
      </c>
      <c r="M74" s="257">
        <v>0</v>
      </c>
      <c r="N74" s="258">
        <v>0</v>
      </c>
      <c r="O74" s="76"/>
    </row>
    <row r="75" spans="2:15" ht="13.5">
      <c r="B75" s="286" t="s">
        <v>443</v>
      </c>
      <c r="C75" s="302"/>
      <c r="D75" s="228" t="s">
        <v>431</v>
      </c>
      <c r="E75" s="109" t="s">
        <v>431</v>
      </c>
      <c r="F75" s="257">
        <v>6</v>
      </c>
      <c r="G75" s="257">
        <v>1</v>
      </c>
      <c r="H75" s="257">
        <v>0</v>
      </c>
      <c r="I75" s="257">
        <v>0</v>
      </c>
      <c r="J75" s="257">
        <v>0</v>
      </c>
      <c r="K75" s="310">
        <v>0</v>
      </c>
      <c r="L75" s="279">
        <v>350000</v>
      </c>
      <c r="M75" s="257">
        <v>2</v>
      </c>
      <c r="N75" s="258">
        <v>0</v>
      </c>
      <c r="O75" s="76"/>
    </row>
    <row r="76" spans="2:15" ht="13.5">
      <c r="B76" s="286" t="s">
        <v>444</v>
      </c>
      <c r="C76" s="302"/>
      <c r="D76" s="228" t="s">
        <v>431</v>
      </c>
      <c r="E76" s="109" t="s">
        <v>431</v>
      </c>
      <c r="F76" s="257">
        <v>8</v>
      </c>
      <c r="G76" s="257">
        <v>1</v>
      </c>
      <c r="H76" s="257">
        <v>0</v>
      </c>
      <c r="I76" s="257">
        <v>0</v>
      </c>
      <c r="J76" s="257">
        <v>0</v>
      </c>
      <c r="K76" s="257">
        <v>0</v>
      </c>
      <c r="L76" s="279">
        <v>1200000</v>
      </c>
      <c r="M76" s="257">
        <v>0</v>
      </c>
      <c r="N76" s="258">
        <v>2</v>
      </c>
      <c r="O76" s="76"/>
    </row>
    <row r="77" spans="2:15" ht="13.5">
      <c r="B77" s="286" t="s">
        <v>445</v>
      </c>
      <c r="C77" s="302"/>
      <c r="D77" s="228" t="s">
        <v>431</v>
      </c>
      <c r="E77" s="109" t="s">
        <v>431</v>
      </c>
      <c r="F77" s="257">
        <v>8</v>
      </c>
      <c r="G77" s="257">
        <v>3</v>
      </c>
      <c r="H77" s="257">
        <v>0</v>
      </c>
      <c r="I77" s="257">
        <v>0</v>
      </c>
      <c r="J77" s="257">
        <v>0</v>
      </c>
      <c r="K77" s="257">
        <v>0</v>
      </c>
      <c r="L77" s="279">
        <v>1000000</v>
      </c>
      <c r="M77" s="257">
        <v>0</v>
      </c>
      <c r="N77" s="258">
        <v>0</v>
      </c>
      <c r="O77" s="76"/>
    </row>
    <row r="78" spans="2:15" ht="13.5">
      <c r="B78" s="286" t="s">
        <v>446</v>
      </c>
      <c r="C78" s="302"/>
      <c r="D78" s="102" t="s">
        <v>431</v>
      </c>
      <c r="E78" s="109" t="s">
        <v>431</v>
      </c>
      <c r="F78" s="257">
        <v>8</v>
      </c>
      <c r="G78" s="257">
        <v>1</v>
      </c>
      <c r="H78" s="257">
        <v>0</v>
      </c>
      <c r="I78" s="257">
        <v>0</v>
      </c>
      <c r="J78" s="257">
        <v>0</v>
      </c>
      <c r="K78" s="257">
        <v>0</v>
      </c>
      <c r="L78" s="279">
        <v>1200000</v>
      </c>
      <c r="M78" s="257">
        <v>0</v>
      </c>
      <c r="N78" s="258">
        <v>1</v>
      </c>
      <c r="O78" s="76"/>
    </row>
    <row r="79" spans="2:15" ht="13.5">
      <c r="B79" s="286" t="s">
        <v>447</v>
      </c>
      <c r="C79" s="302"/>
      <c r="D79" s="102" t="s">
        <v>431</v>
      </c>
      <c r="E79" s="102" t="s">
        <v>431</v>
      </c>
      <c r="F79" s="257">
        <v>8</v>
      </c>
      <c r="G79" s="257">
        <v>2</v>
      </c>
      <c r="H79" s="257">
        <v>0</v>
      </c>
      <c r="I79" s="257">
        <v>0</v>
      </c>
      <c r="J79" s="257">
        <v>0</v>
      </c>
      <c r="K79" s="257">
        <v>0</v>
      </c>
      <c r="L79" s="279">
        <v>1000000</v>
      </c>
      <c r="M79" s="257">
        <v>0</v>
      </c>
      <c r="N79" s="258">
        <v>0</v>
      </c>
      <c r="O79" s="76"/>
    </row>
    <row r="80" spans="2:15" ht="13.5">
      <c r="B80" s="286" t="s">
        <v>448</v>
      </c>
      <c r="C80" s="302"/>
      <c r="D80" s="102" t="s">
        <v>431</v>
      </c>
      <c r="E80" s="102" t="s">
        <v>431</v>
      </c>
      <c r="F80" s="257">
        <v>8</v>
      </c>
      <c r="G80" s="257">
        <v>1</v>
      </c>
      <c r="H80" s="257">
        <v>0</v>
      </c>
      <c r="I80" s="257">
        <v>0</v>
      </c>
      <c r="J80" s="257">
        <v>0</v>
      </c>
      <c r="K80" s="257">
        <v>0</v>
      </c>
      <c r="L80" s="279">
        <v>1100000</v>
      </c>
      <c r="M80" s="257">
        <v>0</v>
      </c>
      <c r="N80" s="258">
        <v>2</v>
      </c>
      <c r="O80" s="76"/>
    </row>
    <row r="81" spans="2:15" ht="13.5">
      <c r="B81" s="286" t="s">
        <v>449</v>
      </c>
      <c r="C81" s="302"/>
      <c r="D81" s="102" t="s">
        <v>431</v>
      </c>
      <c r="E81" s="102" t="s">
        <v>431</v>
      </c>
      <c r="F81" s="257">
        <v>9</v>
      </c>
      <c r="G81" s="257">
        <v>1</v>
      </c>
      <c r="H81" s="257">
        <v>0</v>
      </c>
      <c r="I81" s="257">
        <v>0</v>
      </c>
      <c r="J81" s="257">
        <v>0</v>
      </c>
      <c r="K81" s="257">
        <v>0</v>
      </c>
      <c r="L81" s="279">
        <v>1300000</v>
      </c>
      <c r="M81" s="257">
        <v>1</v>
      </c>
      <c r="N81" s="258">
        <v>2</v>
      </c>
      <c r="O81" s="76"/>
    </row>
    <row r="82" spans="2:15" ht="13.5">
      <c r="B82" s="286" t="s">
        <v>450</v>
      </c>
      <c r="C82" s="302"/>
      <c r="D82" s="102" t="s">
        <v>431</v>
      </c>
      <c r="E82" s="102" t="s">
        <v>431</v>
      </c>
      <c r="F82" s="257">
        <v>9</v>
      </c>
      <c r="G82" s="257">
        <v>1</v>
      </c>
      <c r="H82" s="257">
        <v>0</v>
      </c>
      <c r="I82" s="257">
        <v>0</v>
      </c>
      <c r="J82" s="257">
        <v>0</v>
      </c>
      <c r="K82" s="257">
        <v>0</v>
      </c>
      <c r="L82" s="279">
        <v>1400000</v>
      </c>
      <c r="M82" s="257">
        <v>0</v>
      </c>
      <c r="N82" s="258">
        <v>0</v>
      </c>
      <c r="O82" s="76"/>
    </row>
    <row r="83" spans="2:15" ht="13.5">
      <c r="B83" s="286"/>
      <c r="C83" s="302"/>
      <c r="D83" s="228"/>
      <c r="E83" s="109"/>
      <c r="F83" s="257"/>
      <c r="G83" s="257"/>
      <c r="H83" s="257"/>
      <c r="I83" s="257"/>
      <c r="J83" s="257"/>
      <c r="K83" s="257"/>
      <c r="L83" s="279">
        <v>0</v>
      </c>
      <c r="M83" s="257">
        <v>0</v>
      </c>
      <c r="N83" s="258"/>
      <c r="O83" s="76"/>
    </row>
    <row r="84" spans="2:15" ht="13.5">
      <c r="B84" s="286"/>
      <c r="C84" s="302"/>
      <c r="D84" s="228"/>
      <c r="E84" s="109"/>
      <c r="F84" s="257"/>
      <c r="G84" s="257"/>
      <c r="H84" s="257"/>
      <c r="I84" s="257"/>
      <c r="J84" s="257"/>
      <c r="K84" s="257"/>
      <c r="L84" s="279">
        <v>0</v>
      </c>
      <c r="M84" s="257">
        <v>0</v>
      </c>
      <c r="N84" s="258"/>
      <c r="O84" s="76"/>
    </row>
    <row r="85" spans="2:15" ht="13.5">
      <c r="B85" s="286"/>
      <c r="C85" s="302"/>
      <c r="D85" s="228"/>
      <c r="E85" s="109"/>
      <c r="F85" s="257"/>
      <c r="G85" s="257"/>
      <c r="H85" s="257"/>
      <c r="I85" s="257"/>
      <c r="J85" s="257"/>
      <c r="K85" s="257"/>
      <c r="L85" s="279">
        <v>0</v>
      </c>
      <c r="M85" s="257">
        <v>0</v>
      </c>
      <c r="N85" s="258"/>
      <c r="O85" s="76"/>
    </row>
    <row r="86" spans="2:15" ht="13.5">
      <c r="B86" s="286"/>
      <c r="C86" s="302"/>
      <c r="D86" s="228"/>
      <c r="E86" s="109"/>
      <c r="F86" s="257"/>
      <c r="G86" s="257"/>
      <c r="H86" s="257"/>
      <c r="I86" s="257"/>
      <c r="J86" s="257"/>
      <c r="K86" s="257"/>
      <c r="L86" s="279">
        <v>0</v>
      </c>
      <c r="M86" s="257">
        <v>0</v>
      </c>
      <c r="N86" s="258"/>
      <c r="O86" s="76"/>
    </row>
    <row r="87" spans="2:15" ht="13.5">
      <c r="B87" s="286"/>
      <c r="C87" s="302"/>
      <c r="D87" s="228"/>
      <c r="E87" s="109"/>
      <c r="F87" s="257"/>
      <c r="G87" s="257"/>
      <c r="H87" s="257"/>
      <c r="I87" s="257"/>
      <c r="J87" s="257"/>
      <c r="K87" s="257"/>
      <c r="L87" s="279">
        <v>0</v>
      </c>
      <c r="M87" s="257">
        <v>0</v>
      </c>
      <c r="N87" s="258"/>
      <c r="O87" s="76"/>
    </row>
    <row r="88" spans="2:15" ht="13.5">
      <c r="B88" s="286"/>
      <c r="C88" s="302"/>
      <c r="D88" s="228"/>
      <c r="E88" s="109"/>
      <c r="F88" s="257"/>
      <c r="G88" s="257"/>
      <c r="H88" s="257"/>
      <c r="I88" s="257"/>
      <c r="J88" s="257"/>
      <c r="K88" s="257"/>
      <c r="L88" s="279">
        <v>0</v>
      </c>
      <c r="M88" s="257">
        <v>0</v>
      </c>
      <c r="N88" s="258"/>
      <c r="O88" s="76"/>
    </row>
    <row r="89" spans="2:15" ht="13.5">
      <c r="B89" s="286"/>
      <c r="C89" s="302"/>
      <c r="D89" s="228"/>
      <c r="E89" s="109"/>
      <c r="F89" s="257"/>
      <c r="G89" s="257"/>
      <c r="H89" s="257"/>
      <c r="I89" s="257"/>
      <c r="J89" s="257"/>
      <c r="K89" s="257"/>
      <c r="L89" s="279">
        <v>0</v>
      </c>
      <c r="M89" s="257">
        <v>0</v>
      </c>
      <c r="N89" s="258"/>
      <c r="O89" s="76"/>
    </row>
    <row r="90" spans="2:15" ht="13.5">
      <c r="B90" s="286"/>
      <c r="C90" s="302"/>
      <c r="D90" s="228"/>
      <c r="E90" s="109"/>
      <c r="F90" s="257"/>
      <c r="G90" s="257"/>
      <c r="H90" s="257"/>
      <c r="I90" s="257"/>
      <c r="J90" s="257"/>
      <c r="K90" s="257"/>
      <c r="L90" s="279">
        <v>0</v>
      </c>
      <c r="M90" s="257">
        <v>0</v>
      </c>
      <c r="N90" s="258"/>
      <c r="O90" s="76"/>
    </row>
    <row r="91" spans="2:15" ht="13.5">
      <c r="B91" s="286"/>
      <c r="C91" s="302"/>
      <c r="D91" s="228"/>
      <c r="E91" s="109"/>
      <c r="F91" s="257"/>
      <c r="G91" s="257"/>
      <c r="H91" s="257"/>
      <c r="I91" s="257"/>
      <c r="J91" s="257"/>
      <c r="K91" s="257"/>
      <c r="L91" s="279">
        <v>0</v>
      </c>
      <c r="M91" s="257">
        <v>0</v>
      </c>
      <c r="N91" s="258"/>
      <c r="O91" s="156"/>
    </row>
    <row r="92" spans="2:15" ht="13.5">
      <c r="B92" s="286"/>
      <c r="C92" s="302"/>
      <c r="D92" s="228"/>
      <c r="E92" s="109"/>
      <c r="F92" s="257"/>
      <c r="G92" s="257"/>
      <c r="H92" s="257"/>
      <c r="I92" s="257"/>
      <c r="J92" s="257"/>
      <c r="K92" s="257"/>
      <c r="L92" s="279">
        <v>0</v>
      </c>
      <c r="M92" s="257">
        <v>0</v>
      </c>
      <c r="N92" s="258"/>
      <c r="O92" s="76"/>
    </row>
    <row r="93" spans="2:15" ht="13.5">
      <c r="B93" s="314"/>
      <c r="C93" s="312"/>
      <c r="D93" s="234"/>
      <c r="E93" s="235"/>
      <c r="F93" s="264"/>
      <c r="G93" s="264"/>
      <c r="H93" s="264"/>
      <c r="I93" s="264"/>
      <c r="J93" s="264"/>
      <c r="K93" s="264"/>
      <c r="L93" s="289">
        <v>0</v>
      </c>
      <c r="M93" s="264">
        <v>0</v>
      </c>
      <c r="N93" s="265"/>
      <c r="O93" s="315"/>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1">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451</v>
      </c>
    </row>
    <row r="2" spans="2:22" ht="13.5">
      <c r="B2" s="316" t="s">
        <v>452</v>
      </c>
      <c r="C2" s="317">
        <v>1</v>
      </c>
      <c r="D2" s="317">
        <v>2</v>
      </c>
      <c r="E2" s="317">
        <v>3</v>
      </c>
      <c r="F2" s="317">
        <v>4</v>
      </c>
      <c r="G2" s="317">
        <v>5</v>
      </c>
      <c r="H2" s="317">
        <v>6</v>
      </c>
      <c r="I2" s="317">
        <v>7</v>
      </c>
      <c r="J2" s="317">
        <v>8</v>
      </c>
      <c r="K2" s="317">
        <v>9</v>
      </c>
      <c r="L2" s="317">
        <v>10</v>
      </c>
      <c r="M2" s="317">
        <v>11</v>
      </c>
      <c r="N2" s="317">
        <v>12</v>
      </c>
      <c r="O2" s="317">
        <v>13</v>
      </c>
      <c r="P2" s="317">
        <v>14</v>
      </c>
      <c r="Q2" s="317">
        <v>15</v>
      </c>
      <c r="R2" s="317">
        <v>16</v>
      </c>
      <c r="S2" s="317">
        <v>17</v>
      </c>
      <c r="T2" s="317">
        <v>18</v>
      </c>
      <c r="U2" s="317">
        <v>19</v>
      </c>
      <c r="V2" s="317">
        <v>20</v>
      </c>
    </row>
    <row r="3" spans="2:22" ht="13.5">
      <c r="B3" s="318">
        <v>1</v>
      </c>
      <c r="C3" s="319">
        <f>C$2*((ROUNDUP((C$2)/5,0)*6))</f>
        <v>6</v>
      </c>
      <c r="D3" s="319">
        <f aca="true" t="shared" si="0" ref="D3:V3">D$2*(6+((ROUNDUP((D$2)/5,0)-1)*2))+C3</f>
        <v>18</v>
      </c>
      <c r="E3" s="319">
        <f t="shared" si="0"/>
        <v>36</v>
      </c>
      <c r="F3" s="319">
        <f t="shared" si="0"/>
        <v>60</v>
      </c>
      <c r="G3" s="319">
        <f t="shared" si="0"/>
        <v>90</v>
      </c>
      <c r="H3" s="319">
        <f t="shared" si="0"/>
        <v>138</v>
      </c>
      <c r="I3" s="319">
        <f t="shared" si="0"/>
        <v>194</v>
      </c>
      <c r="J3" s="319">
        <f t="shared" si="0"/>
        <v>258</v>
      </c>
      <c r="K3" s="319">
        <f t="shared" si="0"/>
        <v>330</v>
      </c>
      <c r="L3" s="319">
        <f t="shared" si="0"/>
        <v>410</v>
      </c>
      <c r="M3" s="319">
        <f t="shared" si="0"/>
        <v>520</v>
      </c>
      <c r="N3" s="319">
        <f t="shared" si="0"/>
        <v>640</v>
      </c>
      <c r="O3" s="319">
        <f t="shared" si="0"/>
        <v>770</v>
      </c>
      <c r="P3" s="319">
        <f t="shared" si="0"/>
        <v>910</v>
      </c>
      <c r="Q3" s="319">
        <f t="shared" si="0"/>
        <v>1060</v>
      </c>
      <c r="R3" s="319">
        <f t="shared" si="0"/>
        <v>1252</v>
      </c>
      <c r="S3" s="319">
        <f t="shared" si="0"/>
        <v>1456</v>
      </c>
      <c r="T3" s="319">
        <f t="shared" si="0"/>
        <v>1672</v>
      </c>
      <c r="U3" s="319">
        <f t="shared" si="0"/>
        <v>1900</v>
      </c>
      <c r="V3" s="319">
        <f t="shared" si="0"/>
        <v>2140</v>
      </c>
    </row>
    <row r="4" spans="2:22" ht="13.5">
      <c r="B4" s="318">
        <v>2</v>
      </c>
      <c r="C4" s="319">
        <v>0</v>
      </c>
      <c r="D4" s="319">
        <f aca="true" t="shared" si="1" ref="D4:V4">D$2*(6+((ROUNDUP((D$2)/5,0)-1)*2))+C4</f>
        <v>12</v>
      </c>
      <c r="E4" s="319">
        <f t="shared" si="1"/>
        <v>30</v>
      </c>
      <c r="F4" s="319">
        <f t="shared" si="1"/>
        <v>54</v>
      </c>
      <c r="G4" s="319">
        <f t="shared" si="1"/>
        <v>84</v>
      </c>
      <c r="H4" s="319">
        <f t="shared" si="1"/>
        <v>132</v>
      </c>
      <c r="I4" s="319">
        <f t="shared" si="1"/>
        <v>188</v>
      </c>
      <c r="J4" s="319">
        <f t="shared" si="1"/>
        <v>252</v>
      </c>
      <c r="K4" s="319">
        <f t="shared" si="1"/>
        <v>324</v>
      </c>
      <c r="L4" s="319">
        <f t="shared" si="1"/>
        <v>404</v>
      </c>
      <c r="M4" s="319">
        <f t="shared" si="1"/>
        <v>514</v>
      </c>
      <c r="N4" s="319">
        <f t="shared" si="1"/>
        <v>634</v>
      </c>
      <c r="O4" s="319">
        <f t="shared" si="1"/>
        <v>764</v>
      </c>
      <c r="P4" s="319">
        <f t="shared" si="1"/>
        <v>904</v>
      </c>
      <c r="Q4" s="319">
        <f t="shared" si="1"/>
        <v>1054</v>
      </c>
      <c r="R4" s="319">
        <f t="shared" si="1"/>
        <v>1246</v>
      </c>
      <c r="S4" s="319">
        <f t="shared" si="1"/>
        <v>1450</v>
      </c>
      <c r="T4" s="319">
        <f t="shared" si="1"/>
        <v>1666</v>
      </c>
      <c r="U4" s="319">
        <f t="shared" si="1"/>
        <v>1894</v>
      </c>
      <c r="V4" s="319">
        <f t="shared" si="1"/>
        <v>2134</v>
      </c>
    </row>
    <row r="5" spans="2:22" ht="13.5">
      <c r="B5" s="318">
        <v>3</v>
      </c>
      <c r="C5" s="319">
        <v>0</v>
      </c>
      <c r="D5" s="319">
        <v>0</v>
      </c>
      <c r="E5" s="319">
        <f aca="true" t="shared" si="2" ref="E5:V5">E$2*(6+((ROUNDUP((E$2)/5,0)-1)*2))+D5</f>
        <v>18</v>
      </c>
      <c r="F5" s="319">
        <f t="shared" si="2"/>
        <v>42</v>
      </c>
      <c r="G5" s="319">
        <f t="shared" si="2"/>
        <v>72</v>
      </c>
      <c r="H5" s="319">
        <f t="shared" si="2"/>
        <v>120</v>
      </c>
      <c r="I5" s="319">
        <f t="shared" si="2"/>
        <v>176</v>
      </c>
      <c r="J5" s="319">
        <f t="shared" si="2"/>
        <v>240</v>
      </c>
      <c r="K5" s="319">
        <f t="shared" si="2"/>
        <v>312</v>
      </c>
      <c r="L5" s="319">
        <f t="shared" si="2"/>
        <v>392</v>
      </c>
      <c r="M5" s="319">
        <f t="shared" si="2"/>
        <v>502</v>
      </c>
      <c r="N5" s="319">
        <f t="shared" si="2"/>
        <v>622</v>
      </c>
      <c r="O5" s="319">
        <f t="shared" si="2"/>
        <v>752</v>
      </c>
      <c r="P5" s="319">
        <f t="shared" si="2"/>
        <v>892</v>
      </c>
      <c r="Q5" s="319">
        <f t="shared" si="2"/>
        <v>1042</v>
      </c>
      <c r="R5" s="319">
        <f t="shared" si="2"/>
        <v>1234</v>
      </c>
      <c r="S5" s="319">
        <f t="shared" si="2"/>
        <v>1438</v>
      </c>
      <c r="T5" s="319">
        <f t="shared" si="2"/>
        <v>1654</v>
      </c>
      <c r="U5" s="319">
        <f t="shared" si="2"/>
        <v>1882</v>
      </c>
      <c r="V5" s="319">
        <f t="shared" si="2"/>
        <v>2122</v>
      </c>
    </row>
    <row r="6" spans="2:22" ht="13.5">
      <c r="B6" s="318">
        <v>4</v>
      </c>
      <c r="C6" s="319">
        <v>0</v>
      </c>
      <c r="D6" s="319">
        <v>0</v>
      </c>
      <c r="E6" s="319">
        <v>0</v>
      </c>
      <c r="F6" s="319">
        <f aca="true" t="shared" si="3" ref="F6:V6">F$2*(6+((ROUNDUP((F$2)/5,0)-1)*2))+E6</f>
        <v>24</v>
      </c>
      <c r="G6" s="319">
        <f t="shared" si="3"/>
        <v>54</v>
      </c>
      <c r="H6" s="319">
        <f t="shared" si="3"/>
        <v>102</v>
      </c>
      <c r="I6" s="319">
        <f t="shared" si="3"/>
        <v>158</v>
      </c>
      <c r="J6" s="319">
        <f t="shared" si="3"/>
        <v>222</v>
      </c>
      <c r="K6" s="319">
        <f t="shared" si="3"/>
        <v>294</v>
      </c>
      <c r="L6" s="319">
        <f t="shared" si="3"/>
        <v>374</v>
      </c>
      <c r="M6" s="319">
        <f t="shared" si="3"/>
        <v>484</v>
      </c>
      <c r="N6" s="319">
        <f t="shared" si="3"/>
        <v>604</v>
      </c>
      <c r="O6" s="319">
        <f t="shared" si="3"/>
        <v>734</v>
      </c>
      <c r="P6" s="319">
        <f t="shared" si="3"/>
        <v>874</v>
      </c>
      <c r="Q6" s="319">
        <f t="shared" si="3"/>
        <v>1024</v>
      </c>
      <c r="R6" s="319">
        <f t="shared" si="3"/>
        <v>1216</v>
      </c>
      <c r="S6" s="319">
        <f t="shared" si="3"/>
        <v>1420</v>
      </c>
      <c r="T6" s="319">
        <f t="shared" si="3"/>
        <v>1636</v>
      </c>
      <c r="U6" s="319">
        <f t="shared" si="3"/>
        <v>1864</v>
      </c>
      <c r="V6" s="319">
        <f t="shared" si="3"/>
        <v>2104</v>
      </c>
    </row>
    <row r="7" spans="2:22" ht="13.5">
      <c r="B7" s="318">
        <v>5</v>
      </c>
      <c r="C7" s="319">
        <v>0</v>
      </c>
      <c r="D7" s="319">
        <v>0</v>
      </c>
      <c r="E7" s="319">
        <v>0</v>
      </c>
      <c r="F7" s="319">
        <v>0</v>
      </c>
      <c r="G7" s="319">
        <f aca="true" t="shared" si="4" ref="G7:V7">G$2*(6+((ROUNDUP((G$2)/5,0)-1)*2))+F7</f>
        <v>30</v>
      </c>
      <c r="H7" s="319">
        <f t="shared" si="4"/>
        <v>78</v>
      </c>
      <c r="I7" s="319">
        <f t="shared" si="4"/>
        <v>134</v>
      </c>
      <c r="J7" s="319">
        <f t="shared" si="4"/>
        <v>198</v>
      </c>
      <c r="K7" s="319">
        <f t="shared" si="4"/>
        <v>270</v>
      </c>
      <c r="L7" s="319">
        <f t="shared" si="4"/>
        <v>350</v>
      </c>
      <c r="M7" s="319">
        <f t="shared" si="4"/>
        <v>460</v>
      </c>
      <c r="N7" s="319">
        <f t="shared" si="4"/>
        <v>580</v>
      </c>
      <c r="O7" s="319">
        <f t="shared" si="4"/>
        <v>710</v>
      </c>
      <c r="P7" s="319">
        <f t="shared" si="4"/>
        <v>850</v>
      </c>
      <c r="Q7" s="319">
        <f t="shared" si="4"/>
        <v>1000</v>
      </c>
      <c r="R7" s="319">
        <f t="shared" si="4"/>
        <v>1192</v>
      </c>
      <c r="S7" s="319">
        <f t="shared" si="4"/>
        <v>1396</v>
      </c>
      <c r="T7" s="319">
        <f t="shared" si="4"/>
        <v>1612</v>
      </c>
      <c r="U7" s="319">
        <f t="shared" si="4"/>
        <v>1840</v>
      </c>
      <c r="V7" s="319">
        <f t="shared" si="4"/>
        <v>2080</v>
      </c>
    </row>
    <row r="8" spans="2:22" ht="13.5">
      <c r="B8" s="318">
        <v>6</v>
      </c>
      <c r="C8" s="319">
        <v>0</v>
      </c>
      <c r="D8" s="319">
        <v>0</v>
      </c>
      <c r="E8" s="319">
        <v>0</v>
      </c>
      <c r="F8" s="319">
        <v>0</v>
      </c>
      <c r="G8" s="319">
        <v>0</v>
      </c>
      <c r="H8" s="319">
        <f aca="true" t="shared" si="5" ref="H8:V8">H$2*(6+((ROUNDUP((H$2)/5,0)-1)*2))+G8</f>
        <v>48</v>
      </c>
      <c r="I8" s="319">
        <f t="shared" si="5"/>
        <v>104</v>
      </c>
      <c r="J8" s="319">
        <f t="shared" si="5"/>
        <v>168</v>
      </c>
      <c r="K8" s="319">
        <f t="shared" si="5"/>
        <v>240</v>
      </c>
      <c r="L8" s="319">
        <f t="shared" si="5"/>
        <v>320</v>
      </c>
      <c r="M8" s="319">
        <f t="shared" si="5"/>
        <v>430</v>
      </c>
      <c r="N8" s="319">
        <f t="shared" si="5"/>
        <v>550</v>
      </c>
      <c r="O8" s="319">
        <f t="shared" si="5"/>
        <v>680</v>
      </c>
      <c r="P8" s="319">
        <f t="shared" si="5"/>
        <v>820</v>
      </c>
      <c r="Q8" s="319">
        <f t="shared" si="5"/>
        <v>970</v>
      </c>
      <c r="R8" s="319">
        <f t="shared" si="5"/>
        <v>1162</v>
      </c>
      <c r="S8" s="319">
        <f t="shared" si="5"/>
        <v>1366</v>
      </c>
      <c r="T8" s="319">
        <f t="shared" si="5"/>
        <v>1582</v>
      </c>
      <c r="U8" s="319">
        <f t="shared" si="5"/>
        <v>1810</v>
      </c>
      <c r="V8" s="319">
        <f t="shared" si="5"/>
        <v>2050</v>
      </c>
    </row>
    <row r="9" spans="2:22" ht="13.5">
      <c r="B9" s="318">
        <v>7</v>
      </c>
      <c r="C9" s="319">
        <v>0</v>
      </c>
      <c r="D9" s="319">
        <v>0</v>
      </c>
      <c r="E9" s="319">
        <v>0</v>
      </c>
      <c r="F9" s="319">
        <v>0</v>
      </c>
      <c r="G9" s="319">
        <v>0</v>
      </c>
      <c r="H9" s="319">
        <v>0</v>
      </c>
      <c r="I9" s="319">
        <f aca="true" t="shared" si="6" ref="I9:V9">I$2*(6+((ROUNDUP((I$2)/5,0)-1)*2))+H9</f>
        <v>56</v>
      </c>
      <c r="J9" s="319">
        <f t="shared" si="6"/>
        <v>120</v>
      </c>
      <c r="K9" s="319">
        <f t="shared" si="6"/>
        <v>192</v>
      </c>
      <c r="L9" s="319">
        <f t="shared" si="6"/>
        <v>272</v>
      </c>
      <c r="M9" s="319">
        <f t="shared" si="6"/>
        <v>382</v>
      </c>
      <c r="N9" s="319">
        <f t="shared" si="6"/>
        <v>502</v>
      </c>
      <c r="O9" s="319">
        <f t="shared" si="6"/>
        <v>632</v>
      </c>
      <c r="P9" s="319">
        <f t="shared" si="6"/>
        <v>772</v>
      </c>
      <c r="Q9" s="319">
        <f t="shared" si="6"/>
        <v>922</v>
      </c>
      <c r="R9" s="319">
        <f t="shared" si="6"/>
        <v>1114</v>
      </c>
      <c r="S9" s="319">
        <f t="shared" si="6"/>
        <v>1318</v>
      </c>
      <c r="T9" s="319">
        <f t="shared" si="6"/>
        <v>1534</v>
      </c>
      <c r="U9" s="319">
        <f t="shared" si="6"/>
        <v>1762</v>
      </c>
      <c r="V9" s="319">
        <f t="shared" si="6"/>
        <v>2002</v>
      </c>
    </row>
    <row r="10" spans="2:22" ht="13.5">
      <c r="B10" s="318">
        <v>8</v>
      </c>
      <c r="C10" s="319">
        <v>0</v>
      </c>
      <c r="D10" s="319">
        <v>0</v>
      </c>
      <c r="E10" s="319">
        <v>0</v>
      </c>
      <c r="F10" s="319">
        <v>0</v>
      </c>
      <c r="G10" s="319">
        <v>0</v>
      </c>
      <c r="H10" s="319">
        <v>0</v>
      </c>
      <c r="I10" s="319">
        <v>0</v>
      </c>
      <c r="J10" s="319">
        <f aca="true" t="shared" si="7" ref="J10:V10">J$2*(6+((ROUNDUP((J$2)/5,0)-1)*2))+I10</f>
        <v>64</v>
      </c>
      <c r="K10" s="319">
        <f t="shared" si="7"/>
        <v>136</v>
      </c>
      <c r="L10" s="319">
        <f t="shared" si="7"/>
        <v>216</v>
      </c>
      <c r="M10" s="319">
        <f t="shared" si="7"/>
        <v>326</v>
      </c>
      <c r="N10" s="319">
        <f t="shared" si="7"/>
        <v>446</v>
      </c>
      <c r="O10" s="319">
        <f t="shared" si="7"/>
        <v>576</v>
      </c>
      <c r="P10" s="319">
        <f t="shared" si="7"/>
        <v>716</v>
      </c>
      <c r="Q10" s="319">
        <f t="shared" si="7"/>
        <v>866</v>
      </c>
      <c r="R10" s="319">
        <f t="shared" si="7"/>
        <v>1058</v>
      </c>
      <c r="S10" s="319">
        <f t="shared" si="7"/>
        <v>1262</v>
      </c>
      <c r="T10" s="319">
        <f t="shared" si="7"/>
        <v>1478</v>
      </c>
      <c r="U10" s="319">
        <f t="shared" si="7"/>
        <v>1706</v>
      </c>
      <c r="V10" s="319">
        <f t="shared" si="7"/>
        <v>1946</v>
      </c>
    </row>
    <row r="11" spans="2:22" ht="13.5">
      <c r="B11" s="318">
        <v>9</v>
      </c>
      <c r="C11" s="319">
        <v>0</v>
      </c>
      <c r="D11" s="319">
        <v>0</v>
      </c>
      <c r="E11" s="319">
        <v>0</v>
      </c>
      <c r="F11" s="319">
        <v>0</v>
      </c>
      <c r="G11" s="319">
        <v>0</v>
      </c>
      <c r="H11" s="319">
        <v>0</v>
      </c>
      <c r="I11" s="319">
        <v>0</v>
      </c>
      <c r="J11" s="319">
        <v>0</v>
      </c>
      <c r="K11" s="319">
        <f aca="true" t="shared" si="8" ref="K11:V11">K$2*(6+((ROUNDUP((K$2)/5,0)-1)*2))+J11</f>
        <v>72</v>
      </c>
      <c r="L11" s="319">
        <f t="shared" si="8"/>
        <v>152</v>
      </c>
      <c r="M11" s="319">
        <f t="shared" si="8"/>
        <v>262</v>
      </c>
      <c r="N11" s="319">
        <f t="shared" si="8"/>
        <v>382</v>
      </c>
      <c r="O11" s="319">
        <f t="shared" si="8"/>
        <v>512</v>
      </c>
      <c r="P11" s="319">
        <f t="shared" si="8"/>
        <v>652</v>
      </c>
      <c r="Q11" s="319">
        <f t="shared" si="8"/>
        <v>802</v>
      </c>
      <c r="R11" s="319">
        <f t="shared" si="8"/>
        <v>994</v>
      </c>
      <c r="S11" s="319">
        <f t="shared" si="8"/>
        <v>1198</v>
      </c>
      <c r="T11" s="319">
        <f t="shared" si="8"/>
        <v>1414</v>
      </c>
      <c r="U11" s="319">
        <f t="shared" si="8"/>
        <v>1642</v>
      </c>
      <c r="V11" s="319">
        <f t="shared" si="8"/>
        <v>1882</v>
      </c>
    </row>
    <row r="13" ht="13.5">
      <c r="B13" t="s">
        <v>453</v>
      </c>
    </row>
    <row r="14" spans="2:22" ht="13.5">
      <c r="B14" s="316" t="s">
        <v>452</v>
      </c>
      <c r="C14" s="317">
        <v>1</v>
      </c>
      <c r="D14" s="317">
        <v>2</v>
      </c>
      <c r="E14" s="317">
        <v>3</v>
      </c>
      <c r="F14" s="317">
        <v>4</v>
      </c>
      <c r="G14" s="317">
        <v>5</v>
      </c>
      <c r="H14" s="317">
        <v>6</v>
      </c>
      <c r="I14" s="317">
        <v>7</v>
      </c>
      <c r="J14" s="317">
        <v>8</v>
      </c>
      <c r="K14" s="317">
        <v>9</v>
      </c>
      <c r="L14" s="317">
        <v>10</v>
      </c>
      <c r="M14" s="317">
        <v>11</v>
      </c>
      <c r="N14" s="317">
        <v>12</v>
      </c>
      <c r="O14" s="317">
        <v>13</v>
      </c>
      <c r="P14" s="317">
        <v>14</v>
      </c>
      <c r="Q14" s="317">
        <v>15</v>
      </c>
      <c r="R14" s="317">
        <v>16</v>
      </c>
      <c r="S14" s="317">
        <v>17</v>
      </c>
      <c r="T14" s="317">
        <v>18</v>
      </c>
      <c r="U14" s="317">
        <v>19</v>
      </c>
      <c r="V14" s="317">
        <v>20</v>
      </c>
    </row>
    <row r="15" spans="2:22" ht="13.5">
      <c r="B15" s="318">
        <v>1</v>
      </c>
      <c r="C15" s="319">
        <f>C$2*((ROUNDUP((C$2)/5,0))*10)</f>
        <v>10</v>
      </c>
      <c r="D15" s="319">
        <f aca="true" t="shared" si="9" ref="D15:V15">D$2*(10+((ROUNDUP((D$2)/5,0)-1)*5))+C15</f>
        <v>30</v>
      </c>
      <c r="E15" s="319">
        <f t="shared" si="9"/>
        <v>60</v>
      </c>
      <c r="F15" s="319">
        <f t="shared" si="9"/>
        <v>100</v>
      </c>
      <c r="G15" s="319">
        <f t="shared" si="9"/>
        <v>150</v>
      </c>
      <c r="H15" s="319">
        <f t="shared" si="9"/>
        <v>240</v>
      </c>
      <c r="I15" s="319">
        <f t="shared" si="9"/>
        <v>345</v>
      </c>
      <c r="J15" s="319">
        <f t="shared" si="9"/>
        <v>465</v>
      </c>
      <c r="K15" s="319">
        <f t="shared" si="9"/>
        <v>600</v>
      </c>
      <c r="L15" s="319">
        <f t="shared" si="9"/>
        <v>750</v>
      </c>
      <c r="M15" s="319">
        <f t="shared" si="9"/>
        <v>970</v>
      </c>
      <c r="N15" s="319">
        <f t="shared" si="9"/>
        <v>1210</v>
      </c>
      <c r="O15" s="319">
        <f t="shared" si="9"/>
        <v>1470</v>
      </c>
      <c r="P15" s="319">
        <f t="shared" si="9"/>
        <v>1750</v>
      </c>
      <c r="Q15" s="319">
        <f t="shared" si="9"/>
        <v>2050</v>
      </c>
      <c r="R15" s="319">
        <f t="shared" si="9"/>
        <v>2450</v>
      </c>
      <c r="S15" s="319">
        <f t="shared" si="9"/>
        <v>2875</v>
      </c>
      <c r="T15" s="319">
        <f t="shared" si="9"/>
        <v>3325</v>
      </c>
      <c r="U15" s="319">
        <f t="shared" si="9"/>
        <v>3800</v>
      </c>
      <c r="V15" s="319">
        <f t="shared" si="9"/>
        <v>4300</v>
      </c>
    </row>
    <row r="16" spans="2:22" ht="13.5">
      <c r="B16" s="318">
        <v>2</v>
      </c>
      <c r="C16" s="319">
        <v>0</v>
      </c>
      <c r="D16" s="319">
        <f aca="true" t="shared" si="10" ref="D16:V16">D$2*(10+((ROUNDUP((D$2)/5,0)-1)*5))+C16</f>
        <v>20</v>
      </c>
      <c r="E16" s="319">
        <f t="shared" si="10"/>
        <v>50</v>
      </c>
      <c r="F16" s="319">
        <f t="shared" si="10"/>
        <v>90</v>
      </c>
      <c r="G16" s="319">
        <f t="shared" si="10"/>
        <v>140</v>
      </c>
      <c r="H16" s="319">
        <f t="shared" si="10"/>
        <v>230</v>
      </c>
      <c r="I16" s="319">
        <f t="shared" si="10"/>
        <v>335</v>
      </c>
      <c r="J16" s="319">
        <f t="shared" si="10"/>
        <v>455</v>
      </c>
      <c r="K16" s="319">
        <f t="shared" si="10"/>
        <v>590</v>
      </c>
      <c r="L16" s="319">
        <f t="shared" si="10"/>
        <v>740</v>
      </c>
      <c r="M16" s="319">
        <f t="shared" si="10"/>
        <v>960</v>
      </c>
      <c r="N16" s="319">
        <f t="shared" si="10"/>
        <v>1200</v>
      </c>
      <c r="O16" s="319">
        <f t="shared" si="10"/>
        <v>1460</v>
      </c>
      <c r="P16" s="319">
        <f t="shared" si="10"/>
        <v>1740</v>
      </c>
      <c r="Q16" s="319">
        <f t="shared" si="10"/>
        <v>2040</v>
      </c>
      <c r="R16" s="319">
        <f t="shared" si="10"/>
        <v>2440</v>
      </c>
      <c r="S16" s="319">
        <f t="shared" si="10"/>
        <v>2865</v>
      </c>
      <c r="T16" s="319">
        <f t="shared" si="10"/>
        <v>3315</v>
      </c>
      <c r="U16" s="319">
        <f t="shared" si="10"/>
        <v>3790</v>
      </c>
      <c r="V16" s="319">
        <f t="shared" si="10"/>
        <v>4290</v>
      </c>
    </row>
    <row r="17" spans="2:22" ht="13.5">
      <c r="B17" s="318">
        <v>3</v>
      </c>
      <c r="C17" s="319">
        <v>0</v>
      </c>
      <c r="D17" s="319">
        <v>0</v>
      </c>
      <c r="E17" s="319">
        <f aca="true" t="shared" si="11" ref="E17:V17">E$2*(10+((ROUNDUP((E$2)/5,0)-1)*5))+D17</f>
        <v>30</v>
      </c>
      <c r="F17" s="319">
        <f t="shared" si="11"/>
        <v>70</v>
      </c>
      <c r="G17" s="319">
        <f t="shared" si="11"/>
        <v>120</v>
      </c>
      <c r="H17" s="319">
        <f t="shared" si="11"/>
        <v>210</v>
      </c>
      <c r="I17" s="319">
        <f t="shared" si="11"/>
        <v>315</v>
      </c>
      <c r="J17" s="319">
        <f t="shared" si="11"/>
        <v>435</v>
      </c>
      <c r="K17" s="319">
        <f t="shared" si="11"/>
        <v>570</v>
      </c>
      <c r="L17" s="319">
        <f t="shared" si="11"/>
        <v>720</v>
      </c>
      <c r="M17" s="319">
        <f t="shared" si="11"/>
        <v>940</v>
      </c>
      <c r="N17" s="319">
        <f t="shared" si="11"/>
        <v>1180</v>
      </c>
      <c r="O17" s="319">
        <f t="shared" si="11"/>
        <v>1440</v>
      </c>
      <c r="P17" s="319">
        <f t="shared" si="11"/>
        <v>1720</v>
      </c>
      <c r="Q17" s="319">
        <f t="shared" si="11"/>
        <v>2020</v>
      </c>
      <c r="R17" s="319">
        <f t="shared" si="11"/>
        <v>2420</v>
      </c>
      <c r="S17" s="319">
        <f t="shared" si="11"/>
        <v>2845</v>
      </c>
      <c r="T17" s="319">
        <f t="shared" si="11"/>
        <v>3295</v>
      </c>
      <c r="U17" s="319">
        <f t="shared" si="11"/>
        <v>3770</v>
      </c>
      <c r="V17" s="319">
        <f t="shared" si="11"/>
        <v>4270</v>
      </c>
    </row>
    <row r="18" spans="2:22" ht="13.5">
      <c r="B18" s="318">
        <v>4</v>
      </c>
      <c r="C18" s="319">
        <v>0</v>
      </c>
      <c r="D18" s="319">
        <v>0</v>
      </c>
      <c r="E18" s="319">
        <v>0</v>
      </c>
      <c r="F18" s="319">
        <f aca="true" t="shared" si="12" ref="F18:V18">F$2*(10+((ROUNDUP((F$2)/5,0)-1)*5))+E18</f>
        <v>40</v>
      </c>
      <c r="G18" s="319">
        <f t="shared" si="12"/>
        <v>90</v>
      </c>
      <c r="H18" s="319">
        <f t="shared" si="12"/>
        <v>180</v>
      </c>
      <c r="I18" s="319">
        <f t="shared" si="12"/>
        <v>285</v>
      </c>
      <c r="J18" s="319">
        <f t="shared" si="12"/>
        <v>405</v>
      </c>
      <c r="K18" s="319">
        <f t="shared" si="12"/>
        <v>540</v>
      </c>
      <c r="L18" s="319">
        <f t="shared" si="12"/>
        <v>690</v>
      </c>
      <c r="M18" s="319">
        <f t="shared" si="12"/>
        <v>910</v>
      </c>
      <c r="N18" s="319">
        <f t="shared" si="12"/>
        <v>1150</v>
      </c>
      <c r="O18" s="319">
        <f t="shared" si="12"/>
        <v>1410</v>
      </c>
      <c r="P18" s="319">
        <f t="shared" si="12"/>
        <v>1690</v>
      </c>
      <c r="Q18" s="319">
        <f t="shared" si="12"/>
        <v>1990</v>
      </c>
      <c r="R18" s="319">
        <f t="shared" si="12"/>
        <v>2390</v>
      </c>
      <c r="S18" s="319">
        <f t="shared" si="12"/>
        <v>2815</v>
      </c>
      <c r="T18" s="319">
        <f t="shared" si="12"/>
        <v>3265</v>
      </c>
      <c r="U18" s="319">
        <f t="shared" si="12"/>
        <v>3740</v>
      </c>
      <c r="V18" s="319">
        <f t="shared" si="12"/>
        <v>4240</v>
      </c>
    </row>
    <row r="19" spans="2:22" ht="13.5">
      <c r="B19" s="318">
        <v>5</v>
      </c>
      <c r="C19" s="319">
        <v>0</v>
      </c>
      <c r="D19" s="319">
        <v>0</v>
      </c>
      <c r="E19" s="319">
        <v>0</v>
      </c>
      <c r="F19" s="319">
        <v>0</v>
      </c>
      <c r="G19" s="319">
        <f aca="true" t="shared" si="13" ref="G19:V19">G$2*(10+((ROUNDUP((G$2)/5,0)-1)*5))+F19</f>
        <v>50</v>
      </c>
      <c r="H19" s="319">
        <f t="shared" si="13"/>
        <v>140</v>
      </c>
      <c r="I19" s="319">
        <f t="shared" si="13"/>
        <v>245</v>
      </c>
      <c r="J19" s="319">
        <f t="shared" si="13"/>
        <v>365</v>
      </c>
      <c r="K19" s="319">
        <f t="shared" si="13"/>
        <v>500</v>
      </c>
      <c r="L19" s="319">
        <f t="shared" si="13"/>
        <v>650</v>
      </c>
      <c r="M19" s="319">
        <f t="shared" si="13"/>
        <v>870</v>
      </c>
      <c r="N19" s="319">
        <f t="shared" si="13"/>
        <v>1110</v>
      </c>
      <c r="O19" s="319">
        <f t="shared" si="13"/>
        <v>1370</v>
      </c>
      <c r="P19" s="319">
        <f t="shared" si="13"/>
        <v>1650</v>
      </c>
      <c r="Q19" s="319">
        <f t="shared" si="13"/>
        <v>1950</v>
      </c>
      <c r="R19" s="319">
        <f t="shared" si="13"/>
        <v>2350</v>
      </c>
      <c r="S19" s="319">
        <f t="shared" si="13"/>
        <v>2775</v>
      </c>
      <c r="T19" s="319">
        <f t="shared" si="13"/>
        <v>3225</v>
      </c>
      <c r="U19" s="319">
        <f t="shared" si="13"/>
        <v>3700</v>
      </c>
      <c r="V19" s="319">
        <f t="shared" si="13"/>
        <v>4200</v>
      </c>
    </row>
    <row r="20" spans="2:22" ht="13.5">
      <c r="B20" s="318">
        <v>6</v>
      </c>
      <c r="C20" s="319">
        <v>0</v>
      </c>
      <c r="D20" s="319">
        <v>0</v>
      </c>
      <c r="E20" s="319">
        <v>0</v>
      </c>
      <c r="F20" s="319">
        <v>0</v>
      </c>
      <c r="G20" s="319">
        <v>0</v>
      </c>
      <c r="H20" s="319">
        <f aca="true" t="shared" si="14" ref="H20:V20">H$2*(10+((ROUNDUP((H$2)/5,0)-1)*5))+G20</f>
        <v>90</v>
      </c>
      <c r="I20" s="319">
        <f t="shared" si="14"/>
        <v>195</v>
      </c>
      <c r="J20" s="319">
        <f t="shared" si="14"/>
        <v>315</v>
      </c>
      <c r="K20" s="319">
        <f t="shared" si="14"/>
        <v>450</v>
      </c>
      <c r="L20" s="319">
        <f t="shared" si="14"/>
        <v>600</v>
      </c>
      <c r="M20" s="319">
        <f t="shared" si="14"/>
        <v>820</v>
      </c>
      <c r="N20" s="319">
        <f t="shared" si="14"/>
        <v>1060</v>
      </c>
      <c r="O20" s="319">
        <f t="shared" si="14"/>
        <v>1320</v>
      </c>
      <c r="P20" s="319">
        <f t="shared" si="14"/>
        <v>1600</v>
      </c>
      <c r="Q20" s="319">
        <f t="shared" si="14"/>
        <v>1900</v>
      </c>
      <c r="R20" s="319">
        <f t="shared" si="14"/>
        <v>2300</v>
      </c>
      <c r="S20" s="319">
        <f t="shared" si="14"/>
        <v>2725</v>
      </c>
      <c r="T20" s="319">
        <f t="shared" si="14"/>
        <v>3175</v>
      </c>
      <c r="U20" s="319">
        <f t="shared" si="14"/>
        <v>3650</v>
      </c>
      <c r="V20" s="319">
        <f t="shared" si="14"/>
        <v>4150</v>
      </c>
    </row>
    <row r="21" spans="2:22" ht="13.5">
      <c r="B21" s="318">
        <v>7</v>
      </c>
      <c r="C21" s="319">
        <v>0</v>
      </c>
      <c r="D21" s="319">
        <v>0</v>
      </c>
      <c r="E21" s="319">
        <v>0</v>
      </c>
      <c r="F21" s="319">
        <v>0</v>
      </c>
      <c r="G21" s="319">
        <v>0</v>
      </c>
      <c r="H21" s="319">
        <v>0</v>
      </c>
      <c r="I21" s="319">
        <f aca="true" t="shared" si="15" ref="I21:V21">I$2*(10+((ROUNDUP((I$2)/5,0)-1)*5))+H21</f>
        <v>105</v>
      </c>
      <c r="J21" s="319">
        <f t="shared" si="15"/>
        <v>225</v>
      </c>
      <c r="K21" s="319">
        <f t="shared" si="15"/>
        <v>360</v>
      </c>
      <c r="L21" s="319">
        <f t="shared" si="15"/>
        <v>510</v>
      </c>
      <c r="M21" s="319">
        <f t="shared" si="15"/>
        <v>730</v>
      </c>
      <c r="N21" s="319">
        <f t="shared" si="15"/>
        <v>970</v>
      </c>
      <c r="O21" s="319">
        <f t="shared" si="15"/>
        <v>1230</v>
      </c>
      <c r="P21" s="319">
        <f t="shared" si="15"/>
        <v>1510</v>
      </c>
      <c r="Q21" s="319">
        <f t="shared" si="15"/>
        <v>1810</v>
      </c>
      <c r="R21" s="319">
        <f t="shared" si="15"/>
        <v>2210</v>
      </c>
      <c r="S21" s="319">
        <f t="shared" si="15"/>
        <v>2635</v>
      </c>
      <c r="T21" s="319">
        <f t="shared" si="15"/>
        <v>3085</v>
      </c>
      <c r="U21" s="319">
        <f t="shared" si="15"/>
        <v>3560</v>
      </c>
      <c r="V21" s="319">
        <f t="shared" si="15"/>
        <v>4060</v>
      </c>
    </row>
    <row r="22" spans="2:22" ht="13.5">
      <c r="B22" s="318">
        <v>8</v>
      </c>
      <c r="C22" s="319">
        <v>0</v>
      </c>
      <c r="D22" s="319">
        <v>0</v>
      </c>
      <c r="E22" s="319">
        <v>0</v>
      </c>
      <c r="F22" s="319">
        <v>0</v>
      </c>
      <c r="G22" s="319">
        <v>0</v>
      </c>
      <c r="H22" s="319">
        <v>0</v>
      </c>
      <c r="I22" s="319">
        <v>0</v>
      </c>
      <c r="J22" s="319">
        <f aca="true" t="shared" si="16" ref="J22:V22">J$2*(10+((ROUNDUP((J$2)/5,0)-1)*5))+I22</f>
        <v>120</v>
      </c>
      <c r="K22" s="319">
        <f t="shared" si="16"/>
        <v>255</v>
      </c>
      <c r="L22" s="319">
        <f t="shared" si="16"/>
        <v>405</v>
      </c>
      <c r="M22" s="319">
        <f t="shared" si="16"/>
        <v>625</v>
      </c>
      <c r="N22" s="319">
        <f t="shared" si="16"/>
        <v>865</v>
      </c>
      <c r="O22" s="319">
        <f t="shared" si="16"/>
        <v>1125</v>
      </c>
      <c r="P22" s="319">
        <f t="shared" si="16"/>
        <v>1405</v>
      </c>
      <c r="Q22" s="319">
        <f t="shared" si="16"/>
        <v>1705</v>
      </c>
      <c r="R22" s="319">
        <f t="shared" si="16"/>
        <v>2105</v>
      </c>
      <c r="S22" s="319">
        <f t="shared" si="16"/>
        <v>2530</v>
      </c>
      <c r="T22" s="319">
        <f t="shared" si="16"/>
        <v>2980</v>
      </c>
      <c r="U22" s="319">
        <f t="shared" si="16"/>
        <v>3455</v>
      </c>
      <c r="V22" s="319">
        <f t="shared" si="16"/>
        <v>3955</v>
      </c>
    </row>
    <row r="23" spans="2:22" ht="13.5">
      <c r="B23" s="318">
        <v>9</v>
      </c>
      <c r="C23" s="319">
        <v>0</v>
      </c>
      <c r="D23" s="319">
        <v>0</v>
      </c>
      <c r="E23" s="319">
        <v>0</v>
      </c>
      <c r="F23" s="319">
        <v>0</v>
      </c>
      <c r="G23" s="319">
        <v>0</v>
      </c>
      <c r="H23" s="319">
        <v>0</v>
      </c>
      <c r="I23" s="319">
        <v>0</v>
      </c>
      <c r="J23" s="319">
        <v>0</v>
      </c>
      <c r="K23" s="319">
        <f aca="true" t="shared" si="17" ref="K23:V23">K$2*(10+((ROUNDUP((K$2)/5,0)-1)*5))+J23</f>
        <v>135</v>
      </c>
      <c r="L23" s="319">
        <f t="shared" si="17"/>
        <v>285</v>
      </c>
      <c r="M23" s="319">
        <f t="shared" si="17"/>
        <v>505</v>
      </c>
      <c r="N23" s="319">
        <f t="shared" si="17"/>
        <v>745</v>
      </c>
      <c r="O23" s="319">
        <f t="shared" si="17"/>
        <v>1005</v>
      </c>
      <c r="P23" s="319">
        <f t="shared" si="17"/>
        <v>1285</v>
      </c>
      <c r="Q23" s="319">
        <f t="shared" si="17"/>
        <v>1585</v>
      </c>
      <c r="R23" s="319">
        <f t="shared" si="17"/>
        <v>1985</v>
      </c>
      <c r="S23" s="319">
        <f t="shared" si="17"/>
        <v>2410</v>
      </c>
      <c r="T23" s="319">
        <f t="shared" si="17"/>
        <v>2860</v>
      </c>
      <c r="U23" s="319">
        <f t="shared" si="17"/>
        <v>3335</v>
      </c>
      <c r="V23" s="319">
        <f t="shared" si="17"/>
        <v>3835</v>
      </c>
    </row>
    <row r="24" spans="2:22" ht="13.5">
      <c r="B24" s="318"/>
      <c r="C24" s="319"/>
      <c r="D24" s="319"/>
      <c r="E24" s="319"/>
      <c r="F24" s="319"/>
      <c r="G24" s="319"/>
      <c r="H24" s="319"/>
      <c r="I24" s="319"/>
      <c r="J24" s="319"/>
      <c r="K24" s="319"/>
      <c r="L24" s="319"/>
      <c r="M24" s="319"/>
      <c r="N24" s="319"/>
      <c r="O24" s="319"/>
      <c r="P24" s="319"/>
      <c r="Q24" s="319"/>
      <c r="R24" s="319"/>
      <c r="S24" s="319"/>
      <c r="T24" s="319"/>
      <c r="U24" s="319"/>
      <c r="V24" s="319"/>
    </row>
    <row r="25" spans="2:22" ht="13.5">
      <c r="B25" s="318"/>
      <c r="C25" s="319"/>
      <c r="D25" s="319"/>
      <c r="E25" s="319"/>
      <c r="F25" s="319"/>
      <c r="G25" s="319"/>
      <c r="H25" s="319"/>
      <c r="I25" s="319"/>
      <c r="J25" s="319"/>
      <c r="K25" s="319"/>
      <c r="L25" s="319"/>
      <c r="M25" s="319"/>
      <c r="N25" s="319"/>
      <c r="O25" s="319"/>
      <c r="P25" s="319"/>
      <c r="Q25" s="319"/>
      <c r="R25" s="319"/>
      <c r="S25" s="319"/>
      <c r="T25" s="319"/>
      <c r="U25" s="319"/>
      <c r="V25" s="319"/>
    </row>
    <row r="26" spans="2:22" ht="13.5">
      <c r="B26" s="318"/>
      <c r="C26" s="319"/>
      <c r="D26" s="319"/>
      <c r="E26" s="319"/>
      <c r="F26" s="319"/>
      <c r="G26" s="319"/>
      <c r="H26" s="319"/>
      <c r="I26" s="319"/>
      <c r="J26" s="319"/>
      <c r="K26" s="319"/>
      <c r="L26" s="319"/>
      <c r="M26" s="319"/>
      <c r="N26" s="319"/>
      <c r="O26" s="319"/>
      <c r="P26" s="319"/>
      <c r="Q26" s="319"/>
      <c r="R26" s="319"/>
      <c r="S26" s="319"/>
      <c r="T26" s="319"/>
      <c r="U26" s="319"/>
      <c r="V26" s="319"/>
    </row>
    <row r="27" spans="2:22" ht="13.5">
      <c r="B27" s="318"/>
      <c r="C27" s="319"/>
      <c r="D27" s="319"/>
      <c r="E27" s="319"/>
      <c r="F27" s="319"/>
      <c r="G27" s="319"/>
      <c r="H27" s="319"/>
      <c r="I27" s="319"/>
      <c r="J27" s="319"/>
      <c r="K27" s="319"/>
      <c r="L27" s="319"/>
      <c r="M27" s="319"/>
      <c r="N27" s="319"/>
      <c r="O27" s="319"/>
      <c r="P27" s="319"/>
      <c r="Q27" s="319"/>
      <c r="R27" s="319"/>
      <c r="S27" s="319"/>
      <c r="T27" s="319"/>
      <c r="U27" s="319"/>
      <c r="V27" s="319"/>
    </row>
    <row r="80" ht="13.5">
      <c r="E80" t="s">
        <v>454</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自分</cp:lastModifiedBy>
  <dcterms:modified xsi:type="dcterms:W3CDTF">2013-08-18T07:20:09Z</dcterms:modified>
  <cp:category/>
  <cp:version/>
  <cp:contentType/>
  <cp:contentStatus/>
</cp:coreProperties>
</file>