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655" windowHeight="8280" activeTab="0"/>
  </bookViews>
  <sheets>
    <sheet name="攻撃力計算" sheetId="1" r:id="rId1"/>
    <sheet name="奥義" sheetId="2" r:id="rId2"/>
    <sheet name="武将登録" sheetId="3" r:id="rId3"/>
  </sheets>
  <definedNames>
    <definedName name="_xlfn.BAHTTEXT" hidden="1">#NAME?</definedName>
    <definedName name="K衛生兵">'攻撃力計算'!$X$9</definedName>
    <definedName name="K火弓兵">'攻撃力計算'!$X$15</definedName>
    <definedName name="K間者">'攻撃力計算'!$X$7</definedName>
    <definedName name="K騎兵">'攻撃力計算'!$X$16</definedName>
    <definedName name="K弓兵">'攻撃力計算'!$X$13</definedName>
    <definedName name="K近衛兵">'攻撃力計算'!$X$8</definedName>
    <definedName name="K工兵">'攻撃力計算'!$X$19</definedName>
    <definedName name="K攻城騎兵">'攻撃力計算'!$X$22</definedName>
    <definedName name="K重装騎兵">'攻撃力計算'!$X$17</definedName>
    <definedName name="K重装槍兵">'攻撃力計算'!$X$12</definedName>
    <definedName name="K衝車">'攻撃力計算'!$X$20</definedName>
    <definedName name="K斥候">'攻撃力計算'!$X$6</definedName>
    <definedName name="K槍兵">'攻撃力計算'!$X$10</definedName>
    <definedName name="K発石車">'攻撃力計算'!$X$23</definedName>
    <definedName name="K歩兵">'攻撃力計算'!$X$5</definedName>
    <definedName name="K矛槍兵">'攻撃力計算'!$X$11</definedName>
    <definedName name="K輸送騎兵">'攻撃力計算'!$X$18</definedName>
    <definedName name="K櫓車">'攻撃力計算'!$X$21</definedName>
    <definedName name="K弩兵">'攻撃力計算'!$X$14</definedName>
    <definedName name="衛生兵">'攻撃力計算'!$B$9</definedName>
    <definedName name="奥義11">'攻撃力計算'!#REF!</definedName>
    <definedName name="奥義12">'攻撃力計算'!$C$27</definedName>
    <definedName name="奥義13">'攻撃力計算'!$C$38</definedName>
    <definedName name="奥義14">'攻撃力計算'!$C$49</definedName>
    <definedName name="奥義21">'攻撃力計算'!#REF!</definedName>
    <definedName name="奥義22">'攻撃力計算'!$G$27</definedName>
    <definedName name="奥義23">'攻撃力計算'!$G$38</definedName>
    <definedName name="奥義24">'攻撃力計算'!$G$49</definedName>
    <definedName name="奥義31">'攻撃力計算'!#REF!</definedName>
    <definedName name="奥義32">'攻撃力計算'!$K$27</definedName>
    <definedName name="奥義33">'攻撃力計算'!$K$38</definedName>
    <definedName name="奥義34">'攻撃力計算'!$K$49</definedName>
    <definedName name="奥義41">'攻撃力計算'!#REF!</definedName>
    <definedName name="奥義42">'攻撃力計算'!$O$27</definedName>
    <definedName name="奥義43">'攻撃力計算'!$O$38</definedName>
    <definedName name="奥義44">'攻撃力計算'!$O$49</definedName>
    <definedName name="奥義51">'攻撃力計算'!#REF!</definedName>
    <definedName name="奥義52">'攻撃力計算'!$S$27</definedName>
    <definedName name="奥義53">'攻撃力計算'!$S$38</definedName>
    <definedName name="奥義54">'攻撃力計算'!$S$49</definedName>
    <definedName name="奥義リスト">'奥義'!$A$2:$A$95</definedName>
    <definedName name="火弓兵">'攻撃力計算'!$B$15</definedName>
    <definedName name="間者">'攻撃力計算'!$B$7</definedName>
    <definedName name="騎兵">'攻撃力計算'!$B$16</definedName>
    <definedName name="騎兵1">'攻撃力計算'!$D$16:$F$18</definedName>
    <definedName name="騎兵2">'攻撃力計算'!$H$16:$J$18</definedName>
    <definedName name="騎兵3">'攻撃力計算'!$L$16:$N$18</definedName>
    <definedName name="騎兵4">'攻撃力計算'!$P$16:$R$18</definedName>
    <definedName name="騎兵5">'攻撃力計算'!$T$16:$V$18</definedName>
    <definedName name="弓兵">'攻撃力計算'!$B$13</definedName>
    <definedName name="弓兵1">'攻撃力計算'!$D$13:$F$15</definedName>
    <definedName name="弓兵2">'攻撃力計算'!$H$13:$J$15</definedName>
    <definedName name="弓兵3">'攻撃力計算'!$L$13:$N$15</definedName>
    <definedName name="弓兵4">'攻撃力計算'!$P$13:$R$15</definedName>
    <definedName name="弓兵5">'攻撃力計算'!$T$13:$V$15</definedName>
    <definedName name="近衛兵">'攻撃力計算'!$B$8</definedName>
    <definedName name="固有奥義">#REF!</definedName>
    <definedName name="固有奥義A">#REF!</definedName>
    <definedName name="固有奥義リスト">#REF!</definedName>
    <definedName name="工兵">'攻撃力計算'!$B$19</definedName>
    <definedName name="工兵1">'攻撃力計算'!$D$19:$F$23</definedName>
    <definedName name="工兵2">'攻撃力計算'!$H$19:$J$23</definedName>
    <definedName name="工兵3">'攻撃力計算'!$L$19:$N$23</definedName>
    <definedName name="工兵4">'攻撃力計算'!$P$19:$R$23</definedName>
    <definedName name="工兵5">'攻撃力計算'!$T$19:$V$23</definedName>
    <definedName name="攻撃力">'攻撃力計算'!$B$3</definedName>
    <definedName name="攻城騎兵">'攻撃力計算'!$B$22</definedName>
    <definedName name="重装騎兵">'攻撃力計算'!$B$17</definedName>
    <definedName name="重装槍兵">'攻撃力計算'!$B$12</definedName>
    <definedName name="衝車">'攻撃力計算'!$B$20</definedName>
    <definedName name="斥候">'攻撃力計算'!$B$6</definedName>
    <definedName name="戦闘奥義">'奥義'!$A$2:$M$95</definedName>
    <definedName name="槍兵">'攻撃力計算'!$B$10</definedName>
    <definedName name="槍兵1">'攻撃力計算'!$D$10:$F$12</definedName>
    <definedName name="槍兵2">'攻撃力計算'!$H$10:$J$12</definedName>
    <definedName name="槍兵3">'攻撃力計算'!$L$10:$N$12</definedName>
    <definedName name="槍兵4">'攻撃力計算'!$P$10:$R$12</definedName>
    <definedName name="槍兵5">'攻撃力計算'!$T$10:$V$12</definedName>
    <definedName name="総攻撃力A">'攻撃力計算'!$W$25</definedName>
    <definedName name="発石車">'攻撃力計算'!$B$23</definedName>
    <definedName name="武将">'武将登録'!$A$2:$F$26</definedName>
    <definedName name="武将1">'攻撃力計算'!$C$2</definedName>
    <definedName name="武将2">'攻撃力計算'!$G$2</definedName>
    <definedName name="武将3">'攻撃力計算'!$K$2</definedName>
    <definedName name="武将4">'攻撃力計算'!$O$2</definedName>
    <definedName name="武将5">'攻撃力計算'!$S$2</definedName>
    <definedName name="武将リスト">'武将登録'!$A$2:$A$26</definedName>
    <definedName name="武将攻撃力1">'攻撃力計算'!$D$3</definedName>
    <definedName name="武将攻撃力2">'攻撃力計算'!$H$3</definedName>
    <definedName name="武将攻撃力3">'攻撃力計算'!$L$3</definedName>
    <definedName name="武将攻撃力4">'攻撃力計算'!$P$3</definedName>
    <definedName name="武将攻撃力5">'攻撃力計算'!$T$3</definedName>
    <definedName name="武将人数">'攻撃力計算'!$B$1</definedName>
    <definedName name="歩兵">'攻撃力計算'!$B$5</definedName>
    <definedName name="歩兵1">'攻撃力計算'!$D$5:$F$9</definedName>
    <definedName name="歩兵2">'攻撃力計算'!$H$5:$J$9</definedName>
    <definedName name="歩兵3">'攻撃力計算'!$L$5:$N$9</definedName>
    <definedName name="歩兵4">'攻撃力計算'!$P$5:$R$9</definedName>
    <definedName name="歩兵5">'攻撃力計算'!$T$5:$V$9</definedName>
    <definedName name="矛槍兵">'攻撃力計算'!$B$11</definedName>
    <definedName name="輸送騎兵">'攻撃力計算'!$B$18</definedName>
    <definedName name="櫓車">'攻撃力計算'!$B$21</definedName>
    <definedName name="弩兵">'攻撃力計算'!$B$14</definedName>
  </definedNames>
  <calcPr fullCalcOnLoad="1"/>
</workbook>
</file>

<file path=xl/sharedStrings.xml><?xml version="1.0" encoding="utf-8"?>
<sst xmlns="http://schemas.openxmlformats.org/spreadsheetml/2006/main" count="319" uniqueCount="187">
  <si>
    <t>近衛兵</t>
  </si>
  <si>
    <t>重装槍兵</t>
  </si>
  <si>
    <t>火弓兵</t>
  </si>
  <si>
    <t>星</t>
  </si>
  <si>
    <t>音々音</t>
  </si>
  <si>
    <t>華琳</t>
  </si>
  <si>
    <t>矛槍兵</t>
  </si>
  <si>
    <t>攻撃力</t>
  </si>
  <si>
    <t>兵数</t>
  </si>
  <si>
    <t>攻撃</t>
  </si>
  <si>
    <t>兵種</t>
  </si>
  <si>
    <t>武将</t>
  </si>
  <si>
    <t>鍛冶場Lv</t>
  </si>
  <si>
    <t>補正2</t>
  </si>
  <si>
    <t>補正1</t>
  </si>
  <si>
    <t>槍兵</t>
  </si>
  <si>
    <t>歩兵</t>
  </si>
  <si>
    <t>歩兵</t>
  </si>
  <si>
    <t>斥候</t>
  </si>
  <si>
    <t>間者</t>
  </si>
  <si>
    <t>衛生兵</t>
  </si>
  <si>
    <t>槍兵</t>
  </si>
  <si>
    <t>弓兵</t>
  </si>
  <si>
    <t>騎兵</t>
  </si>
  <si>
    <t>重装騎兵</t>
  </si>
  <si>
    <t>輸送騎兵</t>
  </si>
  <si>
    <t>工兵</t>
  </si>
  <si>
    <t>工兵</t>
  </si>
  <si>
    <t>衝車</t>
  </si>
  <si>
    <t>櫓車</t>
  </si>
  <si>
    <t>攻城騎兵</t>
  </si>
  <si>
    <t>発石車</t>
  </si>
  <si>
    <t>攻撃力</t>
  </si>
  <si>
    <t>弩兵</t>
  </si>
  <si>
    <t>係数</t>
  </si>
  <si>
    <t>総攻撃力</t>
  </si>
  <si>
    <t>武将攻撃力</t>
  </si>
  <si>
    <t>豪天砲制限解除</t>
  </si>
  <si>
    <t>救護</t>
  </si>
  <si>
    <t>青龍逆鱗陣</t>
  </si>
  <si>
    <t>猛虎粉砕撃</t>
  </si>
  <si>
    <t>奇問遁甲</t>
  </si>
  <si>
    <t>白銀姫の大号令</t>
  </si>
  <si>
    <t>蒼き流星</t>
  </si>
  <si>
    <t>曲張比肩</t>
  </si>
  <si>
    <t>命不知火</t>
  </si>
  <si>
    <t>ここにいるぞーっ！</t>
  </si>
  <si>
    <t>十面埋伏</t>
  </si>
  <si>
    <t>百花繚乱</t>
  </si>
  <si>
    <t>特級メイドの実力</t>
  </si>
  <si>
    <t>四面楚歌</t>
  </si>
  <si>
    <t>天下無双</t>
  </si>
  <si>
    <t>不惜身命</t>
  </si>
  <si>
    <t>蒼竜神速撃</t>
  </si>
  <si>
    <t>覇王の力</t>
  </si>
  <si>
    <t>怒髪衝天</t>
  </si>
  <si>
    <t>一矢一殺</t>
  </si>
  <si>
    <t>軍師の力</t>
  </si>
  <si>
    <t>曹操の悪魔</t>
  </si>
  <si>
    <t>悪来典韋</t>
  </si>
  <si>
    <t>攻めの一手</t>
  </si>
  <si>
    <t>魅惑の計</t>
  </si>
  <si>
    <t>猛虎蹴撃</t>
  </si>
  <si>
    <t>螺旋天衝</t>
  </si>
  <si>
    <t>海兵隊式戦闘法</t>
  </si>
  <si>
    <t>因果応報</t>
  </si>
  <si>
    <t>南海覇王・改</t>
  </si>
  <si>
    <t>酷なる罵倒</t>
  </si>
  <si>
    <t>火矢</t>
  </si>
  <si>
    <t>赤壁の大火炎</t>
  </si>
  <si>
    <t>収拾の計</t>
  </si>
  <si>
    <t>黄泉への鈴音</t>
  </si>
  <si>
    <t>阿蒙の一撃</t>
  </si>
  <si>
    <t>王を守る者</t>
  </si>
  <si>
    <t>みんなの恋人天和</t>
  </si>
  <si>
    <t>みんなの妹地和</t>
  </si>
  <si>
    <t>倶楽部勧誘</t>
  </si>
  <si>
    <t>妖艶？な笑い</t>
  </si>
  <si>
    <t>斬山刀斬山陣</t>
  </si>
  <si>
    <t>突撃承認</t>
  </si>
  <si>
    <t>支離滅裂の大号令</t>
  </si>
  <si>
    <t>大将軍の孤軍奮闘</t>
  </si>
  <si>
    <t>もふもふの大号令</t>
  </si>
  <si>
    <t>秀才の号令</t>
  </si>
  <si>
    <t>歩兵攻撃力</t>
  </si>
  <si>
    <t>槍兵攻撃力</t>
  </si>
  <si>
    <t>弓兵攻撃力</t>
  </si>
  <si>
    <t>騎兵攻撃力</t>
  </si>
  <si>
    <t>工兵攻撃力</t>
  </si>
  <si>
    <t>奥義阻止</t>
  </si>
  <si>
    <t>一騎打ち</t>
  </si>
  <si>
    <t>混乱誘発</t>
  </si>
  <si>
    <t>混乱阻止</t>
  </si>
  <si>
    <t>歩兵攻撃力</t>
  </si>
  <si>
    <t>総攻撃力2</t>
  </si>
  <si>
    <t>武将人数</t>
  </si>
  <si>
    <t>奥義阻止/一騎</t>
  </si>
  <si>
    <t>合計</t>
  </si>
  <si>
    <t>団結 一</t>
  </si>
  <si>
    <t>団結 二</t>
  </si>
  <si>
    <t>団結 二</t>
  </si>
  <si>
    <t>団結 三</t>
  </si>
  <si>
    <t>大団結 一</t>
  </si>
  <si>
    <t>大団結 五</t>
  </si>
  <si>
    <t>大団結 五</t>
  </si>
  <si>
    <t>超団結 一</t>
  </si>
  <si>
    <t>協心戮力 一</t>
  </si>
  <si>
    <t>協心戮力 二</t>
  </si>
  <si>
    <t>協心戮力 四</t>
  </si>
  <si>
    <t>協心戮力 三</t>
  </si>
  <si>
    <t>勇猛果敢 一</t>
  </si>
  <si>
    <t>勇猛果敢 二</t>
  </si>
  <si>
    <t>勇猛果敢 三</t>
  </si>
  <si>
    <t>剛毅果断 一</t>
  </si>
  <si>
    <t>剛毅果断 一</t>
  </si>
  <si>
    <t>歩兵号令 一</t>
  </si>
  <si>
    <t>歩兵号令 二</t>
  </si>
  <si>
    <t>歩兵号令 三</t>
  </si>
  <si>
    <t>歩兵大号令 一</t>
  </si>
  <si>
    <t>歩兵超号令 一</t>
  </si>
  <si>
    <t>槍兵号令 一</t>
  </si>
  <si>
    <t>槍兵号令 二</t>
  </si>
  <si>
    <t>槍兵超号令 二</t>
  </si>
  <si>
    <t>弓兵号令 一</t>
  </si>
  <si>
    <t>弓兵号令 二</t>
  </si>
  <si>
    <t>弓兵号令 三</t>
  </si>
  <si>
    <t>弓兵大号令 一</t>
  </si>
  <si>
    <t>弓兵大号令 二</t>
  </si>
  <si>
    <t>弓兵超号令 一</t>
  </si>
  <si>
    <t>槍兵大号令 一</t>
  </si>
  <si>
    <t>騎兵号令 一</t>
  </si>
  <si>
    <t>騎兵号令 二</t>
  </si>
  <si>
    <t>工兵号令</t>
  </si>
  <si>
    <t>工兵大号令</t>
  </si>
  <si>
    <t>戦士の勇名 一</t>
  </si>
  <si>
    <t>戦士の勇名 二</t>
  </si>
  <si>
    <t>戦士の勇名 三</t>
  </si>
  <si>
    <t>戦士の勇名 四</t>
  </si>
  <si>
    <t>獅子奮迅 一</t>
  </si>
  <si>
    <t>獅子奮迅 二</t>
  </si>
  <si>
    <t>獅子奮迅 三</t>
  </si>
  <si>
    <t>獅子奮迅 五</t>
  </si>
  <si>
    <r>
      <t>一騎討ち阻止</t>
    </r>
    <r>
      <rPr>
        <sz val="11"/>
        <rFont val="Times New Roman"/>
        <family val="1"/>
      </rPr>
      <t xml:space="preserve"> </t>
    </r>
    <r>
      <rPr>
        <sz val="11"/>
        <rFont val="ＭＳ Ｐ明朝"/>
        <family val="1"/>
      </rPr>
      <t>六</t>
    </r>
  </si>
  <si>
    <t>一騎討ち阻止 一</t>
  </si>
  <si>
    <t>一騎討ち阻止 二</t>
  </si>
  <si>
    <t>一騎討ち阻止 三</t>
  </si>
  <si>
    <t>一騎討ち阻止 五</t>
  </si>
  <si>
    <t>戦闘奥義1</t>
  </si>
  <si>
    <t>戦闘奥義2</t>
  </si>
  <si>
    <t>戦闘奥義3</t>
  </si>
  <si>
    <t>美以</t>
  </si>
  <si>
    <t>恋</t>
  </si>
  <si>
    <t>祭</t>
  </si>
  <si>
    <t>弓兵</t>
  </si>
  <si>
    <t>月</t>
  </si>
  <si>
    <t>春蘭</t>
  </si>
  <si>
    <t>秋蘭</t>
  </si>
  <si>
    <t>詠</t>
  </si>
  <si>
    <t>EX 星</t>
  </si>
  <si>
    <t>稟</t>
  </si>
  <si>
    <t>EX2 趙雲</t>
  </si>
  <si>
    <t>戦士の勇名 四</t>
  </si>
  <si>
    <t>大団結 一</t>
  </si>
  <si>
    <t>超団結 一</t>
  </si>
  <si>
    <t>桃香</t>
  </si>
  <si>
    <t>雪蓮</t>
  </si>
  <si>
    <t>愛紗</t>
  </si>
  <si>
    <t>霞</t>
  </si>
  <si>
    <t>天和</t>
  </si>
  <si>
    <t>地和</t>
  </si>
  <si>
    <t>人和</t>
  </si>
  <si>
    <t>華佗</t>
  </si>
  <si>
    <t>EX 愛紗</t>
  </si>
  <si>
    <t>EX 鈴々</t>
  </si>
  <si>
    <t>EX2 関羽</t>
  </si>
  <si>
    <t>小蓮</t>
  </si>
  <si>
    <t>得意兵種</t>
  </si>
  <si>
    <t>騎兵</t>
  </si>
  <si>
    <t>奥義1</t>
  </si>
  <si>
    <t>奥義2</t>
  </si>
  <si>
    <t>奥義3</t>
  </si>
  <si>
    <t>なし / その他</t>
  </si>
  <si>
    <t>協心戮力 二</t>
  </si>
  <si>
    <t>歩兵大号令 一</t>
  </si>
  <si>
    <t>弓兵超号令 一</t>
  </si>
  <si>
    <t>獅子奮迅 五</t>
  </si>
  <si>
    <t>勇猛果敢 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</si>
</sst>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1"/>
      <color indexed="9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 vertical="center"/>
    </xf>
    <xf numFmtId="0" fontId="3" fillId="2" borderId="1" xfId="0" applyFon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horizontal="right" vertical="center"/>
      <protection locked="0"/>
    </xf>
    <xf numFmtId="0" fontId="3" fillId="2" borderId="2" xfId="0" applyFon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alignment horizontal="right" vertical="center"/>
      <protection locked="0"/>
    </xf>
    <xf numFmtId="0" fontId="3" fillId="2" borderId="3" xfId="0" applyFont="1" applyFill="1" applyBorder="1" applyAlignment="1" applyProtection="1">
      <alignment horizontal="right" vertical="center"/>
      <protection locked="0"/>
    </xf>
    <xf numFmtId="0" fontId="0" fillId="2" borderId="3" xfId="0" applyFill="1" applyBorder="1" applyAlignment="1" applyProtection="1">
      <alignment horizontal="right" vertical="center"/>
      <protection locked="0"/>
    </xf>
    <xf numFmtId="0" fontId="3" fillId="3" borderId="4" xfId="0" applyFont="1" applyFill="1" applyBorder="1" applyAlignment="1" applyProtection="1">
      <alignment vertical="center"/>
      <protection/>
    </xf>
    <xf numFmtId="0" fontId="4" fillId="3" borderId="5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2" fillId="4" borderId="5" xfId="0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5" fillId="3" borderId="4" xfId="0" applyFont="1" applyFill="1" applyBorder="1" applyAlignment="1" applyProtection="1">
      <alignment vertical="center"/>
      <protection/>
    </xf>
    <xf numFmtId="0" fontId="4" fillId="3" borderId="4" xfId="0" applyFont="1" applyFill="1" applyBorder="1" applyAlignment="1" applyProtection="1">
      <alignment horizontal="center" vertical="center"/>
      <protection/>
    </xf>
    <xf numFmtId="0" fontId="4" fillId="3" borderId="6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3" fillId="3" borderId="8" xfId="0" applyFont="1" applyFill="1" applyBorder="1" applyAlignment="1" applyProtection="1">
      <alignment vertical="center"/>
      <protection/>
    </xf>
    <xf numFmtId="0" fontId="3" fillId="3" borderId="9" xfId="0" applyFont="1" applyFill="1" applyBorder="1" applyAlignment="1" applyProtection="1">
      <alignment vertical="center"/>
      <protection/>
    </xf>
    <xf numFmtId="0" fontId="0" fillId="0" borderId="1" xfId="0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horizontal="right" vertical="center"/>
      <protection/>
    </xf>
    <xf numFmtId="0" fontId="3" fillId="0" borderId="12" xfId="0" applyFont="1" applyFill="1" applyBorder="1" applyAlignment="1" applyProtection="1">
      <alignment horizontal="right" vertical="center"/>
      <protection/>
    </xf>
    <xf numFmtId="0" fontId="0" fillId="0" borderId="2" xfId="0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 horizontal="right" vertical="center"/>
      <protection/>
    </xf>
    <xf numFmtId="0" fontId="3" fillId="0" borderId="13" xfId="0" applyFont="1" applyFill="1" applyBorder="1" applyAlignment="1" applyProtection="1">
      <alignment horizontal="right"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horizontal="right" vertical="center"/>
      <protection/>
    </xf>
    <xf numFmtId="0" fontId="0" fillId="0" borderId="2" xfId="0" applyBorder="1" applyAlignment="1" applyProtection="1">
      <alignment vertical="center"/>
      <protection/>
    </xf>
    <xf numFmtId="0" fontId="0" fillId="0" borderId="3" xfId="0" applyFill="1" applyBorder="1" applyAlignment="1" applyProtection="1">
      <alignment vertical="center"/>
      <protection/>
    </xf>
    <xf numFmtId="0" fontId="3" fillId="0" borderId="17" xfId="0" applyFont="1" applyFill="1" applyBorder="1" applyAlignment="1" applyProtection="1">
      <alignment horizontal="right" vertical="center"/>
      <protection/>
    </xf>
    <xf numFmtId="0" fontId="3" fillId="0" borderId="18" xfId="0" applyFont="1" applyFill="1" applyBorder="1" applyAlignment="1" applyProtection="1">
      <alignment horizontal="right" vertical="center"/>
      <protection/>
    </xf>
    <xf numFmtId="0" fontId="3" fillId="0" borderId="15" xfId="0" applyFont="1" applyFill="1" applyBorder="1" applyAlignment="1" applyProtection="1">
      <alignment horizontal="right" vertical="center"/>
      <protection/>
    </xf>
    <xf numFmtId="0" fontId="3" fillId="0" borderId="19" xfId="0" applyFont="1" applyFill="1" applyBorder="1" applyAlignment="1" applyProtection="1">
      <alignment horizontal="right" vertical="center"/>
      <protection/>
    </xf>
    <xf numFmtId="0" fontId="3" fillId="0" borderId="4" xfId="0" applyFont="1" applyFill="1" applyBorder="1" applyAlignment="1" applyProtection="1">
      <alignment horizontal="right" vertical="center"/>
      <protection/>
    </xf>
    <xf numFmtId="0" fontId="3" fillId="0" borderId="6" xfId="0" applyFont="1" applyFill="1" applyBorder="1" applyAlignment="1" applyProtection="1">
      <alignment horizontal="right" vertical="center"/>
      <protection/>
    </xf>
    <xf numFmtId="0" fontId="3" fillId="0" borderId="7" xfId="0" applyFont="1" applyFill="1" applyBorder="1" applyAlignment="1" applyProtection="1">
      <alignment horizontal="right" vertical="center"/>
      <protection/>
    </xf>
    <xf numFmtId="0" fontId="3" fillId="0" borderId="5" xfId="0" applyFont="1" applyFill="1" applyBorder="1" applyAlignment="1" applyProtection="1">
      <alignment horizontal="right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5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3" borderId="8" xfId="0" applyFont="1" applyFill="1" applyBorder="1" applyAlignment="1" applyProtection="1">
      <alignment vertical="center"/>
      <protection/>
    </xf>
    <xf numFmtId="0" fontId="2" fillId="3" borderId="9" xfId="0" applyFont="1" applyFill="1" applyBorder="1" applyAlignment="1" applyProtection="1">
      <alignment vertical="center"/>
      <protection/>
    </xf>
    <xf numFmtId="0" fontId="2" fillId="3" borderId="9" xfId="0" applyFont="1" applyFill="1" applyBorder="1" applyAlignment="1" applyProtection="1">
      <alignment vertical="center"/>
      <protection/>
    </xf>
    <xf numFmtId="0" fontId="2" fillId="2" borderId="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/>
    </xf>
    <xf numFmtId="177" fontId="6" fillId="0" borderId="0" xfId="0" applyNumberFormat="1" applyFont="1" applyAlignment="1" applyProtection="1">
      <alignment vertical="center"/>
      <protection/>
    </xf>
    <xf numFmtId="0" fontId="3" fillId="0" borderId="6" xfId="0" applyFont="1" applyBorder="1" applyAlignment="1" applyProtection="1">
      <alignment horizontal="right" vertical="center"/>
      <protection/>
    </xf>
    <xf numFmtId="0" fontId="3" fillId="0" borderId="5" xfId="0" applyFont="1" applyBorder="1" applyAlignment="1" applyProtection="1">
      <alignment horizontal="right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 horizontal="right" vertical="center"/>
      <protection/>
    </xf>
    <xf numFmtId="0" fontId="3" fillId="0" borderId="4" xfId="0" applyFont="1" applyBorder="1" applyAlignment="1" applyProtection="1">
      <alignment horizontal="right" vertical="center"/>
      <protection/>
    </xf>
    <xf numFmtId="9" fontId="3" fillId="0" borderId="4" xfId="0" applyNumberFormat="1" applyFont="1" applyBorder="1" applyAlignment="1" applyProtection="1">
      <alignment horizontal="right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0" fillId="0" borderId="8" xfId="0" applyFill="1" applyBorder="1" applyAlignment="1" applyProtection="1">
      <alignment vertical="center"/>
      <protection/>
    </xf>
    <xf numFmtId="0" fontId="0" fillId="0" borderId="9" xfId="0" applyFill="1" applyBorder="1" applyAlignment="1" applyProtection="1">
      <alignment vertical="center"/>
      <protection/>
    </xf>
    <xf numFmtId="0" fontId="3" fillId="0" borderId="8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/>
      <protection/>
    </xf>
    <xf numFmtId="177" fontId="2" fillId="0" borderId="8" xfId="0" applyNumberFormat="1" applyFont="1" applyBorder="1" applyAlignment="1" applyProtection="1">
      <alignment horizontal="center" vertical="center"/>
      <protection/>
    </xf>
    <xf numFmtId="177" fontId="2" fillId="0" borderId="20" xfId="0" applyNumberFormat="1" applyFont="1" applyBorder="1" applyAlignment="1" applyProtection="1">
      <alignment horizontal="center" vertical="center"/>
      <protection/>
    </xf>
    <xf numFmtId="177" fontId="2" fillId="0" borderId="9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22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vertical="center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20" xfId="0" applyFont="1" applyFill="1" applyBorder="1" applyAlignment="1" applyProtection="1">
      <alignment horizontal="center" vertical="center"/>
      <protection locked="0"/>
    </xf>
    <xf numFmtId="0" fontId="0" fillId="2" borderId="9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right" vertical="center"/>
      <protection/>
    </xf>
    <xf numFmtId="0" fontId="2" fillId="3" borderId="8" xfId="0" applyFont="1" applyFill="1" applyBorder="1" applyAlignment="1" applyProtection="1">
      <alignment horizontal="left" vertical="center"/>
      <protection/>
    </xf>
    <xf numFmtId="0" fontId="2" fillId="3" borderId="20" xfId="0" applyFont="1" applyFill="1" applyBorder="1" applyAlignment="1" applyProtection="1">
      <alignment horizontal="left" vertical="center"/>
      <protection/>
    </xf>
    <xf numFmtId="0" fontId="2" fillId="3" borderId="9" xfId="0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9"/>
  <sheetViews>
    <sheetView showGridLines="0" tabSelected="1" zoomScale="85" zoomScaleNormal="85" workbookViewId="0" topLeftCell="A1">
      <pane ySplit="4" topLeftCell="BM8" activePane="bottomLeft" state="frozen"/>
      <selection pane="topLeft" activeCell="A1" sqref="A1"/>
      <selection pane="bottomLeft" activeCell="Y10" sqref="Y10"/>
    </sheetView>
  </sheetViews>
  <sheetFormatPr defaultColWidth="9.00390625" defaultRowHeight="13.5"/>
  <cols>
    <col min="1" max="1" width="9.00390625" style="9" customWidth="1"/>
    <col min="2" max="2" width="4.625" style="9" bestFit="1" customWidth="1"/>
    <col min="3" max="22" width="5.625" style="44" customWidth="1"/>
    <col min="23" max="23" width="5.75390625" style="9" bestFit="1" customWidth="1"/>
    <col min="24" max="24" width="5.125" style="9" customWidth="1"/>
    <col min="25" max="25" width="6.75390625" style="9" bestFit="1" customWidth="1"/>
    <col min="26" max="16384" width="9.00390625" style="9" customWidth="1"/>
  </cols>
  <sheetData>
    <row r="1" spans="1:2" ht="15">
      <c r="A1" s="7" t="s">
        <v>95</v>
      </c>
      <c r="B1" s="52">
        <v>5</v>
      </c>
    </row>
    <row r="2" spans="1:22" ht="15">
      <c r="A2" s="7" t="s">
        <v>11</v>
      </c>
      <c r="B2" s="8" t="s">
        <v>34</v>
      </c>
      <c r="C2" s="76" t="s">
        <v>167</v>
      </c>
      <c r="D2" s="77"/>
      <c r="E2" s="77"/>
      <c r="F2" s="78"/>
      <c r="G2" s="76" t="s">
        <v>152</v>
      </c>
      <c r="H2" s="77"/>
      <c r="I2" s="77"/>
      <c r="J2" s="78"/>
      <c r="K2" s="76" t="s">
        <v>155</v>
      </c>
      <c r="L2" s="77"/>
      <c r="M2" s="77"/>
      <c r="N2" s="78"/>
      <c r="O2" s="76" t="s">
        <v>150</v>
      </c>
      <c r="P2" s="77"/>
      <c r="Q2" s="77"/>
      <c r="R2" s="78"/>
      <c r="S2" s="76" t="s">
        <v>4</v>
      </c>
      <c r="T2" s="77"/>
      <c r="U2" s="77"/>
      <c r="V2" s="78"/>
    </row>
    <row r="3" spans="1:24" ht="15">
      <c r="A3" s="10" t="s">
        <v>7</v>
      </c>
      <c r="B3" s="11">
        <v>25</v>
      </c>
      <c r="C3" s="79">
        <f>VLOOKUP(武将1,武将,3,"FALSE")</f>
        <v>6</v>
      </c>
      <c r="D3" s="12">
        <f>攻撃力*C3</f>
        <v>150</v>
      </c>
      <c r="E3" s="79" t="str">
        <f>VLOOKUP(武将1,武将,2,"FALSE")</f>
        <v>騎兵</v>
      </c>
      <c r="F3" s="13"/>
      <c r="G3" s="79">
        <f>VLOOKUP(武将2,武将,3,"FALSE")</f>
        <v>6</v>
      </c>
      <c r="H3" s="12">
        <f>攻撃力*G3</f>
        <v>150</v>
      </c>
      <c r="I3" s="79" t="str">
        <f>VLOOKUP(武将2,武将,2,"FALSE")</f>
        <v>弓兵</v>
      </c>
      <c r="J3" s="13"/>
      <c r="K3" s="79">
        <f>VLOOKUP(武将3,武将,3,"FALSE")</f>
        <v>10</v>
      </c>
      <c r="L3" s="12">
        <f>攻撃力*K3</f>
        <v>250</v>
      </c>
      <c r="M3" s="79" t="str">
        <f>VLOOKUP(武将3,武将,2,"FALSE")</f>
        <v>歩兵</v>
      </c>
      <c r="N3" s="13"/>
      <c r="O3" s="79">
        <f>VLOOKUP(武将4,武将,3,"FALSE")</f>
        <v>20</v>
      </c>
      <c r="P3" s="12">
        <f>攻撃力*O3</f>
        <v>500</v>
      </c>
      <c r="Q3" s="79" t="str">
        <f>VLOOKUP(武将4,武将,2,"FALSE")</f>
        <v>歩兵</v>
      </c>
      <c r="R3" s="13"/>
      <c r="S3" s="79">
        <f>VLOOKUP(武将5,武将,3,"FALSE")</f>
        <v>27</v>
      </c>
      <c r="T3" s="12">
        <f>攻撃力*S3</f>
        <v>675</v>
      </c>
      <c r="U3" s="79" t="str">
        <f>VLOOKUP(武将5,武将,2,"FALSE")</f>
        <v>騎兵</v>
      </c>
      <c r="V3" s="13"/>
      <c r="W3" s="14"/>
      <c r="X3" s="14"/>
    </row>
    <row r="4" spans="1:24" ht="15">
      <c r="A4" s="15" t="s">
        <v>10</v>
      </c>
      <c r="B4" s="8" t="s">
        <v>34</v>
      </c>
      <c r="C4" s="16" t="s">
        <v>8</v>
      </c>
      <c r="D4" s="17" t="s">
        <v>32</v>
      </c>
      <c r="E4" s="18" t="s">
        <v>14</v>
      </c>
      <c r="F4" s="8" t="s">
        <v>13</v>
      </c>
      <c r="G4" s="16" t="s">
        <v>8</v>
      </c>
      <c r="H4" s="17" t="s">
        <v>9</v>
      </c>
      <c r="I4" s="18" t="s">
        <v>14</v>
      </c>
      <c r="J4" s="8" t="s">
        <v>13</v>
      </c>
      <c r="K4" s="16" t="s">
        <v>8</v>
      </c>
      <c r="L4" s="17" t="s">
        <v>9</v>
      </c>
      <c r="M4" s="18" t="s">
        <v>14</v>
      </c>
      <c r="N4" s="8" t="s">
        <v>13</v>
      </c>
      <c r="O4" s="16" t="s">
        <v>8</v>
      </c>
      <c r="P4" s="17" t="s">
        <v>9</v>
      </c>
      <c r="Q4" s="18" t="s">
        <v>14</v>
      </c>
      <c r="R4" s="8" t="s">
        <v>13</v>
      </c>
      <c r="S4" s="16" t="s">
        <v>8</v>
      </c>
      <c r="T4" s="17" t="s">
        <v>9</v>
      </c>
      <c r="U4" s="18" t="s">
        <v>14</v>
      </c>
      <c r="V4" s="8" t="s">
        <v>13</v>
      </c>
      <c r="W4" s="19" t="s">
        <v>12</v>
      </c>
      <c r="X4" s="20"/>
    </row>
    <row r="5" spans="1:24" ht="15">
      <c r="A5" s="21" t="s">
        <v>17</v>
      </c>
      <c r="B5" s="22">
        <v>4</v>
      </c>
      <c r="C5" s="1"/>
      <c r="D5" s="23">
        <f>歩兵*C5</f>
        <v>0</v>
      </c>
      <c r="E5" s="23">
        <f>IF(E3="歩兵",D5*0.5,0)</f>
        <v>0</v>
      </c>
      <c r="F5" s="24">
        <f>ROUND(K歩兵*(D5+E5),0)</f>
        <v>0</v>
      </c>
      <c r="G5" s="1"/>
      <c r="H5" s="23">
        <f>歩兵*G5</f>
        <v>0</v>
      </c>
      <c r="I5" s="23">
        <f>IF(I3="歩兵",H5*0.5,0)</f>
        <v>0</v>
      </c>
      <c r="J5" s="24">
        <f>ROUND(K歩兵*(H5+I5),0)</f>
        <v>0</v>
      </c>
      <c r="K5" s="1"/>
      <c r="L5" s="23">
        <f>歩兵*K5</f>
        <v>0</v>
      </c>
      <c r="M5" s="23">
        <f>IF(M3="歩兵",L5*0.5,0)</f>
        <v>0</v>
      </c>
      <c r="N5" s="24">
        <f>ROUND(K歩兵*(L5+M5),0)</f>
        <v>0</v>
      </c>
      <c r="O5" s="1"/>
      <c r="P5" s="23">
        <f>歩兵*O5</f>
        <v>0</v>
      </c>
      <c r="Q5" s="23">
        <f>IF(Q3="歩兵",P5*0.5,0)</f>
        <v>0</v>
      </c>
      <c r="R5" s="24">
        <f>ROUND(K歩兵*(P5+Q5),0)</f>
        <v>0</v>
      </c>
      <c r="S5" s="1"/>
      <c r="T5" s="23">
        <f>歩兵*S5</f>
        <v>0</v>
      </c>
      <c r="U5" s="23">
        <f>IF(U3="歩兵",T5*0.5,0)</f>
        <v>0</v>
      </c>
      <c r="V5" s="24">
        <f>ROUND(K歩兵*(T5+U5),0)</f>
        <v>0</v>
      </c>
      <c r="W5" s="2">
        <v>14</v>
      </c>
      <c r="X5" s="24">
        <f>W5/100</f>
        <v>0.14</v>
      </c>
    </row>
    <row r="6" spans="1:24" ht="15">
      <c r="A6" s="25" t="s">
        <v>18</v>
      </c>
      <c r="B6" s="26">
        <v>15</v>
      </c>
      <c r="C6" s="3"/>
      <c r="D6" s="27">
        <f>斥候*C6</f>
        <v>0</v>
      </c>
      <c r="E6" s="27">
        <f>IF(E3="歩兵",D6*0.5,0)</f>
        <v>0</v>
      </c>
      <c r="F6" s="28">
        <f>ROUND(K斥候*(D6+E6),0)</f>
        <v>0</v>
      </c>
      <c r="G6" s="3"/>
      <c r="H6" s="27">
        <f>斥候*G6</f>
        <v>0</v>
      </c>
      <c r="I6" s="27">
        <f>IF(I3="歩兵",H6*0.5,0)</f>
        <v>0</v>
      </c>
      <c r="J6" s="28">
        <f>ROUND(K斥候*(H6+I6),0)</f>
        <v>0</v>
      </c>
      <c r="K6" s="3"/>
      <c r="L6" s="27">
        <f>斥候*K6</f>
        <v>0</v>
      </c>
      <c r="M6" s="27">
        <f>IF(M3="歩兵",L6*0.5,0)</f>
        <v>0</v>
      </c>
      <c r="N6" s="28">
        <f>ROUND(K斥候*(L6+M6),0)</f>
        <v>0</v>
      </c>
      <c r="O6" s="3"/>
      <c r="P6" s="27">
        <f>斥候*O6</f>
        <v>0</v>
      </c>
      <c r="Q6" s="27">
        <f>IF(Q3="歩兵",P6*0.5,0)</f>
        <v>0</v>
      </c>
      <c r="R6" s="28">
        <f>ROUND(K斥候*(P6+Q6),0)</f>
        <v>0</v>
      </c>
      <c r="S6" s="3"/>
      <c r="T6" s="27">
        <f>斥候*S6</f>
        <v>0</v>
      </c>
      <c r="U6" s="27">
        <f>IF(U3="歩兵",T6*0.5,0)</f>
        <v>0</v>
      </c>
      <c r="V6" s="28">
        <f>ROUND(K斥候*(T6+U6),0)</f>
        <v>0</v>
      </c>
      <c r="W6" s="4">
        <v>14</v>
      </c>
      <c r="X6" s="28">
        <f aca="true" t="shared" si="0" ref="X6:X23">W6/100</f>
        <v>0.14</v>
      </c>
    </row>
    <row r="7" spans="1:24" ht="15">
      <c r="A7" s="25" t="s">
        <v>19</v>
      </c>
      <c r="B7" s="26">
        <v>15</v>
      </c>
      <c r="C7" s="3"/>
      <c r="D7" s="27">
        <f>間者*C7</f>
        <v>0</v>
      </c>
      <c r="E7" s="27">
        <f>IF(E3="歩兵",D7*0.5,0)</f>
        <v>0</v>
      </c>
      <c r="F7" s="28">
        <f>ROUND(K間者*(D7+E7),0)</f>
        <v>0</v>
      </c>
      <c r="G7" s="3"/>
      <c r="H7" s="27">
        <f>間者*G7</f>
        <v>0</v>
      </c>
      <c r="I7" s="27">
        <f>IF(I3="歩兵",H7*0.5,0)</f>
        <v>0</v>
      </c>
      <c r="J7" s="28">
        <f>ROUND(K間者*(H7+I7),0)</f>
        <v>0</v>
      </c>
      <c r="K7" s="3"/>
      <c r="L7" s="27">
        <f>間者*K7</f>
        <v>0</v>
      </c>
      <c r="M7" s="27">
        <f>IF(M3="歩兵",L7*0.5,0)</f>
        <v>0</v>
      </c>
      <c r="N7" s="28">
        <f>ROUND(K間者*(L7+M7),0)</f>
        <v>0</v>
      </c>
      <c r="O7" s="3"/>
      <c r="P7" s="27">
        <f>間者*O7</f>
        <v>0</v>
      </c>
      <c r="Q7" s="27">
        <f>IF(Q3="歩兵",P7*0.5,0)</f>
        <v>0</v>
      </c>
      <c r="R7" s="28">
        <f>ROUND(K間者*(P7+Q7),0)</f>
        <v>0</v>
      </c>
      <c r="S7" s="3"/>
      <c r="T7" s="27">
        <f>間者*S7</f>
        <v>0</v>
      </c>
      <c r="U7" s="27">
        <f>IF(U3="歩兵",T7*0.5,0)</f>
        <v>0</v>
      </c>
      <c r="V7" s="28">
        <f>ROUND(K間者*(T7+U7),0)</f>
        <v>0</v>
      </c>
      <c r="W7" s="4">
        <v>16</v>
      </c>
      <c r="X7" s="28">
        <f t="shared" si="0"/>
        <v>0.16</v>
      </c>
    </row>
    <row r="8" spans="1:24" ht="15">
      <c r="A8" s="25" t="s">
        <v>0</v>
      </c>
      <c r="B8" s="26">
        <v>20</v>
      </c>
      <c r="C8" s="3"/>
      <c r="D8" s="27">
        <f>近衛兵*C8</f>
        <v>0</v>
      </c>
      <c r="E8" s="27">
        <f>IF(E3="歩兵",D8*0.5,0)</f>
        <v>0</v>
      </c>
      <c r="F8" s="28">
        <f>ROUND(K近衛兵*(D8+E8),0)</f>
        <v>0</v>
      </c>
      <c r="G8" s="3"/>
      <c r="H8" s="27">
        <f>近衛兵*G8</f>
        <v>0</v>
      </c>
      <c r="I8" s="27">
        <f>IF(I3="歩兵",H8*0.5,0)</f>
        <v>0</v>
      </c>
      <c r="J8" s="28">
        <f>ROUND(K近衛兵*(H8+I8),0)</f>
        <v>0</v>
      </c>
      <c r="K8" s="3"/>
      <c r="L8" s="27">
        <f>近衛兵*K8</f>
        <v>0</v>
      </c>
      <c r="M8" s="27">
        <f>IF(M3="歩兵",L8*0.5,0)</f>
        <v>0</v>
      </c>
      <c r="N8" s="28">
        <f>ROUND(K近衛兵*(L8+M8),0)</f>
        <v>0</v>
      </c>
      <c r="O8" s="3"/>
      <c r="P8" s="27">
        <f>近衛兵*O8</f>
        <v>0</v>
      </c>
      <c r="Q8" s="27">
        <f>IF(Q3="歩兵",P8*0.5,0)</f>
        <v>0</v>
      </c>
      <c r="R8" s="28">
        <f>ROUND(K近衛兵*(P8+Q8),0)</f>
        <v>0</v>
      </c>
      <c r="S8" s="3"/>
      <c r="T8" s="27">
        <f>近衛兵*S8</f>
        <v>0</v>
      </c>
      <c r="U8" s="27">
        <f>IF(U3="歩兵",T8*0.5,0)</f>
        <v>0</v>
      </c>
      <c r="V8" s="28">
        <f>ROUND(K近衛兵*(T8+U8),0)</f>
        <v>0</v>
      </c>
      <c r="W8" s="4">
        <v>19</v>
      </c>
      <c r="X8" s="28">
        <f t="shared" si="0"/>
        <v>0.19</v>
      </c>
    </row>
    <row r="9" spans="1:24" ht="15">
      <c r="A9" s="25" t="s">
        <v>20</v>
      </c>
      <c r="B9" s="29">
        <v>10</v>
      </c>
      <c r="C9" s="3"/>
      <c r="D9" s="27">
        <f>衛生兵*C9</f>
        <v>0</v>
      </c>
      <c r="E9" s="27">
        <f>IF(E3="歩兵",D9*0.5,0)</f>
        <v>0</v>
      </c>
      <c r="F9" s="28">
        <f>ROUND(K衛生兵*(D9+E9),0)</f>
        <v>0</v>
      </c>
      <c r="G9" s="3"/>
      <c r="H9" s="27">
        <f>衛生兵*G9</f>
        <v>0</v>
      </c>
      <c r="I9" s="27">
        <f>IF(I3="歩兵",H9*0.5,0)</f>
        <v>0</v>
      </c>
      <c r="J9" s="28">
        <f>ROUND(K衛生兵*(H9+I9),0)</f>
        <v>0</v>
      </c>
      <c r="K9" s="3"/>
      <c r="L9" s="27">
        <f>衛生兵*K9</f>
        <v>0</v>
      </c>
      <c r="M9" s="27">
        <f>IF(M3="歩兵",L9*0.5,0)</f>
        <v>0</v>
      </c>
      <c r="N9" s="28">
        <f>ROUND(K衛生兵*(L9+M9),0)</f>
        <v>0</v>
      </c>
      <c r="O9" s="3"/>
      <c r="P9" s="27">
        <f>衛生兵*O9</f>
        <v>0</v>
      </c>
      <c r="Q9" s="27">
        <f>IF(Q3="歩兵",P9*0.5,0)</f>
        <v>0</v>
      </c>
      <c r="R9" s="28">
        <f>ROUND(K衛生兵*(P9+Q9),0)</f>
        <v>0</v>
      </c>
      <c r="S9" s="3"/>
      <c r="T9" s="27">
        <f>衛生兵*S9</f>
        <v>0</v>
      </c>
      <c r="U9" s="27">
        <f>IF(U3="歩兵",T9*0.5,0)</f>
        <v>0</v>
      </c>
      <c r="V9" s="28">
        <f>ROUND(K衛生兵*(T9+U9),0)</f>
        <v>0</v>
      </c>
      <c r="W9" s="4">
        <v>19</v>
      </c>
      <c r="X9" s="28">
        <f t="shared" si="0"/>
        <v>0.19</v>
      </c>
    </row>
    <row r="10" spans="1:24" ht="15">
      <c r="A10" s="25" t="s">
        <v>21</v>
      </c>
      <c r="B10" s="29">
        <v>20</v>
      </c>
      <c r="C10" s="3"/>
      <c r="D10" s="27">
        <f>槍兵*C10</f>
        <v>0</v>
      </c>
      <c r="E10" s="30">
        <f>IF(E3="槍兵",D10*0.5,0)</f>
        <v>0</v>
      </c>
      <c r="F10" s="28">
        <f>ROUND(K槍兵*(D10+E10),0)</f>
        <v>0</v>
      </c>
      <c r="G10" s="3"/>
      <c r="H10" s="27">
        <f>槍兵*G10</f>
        <v>0</v>
      </c>
      <c r="I10" s="30">
        <f>IF(I3="槍兵",H10*0.5,0)</f>
        <v>0</v>
      </c>
      <c r="J10" s="28">
        <f>ROUND(K槍兵*(H10+I10),0)</f>
        <v>0</v>
      </c>
      <c r="K10" s="3"/>
      <c r="L10" s="27">
        <f>槍兵*K10</f>
        <v>0</v>
      </c>
      <c r="M10" s="30">
        <f>IF(M3="槍兵",L10*0.5,0)</f>
        <v>0</v>
      </c>
      <c r="N10" s="28">
        <f>ROUND(K槍兵*(L10+M10),0)</f>
        <v>0</v>
      </c>
      <c r="O10" s="3"/>
      <c r="P10" s="27">
        <f>槍兵*O10</f>
        <v>0</v>
      </c>
      <c r="Q10" s="30">
        <f>IF(Q3="槍兵",P10*0.5,0)</f>
        <v>0</v>
      </c>
      <c r="R10" s="28">
        <f>ROUND(K槍兵*(P10+Q10),0)</f>
        <v>0</v>
      </c>
      <c r="S10" s="3"/>
      <c r="T10" s="27">
        <f>槍兵*S10</f>
        <v>0</v>
      </c>
      <c r="U10" s="30">
        <f>IF(U3="槍兵",T10*0.5,0)</f>
        <v>0</v>
      </c>
      <c r="V10" s="28">
        <f>ROUND(K槍兵*(T10+U10),0)</f>
        <v>0</v>
      </c>
      <c r="W10" s="4">
        <v>19</v>
      </c>
      <c r="X10" s="28">
        <f t="shared" si="0"/>
        <v>0.19</v>
      </c>
    </row>
    <row r="11" spans="1:24" ht="15">
      <c r="A11" s="25" t="s">
        <v>6</v>
      </c>
      <c r="B11" s="29">
        <v>25</v>
      </c>
      <c r="C11" s="3"/>
      <c r="D11" s="27">
        <f>矛槍兵*C11</f>
        <v>0</v>
      </c>
      <c r="E11" s="30">
        <f>IF(E3="槍兵",D11*0.5,0)</f>
        <v>0</v>
      </c>
      <c r="F11" s="28">
        <f>ROUND(K矛槍兵*(D11+E11),0)</f>
        <v>0</v>
      </c>
      <c r="G11" s="3"/>
      <c r="H11" s="27">
        <f>矛槍兵*G11</f>
        <v>0</v>
      </c>
      <c r="I11" s="30">
        <f>IF(I3="槍兵",H11*0.5,0)</f>
        <v>0</v>
      </c>
      <c r="J11" s="28">
        <f>ROUND(K矛槍兵*(H11+I11),0)</f>
        <v>0</v>
      </c>
      <c r="K11" s="3"/>
      <c r="L11" s="27">
        <f>矛槍兵*K11</f>
        <v>0</v>
      </c>
      <c r="M11" s="30">
        <f>IF(M3="槍兵",L11*0.5,0)</f>
        <v>0</v>
      </c>
      <c r="N11" s="28">
        <f>ROUND(K矛槍兵*(L11+M11),0)</f>
        <v>0</v>
      </c>
      <c r="O11" s="3"/>
      <c r="P11" s="27">
        <f>矛槍兵*O11</f>
        <v>0</v>
      </c>
      <c r="Q11" s="30">
        <f>IF(Q3="槍兵",P11*0.5,0)</f>
        <v>0</v>
      </c>
      <c r="R11" s="28">
        <f>ROUND(K矛槍兵*(P11+Q11),0)</f>
        <v>0</v>
      </c>
      <c r="S11" s="3"/>
      <c r="T11" s="27">
        <f>矛槍兵*S11</f>
        <v>0</v>
      </c>
      <c r="U11" s="30">
        <f>IF(U3="槍兵",T11*0.5,0)</f>
        <v>0</v>
      </c>
      <c r="V11" s="28">
        <f>ROUND(K矛槍兵*(T11+U11),0)</f>
        <v>0</v>
      </c>
      <c r="W11" s="4">
        <v>19</v>
      </c>
      <c r="X11" s="28">
        <f t="shared" si="0"/>
        <v>0.19</v>
      </c>
    </row>
    <row r="12" spans="1:24" ht="15">
      <c r="A12" s="31" t="s">
        <v>1</v>
      </c>
      <c r="B12" s="29">
        <v>30</v>
      </c>
      <c r="C12" s="3"/>
      <c r="D12" s="27">
        <f>重装槍兵*C12</f>
        <v>0</v>
      </c>
      <c r="E12" s="30">
        <f>IF(E3="槍兵",D12*0.5,0)</f>
        <v>0</v>
      </c>
      <c r="F12" s="28">
        <f>ROUND(K重装槍兵*(D12+E12),0)</f>
        <v>0</v>
      </c>
      <c r="G12" s="3"/>
      <c r="H12" s="27">
        <f>重装槍兵*G12</f>
        <v>0</v>
      </c>
      <c r="I12" s="30">
        <f>IF(I3="槍兵",H12*0.5,0)</f>
        <v>0</v>
      </c>
      <c r="J12" s="28">
        <f>ROUND(K重装槍兵*(H12+I12),0)</f>
        <v>0</v>
      </c>
      <c r="K12" s="3"/>
      <c r="L12" s="27">
        <f>重装槍兵*K12</f>
        <v>0</v>
      </c>
      <c r="M12" s="30">
        <f>IF(M3="槍兵",L12*0.5,0)</f>
        <v>0</v>
      </c>
      <c r="N12" s="28">
        <f>ROUND(K重装槍兵*(L12+M12),0)</f>
        <v>0</v>
      </c>
      <c r="O12" s="3"/>
      <c r="P12" s="27">
        <f>重装槍兵*O12</f>
        <v>0</v>
      </c>
      <c r="Q12" s="30">
        <f>IF(Q3="槍兵",P12*0.5,0)</f>
        <v>0</v>
      </c>
      <c r="R12" s="28">
        <f>ROUND(K重装槍兵*(P12+Q12),0)</f>
        <v>0</v>
      </c>
      <c r="S12" s="3"/>
      <c r="T12" s="27">
        <f>重装槍兵*S12</f>
        <v>0</v>
      </c>
      <c r="U12" s="30">
        <f>IF(U3="槍兵",T12*0.5,0)</f>
        <v>0</v>
      </c>
      <c r="V12" s="28">
        <f>ROUND(K重装槍兵*(T12+U12),0)</f>
        <v>0</v>
      </c>
      <c r="W12" s="4">
        <v>19</v>
      </c>
      <c r="X12" s="28">
        <f t="shared" si="0"/>
        <v>0.19</v>
      </c>
    </row>
    <row r="13" spans="1:24" ht="15">
      <c r="A13" s="25" t="s">
        <v>22</v>
      </c>
      <c r="B13" s="29">
        <v>12</v>
      </c>
      <c r="C13" s="3"/>
      <c r="D13" s="27">
        <f>弓兵*C13</f>
        <v>0</v>
      </c>
      <c r="E13" s="30">
        <f>IF(E3="弓兵",D13*0.5,0)</f>
        <v>0</v>
      </c>
      <c r="F13" s="28">
        <f>ROUND(K弓兵*(D13+E13),0)</f>
        <v>0</v>
      </c>
      <c r="G13" s="3"/>
      <c r="H13" s="27">
        <f>弓兵*G13</f>
        <v>0</v>
      </c>
      <c r="I13" s="30">
        <f>IF(I3="弓兵",H13*0.5,0)</f>
        <v>0</v>
      </c>
      <c r="J13" s="28">
        <f>ROUND(K弓兵*(H13+I13),0)</f>
        <v>0</v>
      </c>
      <c r="K13" s="3"/>
      <c r="L13" s="27">
        <f>弓兵*K13</f>
        <v>0</v>
      </c>
      <c r="M13" s="30">
        <f>IF(M3="弓兵",L13*0.5,0)</f>
        <v>0</v>
      </c>
      <c r="N13" s="28">
        <f>ROUND(K弓兵*(L13+M13),0)</f>
        <v>0</v>
      </c>
      <c r="O13" s="3"/>
      <c r="P13" s="27">
        <f>弓兵*O13</f>
        <v>0</v>
      </c>
      <c r="Q13" s="30">
        <f>IF(Q3="弓兵",P13*0.5,0)</f>
        <v>0</v>
      </c>
      <c r="R13" s="28">
        <f>ROUND(K弓兵*(P13+Q13),0)</f>
        <v>0</v>
      </c>
      <c r="S13" s="3"/>
      <c r="T13" s="27">
        <f>弓兵*S13</f>
        <v>0</v>
      </c>
      <c r="U13" s="30">
        <f>IF(U3="弓兵",T13*0.5,0)</f>
        <v>0</v>
      </c>
      <c r="V13" s="28">
        <f>ROUND(K弓兵*(T13+U13),0)</f>
        <v>0</v>
      </c>
      <c r="W13" s="4">
        <v>14</v>
      </c>
      <c r="X13" s="28">
        <f t="shared" si="0"/>
        <v>0.14</v>
      </c>
    </row>
    <row r="14" spans="1:24" ht="15">
      <c r="A14" s="25" t="s">
        <v>33</v>
      </c>
      <c r="B14" s="29">
        <v>22</v>
      </c>
      <c r="C14" s="3"/>
      <c r="D14" s="27">
        <f>弩兵*C14</f>
        <v>0</v>
      </c>
      <c r="E14" s="30">
        <f>IF(E3="弓兵",D14*0.5,0)</f>
        <v>0</v>
      </c>
      <c r="F14" s="28">
        <f>ROUND(K弩兵*(D14+E14),0)</f>
        <v>0</v>
      </c>
      <c r="G14" s="3"/>
      <c r="H14" s="27">
        <f>弩兵*G14</f>
        <v>0</v>
      </c>
      <c r="I14" s="30">
        <f>IF(I3="弓兵",H14*0.5,0)</f>
        <v>0</v>
      </c>
      <c r="J14" s="28">
        <f>ROUND(K弩兵*(H14+I14),0)</f>
        <v>0</v>
      </c>
      <c r="K14" s="3"/>
      <c r="L14" s="27">
        <f>弩兵*K14</f>
        <v>0</v>
      </c>
      <c r="M14" s="30">
        <f>IF(M3="弓兵",L14*0.5,0)</f>
        <v>0</v>
      </c>
      <c r="N14" s="28">
        <f>ROUND(K弩兵*(L14+M14),0)</f>
        <v>0</v>
      </c>
      <c r="O14" s="3"/>
      <c r="P14" s="27">
        <f>弩兵*O14</f>
        <v>0</v>
      </c>
      <c r="Q14" s="30">
        <f>IF(Q3="弓兵",P14*0.5,0)</f>
        <v>0</v>
      </c>
      <c r="R14" s="28">
        <f>ROUND(K弩兵*(P14+Q14),0)</f>
        <v>0</v>
      </c>
      <c r="S14" s="3"/>
      <c r="T14" s="27">
        <f>弩兵*S14</f>
        <v>0</v>
      </c>
      <c r="U14" s="30">
        <f>IF(U3="弓兵",T14*0.5,0)</f>
        <v>0</v>
      </c>
      <c r="V14" s="28">
        <f>ROUND(K弩兵*(T14+U14),0)</f>
        <v>0</v>
      </c>
      <c r="W14" s="4">
        <v>19</v>
      </c>
      <c r="X14" s="28">
        <f t="shared" si="0"/>
        <v>0.19</v>
      </c>
    </row>
    <row r="15" spans="1:24" ht="15">
      <c r="A15" s="25" t="s">
        <v>2</v>
      </c>
      <c r="B15" s="29">
        <v>35</v>
      </c>
      <c r="C15" s="3"/>
      <c r="D15" s="27">
        <f>火弓兵*C15</f>
        <v>0</v>
      </c>
      <c r="E15" s="30">
        <f>IF(E3="弓兵",D15*0.5,0)</f>
        <v>0</v>
      </c>
      <c r="F15" s="28">
        <f>ROUND(K火弓兵*(D15+E15),0)</f>
        <v>0</v>
      </c>
      <c r="G15" s="3"/>
      <c r="H15" s="27">
        <f>火弓兵*G15</f>
        <v>0</v>
      </c>
      <c r="I15" s="30">
        <f>IF(I3="弓兵",H15*0.5,0)</f>
        <v>0</v>
      </c>
      <c r="J15" s="28">
        <f>ROUND(K火弓兵*(H15+I15),0)</f>
        <v>0</v>
      </c>
      <c r="K15" s="3"/>
      <c r="L15" s="27">
        <f>火弓兵*K15</f>
        <v>0</v>
      </c>
      <c r="M15" s="30">
        <f>IF(M3="弓兵",L15*0.5,0)</f>
        <v>0</v>
      </c>
      <c r="N15" s="28">
        <f>ROUND(K火弓兵*(L15+M15),0)</f>
        <v>0</v>
      </c>
      <c r="O15" s="3"/>
      <c r="P15" s="27">
        <f>火弓兵*O15</f>
        <v>0</v>
      </c>
      <c r="Q15" s="30">
        <f>IF(Q3="弓兵",P15*0.5,0)</f>
        <v>0</v>
      </c>
      <c r="R15" s="28">
        <f>ROUND(K火弓兵*(P15+Q15),0)</f>
        <v>0</v>
      </c>
      <c r="S15" s="3"/>
      <c r="T15" s="27">
        <f>火弓兵*S15</f>
        <v>0</v>
      </c>
      <c r="U15" s="30">
        <f>IF(U3="弓兵",T15*0.5,0)</f>
        <v>0</v>
      </c>
      <c r="V15" s="28">
        <f>ROUND(K火弓兵*(T15+U15),0)</f>
        <v>0</v>
      </c>
      <c r="W15" s="4">
        <v>19</v>
      </c>
      <c r="X15" s="28">
        <f t="shared" si="0"/>
        <v>0.19</v>
      </c>
    </row>
    <row r="16" spans="1:24" ht="15">
      <c r="A16" s="25" t="s">
        <v>23</v>
      </c>
      <c r="B16" s="29">
        <v>10</v>
      </c>
      <c r="C16" s="3"/>
      <c r="D16" s="27">
        <f>騎兵*C16</f>
        <v>0</v>
      </c>
      <c r="E16" s="30">
        <f>IF(E3="騎兵",D16*1.5,0)</f>
        <v>0</v>
      </c>
      <c r="F16" s="28">
        <f>ROUND(K歩兵*(D16+E16),0)</f>
        <v>0</v>
      </c>
      <c r="G16" s="3"/>
      <c r="H16" s="27">
        <f>騎兵*G16</f>
        <v>0</v>
      </c>
      <c r="I16" s="30">
        <f>IF(I3="騎兵",H16*1.5,0)</f>
        <v>0</v>
      </c>
      <c r="J16" s="28">
        <f>ROUND(K歩兵*(H16+I16),0)</f>
        <v>0</v>
      </c>
      <c r="K16" s="3"/>
      <c r="L16" s="27">
        <f>騎兵*K16</f>
        <v>0</v>
      </c>
      <c r="M16" s="30">
        <f>IF(M3="騎兵",L16*1.5,0)</f>
        <v>0</v>
      </c>
      <c r="N16" s="28">
        <f>ROUND(K歩兵*(L16+M16),0)</f>
        <v>0</v>
      </c>
      <c r="O16" s="3"/>
      <c r="P16" s="27">
        <f>騎兵*O16</f>
        <v>0</v>
      </c>
      <c r="Q16" s="30">
        <f>IF(Q3="騎兵",P16*1.5,0)</f>
        <v>0</v>
      </c>
      <c r="R16" s="28">
        <f>ROUND(K歩兵*(P16+Q16),0)</f>
        <v>0</v>
      </c>
      <c r="S16" s="3"/>
      <c r="T16" s="27">
        <f>騎兵*S16</f>
        <v>0</v>
      </c>
      <c r="U16" s="30">
        <f>IF(U3="騎兵",T16*1.5,0)</f>
        <v>0</v>
      </c>
      <c r="V16" s="28">
        <f>ROUND(K歩兵*(T16+U16),0)</f>
        <v>0</v>
      </c>
      <c r="W16" s="4">
        <v>5</v>
      </c>
      <c r="X16" s="28">
        <f t="shared" si="0"/>
        <v>0.05</v>
      </c>
    </row>
    <row r="17" spans="1:24" ht="15">
      <c r="A17" s="25" t="s">
        <v>24</v>
      </c>
      <c r="B17" s="29">
        <v>15</v>
      </c>
      <c r="C17" s="3"/>
      <c r="D17" s="27">
        <f>重装騎兵*C17</f>
        <v>0</v>
      </c>
      <c r="E17" s="30">
        <f>IF(E3="騎兵",D17*0.5,0)</f>
        <v>0</v>
      </c>
      <c r="F17" s="28">
        <f>ROUND(K重装騎兵*(D17+E17),0)</f>
        <v>0</v>
      </c>
      <c r="G17" s="3"/>
      <c r="H17" s="27">
        <f>重装騎兵*G17</f>
        <v>0</v>
      </c>
      <c r="I17" s="30">
        <f>IF(I3="騎兵",H17*0.5,0)</f>
        <v>0</v>
      </c>
      <c r="J17" s="28">
        <f>ROUND(K重装騎兵*(H17+I17),0)</f>
        <v>0</v>
      </c>
      <c r="K17" s="3"/>
      <c r="L17" s="27">
        <f>重装騎兵*K17</f>
        <v>0</v>
      </c>
      <c r="M17" s="30">
        <f>IF(M3="騎兵",L17*0.5,0)</f>
        <v>0</v>
      </c>
      <c r="N17" s="28">
        <f>ROUND(K重装騎兵*(L17+M17),0)</f>
        <v>0</v>
      </c>
      <c r="O17" s="3"/>
      <c r="P17" s="27">
        <f>重装騎兵*O17</f>
        <v>0</v>
      </c>
      <c r="Q17" s="30">
        <f>IF(Q3="騎兵",P17*0.5,0)</f>
        <v>0</v>
      </c>
      <c r="R17" s="28">
        <f>ROUND(K重装騎兵*(P17+Q17),0)</f>
        <v>0</v>
      </c>
      <c r="S17" s="3"/>
      <c r="T17" s="27">
        <f>重装騎兵*S17</f>
        <v>0</v>
      </c>
      <c r="U17" s="30">
        <f>IF(U3="騎兵",T17*0.5,0)</f>
        <v>0</v>
      </c>
      <c r="V17" s="28">
        <f>ROUND(K重装騎兵*(T17+U17),0)</f>
        <v>0</v>
      </c>
      <c r="W17" s="4">
        <v>0</v>
      </c>
      <c r="X17" s="28">
        <f t="shared" si="0"/>
        <v>0</v>
      </c>
    </row>
    <row r="18" spans="1:24" ht="15">
      <c r="A18" s="25" t="s">
        <v>25</v>
      </c>
      <c r="B18" s="29">
        <v>10</v>
      </c>
      <c r="C18" s="3"/>
      <c r="D18" s="27">
        <f>輸送騎兵*C18</f>
        <v>0</v>
      </c>
      <c r="E18" s="30">
        <f>IF(E3="騎兵",D18*0.5,0)</f>
        <v>0</v>
      </c>
      <c r="F18" s="28">
        <f>ROUND(K輸送騎兵*(D18+E18),0)</f>
        <v>0</v>
      </c>
      <c r="G18" s="3"/>
      <c r="H18" s="27">
        <f>輸送騎兵*G18</f>
        <v>0</v>
      </c>
      <c r="I18" s="30">
        <f>IF(I3="騎兵",H18*0.5,0)</f>
        <v>0</v>
      </c>
      <c r="J18" s="28">
        <f>ROUND(K輸送騎兵*(H18+I18),0)</f>
        <v>0</v>
      </c>
      <c r="K18" s="3"/>
      <c r="L18" s="27">
        <f>輸送騎兵*K18</f>
        <v>0</v>
      </c>
      <c r="M18" s="30">
        <f>IF(M3="騎兵",L18*0.5,0)</f>
        <v>0</v>
      </c>
      <c r="N18" s="28">
        <f>ROUND(K輸送騎兵*(L18+M18),0)</f>
        <v>0</v>
      </c>
      <c r="O18" s="3"/>
      <c r="P18" s="27">
        <f>輸送騎兵*O18</f>
        <v>0</v>
      </c>
      <c r="Q18" s="30">
        <f>IF(Q3="騎兵",P18*0.5,0)</f>
        <v>0</v>
      </c>
      <c r="R18" s="28">
        <f>ROUND(K輸送騎兵*(P18+Q18),0)</f>
        <v>0</v>
      </c>
      <c r="S18" s="3"/>
      <c r="T18" s="27">
        <f>輸送騎兵*S18</f>
        <v>0</v>
      </c>
      <c r="U18" s="30">
        <f>IF(U3="騎兵",T18*0.5,0)</f>
        <v>0</v>
      </c>
      <c r="V18" s="28">
        <f>ROUND(K輸送騎兵*(T18+U18),0)</f>
        <v>0</v>
      </c>
      <c r="W18" s="4">
        <v>0</v>
      </c>
      <c r="X18" s="28">
        <f t="shared" si="0"/>
        <v>0</v>
      </c>
    </row>
    <row r="19" spans="1:24" ht="15">
      <c r="A19" s="25" t="s">
        <v>27</v>
      </c>
      <c r="B19" s="29">
        <v>3</v>
      </c>
      <c r="C19" s="3"/>
      <c r="D19" s="27">
        <f>工兵*C20</f>
        <v>0</v>
      </c>
      <c r="E19" s="30">
        <f>IF(E3="工兵",D19*0.5,0)</f>
        <v>0</v>
      </c>
      <c r="F19" s="28">
        <f>ROUND(K工兵*(D19+E19),0)</f>
        <v>0</v>
      </c>
      <c r="G19" s="3"/>
      <c r="H19" s="27">
        <f>工兵*G20</f>
        <v>0</v>
      </c>
      <c r="I19" s="30">
        <f>IF(I3="工兵",H19*0.5,0)</f>
        <v>0</v>
      </c>
      <c r="J19" s="28">
        <f>ROUND(K工兵*(H19+I19),0)</f>
        <v>0</v>
      </c>
      <c r="K19" s="3"/>
      <c r="L19" s="27">
        <f>工兵*K20</f>
        <v>0</v>
      </c>
      <c r="M19" s="30">
        <f>IF(M3="工兵",L19*0.5,0)</f>
        <v>0</v>
      </c>
      <c r="N19" s="28">
        <f>ROUND(K工兵*(L19+M19),0)</f>
        <v>0</v>
      </c>
      <c r="O19" s="3"/>
      <c r="P19" s="27">
        <f>工兵*O20</f>
        <v>0</v>
      </c>
      <c r="Q19" s="30">
        <f>IF(Q3="工兵",P19*0.5,0)</f>
        <v>0</v>
      </c>
      <c r="R19" s="28">
        <f>ROUND(K工兵*(P19+Q19),0)</f>
        <v>0</v>
      </c>
      <c r="S19" s="3"/>
      <c r="T19" s="27">
        <f>工兵*S20</f>
        <v>0</v>
      </c>
      <c r="U19" s="30">
        <f>IF(U3="工兵",T19*0.5,0)</f>
        <v>0</v>
      </c>
      <c r="V19" s="28">
        <f>ROUND(K工兵*(T19+U19),0)</f>
        <v>0</v>
      </c>
      <c r="W19" s="4">
        <v>3</v>
      </c>
      <c r="X19" s="28">
        <f t="shared" si="0"/>
        <v>0.03</v>
      </c>
    </row>
    <row r="20" spans="1:24" ht="15">
      <c r="A20" s="25" t="s">
        <v>28</v>
      </c>
      <c r="B20" s="29">
        <v>10</v>
      </c>
      <c r="C20" s="3"/>
      <c r="D20" s="27">
        <f>衝車*C20</f>
        <v>0</v>
      </c>
      <c r="E20" s="30">
        <f>IF(E3="工兵",D20*0.5,0)</f>
        <v>0</v>
      </c>
      <c r="F20" s="28">
        <f>ROUND(K衝車*(D20+E20),0)</f>
        <v>0</v>
      </c>
      <c r="G20" s="3"/>
      <c r="H20" s="27">
        <f>衝車*G20</f>
        <v>0</v>
      </c>
      <c r="I20" s="30">
        <f>IF(I3="工兵",H20*0.5,0)</f>
        <v>0</v>
      </c>
      <c r="J20" s="28">
        <f>ROUND(K衝車*(H20+I20),0)</f>
        <v>0</v>
      </c>
      <c r="K20" s="3"/>
      <c r="L20" s="27">
        <f>衝車*K20</f>
        <v>0</v>
      </c>
      <c r="M20" s="30">
        <f>IF(M3="工兵",L20*0.5,0)</f>
        <v>0</v>
      </c>
      <c r="N20" s="28">
        <f>ROUND(K衝車*(L20+M20),0)</f>
        <v>0</v>
      </c>
      <c r="O20" s="3"/>
      <c r="P20" s="27">
        <f>衝車*O20</f>
        <v>0</v>
      </c>
      <c r="Q20" s="30">
        <f>IF(Q3="工兵",P20*0.5,0)</f>
        <v>0</v>
      </c>
      <c r="R20" s="28">
        <f>ROUND(K衝車*(P20+Q20),0)</f>
        <v>0</v>
      </c>
      <c r="S20" s="3"/>
      <c r="T20" s="27">
        <f>衝車*S20</f>
        <v>0</v>
      </c>
      <c r="U20" s="30">
        <f>IF(U3="工兵",T20*0.5,0)</f>
        <v>0</v>
      </c>
      <c r="V20" s="28">
        <f>ROUND(K衝車*(T20+U20),0)</f>
        <v>0</v>
      </c>
      <c r="W20" s="4">
        <v>0</v>
      </c>
      <c r="X20" s="28">
        <f t="shared" si="0"/>
        <v>0</v>
      </c>
    </row>
    <row r="21" spans="1:24" ht="15">
      <c r="A21" s="25" t="s">
        <v>29</v>
      </c>
      <c r="B21" s="29">
        <v>22</v>
      </c>
      <c r="C21" s="3"/>
      <c r="D21" s="27">
        <f>櫓車*C21</f>
        <v>0</v>
      </c>
      <c r="E21" s="30">
        <f>IF(E3="工兵",D21*1.5,0)</f>
        <v>0</v>
      </c>
      <c r="F21" s="28">
        <f>ROUND(K櫓車*(D21+E21),0)</f>
        <v>0</v>
      </c>
      <c r="G21" s="3"/>
      <c r="H21" s="27">
        <f>櫓車*G21</f>
        <v>0</v>
      </c>
      <c r="I21" s="30">
        <f>IF(I3="工兵",H21*1.5,0)</f>
        <v>0</v>
      </c>
      <c r="J21" s="28">
        <f>ROUND(K櫓車*(H21+I21),0)</f>
        <v>0</v>
      </c>
      <c r="K21" s="3"/>
      <c r="L21" s="27">
        <f>櫓車*K21</f>
        <v>0</v>
      </c>
      <c r="M21" s="30">
        <f>IF(M3="工兵",L21*1.5,0)</f>
        <v>0</v>
      </c>
      <c r="N21" s="28">
        <f>ROUND(K櫓車*(L21+M21),0)</f>
        <v>0</v>
      </c>
      <c r="O21" s="3"/>
      <c r="P21" s="27">
        <f>櫓車*O21</f>
        <v>0</v>
      </c>
      <c r="Q21" s="30">
        <f>IF(Q3="工兵",P21*1.5,0)</f>
        <v>0</v>
      </c>
      <c r="R21" s="28">
        <f>ROUND(K櫓車*(P21+Q21),0)</f>
        <v>0</v>
      </c>
      <c r="S21" s="3"/>
      <c r="T21" s="27">
        <f>櫓車*S21</f>
        <v>0</v>
      </c>
      <c r="U21" s="30">
        <f>IF(U3="工兵",T21*1.5,0)</f>
        <v>0</v>
      </c>
      <c r="V21" s="28">
        <f>ROUND(K櫓車*(T21+U21),0)</f>
        <v>0</v>
      </c>
      <c r="W21" s="4">
        <v>16</v>
      </c>
      <c r="X21" s="28">
        <f t="shared" si="0"/>
        <v>0.16</v>
      </c>
    </row>
    <row r="22" spans="1:24" ht="15">
      <c r="A22" s="25" t="s">
        <v>30</v>
      </c>
      <c r="B22" s="29">
        <v>15</v>
      </c>
      <c r="C22" s="3"/>
      <c r="D22" s="27">
        <f>攻城騎兵*C22</f>
        <v>0</v>
      </c>
      <c r="E22" s="30">
        <f>IF(E3="工兵",D22*0.5,0)</f>
        <v>0</v>
      </c>
      <c r="F22" s="28">
        <f>ROUND(K攻城騎兵*(D22+E22),0)</f>
        <v>0</v>
      </c>
      <c r="G22" s="3"/>
      <c r="H22" s="27">
        <f>攻城騎兵*G22</f>
        <v>0</v>
      </c>
      <c r="I22" s="30">
        <f>IF(I3="工兵",H22*0.5,0)</f>
        <v>0</v>
      </c>
      <c r="J22" s="28">
        <f>ROUND(K攻城騎兵*(H22+I22),0)</f>
        <v>0</v>
      </c>
      <c r="K22" s="3"/>
      <c r="L22" s="27">
        <f>攻城騎兵*K22</f>
        <v>0</v>
      </c>
      <c r="M22" s="30">
        <f>IF(M3="工兵",L22*0.5,0)</f>
        <v>0</v>
      </c>
      <c r="N22" s="28">
        <f>ROUND(K攻城騎兵*(L22+M22),0)</f>
        <v>0</v>
      </c>
      <c r="O22" s="3"/>
      <c r="P22" s="27">
        <f>攻城騎兵*O22</f>
        <v>0</v>
      </c>
      <c r="Q22" s="30">
        <f>IF(Q3="工兵",P22*0.5,0)</f>
        <v>0</v>
      </c>
      <c r="R22" s="28">
        <f>ROUND(K攻城騎兵*(P22+Q22),0)</f>
        <v>0</v>
      </c>
      <c r="S22" s="3"/>
      <c r="T22" s="27">
        <f>攻城騎兵*S22</f>
        <v>0</v>
      </c>
      <c r="U22" s="30">
        <f>IF(U3="工兵",T22*0.5,0)</f>
        <v>0</v>
      </c>
      <c r="V22" s="28">
        <f>ROUND(K攻城騎兵*(T22+U22),0)</f>
        <v>0</v>
      </c>
      <c r="W22" s="4">
        <v>19</v>
      </c>
      <c r="X22" s="28">
        <f t="shared" si="0"/>
        <v>0.19</v>
      </c>
    </row>
    <row r="23" spans="1:24" ht="15">
      <c r="A23" s="32" t="s">
        <v>31</v>
      </c>
      <c r="B23" s="29">
        <v>45</v>
      </c>
      <c r="C23" s="5"/>
      <c r="D23" s="33">
        <f>発石車*C23</f>
        <v>0</v>
      </c>
      <c r="E23" s="34">
        <f>IF(E3="工兵",D23*0.5,0)</f>
        <v>0</v>
      </c>
      <c r="F23" s="35">
        <f>ROUND(K発石車*(D23+E23),0)</f>
        <v>0</v>
      </c>
      <c r="G23" s="5"/>
      <c r="H23" s="33">
        <f>発石車*G23</f>
        <v>0</v>
      </c>
      <c r="I23" s="34">
        <f>IF(I3="工兵",H23*0.5,0)</f>
        <v>0</v>
      </c>
      <c r="J23" s="35">
        <f>ROUND(K発石車*(H23+I23),0)</f>
        <v>0</v>
      </c>
      <c r="K23" s="5"/>
      <c r="L23" s="33">
        <f>発石車*K23</f>
        <v>0</v>
      </c>
      <c r="M23" s="34">
        <f>IF(M3="工兵",L23*0.5,0)</f>
        <v>0</v>
      </c>
      <c r="N23" s="35">
        <f>ROUND(K発石車*(L23+M23),0)</f>
        <v>0</v>
      </c>
      <c r="O23" s="5"/>
      <c r="P23" s="33">
        <f>発石車*O23</f>
        <v>0</v>
      </c>
      <c r="Q23" s="34">
        <f>IF(Q3="工兵",P23*0.5,0)</f>
        <v>0</v>
      </c>
      <c r="R23" s="35">
        <f>ROUND(K発石車*(P23+Q23),0)</f>
        <v>0</v>
      </c>
      <c r="S23" s="5"/>
      <c r="T23" s="33">
        <f>発石車*S23</f>
        <v>0</v>
      </c>
      <c r="U23" s="34">
        <f>IF(U3="工兵",T23*0.5,0)</f>
        <v>0</v>
      </c>
      <c r="V23" s="35">
        <f>ROUND(K発石車*(T23+U23),0)</f>
        <v>0</v>
      </c>
      <c r="W23" s="6">
        <v>0</v>
      </c>
      <c r="X23" s="36">
        <f t="shared" si="0"/>
        <v>0</v>
      </c>
    </row>
    <row r="24" spans="1:25" ht="15">
      <c r="A24" s="66" t="s">
        <v>7</v>
      </c>
      <c r="B24" s="67"/>
      <c r="C24" s="37">
        <f aca="true" t="shared" si="1" ref="C24:V24">SUM(C5:C23)</f>
        <v>0</v>
      </c>
      <c r="D24" s="38">
        <f t="shared" si="1"/>
        <v>0</v>
      </c>
      <c r="E24" s="39">
        <f t="shared" si="1"/>
        <v>0</v>
      </c>
      <c r="F24" s="40">
        <f t="shared" si="1"/>
        <v>0</v>
      </c>
      <c r="G24" s="37">
        <f t="shared" si="1"/>
        <v>0</v>
      </c>
      <c r="H24" s="38">
        <f t="shared" si="1"/>
        <v>0</v>
      </c>
      <c r="I24" s="39">
        <f t="shared" si="1"/>
        <v>0</v>
      </c>
      <c r="J24" s="40">
        <f t="shared" si="1"/>
        <v>0</v>
      </c>
      <c r="K24" s="37">
        <f t="shared" si="1"/>
        <v>0</v>
      </c>
      <c r="L24" s="38">
        <f t="shared" si="1"/>
        <v>0</v>
      </c>
      <c r="M24" s="39">
        <f t="shared" si="1"/>
        <v>0</v>
      </c>
      <c r="N24" s="40">
        <f t="shared" si="1"/>
        <v>0</v>
      </c>
      <c r="O24" s="37">
        <f t="shared" si="1"/>
        <v>0</v>
      </c>
      <c r="P24" s="38">
        <f t="shared" si="1"/>
        <v>0</v>
      </c>
      <c r="Q24" s="39">
        <f t="shared" si="1"/>
        <v>0</v>
      </c>
      <c r="R24" s="40">
        <f t="shared" si="1"/>
        <v>0</v>
      </c>
      <c r="S24" s="37">
        <f t="shared" si="1"/>
        <v>0</v>
      </c>
      <c r="T24" s="38">
        <f t="shared" si="1"/>
        <v>0</v>
      </c>
      <c r="U24" s="39">
        <f t="shared" si="1"/>
        <v>0</v>
      </c>
      <c r="V24" s="40">
        <f t="shared" si="1"/>
        <v>0</v>
      </c>
      <c r="W24" s="41"/>
      <c r="X24" s="42"/>
      <c r="Y24" s="43"/>
    </row>
    <row r="25" spans="1:26" ht="15">
      <c r="A25" s="68" t="s">
        <v>35</v>
      </c>
      <c r="B25" s="69"/>
      <c r="C25" s="63">
        <f>SUM(D24:F24)+D3</f>
        <v>150</v>
      </c>
      <c r="D25" s="64"/>
      <c r="E25" s="64"/>
      <c r="F25" s="65"/>
      <c r="G25" s="63">
        <f>SUM(H24:J24)+H3</f>
        <v>150</v>
      </c>
      <c r="H25" s="64"/>
      <c r="I25" s="64"/>
      <c r="J25" s="65"/>
      <c r="K25" s="63">
        <f>SUM(L24:N24)+L3</f>
        <v>250</v>
      </c>
      <c r="L25" s="64"/>
      <c r="M25" s="64"/>
      <c r="N25" s="65"/>
      <c r="O25" s="63">
        <f>SUM(P24:R24)+P3</f>
        <v>500</v>
      </c>
      <c r="P25" s="64"/>
      <c r="Q25" s="64"/>
      <c r="R25" s="65"/>
      <c r="S25" s="63">
        <f>SUM(T24:V24)+T3</f>
        <v>675</v>
      </c>
      <c r="T25" s="64"/>
      <c r="U25" s="64"/>
      <c r="V25" s="65"/>
      <c r="W25" s="70">
        <f>SUM(C25:V25)</f>
        <v>1725</v>
      </c>
      <c r="X25" s="71"/>
      <c r="Y25" s="72"/>
      <c r="Z25" s="14"/>
    </row>
    <row r="27" spans="1:23" ht="15">
      <c r="A27" s="49" t="s">
        <v>147</v>
      </c>
      <c r="B27" s="50"/>
      <c r="C27" s="80" t="str">
        <f>VLOOKUP(武将1,武将,4,"FALSE")</f>
        <v>蒼竜神速撃</v>
      </c>
      <c r="D27" s="81"/>
      <c r="E27" s="81"/>
      <c r="F27" s="82"/>
      <c r="G27" s="80" t="str">
        <f>VLOOKUP(武将2,武将,4,"FALSE")</f>
        <v>火矢</v>
      </c>
      <c r="H27" s="81"/>
      <c r="I27" s="81"/>
      <c r="J27" s="82"/>
      <c r="K27" s="80" t="str">
        <f>VLOOKUP(武将3,武将,4,"FALSE")</f>
        <v>怒髪衝天</v>
      </c>
      <c r="L27" s="81"/>
      <c r="M27" s="81"/>
      <c r="N27" s="82"/>
      <c r="O27" s="80" t="str">
        <f>VLOOKUP(武将4,武将,4,"FALSE")</f>
        <v>もふもふの大号令</v>
      </c>
      <c r="P27" s="81"/>
      <c r="Q27" s="81"/>
      <c r="R27" s="82"/>
      <c r="S27" s="80" t="str">
        <f>VLOOKUP(武将5,武将,4,"FALSE")</f>
        <v>不惜身命</v>
      </c>
      <c r="T27" s="81"/>
      <c r="U27" s="81"/>
      <c r="V27" s="82"/>
      <c r="W27" s="53"/>
    </row>
    <row r="28" spans="1:23" ht="15" hidden="1">
      <c r="A28" s="49" t="s">
        <v>36</v>
      </c>
      <c r="B28" s="50"/>
      <c r="C28" s="61" t="str">
        <f>CONCATENATE(VLOOKUP(奥義12,戦闘奥義,2,"FALSE"),"%")</f>
        <v>0%</v>
      </c>
      <c r="D28" s="62"/>
      <c r="E28" s="55">
        <f>ROUND(VLOOKUP(奥義12,戦闘奥義,2,"FALSE")/100*武将攻撃力1,0)</f>
        <v>0</v>
      </c>
      <c r="F28" s="56"/>
      <c r="G28" s="61" t="str">
        <f>CONCATENATE(VLOOKUP(奥義22,戦闘奥義,2,"FALSE"),"%")</f>
        <v>0%</v>
      </c>
      <c r="H28" s="62"/>
      <c r="I28" s="55">
        <f>ROUND(VLOOKUP(奥義22,戦闘奥義,2,"FALSE")/100*武将攻撃力2,0)</f>
        <v>0</v>
      </c>
      <c r="J28" s="56"/>
      <c r="K28" s="61" t="str">
        <f>CONCATENATE(VLOOKUP(奥義32,戦闘奥義,2,"FALSE"),"%")</f>
        <v>30%</v>
      </c>
      <c r="L28" s="62"/>
      <c r="M28" s="55">
        <f>ROUND(VLOOKUP(奥義32,戦闘奥義,2,"FALSE")/100*武将攻撃力3,0)</f>
        <v>75</v>
      </c>
      <c r="N28" s="56"/>
      <c r="O28" s="61" t="str">
        <f>CONCATENATE(VLOOKUP(奥義42,戦闘奥義,2,"FALSE"),"%")</f>
        <v>0%</v>
      </c>
      <c r="P28" s="62"/>
      <c r="Q28" s="55">
        <f>ROUND(VLOOKUP(奥義42,戦闘奥義,2,"FALSE")/100*武将攻撃力4,0)</f>
        <v>0</v>
      </c>
      <c r="R28" s="56"/>
      <c r="S28" s="61" t="str">
        <f>CONCATENATE(VLOOKUP(奥義52,戦闘奥義,2,"FALSE"),"%")</f>
        <v>0%</v>
      </c>
      <c r="T28" s="62"/>
      <c r="U28" s="55">
        <f>ROUND(VLOOKUP(奥義52,戦闘奥義,2,"FALSE")/100*武将攻撃力5,0)</f>
        <v>0</v>
      </c>
      <c r="V28" s="56"/>
      <c r="W28" s="53"/>
    </row>
    <row r="29" spans="1:23" ht="15" hidden="1">
      <c r="A29" s="49" t="s">
        <v>93</v>
      </c>
      <c r="B29" s="51"/>
      <c r="C29" s="60" t="str">
        <f>CONCATENATE(VLOOKUP(奥義12,戦闘奥義,3,"FALSE"),"%")</f>
        <v>0%</v>
      </c>
      <c r="D29" s="55"/>
      <c r="E29" s="58">
        <f>ROUND(VLOOKUP(奥義12,戦闘奥義,3,"FALSE")/100*(SUM(歩兵1)),0)</f>
        <v>0</v>
      </c>
      <c r="F29" s="59"/>
      <c r="G29" s="60" t="str">
        <f>CONCATENATE(VLOOKUP(奥義22,戦闘奥義,3,"FALSE"),"%")</f>
        <v>0%</v>
      </c>
      <c r="H29" s="55"/>
      <c r="I29" s="58">
        <f>ROUND(VLOOKUP(奥義22,戦闘奥義,3,"FALSE")/100*(SUM(歩兵2)),0)</f>
        <v>0</v>
      </c>
      <c r="J29" s="59"/>
      <c r="K29" s="60" t="str">
        <f>CONCATENATE(VLOOKUP(奥義32,戦闘奥義,3,"FALSE"),"%")</f>
        <v>30%</v>
      </c>
      <c r="L29" s="55"/>
      <c r="M29" s="58">
        <f>ROUND(VLOOKUP(奥義32,戦闘奥義,3,"FALSE")/100*(SUM(歩兵3)),0)</f>
        <v>0</v>
      </c>
      <c r="N29" s="59"/>
      <c r="O29" s="60" t="str">
        <f>CONCATENATE(VLOOKUP(奥義42,戦闘奥義,3,"FALSE"),"%")</f>
        <v>0%</v>
      </c>
      <c r="P29" s="55"/>
      <c r="Q29" s="58">
        <f>ROUND(VLOOKUP(奥義42,戦闘奥義,3,"FALSE")/100*(SUM(歩兵4)),0)</f>
        <v>0</v>
      </c>
      <c r="R29" s="59"/>
      <c r="S29" s="60" t="str">
        <f>CONCATENATE(VLOOKUP(奥義52,戦闘奥義,3,"FALSE"),"%")</f>
        <v>0%</v>
      </c>
      <c r="T29" s="55"/>
      <c r="U29" s="58">
        <f>ROUND(VLOOKUP(奥義52,戦闘奥義,3,"FALSE")/100*(SUM(歩兵5)),0)</f>
        <v>0</v>
      </c>
      <c r="V29" s="59"/>
      <c r="W29" s="53"/>
    </row>
    <row r="30" spans="1:23" ht="15" hidden="1">
      <c r="A30" s="49" t="s">
        <v>85</v>
      </c>
      <c r="B30" s="51"/>
      <c r="C30" s="60" t="str">
        <f>CONCATENATE(VLOOKUP(奥義12,戦闘奥義,4,"FALSE"),"%")</f>
        <v>0%</v>
      </c>
      <c r="D30" s="55"/>
      <c r="E30" s="58">
        <f>ROUND(VLOOKUP(奥義12,戦闘奥義,4,"FALSE")/100*(SUM(槍兵1)),0)</f>
        <v>0</v>
      </c>
      <c r="F30" s="59"/>
      <c r="G30" s="60" t="str">
        <f>CONCATENATE(VLOOKUP(奥義22,戦闘奥義,4,"FALSE"),"%")</f>
        <v>0%</v>
      </c>
      <c r="H30" s="55"/>
      <c r="I30" s="58">
        <f>ROUND(VLOOKUP(奥義22,戦闘奥義,4,"FALSE")/100*(SUM(槍兵2)),0)</f>
        <v>0</v>
      </c>
      <c r="J30" s="59"/>
      <c r="K30" s="60" t="str">
        <f>CONCATENATE(VLOOKUP(奥義32,戦闘奥義,4,"FALSE"),"%")</f>
        <v>0%</v>
      </c>
      <c r="L30" s="55"/>
      <c r="M30" s="58">
        <f>ROUND(VLOOKUP(奥義32,戦闘奥義,4,"FALSE")/100*(SUM(槍兵3)),0)</f>
        <v>0</v>
      </c>
      <c r="N30" s="59"/>
      <c r="O30" s="60" t="str">
        <f>CONCATENATE(VLOOKUP(奥義42,戦闘奥義,4,"FALSE"),"%")</f>
        <v>0%</v>
      </c>
      <c r="P30" s="55"/>
      <c r="Q30" s="58">
        <f>ROUND(VLOOKUP(奥義42,戦闘奥義,4,"FALSE")/100*(SUM(槍兵4)),0)</f>
        <v>0</v>
      </c>
      <c r="R30" s="59"/>
      <c r="S30" s="60" t="str">
        <f>CONCATENATE(VLOOKUP(奥義52,戦闘奥義,4,"FALSE"),"%")</f>
        <v>0%</v>
      </c>
      <c r="T30" s="55"/>
      <c r="U30" s="58">
        <f>ROUND(VLOOKUP(奥義52,戦闘奥義,4,"FALSE")/100*(SUM(槍兵5)),0)</f>
        <v>0</v>
      </c>
      <c r="V30" s="59"/>
      <c r="W30" s="53"/>
    </row>
    <row r="31" spans="1:23" ht="15" hidden="1">
      <c r="A31" s="49" t="s">
        <v>86</v>
      </c>
      <c r="B31" s="51"/>
      <c r="C31" s="60" t="str">
        <f>CONCATENATE(VLOOKUP(奥義12,戦闘奥義,5,"FALSE"),"%")</f>
        <v>0%</v>
      </c>
      <c r="D31" s="55"/>
      <c r="E31" s="58">
        <f>ROUND(VLOOKUP(奥義12,戦闘奥義,5,"FALSE")/100*(SUM(弓兵1)),0)</f>
        <v>0</v>
      </c>
      <c r="F31" s="59"/>
      <c r="G31" s="60" t="str">
        <f>CONCATENATE(VLOOKUP(奥義22,戦闘奥義,5,"FALSE"),"%")</f>
        <v>25%</v>
      </c>
      <c r="H31" s="55"/>
      <c r="I31" s="58">
        <f>ROUND(VLOOKUP(奥義22,戦闘奥義,5,"FALSE")/100*(SUM(弓兵2)),0)</f>
        <v>0</v>
      </c>
      <c r="J31" s="59"/>
      <c r="K31" s="60" t="str">
        <f>CONCATENATE(VLOOKUP(奥義32,戦闘奥義,5,"FALSE"),"%")</f>
        <v>0%</v>
      </c>
      <c r="L31" s="55"/>
      <c r="M31" s="58">
        <f>ROUND(VLOOKUP(奥義32,戦闘奥義,5,"FALSE")/100*(SUM(弓兵3)),0)</f>
        <v>0</v>
      </c>
      <c r="N31" s="59"/>
      <c r="O31" s="60" t="str">
        <f>CONCATENATE(VLOOKUP(奥義42,戦闘奥義,5,"FALSE"),"%")</f>
        <v>0%</v>
      </c>
      <c r="P31" s="55"/>
      <c r="Q31" s="58">
        <f>ROUND(VLOOKUP(奥義42,戦闘奥義,5,"FALSE")/100*(SUM(弓兵4)),0)</f>
        <v>0</v>
      </c>
      <c r="R31" s="59"/>
      <c r="S31" s="60" t="str">
        <f>CONCATENATE(VLOOKUP(奥義52,戦闘奥義,5,"FALSE"),"%")</f>
        <v>0%</v>
      </c>
      <c r="T31" s="55"/>
      <c r="U31" s="58">
        <f>ROUND(VLOOKUP(奥義52,戦闘奥義,5,"FALSE")/100*(SUM(弓兵5)),0)</f>
        <v>0</v>
      </c>
      <c r="V31" s="59"/>
      <c r="W31" s="53"/>
    </row>
    <row r="32" spans="1:23" ht="15" hidden="1">
      <c r="A32" s="49" t="s">
        <v>87</v>
      </c>
      <c r="B32" s="51"/>
      <c r="C32" s="60" t="str">
        <f>CONCATENATE(VLOOKUP(奥義12,戦闘奥義,6,"FALSE"),"%")</f>
        <v>15%</v>
      </c>
      <c r="D32" s="55"/>
      <c r="E32" s="58">
        <f>ROUND(VLOOKUP(奥義12,戦闘奥義,6,"FALSE")/100*(SUM(騎兵1)),0)</f>
        <v>0</v>
      </c>
      <c r="F32" s="59"/>
      <c r="G32" s="60" t="str">
        <f>CONCATENATE(VLOOKUP(奥義22,戦闘奥義,6,"FALSE"),"%")</f>
        <v>0%</v>
      </c>
      <c r="H32" s="55"/>
      <c r="I32" s="58">
        <f>ROUND(VLOOKUP(奥義22,戦闘奥義,6,"FALSE")/100*(SUM(騎兵2)),0)</f>
        <v>0</v>
      </c>
      <c r="J32" s="59"/>
      <c r="K32" s="60" t="str">
        <f>CONCATENATE(VLOOKUP(奥義32,戦闘奥義,6,"FALSE"),"%")</f>
        <v>0%</v>
      </c>
      <c r="L32" s="55"/>
      <c r="M32" s="58">
        <f>ROUND(VLOOKUP(奥義32,戦闘奥義,6,"FALSE")/100*(SUM(騎兵3)),0)</f>
        <v>0</v>
      </c>
      <c r="N32" s="59"/>
      <c r="O32" s="60" t="str">
        <f>CONCATENATE(VLOOKUP(奥義42,戦闘奥義,6,"FALSE"),"%")</f>
        <v>0%</v>
      </c>
      <c r="P32" s="55"/>
      <c r="Q32" s="58">
        <f>ROUND(VLOOKUP(奥義42,戦闘奥義,6,"FALSE")/100*(SUM(騎兵4)),0)</f>
        <v>0</v>
      </c>
      <c r="R32" s="59"/>
      <c r="S32" s="60" t="str">
        <f>CONCATENATE(VLOOKUP(奥義52,戦闘奥義,6,"FALSE"),"%")</f>
        <v>0%</v>
      </c>
      <c r="T32" s="55"/>
      <c r="U32" s="58">
        <f>ROUND(VLOOKUP(奥義52,戦闘奥義,6,"FALSE")/100*(SUM(騎兵5)),0)</f>
        <v>0</v>
      </c>
      <c r="V32" s="59"/>
      <c r="W32" s="53"/>
    </row>
    <row r="33" spans="1:23" ht="15" hidden="1">
      <c r="A33" s="49" t="s">
        <v>88</v>
      </c>
      <c r="B33" s="51"/>
      <c r="C33" s="60" t="str">
        <f>CONCATENATE(VLOOKUP(奥義12,戦闘奥義,7,"FALSE"),"%")</f>
        <v>0%</v>
      </c>
      <c r="D33" s="55"/>
      <c r="E33" s="58">
        <f>ROUND(VLOOKUP(奥義12,戦闘奥義,7,"FALSE")/100*(SUM(工兵1)),0)</f>
        <v>0</v>
      </c>
      <c r="F33" s="59"/>
      <c r="G33" s="60" t="str">
        <f>CONCATENATE(VLOOKUP(奥義22,戦闘奥義,7,"FALSE"),"%")</f>
        <v>0%</v>
      </c>
      <c r="H33" s="55"/>
      <c r="I33" s="58">
        <f>ROUND(VLOOKUP(奥義22,戦闘奥義,7,"FALSE")/100*(SUM(工兵2)),0)</f>
        <v>0</v>
      </c>
      <c r="J33" s="59"/>
      <c r="K33" s="60" t="str">
        <f>CONCATENATE(VLOOKUP(奥義32,戦闘奥義,7,"FALSE"),"%")</f>
        <v>0%</v>
      </c>
      <c r="L33" s="55"/>
      <c r="M33" s="58">
        <f>ROUND(VLOOKUP(奥義32,戦闘奥義,7,"FALSE")/100*(SUM(工兵3)),0)</f>
        <v>0</v>
      </c>
      <c r="N33" s="59"/>
      <c r="O33" s="60" t="str">
        <f>CONCATENATE(VLOOKUP(奥義42,戦闘奥義,7,"FALSE"),"%")</f>
        <v>0%</v>
      </c>
      <c r="P33" s="55"/>
      <c r="Q33" s="58">
        <f>ROUND(VLOOKUP(奥義42,戦闘奥義,7,"FALSE")/100*(SUM(工兵4)),0)</f>
        <v>0</v>
      </c>
      <c r="R33" s="59"/>
      <c r="S33" s="60" t="str">
        <f>CONCATENATE(VLOOKUP(奥義52,戦闘奥義,7,"FALSE"),"%")</f>
        <v>0%</v>
      </c>
      <c r="T33" s="55"/>
      <c r="U33" s="58">
        <f>ROUND(VLOOKUP(奥義52,戦闘奥義,7,"FALSE")/100*(SUM(工兵5)),0)</f>
        <v>0</v>
      </c>
      <c r="V33" s="59"/>
      <c r="W33" s="53"/>
    </row>
    <row r="34" spans="1:23" ht="15" hidden="1">
      <c r="A34" s="49" t="s">
        <v>35</v>
      </c>
      <c r="B34" s="51"/>
      <c r="C34" s="60" t="str">
        <f>CONCATENATE(VLOOKUP(奥義12,戦闘奥義,8,"FALSE")+VLOOKUP(奥義12,戦闘奥義,13,"FALSE")*武将人数,"%")</f>
        <v>0%</v>
      </c>
      <c r="D34" s="55"/>
      <c r="E34" s="58">
        <f>ROUND((VLOOKUP(奥義12,戦闘奥義,8,"FALSE")+VLOOKUP(奥義12,戦闘奥義,13,"FALSE")*武将人数)/100*(総攻撃力A),0)</f>
        <v>0</v>
      </c>
      <c r="F34" s="59"/>
      <c r="G34" s="60" t="str">
        <f>CONCATENATE(VLOOKUP(奥義22,戦闘奥義,8,"FALSE")+VLOOKUP(奥義22,戦闘奥義,13,"FALSE")*武将人数,"%")</f>
        <v>0%</v>
      </c>
      <c r="H34" s="55"/>
      <c r="I34" s="58">
        <f>ROUND((VLOOKUP(奥義22,戦闘奥義,8,"FALSE")+VLOOKUP(奥義22,戦闘奥義,13,"FALSE")*武将人数)/100*(総攻撃力A),0)</f>
        <v>0</v>
      </c>
      <c r="J34" s="59"/>
      <c r="K34" s="60" t="str">
        <f>CONCATENATE(VLOOKUP(奥義32,戦闘奥義,8,"FALSE")+VLOOKUP(奥義32,戦闘奥義,13,"FALSE")*武将人数,"%")</f>
        <v>0%</v>
      </c>
      <c r="L34" s="55"/>
      <c r="M34" s="58">
        <f>ROUND((VLOOKUP(奥義32,戦闘奥義,8,"FALSE")+VLOOKUP(奥義32,戦闘奥義,13,"FALSE")*武将人数)/100*(総攻撃力A),0)</f>
        <v>0</v>
      </c>
      <c r="N34" s="59"/>
      <c r="O34" s="60" t="str">
        <f>CONCATENATE(VLOOKUP(奥義42,戦闘奥義,8,"FALSE")+VLOOKUP(奥義42,戦闘奥義,13,"FALSE")*武将人数,"%")</f>
        <v>0%</v>
      </c>
      <c r="P34" s="55"/>
      <c r="Q34" s="58">
        <f>ROUND((VLOOKUP(奥義42,戦闘奥義,8,"FALSE")+VLOOKUP(奥義42,戦闘奥義,13,"FALSE")*武将人数)/100*(総攻撃力A),0)</f>
        <v>0</v>
      </c>
      <c r="R34" s="59"/>
      <c r="S34" s="60" t="str">
        <f>CONCATENATE(VLOOKUP(奥義52,戦闘奥義,8,"FALSE")+VLOOKUP(奥義52,戦闘奥義,13,"FALSE")*武将人数,"%")</f>
        <v>15%</v>
      </c>
      <c r="T34" s="55"/>
      <c r="U34" s="58">
        <f>ROUND((VLOOKUP(奥義52,戦闘奥義,8,"FALSE")+VLOOKUP(奥義52,戦闘奥義,13,"FALSE")*武将人数)/100*(総攻撃力A),0)</f>
        <v>259</v>
      </c>
      <c r="V34" s="59"/>
      <c r="W34" s="53"/>
    </row>
    <row r="35" spans="1:23" ht="15">
      <c r="A35" s="49" t="s">
        <v>96</v>
      </c>
      <c r="B35" s="51"/>
      <c r="C35" s="60" t="str">
        <f>CONCATENATE(VLOOKUP(奥義12,戦闘奥義,9,"FALSE"),"%")</f>
        <v>0%</v>
      </c>
      <c r="D35" s="55"/>
      <c r="E35" s="55" t="str">
        <f>CONCATENATE(VLOOKUP(奥義12,戦闘奥義,10,"FALSE"),"%")</f>
        <v>0%</v>
      </c>
      <c r="F35" s="56"/>
      <c r="G35" s="60" t="str">
        <f>CONCATENATE(VLOOKUP(奥義22,戦闘奥義,9,"FALSE"),"%")</f>
        <v>20%</v>
      </c>
      <c r="H35" s="55"/>
      <c r="I35" s="55" t="str">
        <f>CONCATENATE(VLOOKUP(奥義22,戦闘奥義,10,"FALSE"),"%")</f>
        <v>0%</v>
      </c>
      <c r="J35" s="56"/>
      <c r="K35" s="60" t="str">
        <f>CONCATENATE(VLOOKUP(奥義32,戦闘奥義,9,"FALSE"),"%")</f>
        <v>0%</v>
      </c>
      <c r="L35" s="55"/>
      <c r="M35" s="55" t="str">
        <f>CONCATENATE(VLOOKUP(奥義32,戦闘奥義,10,"FALSE"),"%")</f>
        <v>0%</v>
      </c>
      <c r="N35" s="56"/>
      <c r="O35" s="60" t="str">
        <f>CONCATENATE(VLOOKUP(奥義42,戦闘奥義,9,"FALSE"),"%")</f>
        <v>20%</v>
      </c>
      <c r="P35" s="55"/>
      <c r="Q35" s="55" t="str">
        <f>CONCATENATE(VLOOKUP(奥義42,戦闘奥義,10,"FALSE"),"%")</f>
        <v>30%</v>
      </c>
      <c r="R35" s="56"/>
      <c r="S35" s="60" t="str">
        <f>CONCATENATE(VLOOKUP(奥義52,戦闘奥義,9,"FALSE"),"%")</f>
        <v>20%</v>
      </c>
      <c r="T35" s="55"/>
      <c r="U35" s="55" t="str">
        <f>CONCATENATE(VLOOKUP(奥義52,戦闘奥義,10,"FALSE"),"%")</f>
        <v>0%</v>
      </c>
      <c r="V35" s="56"/>
      <c r="W35" s="53"/>
    </row>
    <row r="36" spans="1:23" ht="15">
      <c r="A36" s="49" t="s">
        <v>97</v>
      </c>
      <c r="B36" s="51"/>
      <c r="C36" s="57">
        <f>SUM(E28:F34)</f>
        <v>0</v>
      </c>
      <c r="D36" s="57"/>
      <c r="E36" s="57"/>
      <c r="F36" s="57"/>
      <c r="G36" s="57">
        <f>SUM(I28:J34)</f>
        <v>0</v>
      </c>
      <c r="H36" s="57"/>
      <c r="I36" s="57"/>
      <c r="J36" s="57"/>
      <c r="K36" s="57">
        <f>SUM(M28:N34)</f>
        <v>75</v>
      </c>
      <c r="L36" s="57"/>
      <c r="M36" s="57"/>
      <c r="N36" s="57"/>
      <c r="O36" s="57">
        <f>SUM(Q28:R34)</f>
        <v>0</v>
      </c>
      <c r="P36" s="57"/>
      <c r="Q36" s="57"/>
      <c r="R36" s="57"/>
      <c r="S36" s="57">
        <f>SUM(U28:V34)</f>
        <v>259</v>
      </c>
      <c r="T36" s="57"/>
      <c r="U36" s="57"/>
      <c r="V36" s="57"/>
      <c r="W36" s="54">
        <f>SUM(C36:V36)</f>
        <v>334</v>
      </c>
    </row>
    <row r="37" ht="15">
      <c r="W37" s="53"/>
    </row>
    <row r="38" spans="1:23" ht="15">
      <c r="A38" s="49" t="s">
        <v>148</v>
      </c>
      <c r="B38" s="50"/>
      <c r="C38" s="80" t="str">
        <f>VLOOKUP(武将1,武将,5,"FALSE")</f>
        <v>戦士の勇名 四</v>
      </c>
      <c r="D38" s="81"/>
      <c r="E38" s="81"/>
      <c r="F38" s="82"/>
      <c r="G38" s="80" t="str">
        <f>VLOOKUP(武将2,武将,5,"FALSE")</f>
        <v>獅子奮迅 五</v>
      </c>
      <c r="H38" s="81"/>
      <c r="I38" s="81"/>
      <c r="J38" s="82"/>
      <c r="K38" s="80" t="str">
        <f>VLOOKUP(武将3,武将,5,"FALSE")</f>
        <v>なし / その他</v>
      </c>
      <c r="L38" s="81"/>
      <c r="M38" s="81"/>
      <c r="N38" s="82"/>
      <c r="O38" s="80" t="str">
        <f>VLOOKUP(武将4,武将,5,"FALSE")</f>
        <v>剛毅果断 一</v>
      </c>
      <c r="P38" s="81"/>
      <c r="Q38" s="81"/>
      <c r="R38" s="82"/>
      <c r="S38" s="80" t="str">
        <f>VLOOKUP(武将5,武将,5,"FALSE")</f>
        <v>歩兵大号令 一</v>
      </c>
      <c r="T38" s="81"/>
      <c r="U38" s="81"/>
      <c r="V38" s="82"/>
      <c r="W38" s="53"/>
    </row>
    <row r="39" spans="1:23" ht="15" hidden="1">
      <c r="A39" s="49" t="s">
        <v>36</v>
      </c>
      <c r="B39" s="50"/>
      <c r="C39" s="61" t="str">
        <f>CONCATENATE(VLOOKUP(奥義13,戦闘奥義,2,"FALSE"),"%")</f>
        <v>0%</v>
      </c>
      <c r="D39" s="62"/>
      <c r="E39" s="55">
        <f>ROUND(VLOOKUP(奥義13,戦闘奥義,2,"FALSE")/100*武将攻撃力1,0)</f>
        <v>0</v>
      </c>
      <c r="F39" s="56"/>
      <c r="G39" s="61" t="str">
        <f>CONCATENATE(VLOOKUP(奥義23,戦闘奥義,2,"FALSE"),"%")</f>
        <v>0%</v>
      </c>
      <c r="H39" s="62"/>
      <c r="I39" s="55">
        <f>ROUND(VLOOKUP(奥義23,戦闘奥義,2,"FALSE")/100*武将攻撃力2,0)</f>
        <v>0</v>
      </c>
      <c r="J39" s="56"/>
      <c r="K39" s="61" t="str">
        <f>CONCATENATE(VLOOKUP(奥義33,戦闘奥義,2,"FALSE"),"%")</f>
        <v>0%</v>
      </c>
      <c r="L39" s="62"/>
      <c r="M39" s="55">
        <f>ROUND(VLOOKUP(奥義33,戦闘奥義,2,"FALSE")/100*武将攻撃力3,0)</f>
        <v>0</v>
      </c>
      <c r="N39" s="56"/>
      <c r="O39" s="61" t="str">
        <f>CONCATENATE(VLOOKUP(奥義43,戦闘奥義,2,"FALSE"),"%")</f>
        <v>100%</v>
      </c>
      <c r="P39" s="62"/>
      <c r="Q39" s="55">
        <f>ROUND(VLOOKUP(奥義43,戦闘奥義,2,"FALSE")/100*武将攻撃力4,0)</f>
        <v>500</v>
      </c>
      <c r="R39" s="56"/>
      <c r="S39" s="61" t="str">
        <f>CONCATENATE(VLOOKUP(奥義53,戦闘奥義,2,"FALSE"),"%")</f>
        <v>0%</v>
      </c>
      <c r="T39" s="62"/>
      <c r="U39" s="55">
        <f>ROUND(VLOOKUP(奥義53,戦闘奥義,2,"FALSE")/100*武将攻撃力5,0)</f>
        <v>0</v>
      </c>
      <c r="V39" s="56"/>
      <c r="W39" s="53"/>
    </row>
    <row r="40" spans="1:23" ht="15" hidden="1">
      <c r="A40" s="49" t="s">
        <v>93</v>
      </c>
      <c r="B40" s="51"/>
      <c r="C40" s="60" t="str">
        <f>CONCATENATE(VLOOKUP(奥義13,戦闘奥義,3,"FALSE"),"%")</f>
        <v>0%</v>
      </c>
      <c r="D40" s="55"/>
      <c r="E40" s="58">
        <f>ROUND(VLOOKUP(奥義13,戦闘奥義,3,"FALSE")/100*(SUM(歩兵1)),0)</f>
        <v>0</v>
      </c>
      <c r="F40" s="59"/>
      <c r="G40" s="60" t="str">
        <f>CONCATENATE(VLOOKUP(奥義23,戦闘奥義,3,"FALSE"),"%")</f>
        <v>0%</v>
      </c>
      <c r="H40" s="55"/>
      <c r="I40" s="58">
        <f>ROUND(VLOOKUP(奥義23,戦闘奥義,3,"FALSE")/100*(SUM(歩兵2)),0)</f>
        <v>0</v>
      </c>
      <c r="J40" s="59"/>
      <c r="K40" s="60" t="str">
        <f>CONCATENATE(VLOOKUP(奥義33,戦闘奥義,3,"FALSE"),"%")</f>
        <v>0%</v>
      </c>
      <c r="L40" s="55"/>
      <c r="M40" s="58">
        <f>ROUND(VLOOKUP(奥義33,戦闘奥義,3,"FALSE")/100*(SUM(歩兵3)),0)</f>
        <v>0</v>
      </c>
      <c r="N40" s="59"/>
      <c r="O40" s="60" t="str">
        <f>CONCATENATE(VLOOKUP(奥義43,戦闘奥義,3,"FALSE"),"%")</f>
        <v>0%</v>
      </c>
      <c r="P40" s="55"/>
      <c r="Q40" s="58">
        <f>ROUND(VLOOKUP(奥義43,戦闘奥義,3,"FALSE")/100*(SUM(歩兵4)),0)</f>
        <v>0</v>
      </c>
      <c r="R40" s="59"/>
      <c r="S40" s="60" t="str">
        <f>CONCATENATE(VLOOKUP(奥義53,戦闘奥義,3,"FALSE"),"%")</f>
        <v>55%</v>
      </c>
      <c r="T40" s="55"/>
      <c r="U40" s="58">
        <f>ROUND(VLOOKUP(奥義53,戦闘奥義,3,"FALSE")/100*(SUM(歩兵5)),0)</f>
        <v>0</v>
      </c>
      <c r="V40" s="59"/>
      <c r="W40" s="53"/>
    </row>
    <row r="41" spans="1:23" ht="15" hidden="1">
      <c r="A41" s="49" t="s">
        <v>85</v>
      </c>
      <c r="B41" s="51"/>
      <c r="C41" s="60" t="str">
        <f>CONCATENATE(VLOOKUP(奥義13,戦闘奥義,4,"FALSE"),"%")</f>
        <v>0%</v>
      </c>
      <c r="D41" s="55"/>
      <c r="E41" s="58">
        <f>ROUND(VLOOKUP(奥義13,戦闘奥義,4,"FALSE")/100*(SUM(槍兵1)),0)</f>
        <v>0</v>
      </c>
      <c r="F41" s="59"/>
      <c r="G41" s="60" t="str">
        <f>CONCATENATE(VLOOKUP(奥義23,戦闘奥義,4,"FALSE"),"%")</f>
        <v>0%</v>
      </c>
      <c r="H41" s="55"/>
      <c r="I41" s="58">
        <f>ROUND(VLOOKUP(奥義23,戦闘奥義,4,"FALSE")/100*(SUM(槍兵2)),0)</f>
        <v>0</v>
      </c>
      <c r="J41" s="59"/>
      <c r="K41" s="60" t="str">
        <f>CONCATENATE(VLOOKUP(奥義33,戦闘奥義,4,"FALSE"),"%")</f>
        <v>0%</v>
      </c>
      <c r="L41" s="55"/>
      <c r="M41" s="58">
        <f>ROUND(VLOOKUP(奥義33,戦闘奥義,4,"FALSE")/100*(SUM(槍兵3)),0)</f>
        <v>0</v>
      </c>
      <c r="N41" s="59"/>
      <c r="O41" s="60" t="str">
        <f>CONCATENATE(VLOOKUP(奥義43,戦闘奥義,4,"FALSE"),"%")</f>
        <v>0%</v>
      </c>
      <c r="P41" s="55"/>
      <c r="Q41" s="58">
        <f>ROUND(VLOOKUP(奥義43,戦闘奥義,4,"FALSE")/100*(SUM(槍兵4)),0)</f>
        <v>0</v>
      </c>
      <c r="R41" s="59"/>
      <c r="S41" s="60" t="str">
        <f>CONCATENATE(VLOOKUP(奥義53,戦闘奥義,4,"FALSE"),"%")</f>
        <v>0%</v>
      </c>
      <c r="T41" s="55"/>
      <c r="U41" s="58">
        <f>ROUND(VLOOKUP(奥義53,戦闘奥義,4,"FALSE")/100*(SUM(槍兵5)),0)</f>
        <v>0</v>
      </c>
      <c r="V41" s="59"/>
      <c r="W41" s="53"/>
    </row>
    <row r="42" spans="1:23" ht="15" hidden="1">
      <c r="A42" s="49" t="s">
        <v>86</v>
      </c>
      <c r="B42" s="51"/>
      <c r="C42" s="60" t="str">
        <f>CONCATENATE(VLOOKUP(奥義13,戦闘奥義,5,"FALSE"),"%")</f>
        <v>0%</v>
      </c>
      <c r="D42" s="55"/>
      <c r="E42" s="58">
        <f>ROUND(VLOOKUP(奥義13,戦闘奥義,5,"FALSE")/100*(SUM(弓兵1)),0)</f>
        <v>0</v>
      </c>
      <c r="F42" s="59"/>
      <c r="G42" s="60" t="str">
        <f>CONCATENATE(VLOOKUP(奥義23,戦闘奥義,5,"FALSE"),"%")</f>
        <v>0%</v>
      </c>
      <c r="H42" s="55"/>
      <c r="I42" s="58">
        <f>ROUND(VLOOKUP(奥義23,戦闘奥義,5,"FALSE")/100*(SUM(弓兵2)),0)</f>
        <v>0</v>
      </c>
      <c r="J42" s="59"/>
      <c r="K42" s="60" t="str">
        <f>CONCATENATE(VLOOKUP(奥義33,戦闘奥義,5,"FALSE"),"%")</f>
        <v>0%</v>
      </c>
      <c r="L42" s="55"/>
      <c r="M42" s="58">
        <f>ROUND(VLOOKUP(奥義33,戦闘奥義,5,"FALSE")/100*(SUM(弓兵3)),0)</f>
        <v>0</v>
      </c>
      <c r="N42" s="59"/>
      <c r="O42" s="60" t="str">
        <f>CONCATENATE(VLOOKUP(奥義43,戦闘奥義,5,"FALSE"),"%")</f>
        <v>0%</v>
      </c>
      <c r="P42" s="55"/>
      <c r="Q42" s="58">
        <f>ROUND(VLOOKUP(奥義43,戦闘奥義,5,"FALSE")/100*(SUM(弓兵4)),0)</f>
        <v>0</v>
      </c>
      <c r="R42" s="59"/>
      <c r="S42" s="60" t="str">
        <f>CONCATENATE(VLOOKUP(奥義53,戦闘奥義,5,"FALSE"),"%")</f>
        <v>0%</v>
      </c>
      <c r="T42" s="55"/>
      <c r="U42" s="58">
        <f>ROUND(VLOOKUP(奥義53,戦闘奥義,5,"FALSE")/100*(SUM(弓兵5)),0)</f>
        <v>0</v>
      </c>
      <c r="V42" s="59"/>
      <c r="W42" s="53"/>
    </row>
    <row r="43" spans="1:23" ht="15" hidden="1">
      <c r="A43" s="49" t="s">
        <v>87</v>
      </c>
      <c r="B43" s="51"/>
      <c r="C43" s="60" t="str">
        <f>CONCATENATE(VLOOKUP(奥義13,戦闘奥義,6,"FALSE"),"%")</f>
        <v>0%</v>
      </c>
      <c r="D43" s="55"/>
      <c r="E43" s="58">
        <f>ROUND(VLOOKUP(奥義13,戦闘奥義,6,"FALSE")/100*(SUM(騎兵1)),0)</f>
        <v>0</v>
      </c>
      <c r="F43" s="59"/>
      <c r="G43" s="60" t="str">
        <f>CONCATENATE(VLOOKUP(奥義23,戦闘奥義,6,"FALSE"),"%")</f>
        <v>0%</v>
      </c>
      <c r="H43" s="55"/>
      <c r="I43" s="58">
        <f>ROUND(VLOOKUP(奥義23,戦闘奥義,6,"FALSE")/100*(SUM(騎兵2)),0)</f>
        <v>0</v>
      </c>
      <c r="J43" s="59"/>
      <c r="K43" s="60" t="str">
        <f>CONCATENATE(VLOOKUP(奥義33,戦闘奥義,6,"FALSE"),"%")</f>
        <v>0%</v>
      </c>
      <c r="L43" s="55"/>
      <c r="M43" s="58">
        <f>ROUND(VLOOKUP(奥義33,戦闘奥義,6,"FALSE")/100*(SUM(騎兵3)),0)</f>
        <v>0</v>
      </c>
      <c r="N43" s="59"/>
      <c r="O43" s="60" t="str">
        <f>CONCATENATE(VLOOKUP(奥義43,戦闘奥義,6,"FALSE"),"%")</f>
        <v>0%</v>
      </c>
      <c r="P43" s="55"/>
      <c r="Q43" s="58">
        <f>ROUND(VLOOKUP(奥義43,戦闘奥義,6,"FALSE")/100*(SUM(騎兵4)),0)</f>
        <v>0</v>
      </c>
      <c r="R43" s="59"/>
      <c r="S43" s="60" t="str">
        <f>CONCATENATE(VLOOKUP(奥義53,戦闘奥義,6,"FALSE"),"%")</f>
        <v>0%</v>
      </c>
      <c r="T43" s="55"/>
      <c r="U43" s="58">
        <f>ROUND(VLOOKUP(奥義53,戦闘奥義,6,"FALSE")/100*(SUM(騎兵5)),0)</f>
        <v>0</v>
      </c>
      <c r="V43" s="59"/>
      <c r="W43" s="53"/>
    </row>
    <row r="44" spans="1:23" ht="15" hidden="1">
      <c r="A44" s="49" t="s">
        <v>88</v>
      </c>
      <c r="B44" s="51"/>
      <c r="C44" s="60" t="str">
        <f>CONCATENATE(VLOOKUP(奥義13,戦闘奥義,7,"FALSE"),"%")</f>
        <v>0%</v>
      </c>
      <c r="D44" s="55"/>
      <c r="E44" s="58">
        <f>ROUND(VLOOKUP(奥義13,戦闘奥義,7,"FALSE")/100*(SUM(工兵1)),0)</f>
        <v>0</v>
      </c>
      <c r="F44" s="59"/>
      <c r="G44" s="60" t="str">
        <f>CONCATENATE(VLOOKUP(奥義23,戦闘奥義,7,"FALSE"),"%")</f>
        <v>0%</v>
      </c>
      <c r="H44" s="55"/>
      <c r="I44" s="58">
        <f>ROUND(VLOOKUP(奥義23,戦闘奥義,7,"FALSE")/100*(SUM(工兵2)),0)</f>
        <v>0</v>
      </c>
      <c r="J44" s="59"/>
      <c r="K44" s="60" t="str">
        <f>CONCATENATE(VLOOKUP(奥義33,戦闘奥義,7,"FALSE"),"%")</f>
        <v>0%</v>
      </c>
      <c r="L44" s="55"/>
      <c r="M44" s="58">
        <f>ROUND(VLOOKUP(奥義33,戦闘奥義,7,"FALSE")/100*(SUM(工兵3)),0)</f>
        <v>0</v>
      </c>
      <c r="N44" s="59"/>
      <c r="O44" s="60" t="str">
        <f>CONCATENATE(VLOOKUP(奥義43,戦闘奥義,7,"FALSE"),"%")</f>
        <v>0%</v>
      </c>
      <c r="P44" s="55"/>
      <c r="Q44" s="58">
        <f>ROUND(VLOOKUP(奥義43,戦闘奥義,7,"FALSE")/100*(SUM(工兵4)),0)</f>
        <v>0</v>
      </c>
      <c r="R44" s="59"/>
      <c r="S44" s="60" t="str">
        <f>CONCATENATE(VLOOKUP(奥義53,戦闘奥義,7,"FALSE"),"%")</f>
        <v>0%</v>
      </c>
      <c r="T44" s="55"/>
      <c r="U44" s="58">
        <f>ROUND(VLOOKUP(奥義53,戦闘奥義,7,"FALSE")/100*(SUM(工兵5)),0)</f>
        <v>0</v>
      </c>
      <c r="V44" s="59"/>
      <c r="W44" s="53"/>
    </row>
    <row r="45" spans="1:23" ht="15" hidden="1">
      <c r="A45" s="49" t="s">
        <v>35</v>
      </c>
      <c r="B45" s="51"/>
      <c r="C45" s="60" t="str">
        <f>CONCATENATE(VLOOKUP(奥義13,戦闘奥義,8,"FALSE")+VLOOKUP(奥義13,戦闘奥義,13,"FALSE")*武将人数,"%")</f>
        <v>0%</v>
      </c>
      <c r="D45" s="55"/>
      <c r="E45" s="58">
        <f>ROUND((VLOOKUP(奥義13,戦闘奥義,8,"FALSE")+VLOOKUP(奥義13,戦闘奥義,13,"FALSE")*武将人数)/100*(総攻撃力A),0)</f>
        <v>0</v>
      </c>
      <c r="F45" s="59"/>
      <c r="G45" s="60" t="str">
        <f>CONCATENATE(VLOOKUP(奥義23,戦闘奥義,8,"FALSE")+VLOOKUP(奥義23,戦闘奥義,13,"FALSE")*武将人数,"%")</f>
        <v>0%</v>
      </c>
      <c r="H45" s="55"/>
      <c r="I45" s="58">
        <f>ROUND((VLOOKUP(奥義23,戦闘奥義,8,"FALSE")+VLOOKUP(奥義23,戦闘奥義,13,"FALSE")*武将人数)/100*(総攻撃力A),0)</f>
        <v>0</v>
      </c>
      <c r="J45" s="59"/>
      <c r="K45" s="60" t="str">
        <f>CONCATENATE(VLOOKUP(奥義33,戦闘奥義,8,"FALSE")+VLOOKUP(奥義33,戦闘奥義,13,"FALSE")*武将人数,"%")</f>
        <v>0%</v>
      </c>
      <c r="L45" s="55"/>
      <c r="M45" s="58">
        <f>ROUND((VLOOKUP(奥義33,戦闘奥義,8,"FALSE")+VLOOKUP(奥義33,戦闘奥義,13,"FALSE")*武将人数)/100*(総攻撃力A),0)</f>
        <v>0</v>
      </c>
      <c r="N45" s="59"/>
      <c r="O45" s="60" t="str">
        <f>CONCATENATE(VLOOKUP(奥義43,戦闘奥義,8,"FALSE")+VLOOKUP(奥義43,戦闘奥義,13,"FALSE")*武将人数,"%")</f>
        <v>0%</v>
      </c>
      <c r="P45" s="55"/>
      <c r="Q45" s="58">
        <f>ROUND((VLOOKUP(奥義43,戦闘奥義,8,"FALSE")+VLOOKUP(奥義43,戦闘奥義,13,"FALSE")*武将人数)/100*(総攻撃力A),0)</f>
        <v>0</v>
      </c>
      <c r="R45" s="59"/>
      <c r="S45" s="60" t="str">
        <f>CONCATENATE(VLOOKUP(奥義53,戦闘奥義,8,"FALSE")+VLOOKUP(奥義53,戦闘奥義,13,"FALSE")*武将人数,"%")</f>
        <v>0%</v>
      </c>
      <c r="T45" s="55"/>
      <c r="U45" s="58">
        <f>ROUND((VLOOKUP(奥義53,戦闘奥義,8,"FALSE")+VLOOKUP(奥義53,戦闘奥義,13,"FALSE")*武将人数)/100*(総攻撃力A),0)</f>
        <v>0</v>
      </c>
      <c r="V45" s="59"/>
      <c r="W45" s="53"/>
    </row>
    <row r="46" spans="1:23" ht="15">
      <c r="A46" s="49" t="s">
        <v>96</v>
      </c>
      <c r="B46" s="51"/>
      <c r="C46" s="60" t="str">
        <f>CONCATENATE(VLOOKUP(奥義13,戦闘奥義,9,"FALSE"),"%")</f>
        <v>33%</v>
      </c>
      <c r="D46" s="55"/>
      <c r="E46" s="55" t="str">
        <f>CONCATENATE(VLOOKUP(奥義13,戦闘奥義,10,"FALSE"),"%")</f>
        <v>0%</v>
      </c>
      <c r="F46" s="56"/>
      <c r="G46" s="60" t="str">
        <f>CONCATENATE(VLOOKUP(奥義23,戦闘奥義,9,"FALSE"),"%")</f>
        <v>0%</v>
      </c>
      <c r="H46" s="55"/>
      <c r="I46" s="55" t="str">
        <f>CONCATENATE(VLOOKUP(奥義23,戦闘奥義,10,"FALSE"),"%")</f>
        <v>55%</v>
      </c>
      <c r="J46" s="56"/>
      <c r="K46" s="60" t="str">
        <f>CONCATENATE(VLOOKUP(奥義33,戦闘奥義,9,"FALSE"),"%")</f>
        <v>0%</v>
      </c>
      <c r="L46" s="55"/>
      <c r="M46" s="55" t="str">
        <f>CONCATENATE(VLOOKUP(奥義33,戦闘奥義,10,"FALSE"),"%")</f>
        <v>0%</v>
      </c>
      <c r="N46" s="56"/>
      <c r="O46" s="60" t="str">
        <f>CONCATENATE(VLOOKUP(奥義43,戦闘奥義,9,"FALSE"),"%")</f>
        <v>0%</v>
      </c>
      <c r="P46" s="55"/>
      <c r="Q46" s="55" t="str">
        <f>CONCATENATE(VLOOKUP(奥義43,戦闘奥義,10,"FALSE"),"%")</f>
        <v>0%</v>
      </c>
      <c r="R46" s="56"/>
      <c r="S46" s="60" t="str">
        <f>CONCATENATE(VLOOKUP(奥義53,戦闘奥義,9,"FALSE"),"%")</f>
        <v>0%</v>
      </c>
      <c r="T46" s="55"/>
      <c r="U46" s="55" t="str">
        <f>CONCATENATE(VLOOKUP(奥義53,戦闘奥義,10,"FALSE"),"%")</f>
        <v>0%</v>
      </c>
      <c r="V46" s="56"/>
      <c r="W46" s="53"/>
    </row>
    <row r="47" spans="1:23" ht="15">
      <c r="A47" s="49" t="s">
        <v>97</v>
      </c>
      <c r="B47" s="51"/>
      <c r="C47" s="57">
        <f>SUM(E39:F45)</f>
        <v>0</v>
      </c>
      <c r="D47" s="57"/>
      <c r="E47" s="57"/>
      <c r="F47" s="57"/>
      <c r="G47" s="57">
        <f>SUM(I39:J45)</f>
        <v>0</v>
      </c>
      <c r="H47" s="57"/>
      <c r="I47" s="57"/>
      <c r="J47" s="57"/>
      <c r="K47" s="57">
        <f>SUM(M39:N45)</f>
        <v>0</v>
      </c>
      <c r="L47" s="57"/>
      <c r="M47" s="57"/>
      <c r="N47" s="57"/>
      <c r="O47" s="57">
        <f>SUM(Q39:R45)</f>
        <v>500</v>
      </c>
      <c r="P47" s="57"/>
      <c r="Q47" s="57"/>
      <c r="R47" s="57"/>
      <c r="S47" s="57">
        <f>SUM(U39:V45)</f>
        <v>0</v>
      </c>
      <c r="T47" s="57"/>
      <c r="U47" s="57"/>
      <c r="V47" s="57"/>
      <c r="W47" s="54">
        <f>SUM(C47:V47)</f>
        <v>500</v>
      </c>
    </row>
    <row r="48" ht="15">
      <c r="W48" s="53"/>
    </row>
    <row r="49" spans="1:23" ht="15">
      <c r="A49" s="49" t="s">
        <v>149</v>
      </c>
      <c r="B49" s="50"/>
      <c r="C49" s="80" t="str">
        <f>VLOOKUP(武将1,武将,6,"FALSE")</f>
        <v>なし / その他</v>
      </c>
      <c r="D49" s="81"/>
      <c r="E49" s="81"/>
      <c r="F49" s="82"/>
      <c r="G49" s="80" t="str">
        <f>VLOOKUP(武将2,武将,6,"FALSE")</f>
        <v>戦士の勇名 四</v>
      </c>
      <c r="H49" s="81"/>
      <c r="I49" s="81"/>
      <c r="J49" s="82"/>
      <c r="K49" s="80" t="str">
        <f>VLOOKUP(武将3,武将,6,"FALSE")</f>
        <v>なし / その他</v>
      </c>
      <c r="L49" s="81"/>
      <c r="M49" s="81"/>
      <c r="N49" s="82"/>
      <c r="O49" s="80" t="str">
        <f>VLOOKUP(武将4,武将,6,"FALSE")</f>
        <v>大団結 五</v>
      </c>
      <c r="P49" s="81"/>
      <c r="Q49" s="81"/>
      <c r="R49" s="82"/>
      <c r="S49" s="80" t="str">
        <f>VLOOKUP(武将5,武将,6,"FALSE")</f>
        <v>なし / その他</v>
      </c>
      <c r="T49" s="81"/>
      <c r="U49" s="81"/>
      <c r="V49" s="82"/>
      <c r="W49" s="53"/>
    </row>
    <row r="50" spans="1:23" ht="15" hidden="1">
      <c r="A50" s="49" t="s">
        <v>36</v>
      </c>
      <c r="B50" s="50"/>
      <c r="C50" s="61" t="str">
        <f>CONCATENATE(VLOOKUP(奥義14,戦闘奥義,2,"FALSE"),"%")</f>
        <v>0%</v>
      </c>
      <c r="D50" s="62"/>
      <c r="E50" s="55">
        <f>ROUND(VLOOKUP(奥義14,戦闘奥義,2,"FALSE")/100*武将攻撃力1,0)</f>
        <v>0</v>
      </c>
      <c r="F50" s="56"/>
      <c r="G50" s="61" t="str">
        <f>CONCATENATE(VLOOKUP(奥義24,戦闘奥義,2,"FALSE"),"%")</f>
        <v>0%</v>
      </c>
      <c r="H50" s="62"/>
      <c r="I50" s="55">
        <f>ROUND(VLOOKUP(奥義24,戦闘奥義,2,"FALSE")/100*武将攻撃力2,0)</f>
        <v>0</v>
      </c>
      <c r="J50" s="56"/>
      <c r="K50" s="61" t="str">
        <f>CONCATENATE(VLOOKUP(奥義34,戦闘奥義,2,"FALSE"),"%")</f>
        <v>0%</v>
      </c>
      <c r="L50" s="62"/>
      <c r="M50" s="55">
        <f>ROUND(VLOOKUP(奥義34,戦闘奥義,2,"FALSE")/100*武将攻撃力3,0)</f>
        <v>0</v>
      </c>
      <c r="N50" s="56"/>
      <c r="O50" s="61" t="str">
        <f>CONCATENATE(VLOOKUP(奥義44,戦闘奥義,2,"FALSE"),"%")</f>
        <v>0%</v>
      </c>
      <c r="P50" s="62"/>
      <c r="Q50" s="55">
        <f>ROUND(VLOOKUP(奥義44,戦闘奥義,2,"FALSE")/100*武将攻撃力4,0)</f>
        <v>0</v>
      </c>
      <c r="R50" s="56"/>
      <c r="S50" s="61" t="str">
        <f>CONCATENATE(VLOOKUP(奥義54,戦闘奥義,2,"FALSE"),"%")</f>
        <v>0%</v>
      </c>
      <c r="T50" s="62"/>
      <c r="U50" s="55">
        <f>ROUND(VLOOKUP(奥義54,戦闘奥義,2,"FALSE")/100*武将攻撃力5,0)</f>
        <v>0</v>
      </c>
      <c r="V50" s="56"/>
      <c r="W50" s="53"/>
    </row>
    <row r="51" spans="1:23" ht="15" hidden="1">
      <c r="A51" s="49" t="s">
        <v>93</v>
      </c>
      <c r="B51" s="51"/>
      <c r="C51" s="60" t="str">
        <f>CONCATENATE(VLOOKUP(奥義14,戦闘奥義,3,"FALSE"),"%")</f>
        <v>0%</v>
      </c>
      <c r="D51" s="55"/>
      <c r="E51" s="58">
        <f>ROUND(VLOOKUP(奥義14,戦闘奥義,3,"FALSE")/100*(SUM(歩兵1)),0)</f>
        <v>0</v>
      </c>
      <c r="F51" s="59"/>
      <c r="G51" s="60" t="str">
        <f>CONCATENATE(VLOOKUP(奥義24,戦闘奥義,3,"FALSE"),"%")</f>
        <v>0%</v>
      </c>
      <c r="H51" s="55"/>
      <c r="I51" s="58">
        <f>ROUND(VLOOKUP(奥義24,戦闘奥義,3,"FALSE")/100*(SUM(歩兵2)),0)</f>
        <v>0</v>
      </c>
      <c r="J51" s="59"/>
      <c r="K51" s="60" t="str">
        <f>CONCATENATE(VLOOKUP(奥義34,戦闘奥義,3,"FALSE"),"%")</f>
        <v>0%</v>
      </c>
      <c r="L51" s="55"/>
      <c r="M51" s="58">
        <f>ROUND(VLOOKUP(奥義34,戦闘奥義,3,"FALSE")/100*(SUM(歩兵3)),0)</f>
        <v>0</v>
      </c>
      <c r="N51" s="59"/>
      <c r="O51" s="60" t="str">
        <f>CONCATENATE(VLOOKUP(奥義44,戦闘奥義,3,"FALSE"),"%")</f>
        <v>0%</v>
      </c>
      <c r="P51" s="55"/>
      <c r="Q51" s="58">
        <f>ROUND(VLOOKUP(奥義44,戦闘奥義,3,"FALSE")/100*(SUM(歩兵4)),0)</f>
        <v>0</v>
      </c>
      <c r="R51" s="59"/>
      <c r="S51" s="60" t="str">
        <f>CONCATENATE(VLOOKUP(奥義54,戦闘奥義,3,"FALSE"),"%")</f>
        <v>0%</v>
      </c>
      <c r="T51" s="55"/>
      <c r="U51" s="58">
        <f>ROUND(VLOOKUP(奥義54,戦闘奥義,3,"FALSE")/100*(SUM(歩兵5)),0)</f>
        <v>0</v>
      </c>
      <c r="V51" s="59"/>
      <c r="W51" s="53"/>
    </row>
    <row r="52" spans="1:23" ht="15" hidden="1">
      <c r="A52" s="49" t="s">
        <v>85</v>
      </c>
      <c r="B52" s="51"/>
      <c r="C52" s="60" t="str">
        <f>CONCATENATE(VLOOKUP(奥義14,戦闘奥義,4,"FALSE"),"%")</f>
        <v>0%</v>
      </c>
      <c r="D52" s="55"/>
      <c r="E52" s="58">
        <f>ROUND(VLOOKUP(奥義14,戦闘奥義,4,"FALSE")/100*(SUM(槍兵1)),0)</f>
        <v>0</v>
      </c>
      <c r="F52" s="59"/>
      <c r="G52" s="60" t="str">
        <f>CONCATENATE(VLOOKUP(奥義24,戦闘奥義,4,"FALSE"),"%")</f>
        <v>0%</v>
      </c>
      <c r="H52" s="55"/>
      <c r="I52" s="58">
        <f>ROUND(VLOOKUP(奥義24,戦闘奥義,4,"FALSE")/100*(SUM(槍兵2)),0)</f>
        <v>0</v>
      </c>
      <c r="J52" s="59"/>
      <c r="K52" s="60" t="str">
        <f>CONCATENATE(VLOOKUP(奥義34,戦闘奥義,4,"FALSE"),"%")</f>
        <v>0%</v>
      </c>
      <c r="L52" s="55"/>
      <c r="M52" s="58">
        <f>ROUND(VLOOKUP(奥義34,戦闘奥義,4,"FALSE")/100*(SUM(槍兵3)),0)</f>
        <v>0</v>
      </c>
      <c r="N52" s="59"/>
      <c r="O52" s="60" t="str">
        <f>CONCATENATE(VLOOKUP(奥義44,戦闘奥義,4,"FALSE"),"%")</f>
        <v>0%</v>
      </c>
      <c r="P52" s="55"/>
      <c r="Q52" s="58">
        <f>ROUND(VLOOKUP(奥義44,戦闘奥義,4,"FALSE")/100*(SUM(槍兵4)),0)</f>
        <v>0</v>
      </c>
      <c r="R52" s="59"/>
      <c r="S52" s="60" t="str">
        <f>CONCATENATE(VLOOKUP(奥義54,戦闘奥義,4,"FALSE"),"%")</f>
        <v>0%</v>
      </c>
      <c r="T52" s="55"/>
      <c r="U52" s="58">
        <f>ROUND(VLOOKUP(奥義54,戦闘奥義,4,"FALSE")/100*(SUM(槍兵5)),0)</f>
        <v>0</v>
      </c>
      <c r="V52" s="59"/>
      <c r="W52" s="53"/>
    </row>
    <row r="53" spans="1:23" ht="15" hidden="1">
      <c r="A53" s="49" t="s">
        <v>86</v>
      </c>
      <c r="B53" s="51"/>
      <c r="C53" s="60" t="str">
        <f>CONCATENATE(VLOOKUP(奥義14,戦闘奥義,5,"FALSE"),"%")</f>
        <v>0%</v>
      </c>
      <c r="D53" s="55"/>
      <c r="E53" s="58">
        <f>ROUND(VLOOKUP(奥義14,戦闘奥義,5,"FALSE")/100*(SUM(弓兵1)),0)</f>
        <v>0</v>
      </c>
      <c r="F53" s="59"/>
      <c r="G53" s="60" t="str">
        <f>CONCATENATE(VLOOKUP(奥義24,戦闘奥義,5,"FALSE"),"%")</f>
        <v>0%</v>
      </c>
      <c r="H53" s="55"/>
      <c r="I53" s="58">
        <f>ROUND(VLOOKUP(奥義24,戦闘奥義,5,"FALSE")/100*(SUM(弓兵2)),0)</f>
        <v>0</v>
      </c>
      <c r="J53" s="59"/>
      <c r="K53" s="60" t="str">
        <f>CONCATENATE(VLOOKUP(奥義34,戦闘奥義,5,"FALSE"),"%")</f>
        <v>0%</v>
      </c>
      <c r="L53" s="55"/>
      <c r="M53" s="58">
        <f>ROUND(VLOOKUP(奥義34,戦闘奥義,5,"FALSE")/100*(SUM(弓兵3)),0)</f>
        <v>0</v>
      </c>
      <c r="N53" s="59"/>
      <c r="O53" s="60" t="str">
        <f>CONCATENATE(VLOOKUP(奥義44,戦闘奥義,5,"FALSE"),"%")</f>
        <v>0%</v>
      </c>
      <c r="P53" s="55"/>
      <c r="Q53" s="58">
        <f>ROUND(VLOOKUP(奥義44,戦闘奥義,5,"FALSE")/100*(SUM(弓兵4)),0)</f>
        <v>0</v>
      </c>
      <c r="R53" s="59"/>
      <c r="S53" s="60" t="str">
        <f>CONCATENATE(VLOOKUP(奥義54,戦闘奥義,5,"FALSE"),"%")</f>
        <v>0%</v>
      </c>
      <c r="T53" s="55"/>
      <c r="U53" s="58">
        <f>ROUND(VLOOKUP(奥義54,戦闘奥義,5,"FALSE")/100*(SUM(弓兵5)),0)</f>
        <v>0</v>
      </c>
      <c r="V53" s="59"/>
      <c r="W53" s="53"/>
    </row>
    <row r="54" spans="1:23" ht="15" hidden="1">
      <c r="A54" s="49" t="s">
        <v>87</v>
      </c>
      <c r="B54" s="51"/>
      <c r="C54" s="60" t="str">
        <f>CONCATENATE(VLOOKUP(奥義14,戦闘奥義,6,"FALSE"),"%")</f>
        <v>0%</v>
      </c>
      <c r="D54" s="55"/>
      <c r="E54" s="58">
        <f>ROUND(VLOOKUP(奥義14,戦闘奥義,6,"FALSE")/100*(SUM(騎兵1)),0)</f>
        <v>0</v>
      </c>
      <c r="F54" s="59"/>
      <c r="G54" s="60" t="str">
        <f>CONCATENATE(VLOOKUP(奥義24,戦闘奥義,6,"FALSE"),"%")</f>
        <v>0%</v>
      </c>
      <c r="H54" s="55"/>
      <c r="I54" s="58">
        <f>ROUND(VLOOKUP(奥義24,戦闘奥義,6,"FALSE")/100*(SUM(騎兵2)),0)</f>
        <v>0</v>
      </c>
      <c r="J54" s="59"/>
      <c r="K54" s="60" t="str">
        <f>CONCATENATE(VLOOKUP(奥義34,戦闘奥義,6,"FALSE"),"%")</f>
        <v>0%</v>
      </c>
      <c r="L54" s="55"/>
      <c r="M54" s="58">
        <f>ROUND(VLOOKUP(奥義34,戦闘奥義,6,"FALSE")/100*(SUM(騎兵3)),0)</f>
        <v>0</v>
      </c>
      <c r="N54" s="59"/>
      <c r="O54" s="60" t="str">
        <f>CONCATENATE(VLOOKUP(奥義44,戦闘奥義,6,"FALSE"),"%")</f>
        <v>0%</v>
      </c>
      <c r="P54" s="55"/>
      <c r="Q54" s="58">
        <f>ROUND(VLOOKUP(奥義44,戦闘奥義,6,"FALSE")/100*(SUM(騎兵4)),0)</f>
        <v>0</v>
      </c>
      <c r="R54" s="59"/>
      <c r="S54" s="60" t="str">
        <f>CONCATENATE(VLOOKUP(奥義54,戦闘奥義,6,"FALSE"),"%")</f>
        <v>0%</v>
      </c>
      <c r="T54" s="55"/>
      <c r="U54" s="58">
        <f>ROUND(VLOOKUP(奥義54,戦闘奥義,6,"FALSE")/100*(SUM(騎兵5)),0)</f>
        <v>0</v>
      </c>
      <c r="V54" s="59"/>
      <c r="W54" s="53"/>
    </row>
    <row r="55" spans="1:23" ht="15" hidden="1">
      <c r="A55" s="49" t="s">
        <v>88</v>
      </c>
      <c r="B55" s="51"/>
      <c r="C55" s="60" t="str">
        <f>CONCATENATE(VLOOKUP(奥義14,戦闘奥義,7,"FALSE"),"%")</f>
        <v>0%</v>
      </c>
      <c r="D55" s="55"/>
      <c r="E55" s="58">
        <f>ROUND(VLOOKUP(奥義14,戦闘奥義,7,"FALSE")/100*(SUM(工兵1)),0)</f>
        <v>0</v>
      </c>
      <c r="F55" s="59"/>
      <c r="G55" s="60" t="str">
        <f>CONCATENATE(VLOOKUP(奥義24,戦闘奥義,7,"FALSE"),"%")</f>
        <v>0%</v>
      </c>
      <c r="H55" s="55"/>
      <c r="I55" s="58">
        <f>ROUND(VLOOKUP(奥義24,戦闘奥義,7,"FALSE")/100*(SUM(工兵2)),0)</f>
        <v>0</v>
      </c>
      <c r="J55" s="59"/>
      <c r="K55" s="60" t="str">
        <f>CONCATENATE(VLOOKUP(奥義34,戦闘奥義,7,"FALSE"),"%")</f>
        <v>0%</v>
      </c>
      <c r="L55" s="55"/>
      <c r="M55" s="58">
        <f>ROUND(VLOOKUP(奥義34,戦闘奥義,7,"FALSE")/100*(SUM(工兵3)),0)</f>
        <v>0</v>
      </c>
      <c r="N55" s="59"/>
      <c r="O55" s="60" t="str">
        <f>CONCATENATE(VLOOKUP(奥義44,戦闘奥義,7,"FALSE"),"%")</f>
        <v>0%</v>
      </c>
      <c r="P55" s="55"/>
      <c r="Q55" s="58">
        <f>ROUND(VLOOKUP(奥義44,戦闘奥義,7,"FALSE")/100*(SUM(工兵4)),0)</f>
        <v>0</v>
      </c>
      <c r="R55" s="59"/>
      <c r="S55" s="60" t="str">
        <f>CONCATENATE(VLOOKUP(奥義54,戦闘奥義,7,"FALSE"),"%")</f>
        <v>0%</v>
      </c>
      <c r="T55" s="55"/>
      <c r="U55" s="58">
        <f>ROUND(VLOOKUP(奥義54,戦闘奥義,7,"FALSE")/100*(SUM(工兵5)),0)</f>
        <v>0</v>
      </c>
      <c r="V55" s="59"/>
      <c r="W55" s="53"/>
    </row>
    <row r="56" spans="1:23" ht="15" hidden="1">
      <c r="A56" s="49" t="s">
        <v>35</v>
      </c>
      <c r="B56" s="51"/>
      <c r="C56" s="60" t="str">
        <f>CONCATENATE(VLOOKUP(奥義14,戦闘奥義,8,"FALSE")+VLOOKUP(奥義14,戦闘奥義,13,"FALSE")*武将人数,"%")</f>
        <v>0%</v>
      </c>
      <c r="D56" s="55"/>
      <c r="E56" s="58">
        <f>ROUND((VLOOKUP(奥義14,戦闘奥義,8,"FALSE")+VLOOKUP(奥義14,戦闘奥義,13,"FALSE")*武将人数)/100*(総攻撃力A),0)</f>
        <v>0</v>
      </c>
      <c r="F56" s="59"/>
      <c r="G56" s="60" t="str">
        <f>CONCATENATE(VLOOKUP(奥義24,戦闘奥義,8,"FALSE")+VLOOKUP(奥義24,戦闘奥義,13,"FALSE")*武将人数,"%")</f>
        <v>0%</v>
      </c>
      <c r="H56" s="55"/>
      <c r="I56" s="58">
        <f>ROUND((VLOOKUP(奥義24,戦闘奥義,8,"FALSE")+VLOOKUP(奥義24,戦闘奥義,13,"FALSE")*武将人数)/100*(総攻撃力A),0)</f>
        <v>0</v>
      </c>
      <c r="J56" s="59"/>
      <c r="K56" s="60" t="str">
        <f>CONCATENATE(VLOOKUP(奥義34,戦闘奥義,8,"FALSE")+VLOOKUP(奥義34,戦闘奥義,13,"FALSE")*武将人数,"%")</f>
        <v>0%</v>
      </c>
      <c r="L56" s="55"/>
      <c r="M56" s="58">
        <f>ROUND((VLOOKUP(奥義34,戦闘奥義,8,"FALSE")+VLOOKUP(奥義34,戦闘奥義,13,"FALSE")*武将人数)/100*(総攻撃力A),0)</f>
        <v>0</v>
      </c>
      <c r="N56" s="59"/>
      <c r="O56" s="60" t="str">
        <f>CONCATENATE(VLOOKUP(奥義44,戦闘奥義,8,"FALSE")+VLOOKUP(奥義44,戦闘奥義,13,"FALSE")*武将人数,"%")</f>
        <v>77%</v>
      </c>
      <c r="P56" s="55"/>
      <c r="Q56" s="58">
        <f>ROUND((VLOOKUP(奥義44,戦闘奥義,8,"FALSE")+VLOOKUP(奥義44,戦闘奥義,13,"FALSE")*武将人数)/100*(総攻撃力A),0)</f>
        <v>1328</v>
      </c>
      <c r="R56" s="59"/>
      <c r="S56" s="60" t="str">
        <f>CONCATENATE(VLOOKUP(奥義54,戦闘奥義,8,"FALSE")+VLOOKUP(奥義54,戦闘奥義,13,"FALSE")*武将人数,"%")</f>
        <v>0%</v>
      </c>
      <c r="T56" s="55"/>
      <c r="U56" s="58">
        <f>ROUND((VLOOKUP(奥義54,戦闘奥義,8,"FALSE")+VLOOKUP(奥義54,戦闘奥義,13,"FALSE")*武将人数)/100*(総攻撃力A),0)</f>
        <v>0</v>
      </c>
      <c r="V56" s="59"/>
      <c r="W56" s="53"/>
    </row>
    <row r="57" spans="1:23" ht="15">
      <c r="A57" s="49" t="s">
        <v>96</v>
      </c>
      <c r="B57" s="51"/>
      <c r="C57" s="60" t="str">
        <f>CONCATENATE(VLOOKUP(奥義14,戦闘奥義,9,"FALSE"),"%")</f>
        <v>0%</v>
      </c>
      <c r="D57" s="55"/>
      <c r="E57" s="55" t="str">
        <f>CONCATENATE(VLOOKUP(奥義14,戦闘奥義,10,"FALSE"),"%")</f>
        <v>0%</v>
      </c>
      <c r="F57" s="56"/>
      <c r="G57" s="60" t="str">
        <f>CONCATENATE(VLOOKUP(奥義24,戦闘奥義,9,"FALSE"),"%")</f>
        <v>33%</v>
      </c>
      <c r="H57" s="55"/>
      <c r="I57" s="55" t="str">
        <f>CONCATENATE(VLOOKUP(奥義24,戦闘奥義,10,"FALSE"),"%")</f>
        <v>0%</v>
      </c>
      <c r="J57" s="56"/>
      <c r="K57" s="60" t="str">
        <f>CONCATENATE(VLOOKUP(奥義34,戦闘奥義,9,"FALSE"),"%")</f>
        <v>0%</v>
      </c>
      <c r="L57" s="55"/>
      <c r="M57" s="55" t="str">
        <f>CONCATENATE(VLOOKUP(奥義34,戦闘奥義,10,"FALSE"),"%")</f>
        <v>0%</v>
      </c>
      <c r="N57" s="56"/>
      <c r="O57" s="60" t="str">
        <f>CONCATENATE(VLOOKUP(奥義44,戦闘奥義,9,"FALSE"),"%")</f>
        <v>0%</v>
      </c>
      <c r="P57" s="55"/>
      <c r="Q57" s="55" t="str">
        <f>CONCATENATE(VLOOKUP(奥義44,戦闘奥義,10,"FALSE"),"%")</f>
        <v>0%</v>
      </c>
      <c r="R57" s="56"/>
      <c r="S57" s="60" t="str">
        <f>CONCATENATE(VLOOKUP(奥義54,戦闘奥義,9,"FALSE"),"%")</f>
        <v>0%</v>
      </c>
      <c r="T57" s="55"/>
      <c r="U57" s="55" t="str">
        <f>CONCATENATE(VLOOKUP(奥義54,戦闘奥義,10,"FALSE"),"%")</f>
        <v>0%</v>
      </c>
      <c r="V57" s="56"/>
      <c r="W57" s="53"/>
    </row>
    <row r="58" spans="1:23" ht="15">
      <c r="A58" s="49" t="s">
        <v>97</v>
      </c>
      <c r="B58" s="51"/>
      <c r="C58" s="57">
        <f>SUM(E50:F56)</f>
        <v>0</v>
      </c>
      <c r="D58" s="57"/>
      <c r="E58" s="57"/>
      <c r="F58" s="57"/>
      <c r="G58" s="57">
        <f>SUM(I50:J56)</f>
        <v>0</v>
      </c>
      <c r="H58" s="57"/>
      <c r="I58" s="57"/>
      <c r="J58" s="57"/>
      <c r="K58" s="57">
        <f>SUM(M50:N56)</f>
        <v>0</v>
      </c>
      <c r="L58" s="57"/>
      <c r="M58" s="57"/>
      <c r="N58" s="57"/>
      <c r="O58" s="57">
        <f>SUM(Q50:R56)</f>
        <v>1328</v>
      </c>
      <c r="P58" s="57"/>
      <c r="Q58" s="57"/>
      <c r="R58" s="57"/>
      <c r="S58" s="57">
        <f>SUM(U50:V56)</f>
        <v>0</v>
      </c>
      <c r="T58" s="57"/>
      <c r="U58" s="57"/>
      <c r="V58" s="57"/>
      <c r="W58" s="54">
        <f>SUM(C58:V58)</f>
        <v>1328</v>
      </c>
    </row>
    <row r="59" spans="23:25" ht="15">
      <c r="W59" s="70">
        <f>W25+W36+W47+W58</f>
        <v>3887</v>
      </c>
      <c r="X59" s="64"/>
      <c r="Y59" s="65"/>
    </row>
  </sheetData>
  <sheetProtection sheet="1" objects="1" scenarios="1"/>
  <mergeCells count="284">
    <mergeCell ref="A24:B24"/>
    <mergeCell ref="A25:B25"/>
    <mergeCell ref="W25:Y25"/>
    <mergeCell ref="S2:V2"/>
    <mergeCell ref="C25:F25"/>
    <mergeCell ref="G25:J25"/>
    <mergeCell ref="K25:N25"/>
    <mergeCell ref="O25:R25"/>
    <mergeCell ref="C2:F2"/>
    <mergeCell ref="G2:J2"/>
    <mergeCell ref="K2:N2"/>
    <mergeCell ref="O2:R2"/>
    <mergeCell ref="S25:V25"/>
    <mergeCell ref="K27:N27"/>
    <mergeCell ref="O27:R27"/>
    <mergeCell ref="S27:V27"/>
    <mergeCell ref="C27:F27"/>
    <mergeCell ref="G27:J27"/>
    <mergeCell ref="K28:L28"/>
    <mergeCell ref="M28:N28"/>
    <mergeCell ref="O28:P28"/>
    <mergeCell ref="Q28:R28"/>
    <mergeCell ref="C28:D28"/>
    <mergeCell ref="E28:F28"/>
    <mergeCell ref="G28:H28"/>
    <mergeCell ref="I28:J28"/>
    <mergeCell ref="S28:T28"/>
    <mergeCell ref="U28:V28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U35:V35"/>
    <mergeCell ref="W59:Y59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S36:V36"/>
    <mergeCell ref="C38:F38"/>
    <mergeCell ref="G38:J38"/>
    <mergeCell ref="K38:N38"/>
    <mergeCell ref="O38:R38"/>
    <mergeCell ref="S38:V38"/>
    <mergeCell ref="C36:F36"/>
    <mergeCell ref="G36:J36"/>
    <mergeCell ref="K36:N36"/>
    <mergeCell ref="O36:R36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U40:V40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V44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V46"/>
    <mergeCell ref="C47:F47"/>
    <mergeCell ref="G47:J47"/>
    <mergeCell ref="K47:N47"/>
    <mergeCell ref="O47:R47"/>
    <mergeCell ref="S47:V47"/>
    <mergeCell ref="C49:F49"/>
    <mergeCell ref="G49:J49"/>
    <mergeCell ref="K49:N49"/>
    <mergeCell ref="O49:R49"/>
    <mergeCell ref="S49:V49"/>
    <mergeCell ref="C50:D50"/>
    <mergeCell ref="E50:F50"/>
    <mergeCell ref="G50:H50"/>
    <mergeCell ref="I50:J50"/>
    <mergeCell ref="K50:L50"/>
    <mergeCell ref="M50:N50"/>
    <mergeCell ref="O50:P50"/>
    <mergeCell ref="Q50:R50"/>
    <mergeCell ref="S50:T50"/>
    <mergeCell ref="U50:V50"/>
    <mergeCell ref="C51:D51"/>
    <mergeCell ref="E51:F51"/>
    <mergeCell ref="G51:H51"/>
    <mergeCell ref="I51:J51"/>
    <mergeCell ref="K51:L51"/>
    <mergeCell ref="M51:N51"/>
    <mergeCell ref="O51:P51"/>
    <mergeCell ref="Q51:R51"/>
    <mergeCell ref="S51:T51"/>
    <mergeCell ref="U51:V51"/>
    <mergeCell ref="C52:D52"/>
    <mergeCell ref="E52:F52"/>
    <mergeCell ref="G52:H52"/>
    <mergeCell ref="I52:J52"/>
    <mergeCell ref="K52:L52"/>
    <mergeCell ref="M52:N52"/>
    <mergeCell ref="O52:P52"/>
    <mergeCell ref="Q52:R52"/>
    <mergeCell ref="S52:T52"/>
    <mergeCell ref="U52:V52"/>
    <mergeCell ref="C53:D53"/>
    <mergeCell ref="E53:F53"/>
    <mergeCell ref="G53:H53"/>
    <mergeCell ref="I53:J53"/>
    <mergeCell ref="K53:L53"/>
    <mergeCell ref="M53:N53"/>
    <mergeCell ref="O53:P53"/>
    <mergeCell ref="Q53:R53"/>
    <mergeCell ref="S53:T53"/>
    <mergeCell ref="U53:V53"/>
    <mergeCell ref="C54:D54"/>
    <mergeCell ref="E54:F54"/>
    <mergeCell ref="G54:H54"/>
    <mergeCell ref="I54:J54"/>
    <mergeCell ref="K54:L54"/>
    <mergeCell ref="M54:N54"/>
    <mergeCell ref="O54:P54"/>
    <mergeCell ref="Q54:R54"/>
    <mergeCell ref="S54:T54"/>
    <mergeCell ref="U54:V54"/>
    <mergeCell ref="C55:D55"/>
    <mergeCell ref="E55:F55"/>
    <mergeCell ref="G55:H55"/>
    <mergeCell ref="I55:J55"/>
    <mergeCell ref="K55:L55"/>
    <mergeCell ref="M55:N55"/>
    <mergeCell ref="O55:P55"/>
    <mergeCell ref="Q55:R55"/>
    <mergeCell ref="S55:T55"/>
    <mergeCell ref="U55:V55"/>
    <mergeCell ref="C56:D56"/>
    <mergeCell ref="E56:F56"/>
    <mergeCell ref="G56:H56"/>
    <mergeCell ref="I56:J56"/>
    <mergeCell ref="K56:L56"/>
    <mergeCell ref="M56:N56"/>
    <mergeCell ref="O56:P56"/>
    <mergeCell ref="Q56:R56"/>
    <mergeCell ref="S56:T56"/>
    <mergeCell ref="U56:V56"/>
    <mergeCell ref="C57:D57"/>
    <mergeCell ref="E57:F57"/>
    <mergeCell ref="G57:H57"/>
    <mergeCell ref="I57:J57"/>
    <mergeCell ref="K57:L57"/>
    <mergeCell ref="M57:N57"/>
    <mergeCell ref="O57:P57"/>
    <mergeCell ref="Q57:R57"/>
    <mergeCell ref="S57:T57"/>
    <mergeCell ref="U57:V57"/>
    <mergeCell ref="C58:F58"/>
    <mergeCell ref="G58:J58"/>
    <mergeCell ref="K58:N58"/>
    <mergeCell ref="O58:R58"/>
    <mergeCell ref="S58:V58"/>
  </mergeCells>
  <dataValidations count="2">
    <dataValidation type="list" allowBlank="1" showInputMessage="1" showErrorMessage="1" sqref="C27:V27 C38:V38 C49:V49">
      <formula1>奥義リスト</formula1>
    </dataValidation>
    <dataValidation type="list" allowBlank="1" showInputMessage="1" showErrorMessage="1" sqref="C2:V2">
      <formula1>武将リスト</formula1>
    </dataValidation>
  </dataValidations>
  <printOptions/>
  <pageMargins left="0.75" right="0.75" top="1" bottom="1" header="0.512" footer="0.512"/>
  <pageSetup orientation="portrait" paperSize="9" r:id="rId1"/>
  <ignoredErrors>
    <ignoredError sqref="I3 R3:S3 N3:P3 J3:L3 F3:H3 T3:U3 Q3 M3 E3 D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95"/>
  <sheetViews>
    <sheetView zoomScale="85" zoomScaleNormal="85" workbookViewId="0" topLeftCell="A1">
      <selection activeCell="A2" sqref="A2:M95"/>
    </sheetView>
  </sheetViews>
  <sheetFormatPr defaultColWidth="9.00390625" defaultRowHeight="13.5"/>
  <cols>
    <col min="1" max="1" width="17.25390625" style="45" bestFit="1" customWidth="1"/>
    <col min="2" max="7" width="11.00390625" style="45" bestFit="1" customWidth="1"/>
    <col min="8" max="9" width="9.00390625" style="45" customWidth="1"/>
    <col min="10" max="10" width="8.75390625" style="45" bestFit="1" customWidth="1"/>
    <col min="11" max="16384" width="9.00390625" style="45" customWidth="1"/>
  </cols>
  <sheetData>
    <row r="1" spans="2:13" ht="15">
      <c r="B1" s="46" t="s">
        <v>36</v>
      </c>
      <c r="C1" s="46" t="s">
        <v>84</v>
      </c>
      <c r="D1" s="46" t="s">
        <v>85</v>
      </c>
      <c r="E1" s="46" t="s">
        <v>86</v>
      </c>
      <c r="F1" s="46" t="s">
        <v>87</v>
      </c>
      <c r="G1" s="46" t="s">
        <v>88</v>
      </c>
      <c r="H1" s="46" t="s">
        <v>35</v>
      </c>
      <c r="I1" s="46" t="s">
        <v>89</v>
      </c>
      <c r="J1" s="46" t="s">
        <v>90</v>
      </c>
      <c r="K1" s="46" t="s">
        <v>91</v>
      </c>
      <c r="L1" s="46" t="s">
        <v>92</v>
      </c>
      <c r="M1" s="48" t="s">
        <v>94</v>
      </c>
    </row>
    <row r="2" spans="1:13" ht="15">
      <c r="A2" s="48" t="s">
        <v>181</v>
      </c>
      <c r="B2" s="45">
        <v>0</v>
      </c>
      <c r="C2" s="45">
        <v>0</v>
      </c>
      <c r="D2" s="45">
        <v>0</v>
      </c>
      <c r="E2" s="45">
        <v>0</v>
      </c>
      <c r="F2" s="45">
        <v>0</v>
      </c>
      <c r="G2" s="45">
        <v>0</v>
      </c>
      <c r="H2" s="45">
        <v>0</v>
      </c>
      <c r="I2" s="45">
        <v>0</v>
      </c>
      <c r="J2" s="45">
        <v>0</v>
      </c>
      <c r="K2" s="45">
        <v>0</v>
      </c>
      <c r="L2" s="45">
        <v>0</v>
      </c>
      <c r="M2" s="45">
        <v>0</v>
      </c>
    </row>
    <row r="3" spans="1:13" ht="15">
      <c r="A3" t="s">
        <v>98</v>
      </c>
      <c r="B3" s="45">
        <v>0</v>
      </c>
      <c r="C3" s="45">
        <v>0</v>
      </c>
      <c r="D3" s="45">
        <v>0</v>
      </c>
      <c r="E3" s="45">
        <v>0</v>
      </c>
      <c r="F3" s="45">
        <v>0</v>
      </c>
      <c r="G3" s="45">
        <v>0</v>
      </c>
      <c r="H3" s="45">
        <v>5</v>
      </c>
      <c r="I3" s="45">
        <v>0</v>
      </c>
      <c r="J3" s="45">
        <v>0</v>
      </c>
      <c r="K3" s="45">
        <v>0</v>
      </c>
      <c r="L3" s="45">
        <v>0</v>
      </c>
      <c r="M3" s="45">
        <v>0</v>
      </c>
    </row>
    <row r="4" spans="1:13" ht="15">
      <c r="A4" t="s">
        <v>100</v>
      </c>
      <c r="B4" s="45">
        <v>0</v>
      </c>
      <c r="C4" s="45">
        <v>0</v>
      </c>
      <c r="D4" s="45">
        <v>0</v>
      </c>
      <c r="E4" s="45">
        <v>0</v>
      </c>
      <c r="F4" s="45">
        <v>0</v>
      </c>
      <c r="G4" s="45">
        <v>0</v>
      </c>
      <c r="H4" s="45">
        <v>10</v>
      </c>
      <c r="I4" s="45">
        <v>0</v>
      </c>
      <c r="J4" s="45">
        <v>0</v>
      </c>
      <c r="K4" s="45">
        <v>0</v>
      </c>
      <c r="L4" s="45">
        <v>0</v>
      </c>
      <c r="M4" s="45">
        <v>0</v>
      </c>
    </row>
    <row r="5" spans="1:13" ht="15">
      <c r="A5" t="s">
        <v>101</v>
      </c>
      <c r="B5" s="45">
        <v>0</v>
      </c>
      <c r="C5" s="45">
        <v>0</v>
      </c>
      <c r="D5" s="45">
        <v>0</v>
      </c>
      <c r="E5" s="45">
        <v>0</v>
      </c>
      <c r="F5" s="45">
        <v>0</v>
      </c>
      <c r="G5" s="45">
        <v>0</v>
      </c>
      <c r="H5" s="45">
        <v>15</v>
      </c>
      <c r="I5" s="45">
        <v>0</v>
      </c>
      <c r="J5" s="45">
        <v>0</v>
      </c>
      <c r="K5" s="45">
        <v>0</v>
      </c>
      <c r="L5" s="45">
        <v>0</v>
      </c>
      <c r="M5" s="45">
        <v>0</v>
      </c>
    </row>
    <row r="6" spans="1:13" ht="15">
      <c r="A6" t="s">
        <v>102</v>
      </c>
      <c r="B6" s="45">
        <v>0</v>
      </c>
      <c r="C6" s="45">
        <v>0</v>
      </c>
      <c r="D6" s="45">
        <v>0</v>
      </c>
      <c r="E6" s="45">
        <v>0</v>
      </c>
      <c r="F6" s="45">
        <v>0</v>
      </c>
      <c r="G6" s="45">
        <v>0</v>
      </c>
      <c r="H6" s="45">
        <v>33</v>
      </c>
      <c r="I6" s="45">
        <v>0</v>
      </c>
      <c r="J6" s="45">
        <v>0</v>
      </c>
      <c r="K6" s="45">
        <v>0</v>
      </c>
      <c r="L6" s="45">
        <v>0</v>
      </c>
      <c r="M6" s="45">
        <v>0</v>
      </c>
    </row>
    <row r="7" spans="1:13" ht="15">
      <c r="A7" t="s">
        <v>104</v>
      </c>
      <c r="B7" s="45">
        <v>0</v>
      </c>
      <c r="C7" s="45">
        <v>0</v>
      </c>
      <c r="D7" s="45">
        <v>0</v>
      </c>
      <c r="E7" s="45">
        <v>0</v>
      </c>
      <c r="F7" s="45">
        <v>0</v>
      </c>
      <c r="G7" s="45">
        <v>0</v>
      </c>
      <c r="H7" s="45">
        <v>77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</row>
    <row r="8" spans="1:13" ht="15">
      <c r="A8" t="s">
        <v>105</v>
      </c>
      <c r="B8" s="45">
        <v>0</v>
      </c>
      <c r="C8" s="45">
        <v>0</v>
      </c>
      <c r="D8" s="45">
        <v>0</v>
      </c>
      <c r="E8" s="45">
        <v>0</v>
      </c>
      <c r="F8" s="45">
        <v>0</v>
      </c>
      <c r="G8" s="45">
        <v>0</v>
      </c>
      <c r="H8" s="45">
        <v>100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</row>
    <row r="9" spans="1:13" ht="15">
      <c r="A9" t="s">
        <v>106</v>
      </c>
      <c r="B9" s="45">
        <v>0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3</v>
      </c>
    </row>
    <row r="10" spans="1:13" ht="15">
      <c r="A10" t="s">
        <v>107</v>
      </c>
      <c r="B10" s="45">
        <v>0</v>
      </c>
      <c r="C10" s="45">
        <v>0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10</v>
      </c>
    </row>
    <row r="11" spans="1:13" ht="15">
      <c r="A11" t="s">
        <v>109</v>
      </c>
      <c r="B11" s="45">
        <v>0</v>
      </c>
      <c r="C11" s="45">
        <v>0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20</v>
      </c>
    </row>
    <row r="12" spans="1:13" ht="15">
      <c r="A12" s="46" t="s">
        <v>108</v>
      </c>
      <c r="B12" s="45">
        <v>0</v>
      </c>
      <c r="C12" s="45">
        <v>0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33</v>
      </c>
    </row>
    <row r="13" spans="1:13" ht="15">
      <c r="A13" s="46" t="s">
        <v>110</v>
      </c>
      <c r="B13" s="45">
        <v>20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</row>
    <row r="14" spans="1:13" ht="15">
      <c r="A14" s="46" t="s">
        <v>111</v>
      </c>
      <c r="B14" s="45">
        <v>30</v>
      </c>
      <c r="C14" s="45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</row>
    <row r="15" spans="1:13" ht="15">
      <c r="A15" s="46" t="s">
        <v>112</v>
      </c>
      <c r="B15" s="45">
        <v>40</v>
      </c>
      <c r="C15" s="45">
        <v>0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</row>
    <row r="16" spans="1:13" ht="15">
      <c r="A16" s="46" t="s">
        <v>114</v>
      </c>
      <c r="B16" s="45">
        <v>100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</row>
    <row r="17" spans="1:13" ht="15">
      <c r="A17" s="46" t="s">
        <v>115</v>
      </c>
      <c r="B17" s="45">
        <v>0</v>
      </c>
      <c r="C17" s="45">
        <v>5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</row>
    <row r="18" spans="1:13" ht="15">
      <c r="A18" s="46" t="s">
        <v>116</v>
      </c>
      <c r="B18" s="45">
        <v>0</v>
      </c>
      <c r="C18" s="45">
        <v>10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</row>
    <row r="19" spans="1:13" ht="15">
      <c r="A19" t="s">
        <v>117</v>
      </c>
      <c r="B19" s="45">
        <v>0</v>
      </c>
      <c r="C19" s="45">
        <v>30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</row>
    <row r="20" spans="1:13" ht="15">
      <c r="A20" t="s">
        <v>118</v>
      </c>
      <c r="B20" s="45">
        <v>0</v>
      </c>
      <c r="C20" s="45">
        <v>55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</row>
    <row r="21" spans="1:13" ht="15">
      <c r="A21" s="46" t="s">
        <v>119</v>
      </c>
      <c r="B21" s="45">
        <v>0</v>
      </c>
      <c r="C21" s="45">
        <v>100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</row>
    <row r="22" spans="1:13" ht="15">
      <c r="A22" s="46" t="s">
        <v>120</v>
      </c>
      <c r="B22" s="45">
        <v>0</v>
      </c>
      <c r="C22" s="45">
        <v>0</v>
      </c>
      <c r="D22" s="45">
        <v>5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</row>
    <row r="23" spans="1:13" ht="15">
      <c r="A23" s="46" t="s">
        <v>121</v>
      </c>
      <c r="B23" s="45">
        <v>0</v>
      </c>
      <c r="C23" s="45">
        <v>0</v>
      </c>
      <c r="D23" s="45">
        <v>10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</row>
    <row r="24" spans="1:13" ht="15">
      <c r="A24" t="s">
        <v>129</v>
      </c>
      <c r="B24" s="45">
        <v>0</v>
      </c>
      <c r="C24" s="45">
        <v>0</v>
      </c>
      <c r="D24" s="45">
        <v>44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</row>
    <row r="25" spans="1:13" ht="15">
      <c r="A25" s="46" t="s">
        <v>122</v>
      </c>
      <c r="B25" s="45">
        <v>0</v>
      </c>
      <c r="C25" s="45">
        <v>0</v>
      </c>
      <c r="D25" s="45">
        <v>200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</row>
    <row r="26" spans="1:13" ht="15">
      <c r="A26" t="s">
        <v>123</v>
      </c>
      <c r="B26" s="45">
        <v>0</v>
      </c>
      <c r="C26" s="45">
        <v>0</v>
      </c>
      <c r="D26" s="45">
        <v>0</v>
      </c>
      <c r="E26" s="45">
        <v>5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</row>
    <row r="27" spans="1:13" ht="15">
      <c r="A27" t="s">
        <v>124</v>
      </c>
      <c r="B27" s="45">
        <v>0</v>
      </c>
      <c r="C27" s="45">
        <v>0</v>
      </c>
      <c r="D27" s="45">
        <v>0</v>
      </c>
      <c r="E27" s="45">
        <v>10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</row>
    <row r="28" spans="1:13" ht="15">
      <c r="A28" t="s">
        <v>125</v>
      </c>
      <c r="B28" s="45">
        <v>0</v>
      </c>
      <c r="C28" s="45">
        <v>0</v>
      </c>
      <c r="D28" s="45">
        <v>0</v>
      </c>
      <c r="E28" s="45">
        <v>20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</row>
    <row r="29" spans="1:13" ht="15">
      <c r="A29" t="s">
        <v>126</v>
      </c>
      <c r="B29" s="45">
        <v>0</v>
      </c>
      <c r="C29" s="45">
        <v>0</v>
      </c>
      <c r="D29" s="45">
        <v>0</v>
      </c>
      <c r="E29" s="45">
        <v>44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</row>
    <row r="30" spans="1:13" ht="15">
      <c r="A30" t="s">
        <v>127</v>
      </c>
      <c r="B30" s="45">
        <v>0</v>
      </c>
      <c r="C30" s="45">
        <v>0</v>
      </c>
      <c r="D30" s="45">
        <v>0</v>
      </c>
      <c r="E30" s="45">
        <v>55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</row>
    <row r="31" spans="1:13" ht="15">
      <c r="A31" t="s">
        <v>128</v>
      </c>
      <c r="B31" s="45">
        <v>0</v>
      </c>
      <c r="C31" s="45">
        <v>0</v>
      </c>
      <c r="D31" s="45">
        <v>0</v>
      </c>
      <c r="E31" s="45">
        <v>100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</row>
    <row r="32" spans="1:13" ht="15">
      <c r="A32" t="s">
        <v>130</v>
      </c>
      <c r="B32" s="45">
        <v>0</v>
      </c>
      <c r="C32" s="45">
        <v>0</v>
      </c>
      <c r="D32" s="45">
        <v>0</v>
      </c>
      <c r="E32" s="45">
        <v>0</v>
      </c>
      <c r="F32" s="45">
        <v>5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</row>
    <row r="33" spans="1:13" ht="15">
      <c r="A33" t="s">
        <v>131</v>
      </c>
      <c r="B33" s="45">
        <v>0</v>
      </c>
      <c r="C33" s="45">
        <v>0</v>
      </c>
      <c r="D33" s="45">
        <v>0</v>
      </c>
      <c r="E33" s="45">
        <v>0</v>
      </c>
      <c r="F33" s="45">
        <v>10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</row>
    <row r="34" spans="1:13" ht="15">
      <c r="A34" t="s">
        <v>132</v>
      </c>
      <c r="B34" s="45">
        <v>0</v>
      </c>
      <c r="C34" s="45">
        <v>0</v>
      </c>
      <c r="D34" s="45">
        <v>0</v>
      </c>
      <c r="E34" s="45">
        <v>0</v>
      </c>
      <c r="F34" s="45">
        <v>0</v>
      </c>
      <c r="G34" s="45">
        <v>5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</row>
    <row r="35" spans="1:13" ht="15">
      <c r="A35" t="s">
        <v>133</v>
      </c>
      <c r="B35" s="45">
        <v>0</v>
      </c>
      <c r="C35" s="45">
        <v>0</v>
      </c>
      <c r="D35" s="45">
        <v>0</v>
      </c>
      <c r="E35" s="45">
        <v>0</v>
      </c>
      <c r="F35" s="45">
        <v>0</v>
      </c>
      <c r="G35" s="45">
        <v>10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</row>
    <row r="36" spans="1:13" ht="15">
      <c r="A36" t="s">
        <v>134</v>
      </c>
      <c r="B36" s="45">
        <v>0</v>
      </c>
      <c r="C36" s="45">
        <v>0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5</v>
      </c>
      <c r="J36" s="45">
        <v>0</v>
      </c>
      <c r="K36" s="45">
        <v>0</v>
      </c>
      <c r="L36" s="45">
        <v>0</v>
      </c>
      <c r="M36" s="45">
        <v>0</v>
      </c>
    </row>
    <row r="37" spans="1:13" ht="15">
      <c r="A37" t="s">
        <v>135</v>
      </c>
      <c r="B37" s="45">
        <v>0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10</v>
      </c>
      <c r="J37" s="45">
        <v>0</v>
      </c>
      <c r="K37" s="45">
        <v>0</v>
      </c>
      <c r="L37" s="45">
        <v>0</v>
      </c>
      <c r="M37" s="45">
        <v>0</v>
      </c>
    </row>
    <row r="38" spans="1:13" ht="15">
      <c r="A38" t="s">
        <v>136</v>
      </c>
      <c r="B38" s="45">
        <v>0</v>
      </c>
      <c r="C38" s="45">
        <v>0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20</v>
      </c>
      <c r="J38" s="45">
        <v>0</v>
      </c>
      <c r="K38" s="45">
        <v>0</v>
      </c>
      <c r="L38" s="45">
        <v>0</v>
      </c>
      <c r="M38" s="45">
        <v>0</v>
      </c>
    </row>
    <row r="39" spans="1:13" ht="15">
      <c r="A39" t="s">
        <v>137</v>
      </c>
      <c r="B39" s="45">
        <v>0</v>
      </c>
      <c r="C39" s="45">
        <v>0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33</v>
      </c>
      <c r="J39" s="45">
        <v>0</v>
      </c>
      <c r="K39" s="45">
        <v>0</v>
      </c>
      <c r="L39" s="45">
        <v>0</v>
      </c>
      <c r="M39" s="45">
        <v>0</v>
      </c>
    </row>
    <row r="40" spans="1:13" ht="15">
      <c r="A40" t="s">
        <v>138</v>
      </c>
      <c r="B40" s="45">
        <v>0</v>
      </c>
      <c r="C40" s="45">
        <v>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5</v>
      </c>
      <c r="K40" s="45">
        <v>0</v>
      </c>
      <c r="L40" s="45">
        <v>0</v>
      </c>
      <c r="M40" s="45">
        <v>0</v>
      </c>
    </row>
    <row r="41" spans="1:13" ht="15">
      <c r="A41" t="s">
        <v>139</v>
      </c>
      <c r="B41" s="45">
        <v>0</v>
      </c>
      <c r="C41" s="45">
        <v>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10</v>
      </c>
      <c r="K41" s="45">
        <v>0</v>
      </c>
      <c r="L41" s="45">
        <v>0</v>
      </c>
      <c r="M41" s="45">
        <v>0</v>
      </c>
    </row>
    <row r="42" spans="1:13" ht="15">
      <c r="A42" t="s">
        <v>140</v>
      </c>
      <c r="B42" s="45">
        <v>0</v>
      </c>
      <c r="C42" s="45">
        <v>0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30</v>
      </c>
      <c r="K42" s="45">
        <v>0</v>
      </c>
      <c r="L42" s="45">
        <v>0</v>
      </c>
      <c r="M42" s="45">
        <v>0</v>
      </c>
    </row>
    <row r="43" spans="1:13" ht="15">
      <c r="A43" t="s">
        <v>141</v>
      </c>
      <c r="B43" s="45">
        <v>0</v>
      </c>
      <c r="C43" s="45">
        <v>0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55</v>
      </c>
      <c r="K43" s="45">
        <v>0</v>
      </c>
      <c r="L43" s="45">
        <v>0</v>
      </c>
      <c r="M43" s="45">
        <v>0</v>
      </c>
    </row>
    <row r="44" spans="1:13" ht="15">
      <c r="A44" t="s">
        <v>143</v>
      </c>
      <c r="B44" s="45">
        <v>0</v>
      </c>
      <c r="C44" s="45">
        <v>0</v>
      </c>
      <c r="D44" s="45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-10</v>
      </c>
      <c r="K44" s="45">
        <v>0</v>
      </c>
      <c r="L44" s="45">
        <v>0</v>
      </c>
      <c r="M44" s="45">
        <v>0</v>
      </c>
    </row>
    <row r="45" spans="1:13" ht="15">
      <c r="A45" t="s">
        <v>144</v>
      </c>
      <c r="B45" s="45">
        <v>0</v>
      </c>
      <c r="C45" s="45">
        <v>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-15</v>
      </c>
      <c r="K45" s="45">
        <v>0</v>
      </c>
      <c r="L45" s="45">
        <v>0</v>
      </c>
      <c r="M45" s="45">
        <v>0</v>
      </c>
    </row>
    <row r="46" spans="1:13" ht="15">
      <c r="A46" t="s">
        <v>145</v>
      </c>
      <c r="B46" s="45">
        <v>0</v>
      </c>
      <c r="C46" s="45">
        <v>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-20</v>
      </c>
      <c r="K46" s="45">
        <v>0</v>
      </c>
      <c r="L46" s="45">
        <v>0</v>
      </c>
      <c r="M46" s="45">
        <v>0</v>
      </c>
    </row>
    <row r="47" spans="1:13" ht="15">
      <c r="A47" t="s">
        <v>146</v>
      </c>
      <c r="B47" s="45">
        <v>0</v>
      </c>
      <c r="C47" s="45">
        <v>0</v>
      </c>
      <c r="D47" s="45">
        <v>0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-33</v>
      </c>
      <c r="K47" s="45">
        <v>0</v>
      </c>
      <c r="L47" s="45">
        <v>0</v>
      </c>
      <c r="M47" s="45">
        <v>0</v>
      </c>
    </row>
    <row r="48" spans="1:13" ht="15">
      <c r="A48" s="48" t="s">
        <v>142</v>
      </c>
      <c r="B48" s="45">
        <v>0</v>
      </c>
      <c r="C48" s="45">
        <v>0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-55</v>
      </c>
      <c r="K48" s="45">
        <v>0</v>
      </c>
      <c r="L48" s="45">
        <v>0</v>
      </c>
      <c r="M48" s="45">
        <v>0</v>
      </c>
    </row>
    <row r="49" spans="1:13" ht="15">
      <c r="A49" s="46" t="s">
        <v>38</v>
      </c>
      <c r="B49" s="45">
        <v>0</v>
      </c>
      <c r="C49" s="45">
        <v>0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</row>
    <row r="50" spans="1:13" ht="15">
      <c r="A50" s="46" t="s">
        <v>39</v>
      </c>
      <c r="B50" s="45">
        <v>0</v>
      </c>
      <c r="C50" s="45">
        <v>0</v>
      </c>
      <c r="D50" s="45">
        <v>20</v>
      </c>
      <c r="E50" s="45">
        <v>0</v>
      </c>
      <c r="F50" s="45">
        <v>10</v>
      </c>
      <c r="G50" s="45">
        <v>0</v>
      </c>
      <c r="H50" s="45">
        <v>10</v>
      </c>
      <c r="I50" s="45">
        <v>0</v>
      </c>
      <c r="J50" s="45">
        <v>30</v>
      </c>
      <c r="K50" s="45">
        <v>0</v>
      </c>
      <c r="L50" s="45">
        <v>0</v>
      </c>
      <c r="M50" s="45">
        <v>0</v>
      </c>
    </row>
    <row r="51" spans="1:13" ht="15">
      <c r="A51" s="46" t="s">
        <v>40</v>
      </c>
      <c r="B51" s="45">
        <v>0</v>
      </c>
      <c r="C51" s="45">
        <v>0</v>
      </c>
      <c r="D51" s="45">
        <v>25</v>
      </c>
      <c r="E51" s="45">
        <v>0</v>
      </c>
      <c r="F51" s="45">
        <v>0</v>
      </c>
      <c r="G51" s="45">
        <v>0</v>
      </c>
      <c r="H51" s="45">
        <v>10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</row>
    <row r="52" spans="1:13" ht="15">
      <c r="A52" s="46" t="s">
        <v>41</v>
      </c>
      <c r="B52" s="45">
        <v>0</v>
      </c>
      <c r="C52" s="45">
        <v>0</v>
      </c>
      <c r="D52" s="45">
        <v>0</v>
      </c>
      <c r="E52" s="45">
        <v>0</v>
      </c>
      <c r="F52" s="45">
        <v>0</v>
      </c>
      <c r="G52" s="45">
        <v>0</v>
      </c>
      <c r="H52" s="45">
        <v>0</v>
      </c>
      <c r="I52" s="45">
        <v>20</v>
      </c>
      <c r="J52" s="45">
        <v>0</v>
      </c>
      <c r="K52" s="45">
        <v>0</v>
      </c>
      <c r="L52" s="45">
        <v>44</v>
      </c>
      <c r="M52" s="45">
        <v>0</v>
      </c>
    </row>
    <row r="53" spans="1:13" ht="15">
      <c r="A53" s="46" t="s">
        <v>42</v>
      </c>
      <c r="B53" s="45">
        <v>40</v>
      </c>
      <c r="C53" s="45">
        <v>0</v>
      </c>
      <c r="D53" s="45">
        <v>0</v>
      </c>
      <c r="E53" s="45">
        <v>0</v>
      </c>
      <c r="F53" s="45">
        <v>10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44</v>
      </c>
      <c r="M53" s="45">
        <v>0</v>
      </c>
    </row>
    <row r="54" spans="1:13" ht="15">
      <c r="A54" s="46" t="s">
        <v>43</v>
      </c>
      <c r="B54" s="45">
        <v>0</v>
      </c>
      <c r="C54" s="45">
        <v>0</v>
      </c>
      <c r="D54" s="45">
        <v>20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</row>
    <row r="55" spans="1:13" ht="15">
      <c r="A55" s="46" t="s">
        <v>44</v>
      </c>
      <c r="B55" s="45">
        <v>0</v>
      </c>
      <c r="C55" s="45">
        <v>0</v>
      </c>
      <c r="D55" s="45">
        <v>0</v>
      </c>
      <c r="E55" s="45">
        <v>0</v>
      </c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45">
        <v>0</v>
      </c>
      <c r="M55" s="45">
        <v>0</v>
      </c>
    </row>
    <row r="56" spans="1:13" ht="15">
      <c r="A56" s="46" t="s">
        <v>37</v>
      </c>
      <c r="B56" s="45">
        <v>40</v>
      </c>
      <c r="C56" s="45">
        <v>0</v>
      </c>
      <c r="D56" s="45">
        <v>0</v>
      </c>
      <c r="E56" s="45">
        <v>25</v>
      </c>
      <c r="F56" s="45">
        <v>0</v>
      </c>
      <c r="G56" s="45">
        <v>0</v>
      </c>
      <c r="H56" s="45">
        <v>0</v>
      </c>
      <c r="I56" s="45">
        <v>0</v>
      </c>
      <c r="J56" s="45">
        <v>-25</v>
      </c>
      <c r="K56" s="45">
        <v>0</v>
      </c>
      <c r="L56" s="45">
        <v>0</v>
      </c>
      <c r="M56" s="45">
        <v>0</v>
      </c>
    </row>
    <row r="57" spans="1:13" ht="15">
      <c r="A57" s="46" t="s">
        <v>45</v>
      </c>
      <c r="B57" s="45">
        <v>40</v>
      </c>
      <c r="C57" s="45">
        <v>0</v>
      </c>
      <c r="D57" s="45">
        <v>0</v>
      </c>
      <c r="E57" s="45">
        <v>0</v>
      </c>
      <c r="F57" s="45">
        <v>0</v>
      </c>
      <c r="G57" s="45">
        <v>0</v>
      </c>
      <c r="H57" s="45">
        <v>0</v>
      </c>
      <c r="I57" s="45">
        <v>20</v>
      </c>
      <c r="J57" s="45">
        <v>30</v>
      </c>
      <c r="K57" s="45">
        <v>0</v>
      </c>
      <c r="L57" s="45">
        <v>0</v>
      </c>
      <c r="M57" s="45">
        <v>0</v>
      </c>
    </row>
    <row r="58" spans="1:13" ht="15">
      <c r="A58" s="46" t="s">
        <v>46</v>
      </c>
      <c r="B58" s="45">
        <v>0</v>
      </c>
      <c r="C58" s="45">
        <v>0</v>
      </c>
      <c r="D58" s="45">
        <v>0</v>
      </c>
      <c r="E58" s="45">
        <v>0</v>
      </c>
      <c r="F58" s="45">
        <v>15</v>
      </c>
      <c r="G58" s="45">
        <v>0</v>
      </c>
      <c r="H58" s="45">
        <v>0</v>
      </c>
      <c r="I58" s="45">
        <v>0</v>
      </c>
      <c r="J58" s="45">
        <v>30</v>
      </c>
      <c r="K58" s="45">
        <v>0</v>
      </c>
      <c r="L58" s="45">
        <v>0</v>
      </c>
      <c r="M58" s="45">
        <v>0</v>
      </c>
    </row>
    <row r="59" spans="1:13" ht="15">
      <c r="A59" s="46" t="s">
        <v>47</v>
      </c>
      <c r="B59" s="45">
        <v>0</v>
      </c>
      <c r="C59" s="45">
        <v>0</v>
      </c>
      <c r="D59" s="45">
        <v>0</v>
      </c>
      <c r="E59" s="45">
        <v>0</v>
      </c>
      <c r="F59" s="45">
        <v>0</v>
      </c>
      <c r="G59" s="45">
        <v>0</v>
      </c>
      <c r="H59" s="45">
        <v>10</v>
      </c>
      <c r="I59" s="45">
        <v>0</v>
      </c>
      <c r="J59" s="45">
        <v>-25</v>
      </c>
      <c r="K59" s="45">
        <v>0</v>
      </c>
      <c r="L59" s="45">
        <v>0</v>
      </c>
      <c r="M59" s="45">
        <v>0</v>
      </c>
    </row>
    <row r="60" spans="1:13" ht="15">
      <c r="A60" s="46" t="s">
        <v>48</v>
      </c>
      <c r="B60" s="45">
        <v>0</v>
      </c>
      <c r="C60" s="45">
        <v>0</v>
      </c>
      <c r="D60" s="45">
        <v>0</v>
      </c>
      <c r="E60" s="45">
        <v>0</v>
      </c>
      <c r="F60" s="45">
        <v>0</v>
      </c>
      <c r="G60" s="45">
        <v>0</v>
      </c>
      <c r="H60" s="47">
        <v>0</v>
      </c>
      <c r="I60" s="45">
        <v>0</v>
      </c>
      <c r="J60" s="45">
        <v>0</v>
      </c>
      <c r="K60" s="45">
        <v>25</v>
      </c>
      <c r="L60" s="45">
        <v>0</v>
      </c>
      <c r="M60" s="45">
        <v>3</v>
      </c>
    </row>
    <row r="61" spans="1:13" ht="15">
      <c r="A61" s="46" t="s">
        <v>49</v>
      </c>
      <c r="B61" s="45">
        <v>0</v>
      </c>
      <c r="C61" s="45">
        <v>0</v>
      </c>
      <c r="D61" s="45">
        <v>0</v>
      </c>
      <c r="E61" s="45">
        <v>0</v>
      </c>
      <c r="F61" s="45">
        <v>0</v>
      </c>
      <c r="G61" s="45">
        <v>0</v>
      </c>
      <c r="H61" s="45">
        <v>0</v>
      </c>
      <c r="I61" s="45">
        <v>20</v>
      </c>
      <c r="J61" s="45">
        <v>-25</v>
      </c>
      <c r="K61" s="45">
        <v>0</v>
      </c>
      <c r="L61" s="45">
        <v>0</v>
      </c>
      <c r="M61" s="45">
        <v>0</v>
      </c>
    </row>
    <row r="62" spans="1:13" ht="15">
      <c r="A62" s="46" t="s">
        <v>50</v>
      </c>
      <c r="B62" s="45">
        <v>0</v>
      </c>
      <c r="C62" s="45">
        <v>0</v>
      </c>
      <c r="D62" s="45">
        <v>0</v>
      </c>
      <c r="E62" s="45">
        <v>0</v>
      </c>
      <c r="F62" s="45">
        <v>0</v>
      </c>
      <c r="G62" s="45">
        <v>0</v>
      </c>
      <c r="H62" s="45">
        <v>0</v>
      </c>
      <c r="I62" s="45">
        <v>0</v>
      </c>
      <c r="J62" s="45">
        <v>0</v>
      </c>
      <c r="K62" s="45">
        <v>0</v>
      </c>
      <c r="L62" s="45">
        <v>0</v>
      </c>
      <c r="M62" s="45">
        <v>0</v>
      </c>
    </row>
    <row r="63" spans="1:13" ht="15">
      <c r="A63" s="46" t="s">
        <v>51</v>
      </c>
      <c r="B63" s="45">
        <v>40</v>
      </c>
      <c r="C63" s="45">
        <v>0</v>
      </c>
      <c r="D63" s="45">
        <v>0</v>
      </c>
      <c r="E63" s="45">
        <v>0</v>
      </c>
      <c r="F63" s="45">
        <v>0</v>
      </c>
      <c r="G63" s="45">
        <v>0</v>
      </c>
      <c r="H63" s="45">
        <v>0</v>
      </c>
      <c r="I63" s="45">
        <v>0</v>
      </c>
      <c r="J63" s="45">
        <v>30</v>
      </c>
      <c r="K63" s="45">
        <v>0</v>
      </c>
      <c r="L63" s="45">
        <v>0</v>
      </c>
      <c r="M63" s="45">
        <v>0</v>
      </c>
    </row>
    <row r="64" spans="1:13" ht="15">
      <c r="A64" s="46" t="s">
        <v>52</v>
      </c>
      <c r="B64" s="45">
        <v>0</v>
      </c>
      <c r="C64" s="45">
        <v>0</v>
      </c>
      <c r="D64" s="45">
        <v>0</v>
      </c>
      <c r="E64" s="45">
        <v>0</v>
      </c>
      <c r="F64" s="45">
        <v>0</v>
      </c>
      <c r="G64" s="45">
        <v>0</v>
      </c>
      <c r="H64" s="45">
        <v>15</v>
      </c>
      <c r="I64" s="45">
        <v>20</v>
      </c>
      <c r="J64" s="45">
        <v>0</v>
      </c>
      <c r="K64" s="45">
        <v>25</v>
      </c>
      <c r="L64" s="45">
        <v>0</v>
      </c>
      <c r="M64" s="45">
        <v>0</v>
      </c>
    </row>
    <row r="65" spans="1:13" ht="15">
      <c r="A65" s="46" t="s">
        <v>53</v>
      </c>
      <c r="B65" s="45">
        <v>0</v>
      </c>
      <c r="C65" s="45">
        <v>0</v>
      </c>
      <c r="D65" s="45">
        <v>0</v>
      </c>
      <c r="E65" s="45">
        <v>0</v>
      </c>
      <c r="F65" s="45">
        <v>15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44</v>
      </c>
      <c r="M65" s="45">
        <v>0</v>
      </c>
    </row>
    <row r="66" spans="1:13" ht="15">
      <c r="A66" s="46" t="s">
        <v>54</v>
      </c>
      <c r="B66" s="45">
        <v>0</v>
      </c>
      <c r="C66" s="45">
        <v>0</v>
      </c>
      <c r="D66" s="45">
        <v>0</v>
      </c>
      <c r="E66" s="45">
        <v>0</v>
      </c>
      <c r="F66" s="45">
        <v>0</v>
      </c>
      <c r="G66" s="45">
        <v>0</v>
      </c>
      <c r="H66" s="47">
        <v>15</v>
      </c>
      <c r="I66" s="45">
        <v>0</v>
      </c>
      <c r="J66" s="45">
        <v>0</v>
      </c>
      <c r="K66" s="45">
        <v>0</v>
      </c>
      <c r="L66" s="45">
        <v>0</v>
      </c>
      <c r="M66" s="45">
        <v>3</v>
      </c>
    </row>
    <row r="67" spans="1:13" ht="15">
      <c r="A67" s="46" t="s">
        <v>55</v>
      </c>
      <c r="B67" s="45">
        <v>30</v>
      </c>
      <c r="C67" s="45">
        <v>30</v>
      </c>
      <c r="D67" s="45">
        <v>0</v>
      </c>
      <c r="E67" s="45">
        <v>0</v>
      </c>
      <c r="F67" s="45">
        <v>0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45">
        <v>0</v>
      </c>
      <c r="M67" s="45">
        <v>0</v>
      </c>
    </row>
    <row r="68" spans="1:13" ht="15">
      <c r="A68" s="46" t="s">
        <v>56</v>
      </c>
      <c r="B68" s="45">
        <v>0</v>
      </c>
      <c r="C68" s="45">
        <v>0</v>
      </c>
      <c r="D68" s="45">
        <v>0</v>
      </c>
      <c r="E68" s="45">
        <v>0</v>
      </c>
      <c r="F68" s="45">
        <v>0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45">
        <v>0</v>
      </c>
      <c r="M68" s="45">
        <v>0</v>
      </c>
    </row>
    <row r="69" spans="1:13" ht="15">
      <c r="A69" s="46" t="s">
        <v>57</v>
      </c>
      <c r="B69" s="45">
        <v>0</v>
      </c>
      <c r="C69" s="45">
        <v>0</v>
      </c>
      <c r="D69" s="45">
        <v>0</v>
      </c>
      <c r="E69" s="45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25</v>
      </c>
      <c r="L69" s="45">
        <v>0</v>
      </c>
      <c r="M69" s="45">
        <v>0</v>
      </c>
    </row>
    <row r="70" spans="1:13" ht="15">
      <c r="A70" s="46" t="s">
        <v>58</v>
      </c>
      <c r="B70" s="45">
        <v>20</v>
      </c>
      <c r="C70" s="45">
        <v>20</v>
      </c>
      <c r="D70" s="45">
        <v>0</v>
      </c>
      <c r="E70" s="45">
        <v>0</v>
      </c>
      <c r="F70" s="45">
        <v>0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  <c r="L70" s="45">
        <v>0</v>
      </c>
      <c r="M70" s="45">
        <v>0</v>
      </c>
    </row>
    <row r="71" spans="1:13" ht="15">
      <c r="A71" s="46" t="s">
        <v>59</v>
      </c>
      <c r="B71" s="45">
        <v>0</v>
      </c>
      <c r="C71" s="45">
        <v>0</v>
      </c>
      <c r="D71" s="45">
        <v>25</v>
      </c>
      <c r="E71" s="45">
        <v>0</v>
      </c>
      <c r="F71" s="45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45">
        <v>0</v>
      </c>
    </row>
    <row r="72" spans="1:13" ht="15">
      <c r="A72" s="46" t="s">
        <v>60</v>
      </c>
      <c r="B72" s="45">
        <v>0</v>
      </c>
      <c r="C72" s="45">
        <v>0</v>
      </c>
      <c r="D72" s="45">
        <v>0</v>
      </c>
      <c r="E72" s="45">
        <v>0</v>
      </c>
      <c r="F72" s="45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</row>
    <row r="73" spans="1:13" ht="15">
      <c r="A73" s="46" t="s">
        <v>61</v>
      </c>
      <c r="B73" s="45">
        <v>0</v>
      </c>
      <c r="C73" s="45">
        <v>0</v>
      </c>
      <c r="D73" s="45">
        <v>0</v>
      </c>
      <c r="E73" s="45">
        <v>0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5">
        <v>25</v>
      </c>
      <c r="L73" s="45">
        <v>0</v>
      </c>
      <c r="M73" s="45">
        <v>0</v>
      </c>
    </row>
    <row r="74" spans="1:13" ht="15">
      <c r="A74" s="46" t="s">
        <v>62</v>
      </c>
      <c r="B74" s="45">
        <v>40</v>
      </c>
      <c r="C74" s="45">
        <v>0</v>
      </c>
      <c r="D74" s="45">
        <v>0</v>
      </c>
      <c r="E74" s="45">
        <v>0</v>
      </c>
      <c r="F74" s="45">
        <v>0</v>
      </c>
      <c r="G74" s="45">
        <v>0</v>
      </c>
      <c r="H74" s="47">
        <v>15</v>
      </c>
      <c r="I74" s="45">
        <v>0</v>
      </c>
      <c r="J74" s="45">
        <v>0</v>
      </c>
      <c r="K74" s="45">
        <v>0</v>
      </c>
      <c r="L74" s="45">
        <v>0</v>
      </c>
      <c r="M74" s="45">
        <v>3</v>
      </c>
    </row>
    <row r="75" spans="1:13" ht="15">
      <c r="A75" s="46" t="s">
        <v>63</v>
      </c>
      <c r="B75" s="45">
        <v>20</v>
      </c>
      <c r="C75" s="45">
        <v>0</v>
      </c>
      <c r="D75" s="45">
        <v>0</v>
      </c>
      <c r="E75" s="45">
        <v>0</v>
      </c>
      <c r="F75" s="45">
        <v>0</v>
      </c>
      <c r="G75" s="45">
        <v>15</v>
      </c>
      <c r="H75" s="45">
        <v>0</v>
      </c>
      <c r="I75" s="45">
        <v>0</v>
      </c>
      <c r="J75" s="45">
        <v>0</v>
      </c>
      <c r="K75" s="45">
        <v>0</v>
      </c>
      <c r="L75" s="45">
        <v>0</v>
      </c>
      <c r="M75" s="45">
        <v>0</v>
      </c>
    </row>
    <row r="76" spans="1:13" ht="15">
      <c r="A76" s="46" t="s">
        <v>64</v>
      </c>
      <c r="B76" s="45">
        <v>0</v>
      </c>
      <c r="C76" s="45">
        <v>20</v>
      </c>
      <c r="D76" s="45">
        <v>30</v>
      </c>
      <c r="E76" s="45">
        <v>20</v>
      </c>
      <c r="F76" s="45">
        <v>10</v>
      </c>
      <c r="G76" s="45">
        <v>0</v>
      </c>
      <c r="H76" s="45">
        <v>0</v>
      </c>
      <c r="I76" s="45">
        <v>0</v>
      </c>
      <c r="J76" s="45">
        <v>0</v>
      </c>
      <c r="K76" s="45">
        <v>0</v>
      </c>
      <c r="L76" s="45">
        <v>0</v>
      </c>
      <c r="M76" s="45">
        <v>0</v>
      </c>
    </row>
    <row r="77" spans="1:13" ht="15">
      <c r="A77" s="46" t="s">
        <v>65</v>
      </c>
      <c r="B77" s="45">
        <v>0</v>
      </c>
      <c r="C77" s="45">
        <v>0</v>
      </c>
      <c r="D77" s="45">
        <v>0</v>
      </c>
      <c r="E77" s="45">
        <v>0</v>
      </c>
      <c r="F77" s="45">
        <v>0</v>
      </c>
      <c r="G77" s="45">
        <v>0</v>
      </c>
      <c r="H77" s="45">
        <v>10</v>
      </c>
      <c r="I77" s="45">
        <v>0</v>
      </c>
      <c r="J77" s="45">
        <v>0</v>
      </c>
      <c r="K77" s="45">
        <v>0</v>
      </c>
      <c r="L77" s="45">
        <v>0</v>
      </c>
      <c r="M77" s="45">
        <v>0</v>
      </c>
    </row>
    <row r="78" spans="1:13" ht="15">
      <c r="A78" s="46" t="s">
        <v>66</v>
      </c>
      <c r="B78" s="45">
        <v>0</v>
      </c>
      <c r="C78" s="45">
        <v>0</v>
      </c>
      <c r="D78" s="45">
        <v>0</v>
      </c>
      <c r="E78" s="45">
        <v>0</v>
      </c>
      <c r="F78" s="45">
        <v>0</v>
      </c>
      <c r="G78" s="45">
        <v>0</v>
      </c>
      <c r="H78" s="45">
        <v>10</v>
      </c>
      <c r="I78" s="45">
        <v>0</v>
      </c>
      <c r="J78" s="45">
        <v>0</v>
      </c>
      <c r="K78" s="45">
        <v>0</v>
      </c>
      <c r="L78" s="45">
        <v>0</v>
      </c>
      <c r="M78" s="45">
        <v>0</v>
      </c>
    </row>
    <row r="79" spans="1:13" ht="15">
      <c r="A79" s="46" t="s">
        <v>67</v>
      </c>
      <c r="B79" s="45">
        <v>0</v>
      </c>
      <c r="C79" s="45">
        <v>0</v>
      </c>
      <c r="D79" s="45">
        <v>0</v>
      </c>
      <c r="E79" s="45">
        <v>0</v>
      </c>
      <c r="F79" s="45">
        <v>0</v>
      </c>
      <c r="G79" s="45">
        <v>0</v>
      </c>
      <c r="H79" s="45">
        <v>0</v>
      </c>
      <c r="I79" s="45">
        <v>20</v>
      </c>
      <c r="J79" s="45">
        <v>0</v>
      </c>
      <c r="K79" s="45">
        <v>0</v>
      </c>
      <c r="L79" s="45">
        <v>0</v>
      </c>
      <c r="M79" s="45">
        <v>0</v>
      </c>
    </row>
    <row r="80" spans="1:13" ht="15">
      <c r="A80" s="46" t="s">
        <v>68</v>
      </c>
      <c r="B80" s="45">
        <v>0</v>
      </c>
      <c r="C80" s="45">
        <v>0</v>
      </c>
      <c r="D80" s="45">
        <v>0</v>
      </c>
      <c r="E80" s="45">
        <v>25</v>
      </c>
      <c r="F80" s="45">
        <v>0</v>
      </c>
      <c r="G80" s="45">
        <v>0</v>
      </c>
      <c r="H80" s="45">
        <v>0</v>
      </c>
      <c r="I80" s="45">
        <v>20</v>
      </c>
      <c r="J80" s="45">
        <v>0</v>
      </c>
      <c r="K80" s="45">
        <v>0</v>
      </c>
      <c r="L80" s="45">
        <v>0</v>
      </c>
      <c r="M80" s="45">
        <v>0</v>
      </c>
    </row>
    <row r="81" spans="1:13" ht="15">
      <c r="A81" s="46" t="s">
        <v>69</v>
      </c>
      <c r="B81" s="45">
        <v>0</v>
      </c>
      <c r="C81" s="45">
        <v>0</v>
      </c>
      <c r="D81" s="45">
        <v>0</v>
      </c>
      <c r="E81" s="45">
        <v>0</v>
      </c>
      <c r="F81" s="45">
        <v>0</v>
      </c>
      <c r="G81" s="45">
        <v>0</v>
      </c>
      <c r="H81" s="45">
        <v>15</v>
      </c>
      <c r="I81" s="45">
        <v>20</v>
      </c>
      <c r="J81" s="45">
        <v>-25</v>
      </c>
      <c r="K81" s="45">
        <v>0</v>
      </c>
      <c r="L81" s="45">
        <v>0</v>
      </c>
      <c r="M81" s="45">
        <v>0</v>
      </c>
    </row>
    <row r="82" spans="1:13" ht="15">
      <c r="A82" s="46" t="s">
        <v>70</v>
      </c>
      <c r="B82" s="45">
        <v>0</v>
      </c>
      <c r="C82" s="45">
        <v>0</v>
      </c>
      <c r="D82" s="45">
        <v>0</v>
      </c>
      <c r="E82" s="45">
        <v>0</v>
      </c>
      <c r="F82" s="45">
        <v>0</v>
      </c>
      <c r="G82" s="45">
        <v>0</v>
      </c>
      <c r="H82" s="45">
        <v>0</v>
      </c>
      <c r="I82" s="45">
        <v>0</v>
      </c>
      <c r="J82" s="45">
        <v>-25</v>
      </c>
      <c r="K82" s="45">
        <v>0</v>
      </c>
      <c r="L82" s="45">
        <v>44</v>
      </c>
      <c r="M82" s="45">
        <v>0</v>
      </c>
    </row>
    <row r="83" spans="1:13" ht="15">
      <c r="A83" s="46" t="s">
        <v>71</v>
      </c>
      <c r="B83" s="45">
        <v>0</v>
      </c>
      <c r="C83" s="45">
        <v>0</v>
      </c>
      <c r="D83" s="45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-25</v>
      </c>
      <c r="K83" s="45">
        <v>0</v>
      </c>
      <c r="L83" s="45">
        <v>0</v>
      </c>
      <c r="M83" s="45">
        <v>0</v>
      </c>
    </row>
    <row r="84" spans="1:13" ht="15">
      <c r="A84" s="46" t="s">
        <v>72</v>
      </c>
      <c r="B84" s="45">
        <v>0</v>
      </c>
      <c r="C84" s="45">
        <v>15</v>
      </c>
      <c r="D84" s="45">
        <v>15</v>
      </c>
      <c r="E84" s="45">
        <v>15</v>
      </c>
      <c r="F84" s="45">
        <v>10</v>
      </c>
      <c r="G84" s="45">
        <v>10</v>
      </c>
      <c r="H84" s="45">
        <v>0</v>
      </c>
      <c r="I84" s="45">
        <v>0</v>
      </c>
      <c r="J84" s="45">
        <v>0</v>
      </c>
      <c r="K84" s="45">
        <v>0</v>
      </c>
      <c r="L84" s="45">
        <v>0</v>
      </c>
      <c r="M84" s="45">
        <v>0</v>
      </c>
    </row>
    <row r="85" spans="1:13" ht="15">
      <c r="A85" s="46" t="s">
        <v>73</v>
      </c>
      <c r="B85" s="45">
        <v>0</v>
      </c>
      <c r="C85" s="45">
        <v>0</v>
      </c>
      <c r="D85" s="45">
        <v>0</v>
      </c>
      <c r="E85" s="45">
        <v>0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</row>
    <row r="86" spans="1:13" ht="15">
      <c r="A86" s="46" t="s">
        <v>74</v>
      </c>
      <c r="B86" s="45">
        <v>0</v>
      </c>
      <c r="C86" s="45">
        <v>0</v>
      </c>
      <c r="D86" s="45">
        <v>0</v>
      </c>
      <c r="E86" s="45">
        <v>0</v>
      </c>
      <c r="F86" s="45">
        <v>0</v>
      </c>
      <c r="G86" s="45">
        <v>0</v>
      </c>
      <c r="H86" s="45">
        <v>0</v>
      </c>
      <c r="I86" s="45">
        <v>0</v>
      </c>
      <c r="J86" s="45">
        <v>0</v>
      </c>
      <c r="K86" s="45">
        <v>25</v>
      </c>
      <c r="L86" s="45">
        <v>0</v>
      </c>
      <c r="M86" s="45">
        <v>0</v>
      </c>
    </row>
    <row r="87" spans="1:13" ht="15">
      <c r="A87" s="46" t="s">
        <v>75</v>
      </c>
      <c r="B87" s="45">
        <v>0</v>
      </c>
      <c r="C87" s="45">
        <v>0</v>
      </c>
      <c r="D87" s="45">
        <v>0</v>
      </c>
      <c r="E87" s="45">
        <v>0</v>
      </c>
      <c r="F87" s="45">
        <v>0</v>
      </c>
      <c r="G87" s="45">
        <v>0</v>
      </c>
      <c r="H87" s="45">
        <v>0</v>
      </c>
      <c r="I87" s="45">
        <v>20</v>
      </c>
      <c r="J87" s="45">
        <v>0</v>
      </c>
      <c r="K87" s="45">
        <v>20</v>
      </c>
      <c r="L87" s="45">
        <v>0</v>
      </c>
      <c r="M87" s="45">
        <v>0</v>
      </c>
    </row>
    <row r="88" spans="1:13" ht="15">
      <c r="A88" s="46" t="s">
        <v>76</v>
      </c>
      <c r="B88" s="45">
        <v>0</v>
      </c>
      <c r="C88" s="45">
        <v>0</v>
      </c>
      <c r="D88" s="45">
        <v>0</v>
      </c>
      <c r="E88" s="45">
        <v>0</v>
      </c>
      <c r="F88" s="45">
        <v>0</v>
      </c>
      <c r="G88" s="45">
        <v>0</v>
      </c>
      <c r="H88" s="45">
        <v>0</v>
      </c>
      <c r="I88" s="45">
        <v>0</v>
      </c>
      <c r="J88" s="45">
        <v>0</v>
      </c>
      <c r="K88" s="45">
        <v>25</v>
      </c>
      <c r="L88" s="45">
        <v>0</v>
      </c>
      <c r="M88" s="45">
        <v>0</v>
      </c>
    </row>
    <row r="89" spans="1:13" ht="15">
      <c r="A89" s="46" t="s">
        <v>77</v>
      </c>
      <c r="B89" s="45">
        <v>0</v>
      </c>
      <c r="C89" s="45">
        <v>0</v>
      </c>
      <c r="D89" s="45">
        <v>0</v>
      </c>
      <c r="E89" s="45">
        <v>0</v>
      </c>
      <c r="F89" s="45">
        <v>0</v>
      </c>
      <c r="G89" s="45">
        <v>0</v>
      </c>
      <c r="H89" s="45">
        <v>0</v>
      </c>
      <c r="I89" s="45">
        <v>0</v>
      </c>
      <c r="J89" s="45">
        <v>-25</v>
      </c>
      <c r="K89" s="45">
        <v>0</v>
      </c>
      <c r="L89" s="45">
        <v>0</v>
      </c>
      <c r="M89" s="45">
        <v>0</v>
      </c>
    </row>
    <row r="90" spans="1:13" ht="15">
      <c r="A90" s="46" t="s">
        <v>78</v>
      </c>
      <c r="B90" s="45">
        <v>0</v>
      </c>
      <c r="C90" s="45">
        <v>0</v>
      </c>
      <c r="D90" s="45">
        <v>0</v>
      </c>
      <c r="E90" s="45">
        <v>20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</row>
    <row r="91" spans="1:13" ht="15">
      <c r="A91" s="46" t="s">
        <v>79</v>
      </c>
      <c r="B91" s="45">
        <v>0</v>
      </c>
      <c r="C91" s="45">
        <v>0</v>
      </c>
      <c r="D91" s="45">
        <v>0</v>
      </c>
      <c r="E91" s="45">
        <v>0</v>
      </c>
      <c r="F91" s="45">
        <v>10</v>
      </c>
      <c r="G91" s="45">
        <v>0</v>
      </c>
      <c r="H91" s="45">
        <v>0</v>
      </c>
      <c r="I91" s="45">
        <v>0</v>
      </c>
      <c r="J91" s="45">
        <v>0</v>
      </c>
      <c r="K91" s="45">
        <v>15</v>
      </c>
      <c r="L91" s="45">
        <v>0</v>
      </c>
      <c r="M91" s="45">
        <v>0</v>
      </c>
    </row>
    <row r="92" spans="1:13" ht="15">
      <c r="A92" s="46" t="s">
        <v>80</v>
      </c>
      <c r="B92" s="45">
        <v>0</v>
      </c>
      <c r="C92" s="45">
        <v>0</v>
      </c>
      <c r="D92" s="45">
        <v>0</v>
      </c>
      <c r="E92" s="45">
        <v>0</v>
      </c>
      <c r="F92" s="45">
        <v>0</v>
      </c>
      <c r="G92" s="45">
        <v>0</v>
      </c>
      <c r="H92" s="45">
        <v>0</v>
      </c>
      <c r="I92" s="45">
        <v>0</v>
      </c>
      <c r="J92" s="45">
        <v>0</v>
      </c>
      <c r="K92" s="45">
        <v>25</v>
      </c>
      <c r="L92" s="45">
        <v>0</v>
      </c>
      <c r="M92" s="45">
        <v>0</v>
      </c>
    </row>
    <row r="93" spans="1:13" ht="15">
      <c r="A93" s="46" t="s">
        <v>81</v>
      </c>
      <c r="B93" s="45">
        <v>0</v>
      </c>
      <c r="C93" s="45">
        <v>0</v>
      </c>
      <c r="D93" s="45">
        <v>0</v>
      </c>
      <c r="E93" s="45">
        <v>0</v>
      </c>
      <c r="F93" s="45">
        <v>0</v>
      </c>
      <c r="G93" s="45">
        <v>10</v>
      </c>
      <c r="H93" s="45">
        <v>0</v>
      </c>
      <c r="I93" s="45">
        <v>0</v>
      </c>
      <c r="J93" s="45">
        <v>0</v>
      </c>
      <c r="K93" s="45">
        <v>0</v>
      </c>
      <c r="L93" s="45">
        <v>0</v>
      </c>
      <c r="M93" s="45">
        <v>0</v>
      </c>
    </row>
    <row r="94" spans="1:13" ht="15">
      <c r="A94" s="46" t="s">
        <v>82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20</v>
      </c>
      <c r="J94" s="45">
        <v>30</v>
      </c>
      <c r="K94" s="45">
        <v>25</v>
      </c>
      <c r="L94" s="45">
        <v>0</v>
      </c>
      <c r="M94" s="45">
        <v>0</v>
      </c>
    </row>
    <row r="95" spans="1:13" ht="15">
      <c r="A95" s="46" t="s">
        <v>83</v>
      </c>
      <c r="B95" s="45">
        <v>0</v>
      </c>
      <c r="C95" s="45">
        <v>0</v>
      </c>
      <c r="D95" s="45">
        <v>0</v>
      </c>
      <c r="E95" s="45">
        <v>0</v>
      </c>
      <c r="F95" s="45">
        <v>0</v>
      </c>
      <c r="G95" s="45">
        <v>0</v>
      </c>
      <c r="H95" s="45">
        <v>5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A2" sqref="A2:F26"/>
    </sheetView>
  </sheetViews>
  <sheetFormatPr defaultColWidth="9.00390625" defaultRowHeight="13.5"/>
  <cols>
    <col min="1" max="3" width="9.00390625" style="73" customWidth="1"/>
    <col min="4" max="4" width="17.25390625" style="73" bestFit="1" customWidth="1"/>
    <col min="5" max="5" width="13.75390625" style="73" bestFit="1" customWidth="1"/>
    <col min="6" max="6" width="12.625" style="73" bestFit="1" customWidth="1"/>
    <col min="7" max="16384" width="9.00390625" style="73" customWidth="1"/>
  </cols>
  <sheetData>
    <row r="1" spans="2:6" ht="13.5">
      <c r="B1" s="73" t="s">
        <v>176</v>
      </c>
      <c r="C1" s="73" t="s">
        <v>7</v>
      </c>
      <c r="D1" s="73" t="s">
        <v>178</v>
      </c>
      <c r="E1" s="73" t="s">
        <v>179</v>
      </c>
      <c r="F1" s="73" t="s">
        <v>180</v>
      </c>
    </row>
    <row r="2" spans="1:6" ht="13.5">
      <c r="A2" s="73" t="s">
        <v>164</v>
      </c>
      <c r="B2" s="74" t="s">
        <v>16</v>
      </c>
      <c r="C2" s="73">
        <v>21</v>
      </c>
      <c r="D2" s="73" t="s">
        <v>38</v>
      </c>
      <c r="E2" s="73" t="s">
        <v>182</v>
      </c>
      <c r="F2" s="73" t="s">
        <v>181</v>
      </c>
    </row>
    <row r="3" spans="1:6" ht="13.5">
      <c r="A3" s="73" t="s">
        <v>166</v>
      </c>
      <c r="B3" s="74" t="s">
        <v>15</v>
      </c>
      <c r="C3" s="73">
        <v>9</v>
      </c>
      <c r="D3" s="73" t="s">
        <v>39</v>
      </c>
      <c r="E3" s="73" t="s">
        <v>181</v>
      </c>
      <c r="F3" s="73" t="s">
        <v>181</v>
      </c>
    </row>
    <row r="4" spans="1:6" ht="13.5">
      <c r="A4" s="73" t="s">
        <v>3</v>
      </c>
      <c r="B4" s="74" t="s">
        <v>15</v>
      </c>
      <c r="C4" s="73">
        <v>56</v>
      </c>
      <c r="D4" s="73" t="s">
        <v>43</v>
      </c>
      <c r="E4" s="73" t="s">
        <v>99</v>
      </c>
      <c r="F4" s="73" t="s">
        <v>181</v>
      </c>
    </row>
    <row r="5" spans="1:6" ht="13.5">
      <c r="A5" s="73" t="s">
        <v>154</v>
      </c>
      <c r="B5" s="74" t="s">
        <v>153</v>
      </c>
      <c r="C5" s="75">
        <v>5</v>
      </c>
      <c r="D5" s="73" t="s">
        <v>49</v>
      </c>
      <c r="E5" s="73" t="s">
        <v>181</v>
      </c>
      <c r="F5" s="73" t="s">
        <v>181</v>
      </c>
    </row>
    <row r="6" spans="1:6" ht="13.5">
      <c r="A6" s="73" t="s">
        <v>157</v>
      </c>
      <c r="B6" s="74" t="s">
        <v>15</v>
      </c>
      <c r="C6" s="73">
        <v>6</v>
      </c>
      <c r="D6" s="73" t="s">
        <v>50</v>
      </c>
      <c r="E6" s="73" t="s">
        <v>162</v>
      </c>
      <c r="F6" s="73" t="s">
        <v>181</v>
      </c>
    </row>
    <row r="7" spans="1:6" ht="13.5">
      <c r="A7" s="73" t="s">
        <v>151</v>
      </c>
      <c r="B7" s="74" t="s">
        <v>16</v>
      </c>
      <c r="C7" s="73">
        <v>55</v>
      </c>
      <c r="D7" s="73" t="s">
        <v>51</v>
      </c>
      <c r="E7" s="73" t="s">
        <v>181</v>
      </c>
      <c r="F7" s="73" t="s">
        <v>181</v>
      </c>
    </row>
    <row r="8" spans="1:6" ht="13.5">
      <c r="A8" s="73" t="s">
        <v>4</v>
      </c>
      <c r="B8" s="74" t="s">
        <v>177</v>
      </c>
      <c r="C8" s="73">
        <v>27</v>
      </c>
      <c r="D8" s="73" t="s">
        <v>52</v>
      </c>
      <c r="E8" s="73" t="s">
        <v>183</v>
      </c>
      <c r="F8" s="73" t="s">
        <v>181</v>
      </c>
    </row>
    <row r="9" spans="1:6" ht="13.5">
      <c r="A9" s="73" t="s">
        <v>167</v>
      </c>
      <c r="B9" s="74" t="s">
        <v>177</v>
      </c>
      <c r="C9" s="73">
        <v>6</v>
      </c>
      <c r="D9" s="73" t="s">
        <v>53</v>
      </c>
      <c r="E9" s="73" t="s">
        <v>161</v>
      </c>
      <c r="F9" s="73" t="s">
        <v>181</v>
      </c>
    </row>
    <row r="10" spans="1:6" ht="13.5">
      <c r="A10" s="73" t="s">
        <v>5</v>
      </c>
      <c r="B10" s="74" t="s">
        <v>26</v>
      </c>
      <c r="C10" s="73">
        <v>63</v>
      </c>
      <c r="D10" s="73" t="s">
        <v>54</v>
      </c>
      <c r="E10" s="73" t="s">
        <v>181</v>
      </c>
      <c r="F10" s="73" t="s">
        <v>181</v>
      </c>
    </row>
    <row r="11" spans="1:6" ht="13.5">
      <c r="A11" s="73" t="s">
        <v>155</v>
      </c>
      <c r="B11" s="74" t="s">
        <v>16</v>
      </c>
      <c r="C11" s="73">
        <v>10</v>
      </c>
      <c r="D11" s="73" t="s">
        <v>55</v>
      </c>
      <c r="E11" s="73" t="s">
        <v>181</v>
      </c>
      <c r="F11" s="73" t="s">
        <v>181</v>
      </c>
    </row>
    <row r="12" spans="1:6" ht="13.5">
      <c r="A12" s="73" t="s">
        <v>156</v>
      </c>
      <c r="B12" s="74" t="s">
        <v>153</v>
      </c>
      <c r="C12" s="73">
        <v>16</v>
      </c>
      <c r="D12" s="73" t="s">
        <v>56</v>
      </c>
      <c r="E12" s="73" t="s">
        <v>181</v>
      </c>
      <c r="F12" s="73" t="s">
        <v>181</v>
      </c>
    </row>
    <row r="13" spans="1:6" ht="13.5">
      <c r="A13" s="73" t="s">
        <v>159</v>
      </c>
      <c r="B13" s="74" t="s">
        <v>16</v>
      </c>
      <c r="C13" s="73">
        <v>7</v>
      </c>
      <c r="D13" s="73" t="s">
        <v>60</v>
      </c>
      <c r="E13" s="73" t="s">
        <v>163</v>
      </c>
      <c r="F13" s="73" t="s">
        <v>181</v>
      </c>
    </row>
    <row r="14" spans="1:6" ht="13.5">
      <c r="A14" s="73" t="s">
        <v>165</v>
      </c>
      <c r="B14" s="74" t="s">
        <v>15</v>
      </c>
      <c r="C14" s="73">
        <v>14</v>
      </c>
      <c r="D14" s="73" t="s">
        <v>65</v>
      </c>
      <c r="E14" s="73" t="s">
        <v>184</v>
      </c>
      <c r="F14" s="73" t="s">
        <v>181</v>
      </c>
    </row>
    <row r="15" spans="1:6" ht="13.5">
      <c r="A15" s="73" t="s">
        <v>175</v>
      </c>
      <c r="B15" s="74" t="s">
        <v>15</v>
      </c>
      <c r="C15" s="73">
        <v>7</v>
      </c>
      <c r="D15" s="73" t="s">
        <v>67</v>
      </c>
      <c r="E15" s="73" t="s">
        <v>184</v>
      </c>
      <c r="F15" s="73" t="s">
        <v>181</v>
      </c>
    </row>
    <row r="16" spans="1:6" ht="13.5">
      <c r="A16" s="73" t="s">
        <v>152</v>
      </c>
      <c r="B16" s="74" t="s">
        <v>153</v>
      </c>
      <c r="C16" s="73">
        <v>6</v>
      </c>
      <c r="D16" s="73" t="s">
        <v>68</v>
      </c>
      <c r="E16" s="73" t="s">
        <v>185</v>
      </c>
      <c r="F16" s="73" t="s">
        <v>161</v>
      </c>
    </row>
    <row r="17" spans="1:6" ht="13.5">
      <c r="A17" s="73" t="s">
        <v>168</v>
      </c>
      <c r="B17" s="74" t="s">
        <v>177</v>
      </c>
      <c r="C17" s="73">
        <v>13</v>
      </c>
      <c r="D17" s="73" t="s">
        <v>74</v>
      </c>
      <c r="E17" s="73" t="s">
        <v>182</v>
      </c>
      <c r="F17" s="73" t="s">
        <v>181</v>
      </c>
    </row>
    <row r="18" spans="1:6" ht="13.5">
      <c r="A18" s="73" t="s">
        <v>169</v>
      </c>
      <c r="B18" s="74" t="s">
        <v>153</v>
      </c>
      <c r="C18" s="73">
        <v>15</v>
      </c>
      <c r="D18" s="73" t="s">
        <v>75</v>
      </c>
      <c r="E18" s="73" t="s">
        <v>181</v>
      </c>
      <c r="F18" s="73" t="s">
        <v>181</v>
      </c>
    </row>
    <row r="19" spans="1:6" ht="13.5">
      <c r="A19" s="73" t="s">
        <v>170</v>
      </c>
      <c r="B19" s="74" t="s">
        <v>15</v>
      </c>
      <c r="C19" s="73">
        <v>9</v>
      </c>
      <c r="D19" s="73" t="s">
        <v>76</v>
      </c>
      <c r="E19" s="73" t="s">
        <v>181</v>
      </c>
      <c r="F19" s="73" t="s">
        <v>181</v>
      </c>
    </row>
    <row r="20" spans="1:6" ht="13.5">
      <c r="A20" s="73" t="s">
        <v>150</v>
      </c>
      <c r="B20" s="74" t="s">
        <v>16</v>
      </c>
      <c r="C20" s="73">
        <v>20</v>
      </c>
      <c r="D20" s="73" t="s">
        <v>82</v>
      </c>
      <c r="E20" s="73" t="s">
        <v>113</v>
      </c>
      <c r="F20" s="73" t="s">
        <v>103</v>
      </c>
    </row>
    <row r="21" spans="1:6" ht="13.5">
      <c r="A21" s="73" t="s">
        <v>171</v>
      </c>
      <c r="B21" s="74" t="s">
        <v>153</v>
      </c>
      <c r="C21" s="73">
        <v>6</v>
      </c>
      <c r="D21" s="73" t="s">
        <v>181</v>
      </c>
      <c r="E21" s="73" t="s">
        <v>181</v>
      </c>
      <c r="F21" s="73" t="s">
        <v>181</v>
      </c>
    </row>
    <row r="22" spans="1:6" ht="13.5">
      <c r="A22" s="73" t="s">
        <v>172</v>
      </c>
      <c r="B22" s="74" t="s">
        <v>15</v>
      </c>
      <c r="C22" s="73">
        <v>13</v>
      </c>
      <c r="D22" s="73" t="s">
        <v>39</v>
      </c>
      <c r="E22" s="73" t="s">
        <v>181</v>
      </c>
      <c r="F22" s="73" t="s">
        <v>181</v>
      </c>
    </row>
    <row r="23" spans="1:6" ht="13.5">
      <c r="A23" s="73" t="s">
        <v>173</v>
      </c>
      <c r="B23" s="74" t="s">
        <v>15</v>
      </c>
      <c r="C23" s="73">
        <v>17</v>
      </c>
      <c r="D23" s="73" t="s">
        <v>40</v>
      </c>
      <c r="E23" s="73" t="s">
        <v>186</v>
      </c>
      <c r="F23" s="73" t="s">
        <v>181</v>
      </c>
    </row>
    <row r="24" spans="1:6" ht="13.5">
      <c r="A24" s="73" t="s">
        <v>158</v>
      </c>
      <c r="B24" s="74" t="s">
        <v>15</v>
      </c>
      <c r="C24" s="73">
        <v>13</v>
      </c>
      <c r="D24" s="73" t="s">
        <v>43</v>
      </c>
      <c r="E24" s="73" t="s">
        <v>162</v>
      </c>
      <c r="F24" s="73" t="s">
        <v>181</v>
      </c>
    </row>
    <row r="25" spans="1:6" ht="13.5">
      <c r="A25" s="73" t="s">
        <v>174</v>
      </c>
      <c r="B25" s="74" t="s">
        <v>15</v>
      </c>
      <c r="C25" s="73">
        <v>8</v>
      </c>
      <c r="D25" s="73" t="s">
        <v>39</v>
      </c>
      <c r="E25" s="73" t="s">
        <v>181</v>
      </c>
      <c r="F25" s="73" t="s">
        <v>181</v>
      </c>
    </row>
    <row r="26" spans="1:6" ht="13.5">
      <c r="A26" s="73" t="s">
        <v>160</v>
      </c>
      <c r="B26" s="74" t="s">
        <v>15</v>
      </c>
      <c r="C26" s="73">
        <v>13</v>
      </c>
      <c r="D26" s="73" t="s">
        <v>43</v>
      </c>
      <c r="E26" s="73" t="s">
        <v>162</v>
      </c>
      <c r="F26" s="73" t="s">
        <v>181</v>
      </c>
    </row>
  </sheetData>
  <dataValidations count="2">
    <dataValidation type="list" allowBlank="1" showInputMessage="1" showErrorMessage="1" sqref="B2:B26">
      <formula1>"歩兵,槍兵,弓兵,騎兵,工兵"</formula1>
    </dataValidation>
    <dataValidation type="list" allowBlank="1" showInputMessage="1" showErrorMessage="1" sqref="D2:F26">
      <formula1>奥義リスト</formula1>
    </dataValidation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Yutaro.Soh</dc:creator>
  <cp:keywords/>
  <dc:description/>
  <cp:lastModifiedBy>Yutaro.Soh</cp:lastModifiedBy>
  <dcterms:created xsi:type="dcterms:W3CDTF">2011-06-21T15:41:48Z</dcterms:created>
  <dcterms:modified xsi:type="dcterms:W3CDTF">2011-06-25T17:17:52Z</dcterms:modified>
  <cp:category/>
  <cp:version/>
  <cp:contentType/>
  <cp:contentStatus/>
</cp:coreProperties>
</file>