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<sst xmlns="http://schemas.openxmlformats.org/spreadsheetml/2006/main" count="1157" uniqueCount="549">
  <si>
    <t>キャラクター名</t>
  </si>
  <si>
    <t>申鳩・カディバヤ＝ディングランド</t>
  </si>
  <si>
    <t>身長</t>
  </si>
  <si>
    <t>高め</t>
  </si>
  <si>
    <t>キャラクター</t>
  </si>
  <si>
    <t>初期クラス</t>
  </si>
  <si>
    <t>初期HP</t>
  </si>
  <si>
    <t>年齢</t>
  </si>
  <si>
    <t>秘密</t>
  </si>
  <si>
    <t>髪の色</t>
  </si>
  <si>
    <t>金（染）</t>
  </si>
  <si>
    <t>体重</t>
  </si>
  <si>
    <t>細め</t>
  </si>
  <si>
    <t>レベル</t>
  </si>
  <si>
    <t>初期MP</t>
  </si>
  <si>
    <t>性別</t>
  </si>
  <si>
    <t>男</t>
  </si>
  <si>
    <t>瞳の色</t>
  </si>
  <si>
    <t>紫（カラコン）</t>
  </si>
  <si>
    <t>肌の色</t>
  </si>
  <si>
    <t>色白</t>
  </si>
  <si>
    <t>スリーサイズ</t>
  </si>
  <si>
    <t>男の秘密よ☆彡</t>
  </si>
  <si>
    <t>プレイヤー名</t>
  </si>
  <si>
    <t>ポポカ</t>
  </si>
  <si>
    <t>使用成長点</t>
  </si>
  <si>
    <t>属性は装備等によって任意に入力すること</t>
  </si>
  <si>
    <t>,</t>
  </si>
  <si>
    <t>初期メインクラス</t>
  </si>
  <si>
    <t>魔道士</t>
  </si>
  <si>
    <t>HP</t>
  </si>
  <si>
    <t>属性</t>
  </si>
  <si>
    <t>物理防御</t>
  </si>
  <si>
    <t>合計成長点</t>
  </si>
  <si>
    <t>初期サブクラス</t>
  </si>
  <si>
    <t>魔道博士</t>
  </si>
  <si>
    <t>MP</t>
  </si>
  <si>
    <t>行動値</t>
  </si>
  <si>
    <t>魔法防御</t>
  </si>
  <si>
    <t>所持経験点</t>
  </si>
  <si>
    <t>種族</t>
  </si>
  <si>
    <t>魔族</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</si>
  <si>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</si>
  <si>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</si>
  <si>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</si>
  <si>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</si>
  <si>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</si>
  <si>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</si>
  <si>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</si>
  <si>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</si>
  <si>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</si>
  <si>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</si>
  <si>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</si>
  <si>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</si>
  <si>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</si>
  <si>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</si>
  <si>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</si>
  <si>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</si>
  <si>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</si>
  <si>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</si>
  <si>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</si>
  <si>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</si>
  <si>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</si>
  <si>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</si>
  <si>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</si>
  <si>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</si>
  <si>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</si>
  <si>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</si>
  <si>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</si>
  <si>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</si>
  <si>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</si>
  <si>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</si>
  <si>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</si>
  <si>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</si>
  <si>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</si>
  <si>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</si>
  <si>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</si>
  <si>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</si>
  <si>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</si>
  <si>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</si>
  <si>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</si>
  <si>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</si>
  <si>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</si>
  <si>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</si>
  <si>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エイセル魔法学院</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</si>
  <si>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</si>
  <si>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</si>
  <si>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</si>
  <si>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</si>
  <si>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</si>
  <si>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</si>
  <si>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</si>
  <si>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</si>
  <si>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</si>
  <si>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</si>
  <si>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</si>
  <si>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</si>
  <si>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</si>
  <si>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</si>
  <si>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</si>
  <si>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</si>
  <si>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</si>
  <si>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</si>
  <si>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</si>
  <si>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</si>
  <si>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</si>
  <si>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</si>
  <si>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</si>
  <si>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</si>
  <si>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</si>
  <si>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</si>
  <si>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</si>
  <si>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</si>
  <si>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</si>
  <si>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</si>
  <si>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</si>
  <si>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</si>
  <si>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</si>
  <si>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</si>
  <si>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</si>
  <si>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アゾット</t>
  </si>
  <si>
    <t>付与効果</t>
  </si>
  <si>
    <t>右手備考</t>
  </si>
  <si>
    <t>左手備考</t>
  </si>
  <si>
    <t>最終右手性能</t>
  </si>
  <si>
    <t>最終左手性能</t>
  </si>
  <si>
    <t>合計</t>
  </si>
  <si>
    <t>回避修正</t>
  </si>
  <si>
    <t>胴部</t>
  </si>
  <si>
    <t>真銀の衣</t>
  </si>
  <si>
    <t>片手</t>
  </si>
  <si>
    <t>なし</t>
  </si>
  <si>
    <t>装身</t>
  </si>
  <si>
    <t>狐の覗き窓</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</si>
  <si>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</si>
  <si>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</si>
  <si>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</si>
  <si>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</si>
  <si>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</si>
  <si>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</si>
  <si>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</si>
  <si>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</si>
  <si>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</si>
  <si>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</si>
  <si>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</si>
  <si>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</si>
  <si>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</si>
  <si>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</si>
  <si>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</si>
  <si>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</si>
  <si>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</si>
  <si>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</si>
  <si>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携帯電話</t>
  </si>
  <si>
    <t>ないとぼっちになる</t>
  </si>
  <si>
    <t>大魔石 3</t>
  </si>
  <si>
    <t>MP+4D回復</t>
  </si>
  <si>
    <t>異界探索7つ道具</t>
  </si>
  <si>
    <t>便利。</t>
  </si>
  <si>
    <t>ポーチ</t>
  </si>
  <si>
    <t>重量1のものを2つまで0にできる。</t>
  </si>
  <si>
    <t>同上。</t>
  </si>
  <si>
    <t>ファン</t>
  </si>
  <si>
    <t>情報収集の際に+3。消耗品。消耗品って……。</t>
  </si>
  <si>
    <t>所持クラス</t>
  </si>
  <si>
    <t>サブクラスの上限レベル</t>
  </si>
  <si>
    <t>※サブクラス上限レベルを超えてサブクラスのレベルを上昇させる事はできません</t>
  </si>
  <si>
    <t>メインクラス</t>
  </si>
  <si>
    <t>取得スキル数</t>
  </si>
  <si>
    <t>必要経験値</t>
  </si>
  <si>
    <t>消費経験値</t>
  </si>
  <si>
    <t>サブクラス</t>
  </si>
  <si>
    <t>魔法芸術家</t>
  </si>
  <si>
    <t xml:space="preserve"> </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</si>
  <si>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</si>
  <si>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</si>
  <si>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</si>
  <si>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</si>
  <si>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</si>
  <si>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</si>
  <si>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</si>
  <si>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</si>
  <si>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</si>
  <si>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</si>
  <si>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</si>
  <si>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</si>
  <si>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</si>
  <si>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</si>
  <si>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</si>
  <si>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</si>
  <si>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</si>
  <si>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</si>
  <si>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空想描画 EX</t>
  </si>
  <si>
    <t>メジャー</t>
  </si>
  <si>
    <t>単体</t>
  </si>
  <si>
    <t>1~2</t>
  </si>
  <si>
    <t>無属性の魔法攻撃。ダメージ＋5D</t>
  </si>
  <si>
    <t>マジックマスタリー</t>
  </si>
  <si>
    <t>パッシブ</t>
  </si>
  <si>
    <t>無</t>
  </si>
  <si>
    <t>魔法攻撃のダメージに+15</t>
  </si>
  <si>
    <t>魔導士</t>
  </si>
  <si>
    <t>コンセントレイト</t>
  </si>
  <si>
    <t>魔法判定に+3</t>
  </si>
  <si>
    <t>魔法研究</t>
  </si>
  <si>
    <t>分類が魔法のスキルのMP消費-2。空想描画を指定</t>
  </si>
  <si>
    <t>フライト</t>
  </si>
  <si>
    <t>コストなし</t>
  </si>
  <si>
    <t>単体を飛行状態にする。</t>
  </si>
  <si>
    <t>ロケーション</t>
  </si>
  <si>
    <t>達成値に応じて物を探す。縁のある品か、マーキングが必要。</t>
  </si>
  <si>
    <t>オーバーロード</t>
  </si>
  <si>
    <t>DR直前</t>
  </si>
  <si>
    <t>魔法ダメージに+32。一番最後に適用</t>
  </si>
  <si>
    <t>ロック</t>
  </si>
  <si>
    <t>達成値に応じた難易度で魔法の鍵をかける。</t>
  </si>
  <si>
    <t>アンロック</t>
  </si>
  <si>
    <t>鍵を開ける。魔法の鍵は無理。</t>
  </si>
  <si>
    <t>猛き血統</t>
  </si>
  <si>
    <t>メイキング</t>
  </si>
  <si>
    <t>魔力強度+3</t>
  </si>
  <si>
    <t>隠蔽魔術</t>
  </si>
  <si>
    <t>魔法のダメージに+感知</t>
  </si>
  <si>
    <t>アドバイス</t>
  </si>
  <si>
    <t>判定の直前</t>
  </si>
  <si>
    <t>視界</t>
  </si>
  <si>
    <t>他人の判定に+1D</t>
  </si>
  <si>
    <t>多重起動</t>
  </si>
  <si>
    <t>マイナー</t>
  </si>
  <si>
    <t>下位・中位の魔法のダメージをSL+1倍。メジャーのコストと対象の魔法防御力もSL倍する。メジャーのコストはLPで支払えないしEXにもできない。</t>
  </si>
  <si>
    <t>高速思考</t>
  </si>
  <si>
    <t>セットアップ</t>
  </si>
  <si>
    <t>セットアップにエネミー判定</t>
  </si>
  <si>
    <t>砲撃術式</t>
  </si>
  <si>
    <t>魔法を範囲化</t>
  </si>
  <si>
    <t>アナライズ</t>
  </si>
  <si>
    <t>エネミー判定に+1D</t>
  </si>
  <si>
    <t>圧縮術式</t>
  </si>
  <si>
    <t>メジャーの魔法ダメージを＋5。単体化。</t>
  </si>
  <si>
    <t>工房</t>
  </si>
  <si>
    <t>大魔石を2つ入手する。売却不可。</t>
  </si>
  <si>
    <t>言語学</t>
  </si>
  <si>
    <t>フィーリングで会話するよ。</t>
  </si>
  <si>
    <t>エレメンタル・アート</t>
  </si>
  <si>
    <t>空想描画</t>
  </si>
  <si>
    <t>空想描画に任意の属性をつける。</t>
  </si>
  <si>
    <t>大地の舞</t>
  </si>
  <si>
    <t>草木を生やす。</t>
  </si>
  <si>
    <t>この行より上の行から新しい行を追加すること</t>
  </si>
  <si>
    <t>技能</t>
  </si>
  <si>
    <t>合計消費CP</t>
  </si>
  <si>
    <t>技能名</t>
  </si>
  <si>
    <t>必要CP</t>
  </si>
  <si>
    <t>銀の腕</t>
  </si>
  <si>
    <t>右腕欠損</t>
  </si>
  <si>
    <t>美形</t>
  </si>
  <si>
    <t>日本語</t>
  </si>
  <si>
    <t>アーティスト：絵画</t>
  </si>
  <si>
    <t>顔馴染み</t>
  </si>
  <si>
    <t>高等教育</t>
  </si>
  <si>
    <t>特権階級</t>
  </si>
  <si>
    <t>運転免許：普通自動車</t>
  </si>
  <si>
    <t>大豪邸</t>
  </si>
  <si>
    <t>専門知識：神話</t>
  </si>
  <si>
    <t>専門知識：抽象画</t>
  </si>
  <si>
    <t>専門知識：現代芸術</t>
  </si>
  <si>
    <t>専門知識：芸術史</t>
  </si>
  <si>
    <t>専門知識：芸術</t>
  </si>
  <si>
    <t>この行より上の行から追加すること</t>
  </si>
  <si>
    <t>エクストラスキル</t>
  </si>
  <si>
    <t>EX効果の簡易的な説明、詳しくは基本ルールを熟読の事</t>
  </si>
  <si>
    <t>元のスキル名</t>
  </si>
  <si>
    <t>EX設定</t>
  </si>
  <si>
    <t>LP消費</t>
  </si>
  <si>
    <t>スキルの設定</t>
  </si>
  <si>
    <t>詳細</t>
  </si>
  <si>
    <t>題名『ハレ・ヤｧガ＝ディーラ』</t>
  </si>
  <si>
    <t>（非EX）空想描画＋多重起動</t>
  </si>
  <si>
    <t>無し</t>
  </si>
  <si>
    <t>神を描き、認識させ、対象を屈服させる。ハレ・ヤァガ＝ディーラは極限の抽象により描写され、輪郭も色も大きさも定まらない不確かな絵画である。
その絵に描かれた神を『認識』するということは、己の内にある神（自己規範、戒律）をその絵に投影することであり、受けてしまえば問答無用でひれ伏す力を持つ。
大層な物言いだが、絵画という媒体で無理やり「概念」を魔法芸術の能力で物理的存在にするだけであり、行われる現象そのものはただの魔法攻撃。</t>
  </si>
  <si>
    <t>増幅</t>
  </si>
  <si>
    <t>効果に＋10</t>
  </si>
  <si>
    <t>悪夢に濡れ光る絵の具</t>
  </si>
  <si>
    <t>弱点をぶつける。普段の空想描画に術者の恐怖で味付けしたもの。シンクがあまり好まない手法であるため滅多に使わない。</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</si>
  <si>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</si>
  <si>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</si>
  <si>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</si>
  <si>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</si>
  <si>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</si>
  <si>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</si>
  <si>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</si>
  <si>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</si>
  <si>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隻腕の美術部。金の髪と紫の瞳、どちらも模造。女性的な口調を好んで使うが、根っから女性的な人格を持っているわけではない。
基本性格は「諦観」。己の手の届く範囲を正しく見極め、その中で生きることを由とする。それ以外は普通の男子と変わらないが、やや秘密主義が目立つ。
名のある魔族の貴族の子。由緒正しきお坊っちゃんで、現在は完全に高等遊民生活を満喫中。魔導士としての力量は親の教育の賜物。
趣味は絵描き。それが絵を媒体とした表現技法であればなんでも描く。油絵から漫画まで。それらの全てにモチーフはなく、単なる手慰みである。
「神の如き何か」の一端に触れ右腕を失ったことが原因で強迫症を患い、神を描くことに没頭した過去を持つ。現在は精神が安定したため、神から離れた思考が可能。
精神錯乱期に描いた絵は一部で有名。また、その時期に魔法芸術家としての力を得た。ちなみに、名前は「シンク」と読む。</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</si>
  <si>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</si>
  <si>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</si>
  <si>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</si>
  <si>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</si>
  <si>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</si>
  <si>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</si>
  <si>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</si>
  <si>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</si>
  <si>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</si>
  <si>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</si>
  <si>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</si>
  <si>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</si>
  <si>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</si>
  <si>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</si>
  <si>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</si>
  <si>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</si>
  <si>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</si>
  <si>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</si>
  <si>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人間</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</si>
  <si>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</si>
  <si>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</si>
  <si>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</si>
  <si>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</si>
  <si>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</si>
  <si>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</si>
  <si>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</si>
  <si>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</si>
  <si>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</si>
  <si>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</si>
  <si>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</si>
  <si>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</si>
  <si>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</si>
  <si>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</si>
  <si>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</si>
  <si>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</si>
  <si>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</si>
  <si>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</si>
  <si>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</si>
  <si>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</si>
  <si>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</si>
  <si>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</si>
  <si>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悪魔騎士</t>
  </si>
  <si>
    <t>異能者</t>
  </si>
  <si>
    <t>神秘学士</t>
  </si>
  <si>
    <t>聖職者</t>
  </si>
  <si>
    <t>拳闘士</t>
  </si>
  <si>
    <t>覚醒者</t>
  </si>
  <si>
    <t>錬金術士</t>
  </si>
  <si>
    <t>暗殺者</t>
  </si>
  <si>
    <t>探索者</t>
  </si>
  <si>
    <t>狩人</t>
  </si>
  <si>
    <t>契約者</t>
  </si>
  <si>
    <t>空想術士</t>
  </si>
  <si>
    <t>悪魔使い</t>
  </si>
  <si>
    <t>伝承術士</t>
  </si>
  <si>
    <t>魔弾使い</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</si>
  <si>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</si>
  <si>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</si>
  <si>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</si>
  <si>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</si>
  <si>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</si>
  <si>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</si>
  <si>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</si>
  <si>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</si>
  <si>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</si>
  <si>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</si>
  <si>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</si>
  <si>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</si>
  <si>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</si>
  <si>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</si>
  <si>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</si>
  <si>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</si>
  <si>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</si>
  <si>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</si>
  <si>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</si>
  <si>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</si>
  <si>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</si>
  <si>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</si>
  <si>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</si>
  <si>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</si>
  <si>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</si>
  <si>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</si>
  <si>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</si>
  <si>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</si>
  <si>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</si>
  <si>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</si>
  <si>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</si>
  <si>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</si>
  <si>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</si>
  <si>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</si>
  <si>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</si>
  <si>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</si>
  <si>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</si>
  <si>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</si>
  <si>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</si>
  <si>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</si>
  <si>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1~3</t>
  </si>
  <si>
    <t>ライトクロスボウ</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</si>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</sst>
</file>

<file path=xl/styles.xml><?xml version="1.0" encoding="utf-8"?>
<styleSheet xmlns="http://schemas.openxmlformats.org/spreadsheetml/2006/main">
  <numFmts count="3">
    <numFmt numFmtId="164" formatCode="GENERAL"/>
    <numFmt numFmtId="165" formatCode="#,##0;[RED]\-#,##0"/>
    <numFmt numFmtId="166" formatCode="&quot;TRUE&quot;;&quot;TRUE&quot;;&quot;FALSE&quot;"/>
  </numFmts>
  <fonts count="12">
    <font>
      <sz val="11"/>
      <color indexed="8"/>
      <name val="ＭＳ Ｐゴシック"/>
      <family val="2"/>
    </font>
    <font>
      <sz val="10"/>
      <name val="Arial"/>
      <family val="0"/>
    </font>
    <font>
      <sz val="10"/>
      <color indexed="8"/>
      <name val="ＭＳ Ｐゴシック"/>
      <family val="2"/>
    </font>
    <font>
      <sz val="11"/>
      <name val="ＭＳ Ｐゴシック"/>
      <family val="3"/>
    </font>
    <font>
      <b/>
      <sz val="9"/>
      <color indexed="10"/>
      <name val="ＭＳ Ｐゴシック"/>
      <family val="2"/>
    </font>
    <font>
      <sz val="8"/>
      <color indexed="10"/>
      <name val="ＭＳ Ｐゴシック"/>
      <family val="2"/>
    </font>
    <font>
      <sz val="8"/>
      <color indexed="8"/>
      <name val="ＭＳ Ｐゴシック"/>
      <family val="2"/>
    </font>
    <font>
      <b/>
      <sz val="11"/>
      <color indexed="8"/>
      <name val="ＭＳ Ｐゴシック"/>
      <family val="2"/>
    </font>
    <font>
      <sz val="11"/>
      <color indexed="8"/>
      <name val="メイリオ"/>
      <family val="0"/>
    </font>
    <font>
      <b/>
      <sz val="11"/>
      <color indexed="53"/>
      <name val="ＭＳ Ｐゴシック"/>
      <family val="2"/>
    </font>
    <font>
      <sz val="8"/>
      <color indexed="53"/>
      <name val="ＭＳ Ｐゴシック"/>
      <family val="2"/>
    </font>
    <font>
      <i/>
      <sz val="11"/>
      <color indexed="8"/>
      <name val="ＭＳ Ｐゴシック"/>
      <family val="2"/>
    </font>
  </fonts>
  <fills count="21">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27"/>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
      <patternFill patternType="solid">
        <fgColor indexed="50"/>
        <bgColor indexed="64"/>
      </patternFill>
    </fill>
    <fill>
      <patternFill patternType="solid">
        <fgColor indexed="45"/>
        <bgColor indexed="64"/>
      </patternFill>
    </fill>
  </fills>
  <borders count="78">
    <border>
      <left/>
      <right/>
      <top/>
      <bottom/>
      <diagonal/>
    </border>
    <border>
      <left style="medium">
        <color indexed="8"/>
      </left>
      <right style="medium">
        <color indexed="8"/>
      </right>
      <top style="medium">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hair">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vertical="center"/>
    </xf>
  </cellStyleXfs>
  <cellXfs count="353">
    <xf numFmtId="164" fontId="0" fillId="0" borderId="0" xfId="0" applyAlignment="1">
      <alignment vertical="center"/>
    </xf>
    <xf numFmtId="164" fontId="0" fillId="0" borderId="0" xfId="0" applyNumberFormat="1" applyAlignment="1">
      <alignment vertical="center"/>
    </xf>
    <xf numFmtId="164" fontId="0" fillId="2" borderId="1" xfId="0" applyNumberFormat="1" applyFont="1" applyFill="1" applyBorder="1" applyAlignment="1">
      <alignment horizontal="center" vertical="center"/>
    </xf>
    <xf numFmtId="164" fontId="0" fillId="0" borderId="2" xfId="0" applyNumberFormat="1" applyFont="1" applyBorder="1" applyAlignment="1">
      <alignment horizontal="center" vertical="center"/>
    </xf>
    <xf numFmtId="164" fontId="0" fillId="0" borderId="3"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0" fillId="0" borderId="2" xfId="0" applyNumberFormat="1" applyBorder="1" applyAlignment="1">
      <alignment horizontal="center" vertical="center"/>
    </xf>
    <xf numFmtId="164" fontId="0" fillId="2" borderId="4" xfId="0" applyNumberFormat="1" applyFont="1" applyFill="1" applyBorder="1" applyAlignment="1">
      <alignment horizontal="center" vertical="center"/>
    </xf>
    <xf numFmtId="164" fontId="0" fillId="3" borderId="4" xfId="0" applyNumberFormat="1" applyFill="1" applyBorder="1" applyAlignment="1">
      <alignment vertical="center"/>
    </xf>
    <xf numFmtId="164" fontId="3" fillId="3" borderId="5" xfId="0" applyNumberFormat="1" applyFont="1" applyFill="1" applyBorder="1" applyAlignment="1">
      <alignment vertical="center"/>
    </xf>
    <xf numFmtId="164" fontId="0" fillId="2" borderId="6" xfId="0" applyNumberFormat="1" applyFont="1" applyFill="1" applyBorder="1" applyAlignment="1">
      <alignment horizontal="center" vertical="center"/>
    </xf>
    <xf numFmtId="164" fontId="0" fillId="0" borderId="7" xfId="0" applyNumberFormat="1" applyFont="1" applyBorder="1" applyAlignment="1">
      <alignment horizontal="center" vertical="center"/>
    </xf>
    <xf numFmtId="164" fontId="0" fillId="2" borderId="8" xfId="0" applyNumberFormat="1" applyFont="1" applyFill="1" applyBorder="1" applyAlignment="1">
      <alignment horizontal="center" vertical="center"/>
    </xf>
    <xf numFmtId="164" fontId="0" fillId="0" borderId="8" xfId="0" applyNumberFormat="1" applyFont="1" applyBorder="1" applyAlignment="1">
      <alignment horizontal="center" vertical="center"/>
    </xf>
    <xf numFmtId="164" fontId="0" fillId="0" borderId="9" xfId="0" applyNumberFormat="1" applyFont="1" applyBorder="1" applyAlignment="1">
      <alignment horizontal="center" vertical="center"/>
    </xf>
    <xf numFmtId="164" fontId="2" fillId="2" borderId="10" xfId="0" applyNumberFormat="1" applyFont="1" applyFill="1" applyBorder="1" applyAlignment="1">
      <alignment horizontal="center" vertical="center"/>
    </xf>
    <xf numFmtId="164" fontId="0" fillId="2" borderId="11" xfId="0" applyNumberFormat="1" applyFont="1" applyFill="1" applyBorder="1" applyAlignment="1">
      <alignment horizontal="center" vertical="center"/>
    </xf>
    <xf numFmtId="164" fontId="0" fillId="3" borderId="11" xfId="0" applyNumberFormat="1" applyFill="1" applyBorder="1" applyAlignment="1">
      <alignment vertical="center"/>
    </xf>
    <xf numFmtId="164" fontId="0" fillId="2" borderId="12" xfId="0" applyNumberFormat="1" applyFont="1" applyFill="1" applyBorder="1" applyAlignment="1">
      <alignment horizontal="center" vertical="center"/>
    </xf>
    <xf numFmtId="164" fontId="3" fillId="3" borderId="13" xfId="0" applyNumberFormat="1" applyFont="1" applyFill="1" applyBorder="1" applyAlignment="1">
      <alignment vertical="center"/>
    </xf>
    <xf numFmtId="164" fontId="0" fillId="0" borderId="0" xfId="0" applyNumberFormat="1" applyAlignment="1">
      <alignment vertical="center"/>
    </xf>
    <xf numFmtId="164" fontId="0" fillId="0" borderId="14" xfId="0" applyNumberFormat="1" applyFont="1" applyBorder="1" applyAlignment="1">
      <alignment horizontal="center" vertical="center"/>
    </xf>
    <xf numFmtId="164" fontId="0" fillId="0" borderId="11" xfId="0" applyNumberFormat="1" applyFont="1" applyBorder="1" applyAlignment="1">
      <alignment horizontal="center" vertical="center"/>
    </xf>
    <xf numFmtId="164" fontId="0" fillId="0" borderId="6"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2" borderId="10" xfId="0" applyNumberFormat="1" applyFont="1" applyFill="1" applyBorder="1" applyAlignment="1">
      <alignment horizontal="center" vertical="center"/>
    </xf>
    <xf numFmtId="164" fontId="0" fillId="3" borderId="10" xfId="0" applyNumberFormat="1" applyFill="1" applyBorder="1" applyAlignment="1">
      <alignment horizontal="center" vertical="center"/>
    </xf>
    <xf numFmtId="164" fontId="4" fillId="0" borderId="0" xfId="0" applyNumberFormat="1" applyFont="1" applyAlignment="1">
      <alignment vertical="center"/>
    </xf>
    <xf numFmtId="164" fontId="0" fillId="0" borderId="0" xfId="0" applyNumberFormat="1" applyAlignment="1">
      <alignment horizontal="center" vertical="center"/>
    </xf>
    <xf numFmtId="164" fontId="5" fillId="0" borderId="0" xfId="0" applyNumberFormat="1" applyFont="1" applyBorder="1" applyAlignment="1">
      <alignment horizontal="left" vertical="center"/>
    </xf>
    <xf numFmtId="164" fontId="0" fillId="4" borderId="1" xfId="0" applyNumberFormat="1" applyFont="1" applyFill="1" applyBorder="1" applyAlignment="1">
      <alignment horizontal="center" vertical="center"/>
    </xf>
    <xf numFmtId="164" fontId="0" fillId="5" borderId="1" xfId="0" applyNumberFormat="1" applyFont="1" applyFill="1" applyBorder="1" applyAlignment="1">
      <alignment horizontal="center" vertical="center"/>
    </xf>
    <xf numFmtId="164" fontId="0" fillId="3" borderId="5" xfId="0" applyNumberFormat="1" applyFill="1" applyBorder="1" applyAlignment="1">
      <alignment vertical="center"/>
    </xf>
    <xf numFmtId="164" fontId="0" fillId="0" borderId="15" xfId="0" applyNumberFormat="1" applyBorder="1" applyAlignment="1">
      <alignment vertical="center"/>
    </xf>
    <xf numFmtId="164" fontId="0" fillId="5" borderId="15" xfId="0" applyNumberFormat="1" applyFont="1" applyFill="1" applyBorder="1" applyAlignment="1">
      <alignment horizontal="center" vertical="center"/>
    </xf>
    <xf numFmtId="164" fontId="0" fillId="3" borderId="16" xfId="0" applyNumberFormat="1" applyFill="1" applyBorder="1" applyAlignment="1">
      <alignment vertical="center"/>
    </xf>
    <xf numFmtId="164" fontId="2" fillId="6" borderId="1" xfId="0" applyNumberFormat="1" applyFont="1" applyFill="1" applyBorder="1" applyAlignment="1">
      <alignment horizontal="center" vertical="center"/>
    </xf>
    <xf numFmtId="164" fontId="0" fillId="0" borderId="17" xfId="0" applyNumberFormat="1" applyBorder="1" applyAlignment="1">
      <alignment vertical="center"/>
    </xf>
    <xf numFmtId="164" fontId="0" fillId="2" borderId="18"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5" borderId="6" xfId="0" applyNumberFormat="1" applyFont="1" applyFill="1" applyBorder="1" applyAlignment="1">
      <alignment horizontal="center" vertical="center"/>
    </xf>
    <xf numFmtId="164" fontId="3" fillId="3" borderId="19" xfId="0" applyNumberFormat="1" applyFont="1" applyFill="1" applyBorder="1" applyAlignment="1">
      <alignment vertical="center"/>
    </xf>
    <xf numFmtId="164" fontId="0" fillId="3" borderId="20" xfId="0" applyNumberFormat="1" applyFill="1" applyBorder="1" applyAlignment="1">
      <alignment vertical="center"/>
    </xf>
    <xf numFmtId="164" fontId="0" fillId="5" borderId="9" xfId="0" applyNumberFormat="1" applyFont="1" applyFill="1" applyBorder="1" applyAlignment="1">
      <alignment horizontal="center" vertical="center"/>
    </xf>
    <xf numFmtId="164" fontId="0" fillId="3" borderId="21" xfId="0" applyNumberFormat="1" applyFill="1" applyBorder="1" applyAlignment="1">
      <alignment vertical="center"/>
    </xf>
    <xf numFmtId="164" fontId="2" fillId="6" borderId="6" xfId="0" applyNumberFormat="1" applyFont="1" applyFill="1" applyBorder="1" applyAlignment="1">
      <alignment horizontal="center" vertical="center"/>
    </xf>
    <xf numFmtId="164" fontId="0" fillId="3" borderId="20" xfId="0" applyNumberFormat="1" applyFill="1" applyBorder="1" applyAlignment="1">
      <alignment vertical="center"/>
    </xf>
    <xf numFmtId="164" fontId="0" fillId="4" borderId="12" xfId="0" applyNumberFormat="1" applyFont="1" applyFill="1" applyBorder="1" applyAlignment="1">
      <alignment horizontal="center" vertical="center"/>
    </xf>
    <xf numFmtId="164" fontId="0" fillId="5" borderId="12" xfId="0" applyNumberFormat="1" applyFont="1" applyFill="1" applyBorder="1" applyAlignment="1">
      <alignment horizontal="center" vertical="center"/>
    </xf>
    <xf numFmtId="164" fontId="0" fillId="3" borderId="14" xfId="0" applyNumberFormat="1" applyFill="1" applyBorder="1" applyAlignment="1">
      <alignment vertical="center"/>
    </xf>
    <xf numFmtId="164" fontId="0" fillId="5" borderId="22" xfId="0" applyNumberFormat="1" applyFont="1" applyFill="1" applyBorder="1" applyAlignment="1">
      <alignment horizontal="center" vertical="center"/>
    </xf>
    <xf numFmtId="164" fontId="0" fillId="3" borderId="22" xfId="0" applyNumberFormat="1" applyFill="1" applyBorder="1" applyAlignment="1">
      <alignment vertical="center"/>
    </xf>
    <xf numFmtId="164" fontId="0" fillId="3" borderId="23" xfId="0" applyNumberFormat="1" applyFill="1" applyBorder="1" applyAlignment="1">
      <alignment vertical="center"/>
    </xf>
    <xf numFmtId="164" fontId="2" fillId="6" borderId="12" xfId="0" applyNumberFormat="1" applyFont="1" applyFill="1" applyBorder="1" applyAlignment="1">
      <alignment horizontal="center" vertical="center"/>
    </xf>
    <xf numFmtId="164" fontId="0" fillId="3" borderId="22" xfId="0" applyNumberFormat="1" applyFill="1" applyBorder="1" applyAlignment="1">
      <alignment vertical="center"/>
    </xf>
    <xf numFmtId="164" fontId="5" fillId="0" borderId="0" xfId="0" applyNumberFormat="1" applyFont="1" applyAlignment="1">
      <alignment vertical="center"/>
    </xf>
    <xf numFmtId="164" fontId="5" fillId="0" borderId="24" xfId="0" applyNumberFormat="1" applyFont="1" applyBorder="1" applyAlignment="1">
      <alignment horizontal="left" vertical="center"/>
    </xf>
    <xf numFmtId="164" fontId="0" fillId="0" borderId="24" xfId="0" applyNumberFormat="1" applyBorder="1" applyAlignment="1">
      <alignment vertical="center"/>
    </xf>
    <xf numFmtId="164" fontId="0" fillId="2" borderId="2" xfId="0" applyNumberFormat="1" applyFont="1" applyFill="1" applyBorder="1" applyAlignment="1">
      <alignment horizontal="center" vertical="center"/>
    </xf>
    <xf numFmtId="164" fontId="0" fillId="0" borderId="25" xfId="0" applyNumberFormat="1" applyBorder="1" applyAlignment="1">
      <alignment vertical="center"/>
    </xf>
    <xf numFmtId="164" fontId="2" fillId="6" borderId="2" xfId="0" applyNumberFormat="1" applyFont="1" applyFill="1" applyBorder="1" applyAlignment="1">
      <alignment horizontal="center" vertical="center"/>
    </xf>
    <xf numFmtId="164" fontId="0" fillId="7" borderId="26" xfId="0" applyNumberFormat="1" applyFill="1" applyBorder="1" applyAlignment="1">
      <alignment vertical="center"/>
    </xf>
    <xf numFmtId="164" fontId="2" fillId="0" borderId="2" xfId="0" applyNumberFormat="1" applyFont="1" applyBorder="1" applyAlignment="1">
      <alignment horizontal="center" vertical="center"/>
    </xf>
    <xf numFmtId="164" fontId="0" fillId="0" borderId="0" xfId="0" applyNumberFormat="1" applyFill="1" applyAlignment="1">
      <alignment horizontal="center" vertical="center"/>
    </xf>
    <xf numFmtId="164" fontId="2" fillId="0" borderId="0" xfId="0" applyNumberFormat="1" applyFont="1" applyAlignment="1">
      <alignment horizontal="center" vertical="center"/>
    </xf>
    <xf numFmtId="164" fontId="0" fillId="0" borderId="27" xfId="0" applyNumberFormat="1" applyBorder="1" applyAlignment="1">
      <alignment horizontal="center" vertical="center"/>
    </xf>
    <xf numFmtId="164" fontId="6" fillId="0" borderId="2" xfId="0" applyNumberFormat="1" applyFont="1" applyBorder="1" applyAlignment="1">
      <alignment horizontal="center" vertical="center"/>
    </xf>
    <xf numFmtId="164" fontId="0" fillId="0" borderId="28" xfId="0" applyNumberFormat="1" applyFont="1" applyFill="1" applyBorder="1" applyAlignment="1">
      <alignment horizontal="center" vertical="center"/>
    </xf>
    <xf numFmtId="164" fontId="0" fillId="0" borderId="26" xfId="0" applyNumberFormat="1" applyFont="1" applyFill="1" applyBorder="1" applyAlignment="1">
      <alignment horizontal="center" vertical="center"/>
    </xf>
    <xf numFmtId="164" fontId="0" fillId="0" borderId="2" xfId="0" applyNumberFormat="1" applyFont="1" applyBorder="1" applyAlignment="1">
      <alignment vertical="center"/>
    </xf>
    <xf numFmtId="164" fontId="0" fillId="0" borderId="29" xfId="0" applyNumberFormat="1" applyFont="1" applyBorder="1" applyAlignment="1">
      <alignment horizontal="center" vertical="center"/>
    </xf>
    <xf numFmtId="164" fontId="0" fillId="8" borderId="23" xfId="0" applyNumberFormat="1" applyFill="1" applyBorder="1" applyAlignment="1">
      <alignment vertical="center"/>
    </xf>
    <xf numFmtId="164" fontId="0" fillId="0" borderId="30" xfId="0" applyNumberFormat="1" applyBorder="1" applyAlignment="1">
      <alignment vertical="center"/>
    </xf>
    <xf numFmtId="164" fontId="0" fillId="8" borderId="30" xfId="0" applyNumberFormat="1" applyFont="1" applyFill="1" applyBorder="1" applyAlignment="1">
      <alignment vertical="center"/>
    </xf>
    <xf numFmtId="164" fontId="0" fillId="8" borderId="31" xfId="0" applyNumberFormat="1" applyFont="1" applyFill="1" applyBorder="1" applyAlignment="1">
      <alignment vertical="center"/>
    </xf>
    <xf numFmtId="164" fontId="0" fillId="8" borderId="1" xfId="0" applyNumberFormat="1" applyFill="1" applyBorder="1" applyAlignment="1">
      <alignment vertical="center"/>
    </xf>
    <xf numFmtId="164" fontId="7" fillId="8" borderId="32" xfId="0" applyNumberFormat="1" applyFont="1" applyFill="1" applyBorder="1" applyAlignment="1">
      <alignment vertical="center"/>
    </xf>
    <xf numFmtId="164" fontId="0" fillId="0" borderId="1" xfId="0" applyNumberFormat="1" applyBorder="1" applyAlignment="1">
      <alignment vertical="center"/>
    </xf>
    <xf numFmtId="164" fontId="7" fillId="7" borderId="31" xfId="0" applyNumberFormat="1" applyFont="1" applyFill="1" applyBorder="1" applyAlignment="1">
      <alignment horizontal="right" vertical="center"/>
    </xf>
    <xf numFmtId="164" fontId="0" fillId="0" borderId="33" xfId="0" applyNumberFormat="1" applyBorder="1" applyAlignment="1">
      <alignment horizontal="right" vertical="center"/>
    </xf>
    <xf numFmtId="164" fontId="0" fillId="8" borderId="34" xfId="0" applyNumberFormat="1" applyFill="1" applyBorder="1" applyAlignment="1">
      <alignment horizontal="right" vertical="center"/>
    </xf>
    <xf numFmtId="164" fontId="0" fillId="0" borderId="23" xfId="0" applyNumberFormat="1" applyBorder="1" applyAlignment="1">
      <alignment vertical="center"/>
    </xf>
    <xf numFmtId="164" fontId="0" fillId="8" borderId="23" xfId="0" applyNumberFormat="1" applyFont="1" applyFill="1" applyBorder="1" applyAlignment="1">
      <alignment vertical="center"/>
    </xf>
    <xf numFmtId="164" fontId="0" fillId="8" borderId="6" xfId="0" applyNumberFormat="1" applyFill="1" applyBorder="1" applyAlignment="1">
      <alignment vertical="center"/>
    </xf>
    <xf numFmtId="164" fontId="0" fillId="0" borderId="6" xfId="0" applyNumberFormat="1" applyBorder="1" applyAlignment="1">
      <alignment vertical="center"/>
    </xf>
    <xf numFmtId="164" fontId="7" fillId="7" borderId="23" xfId="0" applyNumberFormat="1" applyFont="1" applyFill="1" applyBorder="1" applyAlignment="1">
      <alignment horizontal="right" vertical="center"/>
    </xf>
    <xf numFmtId="164" fontId="0" fillId="0" borderId="35" xfId="0" applyNumberFormat="1" applyBorder="1" applyAlignment="1">
      <alignment horizontal="right" vertical="center"/>
    </xf>
    <xf numFmtId="164" fontId="0" fillId="0" borderId="36" xfId="0" applyNumberFormat="1" applyFont="1" applyBorder="1" applyAlignment="1">
      <alignment horizontal="center" vertical="center"/>
    </xf>
    <xf numFmtId="164" fontId="0" fillId="8" borderId="37" xfId="0" applyNumberFormat="1" applyFill="1" applyBorder="1" applyAlignment="1">
      <alignment vertical="center"/>
    </xf>
    <xf numFmtId="164" fontId="0" fillId="8" borderId="34" xfId="0" applyNumberFormat="1" applyFont="1" applyFill="1" applyBorder="1" applyAlignment="1">
      <alignment horizontal="center" vertical="center"/>
    </xf>
    <xf numFmtId="164" fontId="0" fillId="0" borderId="10" xfId="0" applyNumberFormat="1" applyFont="1" applyBorder="1" applyAlignment="1">
      <alignment horizontal="center" vertical="center"/>
    </xf>
    <xf numFmtId="164" fontId="0" fillId="8" borderId="38" xfId="0" applyNumberFormat="1" applyFill="1" applyBorder="1" applyAlignment="1">
      <alignment vertical="center"/>
    </xf>
    <xf numFmtId="164" fontId="0" fillId="0" borderId="38" xfId="0" applyNumberFormat="1" applyBorder="1" applyAlignment="1">
      <alignment vertical="center"/>
    </xf>
    <xf numFmtId="164" fontId="0" fillId="8" borderId="39" xfId="0" applyNumberFormat="1" applyFill="1" applyBorder="1" applyAlignment="1">
      <alignment vertical="center"/>
    </xf>
    <xf numFmtId="164" fontId="0" fillId="8" borderId="12" xfId="0" applyNumberFormat="1" applyFill="1" applyBorder="1" applyAlignment="1">
      <alignment vertical="center"/>
    </xf>
    <xf numFmtId="164" fontId="7" fillId="8" borderId="25" xfId="0" applyNumberFormat="1" applyFont="1" applyFill="1" applyBorder="1" applyAlignment="1">
      <alignment vertical="center"/>
    </xf>
    <xf numFmtId="164" fontId="0" fillId="0" borderId="12" xfId="0" applyNumberFormat="1" applyBorder="1" applyAlignment="1">
      <alignment vertical="center"/>
    </xf>
    <xf numFmtId="164" fontId="7" fillId="7" borderId="38" xfId="0" applyNumberFormat="1" applyFont="1" applyFill="1" applyBorder="1" applyAlignment="1">
      <alignment horizontal="right" vertical="center"/>
    </xf>
    <xf numFmtId="164" fontId="0" fillId="0" borderId="40" xfId="0" applyNumberFormat="1" applyBorder="1" applyAlignment="1">
      <alignment horizontal="right" vertical="center"/>
    </xf>
    <xf numFmtId="164" fontId="0" fillId="8" borderId="41" xfId="0" applyNumberFormat="1" applyFont="1" applyFill="1" applyBorder="1" applyAlignment="1">
      <alignment horizontal="center" vertical="center"/>
    </xf>
    <xf numFmtId="164" fontId="7" fillId="0" borderId="0" xfId="0" applyNumberFormat="1" applyFont="1" applyAlignment="1">
      <alignment vertical="center"/>
    </xf>
    <xf numFmtId="164" fontId="7" fillId="0" borderId="0" xfId="0" applyNumberFormat="1" applyFont="1" applyAlignment="1">
      <alignment horizontal="right" vertical="center"/>
    </xf>
    <xf numFmtId="164" fontId="0" fillId="0" borderId="0" xfId="0" applyNumberFormat="1" applyAlignment="1">
      <alignment horizontal="right" vertical="center"/>
    </xf>
    <xf numFmtId="164" fontId="5" fillId="0" borderId="0" xfId="0" applyNumberFormat="1" applyFont="1" applyAlignment="1">
      <alignment horizontal="right" vertical="center"/>
    </xf>
    <xf numFmtId="164" fontId="0" fillId="0" borderId="42" xfId="0" applyNumberFormat="1" applyFont="1" applyBorder="1" applyAlignment="1">
      <alignment horizontal="center" vertical="center"/>
    </xf>
    <xf numFmtId="164" fontId="5" fillId="0" borderId="0" xfId="0" applyNumberFormat="1" applyFont="1" applyFill="1" applyAlignment="1">
      <alignment horizontal="left" vertical="center"/>
    </xf>
    <xf numFmtId="164" fontId="0" fillId="0" borderId="43" xfId="0" applyNumberFormat="1" applyFont="1" applyBorder="1" applyAlignment="1">
      <alignment horizontal="center" vertical="center"/>
    </xf>
    <xf numFmtId="164" fontId="0" fillId="0" borderId="44" xfId="0" applyNumberFormat="1" applyFont="1" applyBorder="1" applyAlignment="1">
      <alignment horizontal="center" vertical="center"/>
    </xf>
    <xf numFmtId="164" fontId="0" fillId="0" borderId="45" xfId="0" applyNumberFormat="1" applyFont="1" applyBorder="1" applyAlignment="1">
      <alignment horizontal="center" vertical="center"/>
    </xf>
    <xf numFmtId="164" fontId="0" fillId="2" borderId="23" xfId="0" applyNumberFormat="1" applyFont="1" applyFill="1" applyBorder="1" applyAlignment="1">
      <alignment horizontal="center" vertical="center"/>
    </xf>
    <xf numFmtId="164" fontId="0" fillId="0" borderId="23" xfId="0" applyNumberFormat="1" applyFont="1" applyBorder="1" applyAlignment="1">
      <alignment horizontal="center" vertical="center"/>
    </xf>
    <xf numFmtId="164" fontId="2" fillId="0" borderId="1" xfId="0" applyNumberFormat="1" applyFont="1" applyBorder="1" applyAlignment="1">
      <alignment vertical="center"/>
    </xf>
    <xf numFmtId="164" fontId="0" fillId="8" borderId="46" xfId="0" applyNumberFormat="1" applyFill="1" applyBorder="1" applyAlignment="1">
      <alignment vertical="center"/>
    </xf>
    <xf numFmtId="164" fontId="0" fillId="0" borderId="31" xfId="0" applyNumberFormat="1" applyBorder="1" applyAlignment="1">
      <alignment vertical="center"/>
    </xf>
    <xf numFmtId="164" fontId="0" fillId="8" borderId="47" xfId="0" applyNumberFormat="1" applyFill="1" applyBorder="1" applyAlignment="1">
      <alignment vertical="center"/>
    </xf>
    <xf numFmtId="164" fontId="2" fillId="0" borderId="6" xfId="0" applyNumberFormat="1" applyFont="1" applyBorder="1" applyAlignment="1">
      <alignment vertical="center"/>
    </xf>
    <xf numFmtId="164" fontId="0" fillId="8" borderId="21" xfId="0" applyNumberFormat="1" applyFill="1" applyBorder="1" applyAlignment="1">
      <alignment vertical="center"/>
    </xf>
    <xf numFmtId="164" fontId="2" fillId="2" borderId="23" xfId="0" applyNumberFormat="1" applyFont="1" applyFill="1" applyBorder="1" applyAlignment="1">
      <alignment horizontal="center" vertical="center"/>
    </xf>
    <xf numFmtId="164" fontId="0" fillId="0" borderId="23" xfId="0" applyNumberFormat="1" applyBorder="1" applyAlignment="1">
      <alignment horizontal="center" vertical="center"/>
    </xf>
    <xf numFmtId="164" fontId="0" fillId="8" borderId="46" xfId="0" applyNumberFormat="1" applyFont="1" applyFill="1" applyBorder="1" applyAlignment="1">
      <alignment vertical="center"/>
    </xf>
    <xf numFmtId="164" fontId="2" fillId="0" borderId="12" xfId="0" applyNumberFormat="1" applyFont="1" applyBorder="1" applyAlignment="1">
      <alignment vertical="center"/>
    </xf>
    <xf numFmtId="164" fontId="0" fillId="8" borderId="48" xfId="0" applyNumberFormat="1" applyFill="1" applyBorder="1" applyAlignment="1">
      <alignment vertical="center"/>
    </xf>
    <xf numFmtId="164" fontId="0" fillId="0" borderId="49" xfId="0" applyNumberFormat="1" applyBorder="1" applyAlignment="1">
      <alignment horizontal="right" vertical="center"/>
    </xf>
    <xf numFmtId="164" fontId="0" fillId="8" borderId="50" xfId="0" applyNumberFormat="1" applyFill="1" applyBorder="1" applyAlignment="1">
      <alignment horizontal="right" vertical="center"/>
    </xf>
    <xf numFmtId="164" fontId="2" fillId="0" borderId="0" xfId="0" applyNumberFormat="1" applyFont="1" applyAlignment="1">
      <alignment vertical="center"/>
    </xf>
    <xf numFmtId="164" fontId="0" fillId="0" borderId="27" xfId="0" applyNumberFormat="1" applyFill="1" applyBorder="1" applyAlignment="1">
      <alignment horizontal="center" vertical="center"/>
    </xf>
    <xf numFmtId="164" fontId="0" fillId="0" borderId="28" xfId="0" applyNumberFormat="1" applyFont="1" applyBorder="1" applyAlignment="1">
      <alignment horizontal="center" vertical="center"/>
    </xf>
    <xf numFmtId="164" fontId="0" fillId="9" borderId="4" xfId="0" applyNumberFormat="1" applyFont="1" applyFill="1" applyBorder="1" applyAlignment="1">
      <alignment horizontal="center" vertical="center"/>
    </xf>
    <xf numFmtId="165" fontId="0" fillId="0" borderId="1" xfId="20" applyNumberFormat="1" applyFill="1" applyBorder="1" applyAlignment="1" applyProtection="1">
      <alignment horizontal="center" vertical="center"/>
      <protection/>
    </xf>
    <xf numFmtId="165" fontId="0" fillId="0" borderId="0" xfId="20" applyNumberFormat="1" applyFill="1" applyBorder="1" applyAlignment="1" applyProtection="1">
      <alignment horizontal="center" vertical="center"/>
      <protection/>
    </xf>
    <xf numFmtId="164" fontId="0" fillId="0" borderId="1" xfId="0" applyNumberFormat="1" applyFont="1" applyFill="1" applyBorder="1" applyAlignment="1">
      <alignment horizontal="center" vertical="center"/>
    </xf>
    <xf numFmtId="164" fontId="0" fillId="8" borderId="33" xfId="0" applyNumberFormat="1" applyFill="1" applyBorder="1" applyAlignment="1">
      <alignment vertical="center"/>
    </xf>
    <xf numFmtId="164" fontId="0" fillId="0" borderId="34" xfId="0" applyNumberFormat="1" applyBorder="1" applyAlignment="1">
      <alignment vertical="center"/>
    </xf>
    <xf numFmtId="164" fontId="0" fillId="9" borderId="8" xfId="0" applyNumberFormat="1" applyFont="1" applyFill="1" applyBorder="1" applyAlignment="1">
      <alignment horizontal="center" vertical="center"/>
    </xf>
    <xf numFmtId="165" fontId="0" fillId="0" borderId="6" xfId="20" applyNumberFormat="1" applyFill="1" applyBorder="1" applyAlignment="1" applyProtection="1">
      <alignment horizontal="center" vertical="center"/>
      <protection/>
    </xf>
    <xf numFmtId="164" fontId="0" fillId="0" borderId="6" xfId="0" applyNumberFormat="1" applyFont="1" applyFill="1" applyBorder="1" applyAlignment="1">
      <alignment horizontal="center" vertical="center"/>
    </xf>
    <xf numFmtId="164" fontId="0" fillId="8" borderId="35" xfId="0" applyNumberFormat="1" applyFill="1" applyBorder="1" applyAlignment="1">
      <alignment vertical="center"/>
    </xf>
    <xf numFmtId="164" fontId="0" fillId="0" borderId="20" xfId="0" applyNumberFormat="1" applyBorder="1" applyAlignment="1">
      <alignment vertical="center"/>
    </xf>
    <xf numFmtId="164" fontId="0" fillId="9" borderId="51" xfId="0" applyNumberFormat="1" applyFont="1" applyFill="1" applyBorder="1" applyAlignment="1">
      <alignment horizontal="center" vertical="center"/>
    </xf>
    <xf numFmtId="165" fontId="0" fillId="0" borderId="12" xfId="20" applyNumberFormat="1" applyFill="1" applyBorder="1" applyAlignment="1" applyProtection="1">
      <alignment horizontal="center" vertical="center"/>
      <protection/>
    </xf>
    <xf numFmtId="164" fontId="0" fillId="9" borderId="52" xfId="0" applyNumberFormat="1" applyFont="1" applyFill="1" applyBorder="1" applyAlignment="1">
      <alignment horizontal="center" vertical="center"/>
    </xf>
    <xf numFmtId="165" fontId="0" fillId="0" borderId="2" xfId="20" applyNumberFormat="1" applyFill="1" applyBorder="1" applyAlignment="1" applyProtection="1">
      <alignment horizontal="center" vertical="center"/>
      <protection/>
    </xf>
    <xf numFmtId="164" fontId="0" fillId="9" borderId="28" xfId="0" applyNumberFormat="1" applyFont="1" applyFill="1" applyBorder="1" applyAlignment="1">
      <alignment horizontal="center" vertical="center"/>
    </xf>
    <xf numFmtId="164" fontId="0" fillId="0" borderId="26" xfId="0" applyNumberFormat="1" applyFont="1" applyBorder="1" applyAlignment="1">
      <alignment horizontal="right" vertical="center"/>
    </xf>
    <xf numFmtId="165" fontId="0" fillId="0" borderId="0" xfId="20" applyNumberFormat="1" applyFill="1" applyBorder="1" applyAlignment="1" applyProtection="1">
      <alignment horizontal="right" vertical="center"/>
      <protection/>
    </xf>
    <xf numFmtId="164" fontId="0" fillId="8" borderId="9" xfId="0" applyNumberFormat="1" applyFill="1" applyBorder="1" applyAlignment="1">
      <alignment horizontal="right" vertical="center"/>
    </xf>
    <xf numFmtId="164" fontId="0" fillId="0" borderId="10" xfId="0" applyNumberFormat="1" applyFont="1" applyFill="1" applyBorder="1" applyAlignment="1">
      <alignment horizontal="center" vertical="center"/>
    </xf>
    <xf numFmtId="164" fontId="0" fillId="8" borderId="40" xfId="0" applyNumberFormat="1" applyFont="1" applyFill="1" applyBorder="1" applyAlignment="1">
      <alignment vertical="center"/>
    </xf>
    <xf numFmtId="164" fontId="0" fillId="0" borderId="22" xfId="0" applyNumberFormat="1" applyBorder="1" applyAlignment="1">
      <alignment vertical="center"/>
    </xf>
    <xf numFmtId="164" fontId="0" fillId="8" borderId="14" xfId="0" applyNumberFormat="1" applyFill="1" applyBorder="1" applyAlignment="1">
      <alignment horizontal="right" vertical="center"/>
    </xf>
    <xf numFmtId="164" fontId="0" fillId="0" borderId="53" xfId="0" applyNumberFormat="1" applyFont="1" applyBorder="1" applyAlignment="1">
      <alignment horizontal="center" vertical="center"/>
    </xf>
    <xf numFmtId="164" fontId="0" fillId="0" borderId="25" xfId="0" applyNumberFormat="1" applyFont="1" applyBorder="1" applyAlignment="1">
      <alignment horizontal="center" vertical="center"/>
    </xf>
    <xf numFmtId="164" fontId="0" fillId="0" borderId="2" xfId="0" applyNumberFormat="1" applyFont="1" applyFill="1" applyBorder="1" applyAlignment="1">
      <alignment horizontal="center" vertical="center"/>
    </xf>
    <xf numFmtId="164" fontId="0" fillId="0" borderId="54" xfId="0" applyNumberFormat="1" applyFont="1" applyBorder="1" applyAlignment="1">
      <alignment horizontal="center" vertical="center"/>
    </xf>
    <xf numFmtId="164" fontId="0" fillId="0" borderId="53"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164" fontId="3" fillId="10" borderId="20" xfId="0" applyFont="1" applyFill="1" applyBorder="1" applyAlignment="1">
      <alignment horizontal="center" vertical="center"/>
    </xf>
    <xf numFmtId="164" fontId="3" fillId="10" borderId="6" xfId="0" applyFont="1" applyFill="1" applyBorder="1" applyAlignment="1">
      <alignment horizontal="center" vertical="center"/>
    </xf>
    <xf numFmtId="164" fontId="3" fillId="10" borderId="35" xfId="0" applyFont="1" applyFill="1" applyBorder="1" applyAlignment="1">
      <alignment horizontal="center" vertical="center"/>
    </xf>
    <xf numFmtId="164" fontId="3" fillId="0" borderId="6" xfId="0" applyFont="1" applyBorder="1" applyAlignment="1">
      <alignment horizontal="center" vertical="center"/>
    </xf>
    <xf numFmtId="164" fontId="0" fillId="0" borderId="55"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164" fontId="0" fillId="0" borderId="5" xfId="0" applyNumberFormat="1" applyBorder="1" applyAlignment="1">
      <alignment vertical="center"/>
    </xf>
    <xf numFmtId="165" fontId="0" fillId="0" borderId="5" xfId="20" applyNumberFormat="1" applyFill="1" applyBorder="1" applyAlignment="1" applyProtection="1">
      <alignment vertical="center"/>
      <protection/>
    </xf>
    <xf numFmtId="164" fontId="0" fillId="0" borderId="36" xfId="0" applyNumberFormat="1" applyBorder="1" applyAlignment="1">
      <alignment horizontal="center" vertical="center"/>
    </xf>
    <xf numFmtId="164" fontId="0" fillId="0" borderId="36" xfId="0" applyNumberFormat="1" applyBorder="1" applyAlignment="1">
      <alignment horizontal="right" vertical="center"/>
    </xf>
    <xf numFmtId="164" fontId="0" fillId="0" borderId="36" xfId="0" applyNumberFormat="1" applyBorder="1" applyAlignment="1">
      <alignment vertical="center"/>
    </xf>
    <xf numFmtId="165" fontId="0" fillId="0" borderId="0" xfId="20" applyNumberFormat="1" applyFill="1" applyBorder="1" applyAlignment="1" applyProtection="1">
      <alignment vertical="center"/>
      <protection/>
    </xf>
    <xf numFmtId="164" fontId="0" fillId="0" borderId="56" xfId="0" applyNumberFormat="1" applyBorder="1" applyAlignment="1">
      <alignment vertical="center"/>
    </xf>
    <xf numFmtId="164" fontId="0" fillId="0" borderId="12" xfId="0" applyNumberFormat="1" applyBorder="1" applyAlignment="1">
      <alignment horizontal="center" vertical="center"/>
    </xf>
    <xf numFmtId="164" fontId="3" fillId="0" borderId="52" xfId="0" applyFont="1" applyBorder="1" applyAlignment="1">
      <alignment horizontal="center" vertical="center"/>
    </xf>
    <xf numFmtId="164" fontId="3" fillId="3" borderId="2" xfId="0" applyFont="1" applyFill="1" applyBorder="1" applyAlignment="1">
      <alignment horizontal="center" vertical="center"/>
    </xf>
    <xf numFmtId="164" fontId="3" fillId="3" borderId="2" xfId="0" applyFont="1" applyFill="1" applyBorder="1" applyAlignment="1">
      <alignment vertical="center"/>
    </xf>
    <xf numFmtId="164" fontId="0" fillId="0" borderId="6" xfId="0" applyNumberFormat="1" applyFont="1" applyBorder="1" applyAlignment="1">
      <alignment vertical="center"/>
    </xf>
    <xf numFmtId="164" fontId="0" fillId="0" borderId="25" xfId="0" applyNumberFormat="1" applyBorder="1" applyAlignment="1">
      <alignment horizontal="center" vertical="center"/>
    </xf>
    <xf numFmtId="164" fontId="0" fillId="0" borderId="52" xfId="0" applyNumberFormat="1" applyBorder="1" applyAlignment="1">
      <alignment vertical="center"/>
    </xf>
    <xf numFmtId="164" fontId="0" fillId="0" borderId="4" xfId="0" applyNumberFormat="1" applyFont="1" applyBorder="1" applyAlignment="1">
      <alignment horizontal="center" vertical="center"/>
    </xf>
    <xf numFmtId="164" fontId="0" fillId="8" borderId="6" xfId="0" applyNumberFormat="1" applyFill="1" applyBorder="1" applyAlignment="1">
      <alignment horizontal="center" vertical="center"/>
    </xf>
    <xf numFmtId="164" fontId="0" fillId="8" borderId="19" xfId="0" applyNumberFormat="1" applyFill="1" applyBorder="1" applyAlignment="1">
      <alignment vertical="center"/>
    </xf>
    <xf numFmtId="165" fontId="0" fillId="8" borderId="19" xfId="20" applyNumberFormat="1" applyFill="1" applyBorder="1" applyAlignment="1" applyProtection="1">
      <alignment vertical="center"/>
      <protection/>
    </xf>
    <xf numFmtId="164" fontId="0" fillId="0" borderId="18" xfId="0" applyNumberFormat="1" applyFont="1" applyBorder="1" applyAlignment="1">
      <alignment horizontal="center" vertical="center"/>
    </xf>
    <xf numFmtId="164" fontId="0" fillId="0" borderId="51" xfId="0" applyNumberFormat="1" applyFont="1" applyBorder="1" applyAlignment="1">
      <alignment horizontal="center" vertical="center"/>
    </xf>
    <xf numFmtId="164" fontId="0" fillId="0" borderId="6" xfId="0" applyNumberFormat="1" applyBorder="1" applyAlignment="1">
      <alignment horizontal="center" vertical="center"/>
    </xf>
    <xf numFmtId="164" fontId="0" fillId="0" borderId="56" xfId="0" applyNumberFormat="1" applyFont="1" applyBorder="1" applyAlignment="1">
      <alignment horizontal="center" vertical="center"/>
    </xf>
    <xf numFmtId="165" fontId="0" fillId="0" borderId="56" xfId="20" applyNumberFormat="1" applyFill="1" applyBorder="1" applyAlignment="1" applyProtection="1">
      <alignment horizontal="center" vertical="center"/>
      <protection/>
    </xf>
    <xf numFmtId="164" fontId="0" fillId="0" borderId="57" xfId="0" applyNumberFormat="1" applyFont="1" applyBorder="1" applyAlignment="1">
      <alignment horizontal="center" vertical="center"/>
    </xf>
    <xf numFmtId="164" fontId="0" fillId="0" borderId="2" xfId="0" applyNumberFormat="1" applyBorder="1" applyAlignment="1">
      <alignment vertical="center"/>
    </xf>
    <xf numFmtId="164" fontId="0" fillId="11" borderId="25" xfId="0" applyNumberFormat="1" applyFont="1" applyFill="1" applyBorder="1" applyAlignment="1">
      <alignment horizontal="center" vertical="center"/>
    </xf>
    <xf numFmtId="164" fontId="0" fillId="12" borderId="36" xfId="0" applyNumberFormat="1" applyFont="1" applyFill="1" applyBorder="1" applyAlignment="1">
      <alignment horizontal="center" vertical="center"/>
    </xf>
    <xf numFmtId="164" fontId="0" fillId="0" borderId="7" xfId="0" applyNumberFormat="1" applyBorder="1" applyAlignment="1">
      <alignment vertical="center"/>
    </xf>
    <xf numFmtId="164" fontId="0" fillId="12" borderId="2" xfId="0" applyNumberFormat="1" applyFont="1" applyFill="1" applyBorder="1" applyAlignment="1">
      <alignment horizontal="center" vertical="center"/>
    </xf>
    <xf numFmtId="164" fontId="0" fillId="0" borderId="9" xfId="0" applyNumberFormat="1" applyBorder="1" applyAlignment="1">
      <alignment vertical="center"/>
    </xf>
    <xf numFmtId="164" fontId="0" fillId="0" borderId="14" xfId="0" applyNumberFormat="1" applyBorder="1" applyAlignment="1">
      <alignment vertical="center"/>
    </xf>
    <xf numFmtId="164" fontId="5" fillId="0" borderId="58" xfId="0" applyNumberFormat="1" applyFont="1" applyBorder="1" applyAlignment="1">
      <alignment vertical="center" wrapText="1"/>
    </xf>
    <xf numFmtId="164" fontId="0" fillId="13" borderId="46" xfId="0" applyNumberFormat="1" applyFill="1" applyBorder="1" applyAlignment="1">
      <alignment horizontal="right" vertical="center"/>
    </xf>
    <xf numFmtId="164" fontId="0" fillId="13" borderId="46" xfId="0" applyNumberFormat="1" applyFont="1" applyFill="1" applyBorder="1" applyAlignment="1">
      <alignment horizontal="right" vertical="center"/>
    </xf>
    <xf numFmtId="164" fontId="0" fillId="13" borderId="57" xfId="0" applyNumberFormat="1" applyFill="1" applyBorder="1" applyAlignment="1">
      <alignment vertical="center"/>
    </xf>
    <xf numFmtId="164" fontId="0" fillId="13" borderId="2" xfId="0" applyNumberFormat="1" applyFont="1" applyFill="1" applyBorder="1" applyAlignment="1">
      <alignment horizontal="center" vertical="center"/>
    </xf>
    <xf numFmtId="164" fontId="0" fillId="13" borderId="43" xfId="0" applyNumberFormat="1" applyFill="1" applyBorder="1" applyAlignment="1">
      <alignment vertical="center"/>
    </xf>
    <xf numFmtId="164" fontId="0" fillId="13" borderId="54" xfId="0" applyNumberFormat="1" applyFill="1" applyBorder="1" applyAlignment="1">
      <alignment vertical="center"/>
    </xf>
    <xf numFmtId="164" fontId="0" fillId="13" borderId="2" xfId="0" applyNumberFormat="1" applyFill="1" applyBorder="1" applyAlignment="1">
      <alignment vertical="center"/>
    </xf>
    <xf numFmtId="164" fontId="5" fillId="0" borderId="0" xfId="0" applyNumberFormat="1" applyFont="1" applyAlignment="1">
      <alignment vertical="center" wrapText="1"/>
    </xf>
    <xf numFmtId="165" fontId="0" fillId="0" borderId="57" xfId="20" applyNumberFormat="1" applyFill="1" applyBorder="1" applyAlignment="1" applyProtection="1">
      <alignment horizontal="right" vertical="center"/>
      <protection/>
    </xf>
    <xf numFmtId="165" fontId="0" fillId="0" borderId="6" xfId="20" applyNumberFormat="1" applyFill="1" applyBorder="1" applyAlignment="1" applyProtection="1">
      <alignment horizontal="right" vertical="center"/>
      <protection/>
    </xf>
    <xf numFmtId="165" fontId="0" fillId="0" borderId="12" xfId="20" applyNumberFormat="1" applyFill="1" applyBorder="1" applyAlignment="1" applyProtection="1">
      <alignment horizontal="right" vertical="center"/>
      <protection/>
    </xf>
    <xf numFmtId="165" fontId="0" fillId="13" borderId="10" xfId="0" applyNumberFormat="1" applyFill="1" applyBorder="1" applyAlignment="1">
      <alignment vertical="center"/>
    </xf>
    <xf numFmtId="164" fontId="0" fillId="13" borderId="2" xfId="0" applyNumberFormat="1" applyFill="1" applyBorder="1" applyAlignment="1">
      <alignment horizontal="center" vertical="center"/>
    </xf>
    <xf numFmtId="164" fontId="0" fillId="14" borderId="2" xfId="0" applyNumberFormat="1" applyFont="1" applyFill="1" applyBorder="1" applyAlignment="1">
      <alignment horizontal="center" vertical="center"/>
    </xf>
    <xf numFmtId="164" fontId="0" fillId="14" borderId="25" xfId="0" applyNumberFormat="1" applyFont="1" applyFill="1" applyBorder="1" applyAlignment="1">
      <alignment horizontal="center" vertical="center"/>
    </xf>
    <xf numFmtId="164" fontId="0" fillId="0" borderId="43" xfId="0" applyNumberFormat="1" applyFont="1" applyBorder="1" applyAlignment="1">
      <alignment vertical="center"/>
    </xf>
    <xf numFmtId="164" fontId="0" fillId="10" borderId="26" xfId="0" applyNumberFormat="1" applyFill="1" applyBorder="1" applyAlignment="1">
      <alignment vertical="center"/>
    </xf>
    <xf numFmtId="164" fontId="0" fillId="10" borderId="2" xfId="0" applyNumberFormat="1" applyFill="1" applyBorder="1" applyAlignment="1">
      <alignment horizontal="right" vertical="center"/>
    </xf>
    <xf numFmtId="164" fontId="0" fillId="0" borderId="5" xfId="0" applyNumberFormat="1" applyFont="1" applyBorder="1" applyAlignment="1">
      <alignment vertical="center"/>
    </xf>
    <xf numFmtId="164" fontId="0" fillId="10" borderId="16" xfId="0" applyNumberFormat="1" applyFill="1" applyBorder="1" applyAlignment="1">
      <alignment vertical="center"/>
    </xf>
    <xf numFmtId="164" fontId="0" fillId="10" borderId="1" xfId="0" applyNumberFormat="1" applyFill="1" applyBorder="1" applyAlignment="1">
      <alignment horizontal="right" vertical="center"/>
    </xf>
    <xf numFmtId="164" fontId="0" fillId="0" borderId="37" xfId="0" applyNumberFormat="1" applyFont="1" applyBorder="1" applyAlignment="1">
      <alignment vertical="center"/>
    </xf>
    <xf numFmtId="164" fontId="0" fillId="10" borderId="47" xfId="0" applyNumberFormat="1" applyFill="1" applyBorder="1" applyAlignment="1">
      <alignment horizontal="right" vertical="center"/>
    </xf>
    <xf numFmtId="164" fontId="0" fillId="10" borderId="6" xfId="0" applyNumberFormat="1" applyFill="1" applyBorder="1" applyAlignment="1">
      <alignment horizontal="right" vertical="center"/>
    </xf>
    <xf numFmtId="164" fontId="0" fillId="0" borderId="59" xfId="0" applyNumberFormat="1" applyFont="1" applyBorder="1" applyAlignment="1">
      <alignment vertical="center"/>
    </xf>
    <xf numFmtId="164" fontId="0" fillId="7" borderId="47" xfId="0" applyNumberFormat="1" applyFill="1" applyBorder="1" applyAlignment="1">
      <alignment horizontal="right" vertical="center"/>
    </xf>
    <xf numFmtId="164" fontId="0" fillId="0" borderId="26" xfId="0" applyNumberFormat="1" applyFont="1" applyBorder="1" applyAlignment="1">
      <alignment horizontal="center" vertical="center"/>
    </xf>
    <xf numFmtId="164" fontId="0" fillId="0" borderId="0" xfId="0" applyNumberFormat="1" applyFont="1" applyAlignment="1">
      <alignment vertical="center"/>
    </xf>
    <xf numFmtId="164" fontId="0" fillId="7" borderId="60" xfId="0" applyNumberFormat="1" applyFont="1" applyFill="1" applyBorder="1" applyAlignment="1">
      <alignment horizontal="center" vertical="center"/>
    </xf>
    <xf numFmtId="164" fontId="0" fillId="3" borderId="61" xfId="0" applyNumberFormat="1" applyFill="1" applyBorder="1" applyAlignment="1">
      <alignment horizontal="center" vertical="center"/>
    </xf>
    <xf numFmtId="164" fontId="0" fillId="15" borderId="2" xfId="0" applyNumberFormat="1" applyFont="1" applyFill="1" applyBorder="1" applyAlignment="1">
      <alignment horizontal="center" vertical="center"/>
    </xf>
    <xf numFmtId="164" fontId="0" fillId="15" borderId="52" xfId="0" applyNumberFormat="1" applyFont="1" applyFill="1" applyBorder="1" applyAlignment="1">
      <alignment horizontal="center" vertical="center"/>
    </xf>
    <xf numFmtId="164" fontId="0" fillId="15" borderId="2" xfId="0" applyNumberFormat="1" applyFont="1" applyFill="1" applyBorder="1" applyAlignment="1">
      <alignment vertical="center"/>
    </xf>
    <xf numFmtId="164" fontId="0" fillId="0" borderId="4" xfId="0" applyNumberFormat="1" applyFont="1" applyBorder="1" applyAlignment="1">
      <alignment vertical="center"/>
    </xf>
    <xf numFmtId="164" fontId="0" fillId="10" borderId="18" xfId="0" applyNumberFormat="1" applyFill="1" applyBorder="1" applyAlignment="1">
      <alignment vertical="center"/>
    </xf>
    <xf numFmtId="164" fontId="0" fillId="0" borderId="52" xfId="0" applyNumberFormat="1" applyFont="1" applyBorder="1" applyAlignment="1">
      <alignment horizontal="center" vertical="center"/>
    </xf>
    <xf numFmtId="164" fontId="0" fillId="0" borderId="18" xfId="0" applyNumberFormat="1" applyFont="1" applyBorder="1" applyAlignment="1">
      <alignment vertical="center"/>
    </xf>
    <xf numFmtId="164" fontId="0" fillId="0" borderId="62" xfId="0" applyNumberFormat="1" applyFont="1" applyBorder="1" applyAlignment="1">
      <alignment horizontal="center" vertical="center"/>
    </xf>
    <xf numFmtId="164" fontId="0" fillId="0" borderId="55" xfId="0" applyNumberFormat="1" applyFont="1" applyBorder="1" applyAlignment="1">
      <alignment horizontal="center" vertical="center"/>
    </xf>
    <xf numFmtId="164" fontId="0" fillId="0" borderId="11" xfId="0" applyNumberFormat="1" applyFont="1" applyBorder="1" applyAlignment="1">
      <alignment vertical="center"/>
    </xf>
    <xf numFmtId="164" fontId="8" fillId="10" borderId="18" xfId="0" applyNumberFormat="1" applyFont="1" applyFill="1" applyBorder="1" applyAlignment="1">
      <alignment vertical="center"/>
    </xf>
    <xf numFmtId="164" fontId="0" fillId="16" borderId="2" xfId="0" applyNumberFormat="1" applyFont="1" applyFill="1" applyBorder="1" applyAlignment="1">
      <alignment horizontal="center" vertical="center"/>
    </xf>
    <xf numFmtId="164" fontId="0" fillId="15" borderId="2" xfId="0" applyNumberFormat="1" applyFill="1" applyBorder="1" applyAlignment="1">
      <alignment horizontal="center" vertical="center"/>
    </xf>
    <xf numFmtId="164" fontId="0" fillId="0" borderId="2" xfId="0" applyNumberFormat="1" applyBorder="1" applyAlignment="1">
      <alignment horizontal="right" vertical="center"/>
    </xf>
    <xf numFmtId="166" fontId="0" fillId="0" borderId="2" xfId="0" applyNumberFormat="1" applyBorder="1" applyAlignment="1">
      <alignment horizontal="center" vertical="center"/>
    </xf>
    <xf numFmtId="164" fontId="2" fillId="17" borderId="2" xfId="0" applyNumberFormat="1" applyFont="1" applyFill="1" applyBorder="1" applyAlignment="1">
      <alignment horizontal="center" vertical="center"/>
    </xf>
    <xf numFmtId="164" fontId="0" fillId="17" borderId="2" xfId="0" applyNumberFormat="1" applyFont="1" applyFill="1" applyBorder="1" applyAlignment="1">
      <alignment horizontal="center" vertical="center"/>
    </xf>
    <xf numFmtId="164" fontId="0" fillId="17" borderId="54" xfId="0" applyNumberFormat="1" applyFont="1" applyFill="1" applyBorder="1" applyAlignment="1">
      <alignment horizontal="center" vertical="center"/>
    </xf>
    <xf numFmtId="164" fontId="0" fillId="17" borderId="52" xfId="0" applyNumberFormat="1" applyFont="1" applyFill="1" applyBorder="1" applyAlignment="1">
      <alignment horizontal="center" vertical="center"/>
    </xf>
    <xf numFmtId="164" fontId="0" fillId="0" borderId="19" xfId="0" applyNumberFormat="1" applyFont="1" applyBorder="1" applyAlignment="1">
      <alignment horizontal="center" vertical="center"/>
    </xf>
    <xf numFmtId="164" fontId="0" fillId="0" borderId="24" xfId="0" applyNumberFormat="1" applyFont="1" applyBorder="1" applyAlignment="1">
      <alignment horizontal="center" vertical="center"/>
    </xf>
    <xf numFmtId="164" fontId="0" fillId="18" borderId="2" xfId="0" applyNumberFormat="1" applyFont="1" applyFill="1" applyBorder="1" applyAlignment="1">
      <alignment horizontal="center" vertical="center"/>
    </xf>
    <xf numFmtId="164" fontId="2" fillId="7" borderId="23" xfId="0" applyNumberFormat="1" applyFont="1" applyFill="1" applyBorder="1" applyAlignment="1">
      <alignment horizontal="center" vertical="center"/>
    </xf>
    <xf numFmtId="164" fontId="0" fillId="7" borderId="23" xfId="0" applyNumberFormat="1" applyFont="1" applyFill="1" applyBorder="1" applyAlignment="1">
      <alignment horizontal="center" vertical="center"/>
    </xf>
    <xf numFmtId="164" fontId="0" fillId="3" borderId="23" xfId="0" applyNumberFormat="1" applyFill="1" applyBorder="1" applyAlignment="1">
      <alignment horizontal="center" vertical="center"/>
    </xf>
    <xf numFmtId="164" fontId="0" fillId="0" borderId="35" xfId="0" applyNumberFormat="1" applyFont="1" applyBorder="1" applyAlignment="1">
      <alignment horizontal="center" vertical="center"/>
    </xf>
    <xf numFmtId="164" fontId="0" fillId="0" borderId="6" xfId="0" applyNumberFormat="1" applyBorder="1" applyAlignment="1">
      <alignment vertical="center"/>
    </xf>
    <xf numFmtId="164" fontId="0" fillId="3" borderId="12" xfId="0" applyNumberFormat="1" applyFont="1" applyFill="1" applyBorder="1" applyAlignment="1">
      <alignment horizontal="center" vertical="center"/>
    </xf>
    <xf numFmtId="164" fontId="9" fillId="0" borderId="63" xfId="0" applyNumberFormat="1" applyFont="1" applyBorder="1" applyAlignment="1">
      <alignment horizontal="center" vertical="center"/>
    </xf>
    <xf numFmtId="164" fontId="10" fillId="0" borderId="0" xfId="0" applyNumberFormat="1" applyFont="1" applyAlignment="1">
      <alignment vertical="center"/>
    </xf>
    <xf numFmtId="164" fontId="0" fillId="0" borderId="64" xfId="0" applyNumberFormat="1" applyFont="1" applyBorder="1" applyAlignment="1">
      <alignment horizontal="center" vertical="center"/>
    </xf>
    <xf numFmtId="164" fontId="0" fillId="0" borderId="30" xfId="0" applyNumberFormat="1" applyFont="1" applyBorder="1" applyAlignment="1">
      <alignment horizontal="center" vertical="center"/>
    </xf>
    <xf numFmtId="164" fontId="6" fillId="0" borderId="17" xfId="0" applyNumberFormat="1" applyFont="1" applyBorder="1" applyAlignment="1">
      <alignment horizontal="center" vertical="center" wrapText="1"/>
    </xf>
    <xf numFmtId="164" fontId="0" fillId="0" borderId="17" xfId="0" applyNumberFormat="1" applyFont="1" applyBorder="1" applyAlignment="1">
      <alignment horizontal="center" vertical="center"/>
    </xf>
    <xf numFmtId="164" fontId="0" fillId="0" borderId="20"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0" fillId="0" borderId="40"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22" xfId="0" applyNumberFormat="1" applyBorder="1" applyAlignment="1">
      <alignment horizontal="center" vertical="center"/>
    </xf>
    <xf numFmtId="164" fontId="2" fillId="0" borderId="2" xfId="0" applyNumberFormat="1" applyFont="1" applyBorder="1" applyAlignment="1">
      <alignment horizontal="left" vertical="center" wrapText="1"/>
    </xf>
    <xf numFmtId="164" fontId="0" fillId="2" borderId="52" xfId="0" applyNumberFormat="1" applyFont="1" applyFill="1" applyBorder="1" applyAlignment="1">
      <alignment horizontal="center" vertical="center"/>
    </xf>
    <xf numFmtId="164" fontId="0" fillId="19" borderId="1" xfId="0" applyNumberFormat="1" applyFill="1" applyBorder="1" applyAlignment="1">
      <alignment horizontal="center" vertical="center"/>
    </xf>
    <xf numFmtId="164" fontId="2" fillId="2" borderId="2" xfId="0" applyNumberFormat="1" applyFont="1" applyFill="1" applyBorder="1" applyAlignment="1">
      <alignment horizontal="center" vertical="center"/>
    </xf>
    <xf numFmtId="164" fontId="0" fillId="19" borderId="6" xfId="0" applyNumberFormat="1" applyFill="1" applyBorder="1" applyAlignment="1">
      <alignment horizontal="center" vertical="center"/>
    </xf>
    <xf numFmtId="164" fontId="0" fillId="19" borderId="12" xfId="0" applyNumberFormat="1" applyFill="1" applyBorder="1" applyAlignment="1">
      <alignment horizontal="center" vertical="center"/>
    </xf>
    <xf numFmtId="164" fontId="0" fillId="0" borderId="52" xfId="0" applyNumberFormat="1" applyFont="1" applyFill="1" applyBorder="1" applyAlignment="1">
      <alignment horizontal="center" vertical="center"/>
    </xf>
    <xf numFmtId="164" fontId="0" fillId="0" borderId="0" xfId="0" applyNumberFormat="1" applyFont="1" applyFill="1" applyAlignment="1">
      <alignment vertical="center"/>
    </xf>
    <xf numFmtId="164" fontId="0" fillId="20" borderId="4" xfId="0" applyNumberFormat="1" applyFill="1" applyBorder="1" applyAlignment="1">
      <alignment horizontal="center" vertical="center"/>
    </xf>
    <xf numFmtId="164" fontId="0" fillId="0" borderId="46" xfId="0" applyNumberFormat="1" applyBorder="1" applyAlignment="1">
      <alignment horizontal="center" vertical="center"/>
    </xf>
    <xf numFmtId="164" fontId="0" fillId="0" borderId="47" xfId="0" applyNumberFormat="1" applyBorder="1" applyAlignment="1">
      <alignment horizontal="center" vertical="center"/>
    </xf>
    <xf numFmtId="164" fontId="0" fillId="20" borderId="18" xfId="0" applyNumberFormat="1" applyFill="1" applyBorder="1" applyAlignment="1">
      <alignment horizontal="center" vertical="center"/>
    </xf>
    <xf numFmtId="164" fontId="0" fillId="0" borderId="37" xfId="0" applyNumberFormat="1" applyBorder="1" applyAlignment="1">
      <alignment horizontal="center" vertical="center"/>
    </xf>
    <xf numFmtId="164" fontId="0" fillId="0" borderId="21" xfId="0" applyNumberFormat="1" applyBorder="1" applyAlignment="1">
      <alignment horizontal="center" vertical="center"/>
    </xf>
    <xf numFmtId="164" fontId="11" fillId="0" borderId="0" xfId="0" applyNumberFormat="1" applyFont="1" applyAlignment="1">
      <alignment vertical="center"/>
    </xf>
    <xf numFmtId="164" fontId="0" fillId="0" borderId="63"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ill="1" applyBorder="1" applyAlignment="1">
      <alignment vertical="center"/>
    </xf>
    <xf numFmtId="164" fontId="0" fillId="2" borderId="29" xfId="0" applyNumberFormat="1" applyFont="1" applyFill="1" applyBorder="1" applyAlignment="1">
      <alignment horizontal="center" vertical="center"/>
    </xf>
    <xf numFmtId="164" fontId="0" fillId="0" borderId="1" xfId="0" applyNumberFormat="1" applyFont="1" applyBorder="1" applyAlignment="1">
      <alignment vertical="center"/>
    </xf>
    <xf numFmtId="164" fontId="0" fillId="0" borderId="0" xfId="0" applyNumberFormat="1" applyFont="1" applyBorder="1" applyAlignment="1">
      <alignment horizontal="center" vertical="center"/>
    </xf>
    <xf numFmtId="164" fontId="0" fillId="0" borderId="0" xfId="0" applyNumberFormat="1" applyFill="1" applyAlignment="1">
      <alignment vertical="center"/>
    </xf>
    <xf numFmtId="164" fontId="0" fillId="0" borderId="43" xfId="0" applyNumberFormat="1" applyFont="1" applyFill="1" applyBorder="1" applyAlignment="1">
      <alignment horizontal="center" vertical="center"/>
    </xf>
    <xf numFmtId="164" fontId="0" fillId="0" borderId="35" xfId="0" applyNumberFormat="1" applyBorder="1" applyAlignment="1">
      <alignment vertical="center"/>
    </xf>
    <xf numFmtId="164" fontId="0" fillId="0" borderId="21" xfId="0" applyNumberFormat="1" applyBorder="1" applyAlignment="1">
      <alignment vertical="center"/>
    </xf>
    <xf numFmtId="164" fontId="0" fillId="0" borderId="37" xfId="0" applyNumberFormat="1" applyBorder="1" applyAlignment="1">
      <alignment vertical="center"/>
    </xf>
    <xf numFmtId="164" fontId="0" fillId="0" borderId="23" xfId="0" applyNumberFormat="1" applyFill="1" applyBorder="1" applyAlignment="1">
      <alignment vertical="center"/>
    </xf>
    <xf numFmtId="164" fontId="0" fillId="0" borderId="20" xfId="0" applyNumberFormat="1" applyFill="1" applyBorder="1" applyAlignment="1">
      <alignment vertical="center"/>
    </xf>
    <xf numFmtId="164" fontId="0" fillId="0" borderId="37" xfId="0" applyNumberFormat="1" applyFill="1" applyBorder="1" applyAlignment="1">
      <alignment vertical="center"/>
    </xf>
    <xf numFmtId="164" fontId="0" fillId="0" borderId="21" xfId="0" applyNumberFormat="1" applyFill="1" applyBorder="1" applyAlignment="1">
      <alignment vertical="center"/>
    </xf>
    <xf numFmtId="164" fontId="0" fillId="0" borderId="12" xfId="0" applyNumberFormat="1" applyFont="1" applyBorder="1" applyAlignment="1">
      <alignment vertical="center"/>
    </xf>
    <xf numFmtId="164" fontId="0" fillId="0" borderId="12" xfId="0" applyNumberFormat="1" applyFont="1" applyFill="1" applyBorder="1" applyAlignment="1">
      <alignment horizontal="center" vertical="center"/>
    </xf>
    <xf numFmtId="164" fontId="0" fillId="0" borderId="39" xfId="0" applyNumberFormat="1" applyFill="1" applyBorder="1" applyAlignment="1">
      <alignment vertical="center"/>
    </xf>
    <xf numFmtId="164" fontId="0" fillId="0" borderId="38" xfId="0" applyNumberFormat="1" applyFill="1" applyBorder="1" applyAlignment="1">
      <alignment vertical="center"/>
    </xf>
    <xf numFmtId="164" fontId="0" fillId="0" borderId="22" xfId="0" applyNumberFormat="1" applyFill="1" applyBorder="1" applyAlignment="1">
      <alignment vertical="center"/>
    </xf>
    <xf numFmtId="164" fontId="0" fillId="0" borderId="12" xfId="0" applyFont="1" applyBorder="1" applyAlignment="1">
      <alignment vertical="center"/>
    </xf>
    <xf numFmtId="164" fontId="0" fillId="0" borderId="65" xfId="0" applyBorder="1" applyAlignment="1">
      <alignment vertical="center"/>
    </xf>
    <xf numFmtId="164" fontId="0" fillId="0" borderId="66" xfId="0" applyBorder="1" applyAlignment="1">
      <alignment vertical="center"/>
    </xf>
    <xf numFmtId="164" fontId="0" fillId="0" borderId="52" xfId="0" applyNumberFormat="1" applyFont="1" applyBorder="1" applyAlignment="1">
      <alignment vertical="center"/>
    </xf>
    <xf numFmtId="164" fontId="0" fillId="0" borderId="43" xfId="0" applyNumberFormat="1" applyBorder="1" applyAlignment="1">
      <alignment vertical="center"/>
    </xf>
    <xf numFmtId="164" fontId="0" fillId="0" borderId="44" xfId="0" applyNumberFormat="1" applyFont="1" applyFill="1" applyBorder="1" applyAlignment="1">
      <alignment horizontal="center" vertical="center"/>
    </xf>
    <xf numFmtId="164" fontId="0" fillId="0" borderId="67" xfId="0" applyNumberFormat="1" applyFont="1" applyBorder="1" applyAlignment="1">
      <alignment vertical="center"/>
    </xf>
    <xf numFmtId="164" fontId="0" fillId="0" borderId="68" xfId="0" applyNumberFormat="1" applyBorder="1" applyAlignment="1">
      <alignment vertical="center"/>
    </xf>
    <xf numFmtId="164" fontId="0" fillId="0" borderId="23" xfId="0" applyNumberFormat="1" applyBorder="1" applyAlignment="1">
      <alignment horizontal="right" vertical="center"/>
    </xf>
    <xf numFmtId="164" fontId="0" fillId="0" borderId="23" xfId="0" applyNumberFormat="1" applyFill="1" applyBorder="1" applyAlignment="1">
      <alignment horizontal="right" vertical="center"/>
    </xf>
    <xf numFmtId="164" fontId="0" fillId="0" borderId="0" xfId="0" applyNumberFormat="1" applyBorder="1" applyAlignment="1">
      <alignment horizontal="left" vertical="center"/>
    </xf>
    <xf numFmtId="164" fontId="0" fillId="0" borderId="31" xfId="0" applyNumberFormat="1" applyFont="1" applyBorder="1" applyAlignment="1">
      <alignment horizontal="center" vertical="center"/>
    </xf>
    <xf numFmtId="165" fontId="0" fillId="0" borderId="31" xfId="20" applyNumberFormat="1" applyFill="1" applyBorder="1" applyAlignment="1" applyProtection="1">
      <alignment vertical="center"/>
      <protection/>
    </xf>
    <xf numFmtId="165" fontId="0" fillId="0" borderId="23" xfId="20" applyNumberFormat="1" applyFill="1" applyBorder="1" applyAlignment="1" applyProtection="1">
      <alignment vertical="center"/>
      <protection/>
    </xf>
    <xf numFmtId="164" fontId="0" fillId="0" borderId="69" xfId="0" applyNumberFormat="1" applyFont="1" applyBorder="1" applyAlignment="1">
      <alignment horizontal="center" vertical="center"/>
    </xf>
    <xf numFmtId="164" fontId="0" fillId="0" borderId="69" xfId="0" applyNumberFormat="1" applyBorder="1" applyAlignment="1">
      <alignment vertical="center"/>
    </xf>
    <xf numFmtId="165" fontId="0" fillId="0" borderId="69" xfId="20" applyNumberFormat="1" applyFill="1" applyBorder="1" applyAlignment="1" applyProtection="1">
      <alignment vertical="center"/>
      <protection/>
    </xf>
    <xf numFmtId="164" fontId="0" fillId="0" borderId="67" xfId="0" applyNumberFormat="1" applyFont="1" applyFill="1" applyBorder="1" applyAlignment="1">
      <alignment vertical="center"/>
    </xf>
    <xf numFmtId="164" fontId="0" fillId="0" borderId="68" xfId="0" applyNumberFormat="1" applyBorder="1" applyAlignment="1">
      <alignment vertical="center"/>
    </xf>
    <xf numFmtId="164" fontId="0" fillId="0" borderId="67" xfId="0" applyNumberFormat="1" applyFont="1" applyBorder="1" applyAlignment="1">
      <alignment vertical="center"/>
    </xf>
    <xf numFmtId="164" fontId="0" fillId="0" borderId="67" xfId="0" applyNumberFormat="1" applyFont="1" applyFill="1" applyBorder="1" applyAlignment="1">
      <alignment vertical="center"/>
    </xf>
    <xf numFmtId="164" fontId="0" fillId="0" borderId="70" xfId="0" applyNumberFormat="1" applyBorder="1" applyAlignment="1">
      <alignment vertical="center"/>
    </xf>
    <xf numFmtId="164" fontId="0" fillId="0" borderId="71" xfId="0" applyNumberFormat="1" applyBorder="1" applyAlignment="1">
      <alignment vertical="center"/>
    </xf>
    <xf numFmtId="165" fontId="0" fillId="0" borderId="38" xfId="20" applyNumberFormat="1" applyFill="1" applyBorder="1" applyAlignment="1" applyProtection="1">
      <alignment vertical="center"/>
      <protection/>
    </xf>
    <xf numFmtId="164" fontId="0" fillId="0" borderId="53" xfId="0" applyNumberFormat="1" applyFont="1" applyBorder="1" applyAlignment="1">
      <alignment vertical="center"/>
    </xf>
    <xf numFmtId="164" fontId="0" fillId="0" borderId="58" xfId="0" applyNumberFormat="1" applyBorder="1" applyAlignment="1">
      <alignment vertical="center"/>
    </xf>
    <xf numFmtId="164" fontId="0" fillId="0" borderId="29" xfId="0" applyNumberFormat="1" applyFont="1" applyFill="1" applyBorder="1" applyAlignment="1">
      <alignment horizontal="center" vertical="center"/>
    </xf>
    <xf numFmtId="164" fontId="0" fillId="0" borderId="58" xfId="0" applyNumberFormat="1" applyFont="1" applyBorder="1" applyAlignment="1">
      <alignment horizontal="center" vertical="center"/>
    </xf>
    <xf numFmtId="164" fontId="0" fillId="0" borderId="72" xfId="0" applyNumberFormat="1" applyFont="1" applyBorder="1" applyAlignment="1">
      <alignment vertical="center"/>
    </xf>
    <xf numFmtId="164" fontId="0" fillId="0" borderId="73" xfId="0" applyNumberFormat="1" applyBorder="1" applyAlignment="1">
      <alignment vertical="center"/>
    </xf>
    <xf numFmtId="164" fontId="0" fillId="0" borderId="64" xfId="0" applyNumberFormat="1" applyFont="1" applyBorder="1" applyAlignment="1">
      <alignment horizontal="right" vertical="center"/>
    </xf>
    <xf numFmtId="164" fontId="0" fillId="0" borderId="30" xfId="0" applyNumberFormat="1" applyFont="1" applyBorder="1" applyAlignment="1">
      <alignment horizontal="right" vertical="center"/>
    </xf>
    <xf numFmtId="164" fontId="0" fillId="0" borderId="30" xfId="0" applyNumberFormat="1" applyFill="1" applyBorder="1" applyAlignment="1">
      <alignment horizontal="right" vertical="center"/>
    </xf>
    <xf numFmtId="164" fontId="0" fillId="0" borderId="17" xfId="0" applyNumberFormat="1" applyBorder="1" applyAlignment="1">
      <alignment horizontal="right" vertical="center"/>
    </xf>
    <xf numFmtId="164" fontId="0" fillId="0" borderId="74" xfId="0" applyNumberFormat="1" applyBorder="1" applyAlignment="1">
      <alignment vertical="center"/>
    </xf>
    <xf numFmtId="164" fontId="0" fillId="0" borderId="23" xfId="0" applyNumberFormat="1" applyBorder="1" applyAlignment="1">
      <alignment vertical="center"/>
    </xf>
    <xf numFmtId="164" fontId="0" fillId="0" borderId="74" xfId="0" applyNumberFormat="1" applyBorder="1" applyAlignment="1">
      <alignment vertical="center"/>
    </xf>
    <xf numFmtId="164" fontId="0" fillId="0" borderId="35" xfId="0" applyNumberFormat="1" applyFont="1" applyFill="1" applyBorder="1" applyAlignment="1">
      <alignment horizontal="center" vertical="center"/>
    </xf>
    <xf numFmtId="164" fontId="0" fillId="0" borderId="75" xfId="0" applyNumberFormat="1" applyFont="1" applyFill="1" applyBorder="1" applyAlignment="1">
      <alignment horizontal="center" vertical="center"/>
    </xf>
    <xf numFmtId="164" fontId="0" fillId="0" borderId="69" xfId="0" applyNumberFormat="1" applyFill="1" applyBorder="1" applyAlignment="1">
      <alignment vertical="center"/>
    </xf>
    <xf numFmtId="164" fontId="0" fillId="0" borderId="76" xfId="0" applyNumberFormat="1" applyFill="1" applyBorder="1" applyAlignment="1">
      <alignment vertical="center"/>
    </xf>
    <xf numFmtId="164" fontId="0" fillId="0" borderId="76" xfId="0" applyNumberFormat="1" applyBorder="1" applyAlignment="1">
      <alignment vertical="center"/>
    </xf>
    <xf numFmtId="164" fontId="0" fillId="0" borderId="40" xfId="0" applyNumberFormat="1" applyFont="1" applyBorder="1" applyAlignment="1">
      <alignment horizontal="center" vertical="center"/>
    </xf>
    <xf numFmtId="164" fontId="0" fillId="0" borderId="38" xfId="0" applyNumberFormat="1" applyBorder="1" applyAlignment="1">
      <alignment horizontal="right" vertical="center"/>
    </xf>
    <xf numFmtId="164" fontId="0" fillId="0" borderId="23" xfId="0" applyNumberFormat="1" applyFill="1" applyBorder="1" applyAlignment="1">
      <alignment vertical="center"/>
    </xf>
    <xf numFmtId="164" fontId="0" fillId="0" borderId="70" xfId="0" applyNumberFormat="1" applyFont="1" applyFill="1" applyBorder="1" applyAlignment="1">
      <alignment vertical="center"/>
    </xf>
    <xf numFmtId="164" fontId="0" fillId="0" borderId="77" xfId="0" applyNumberFormat="1" applyBorder="1" applyAlignment="1">
      <alignment vertical="center"/>
    </xf>
    <xf numFmtId="164" fontId="0" fillId="0" borderId="30" xfId="0" applyNumberFormat="1" applyBorder="1" applyAlignment="1">
      <alignment horizontal="right" vertical="center"/>
    </xf>
    <xf numFmtId="164" fontId="0" fillId="0" borderId="70" xfId="0" applyNumberFormat="1" applyFill="1" applyBorder="1" applyAlignment="1">
      <alignment vertical="center"/>
    </xf>
    <xf numFmtId="164" fontId="0" fillId="0" borderId="50" xfId="0" applyNumberFormat="1" applyBorder="1" applyAlignment="1">
      <alignment vertical="center"/>
    </xf>
    <xf numFmtId="164" fontId="0" fillId="0" borderId="2" xfId="0" applyFont="1" applyBorder="1" applyAlignment="1">
      <alignment vertical="center"/>
    </xf>
    <xf numFmtId="164" fontId="0" fillId="0" borderId="44" xfId="0" applyBorder="1" applyAlignment="1">
      <alignment vertical="center"/>
    </xf>
    <xf numFmtId="164" fontId="0" fillId="0" borderId="6" xfId="0" applyBorder="1" applyAlignment="1">
      <alignment vertical="center"/>
    </xf>
    <xf numFmtId="164" fontId="0" fillId="0" borderId="23" xfId="0" applyBorder="1" applyAlignment="1">
      <alignment vertical="center"/>
    </xf>
  </cellXfs>
  <cellStyles count="7">
    <cellStyle name="Normal" xfId="0"/>
    <cellStyle name="Comma" xfId="15"/>
    <cellStyle name="Comma [0]" xfId="16"/>
    <cellStyle name="Currency" xfId="17"/>
    <cellStyle name="Currency [0]" xfId="18"/>
    <cellStyle name="Percent" xfId="19"/>
    <cellStyle name="桁区切り"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E6"/>
      <rgbColor rgb="00CCFFCC"/>
      <rgbColor rgb="00F2DCDB"/>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04"/>
  <sheetViews>
    <sheetView tabSelected="1" zoomScale="91" zoomScaleNormal="91" workbookViewId="0" topLeftCell="A59">
      <selection activeCell="K41" sqref="K41"/>
    </sheetView>
  </sheetViews>
  <sheetFormatPr defaultColWidth="10.0039062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2.75">
      <c r="B2" s="2" t="s">
        <v>0</v>
      </c>
      <c r="C2" s="3" t="s">
        <v>1</v>
      </c>
      <c r="D2" s="3"/>
      <c r="E2" s="3"/>
      <c r="F2" s="2" t="s">
        <v>2</v>
      </c>
      <c r="G2" s="4" t="s">
        <v>3</v>
      </c>
      <c r="H2" s="5" t="s">
        <v>4</v>
      </c>
      <c r="I2" s="6">
        <f>C108</f>
        <v>8</v>
      </c>
      <c r="J2" s="7" t="s">
        <v>5</v>
      </c>
      <c r="K2" s="8" t="str">
        <f>C7</f>
        <v>魔道士</v>
      </c>
      <c r="L2" s="2" t="s">
        <v>6</v>
      </c>
      <c r="M2" s="9">
        <f>VLOOKUP(K2,'武器・種族・職業のリスト'!B20:J36,9,FALSE)+VLOOKUP(K3,'武器・種族・職業のリスト'!B37:J48,9,FALSE)</f>
        <v>18</v>
      </c>
      <c r="N2" s="6"/>
      <c r="O2" s="6"/>
    </row>
    <row r="3" spans="2:17" ht="12.75">
      <c r="B3" s="10" t="s">
        <v>7</v>
      </c>
      <c r="C3" s="11" t="s">
        <v>8</v>
      </c>
      <c r="D3" s="12" t="s">
        <v>9</v>
      </c>
      <c r="E3" s="13" t="s">
        <v>10</v>
      </c>
      <c r="F3" s="10" t="s">
        <v>11</v>
      </c>
      <c r="G3" s="14" t="s">
        <v>12</v>
      </c>
      <c r="H3" s="15" t="s">
        <v>13</v>
      </c>
      <c r="I3" s="6"/>
      <c r="J3" s="16" t="s">
        <v>5</v>
      </c>
      <c r="K3" s="17" t="str">
        <f>C8</f>
        <v>魔道博士</v>
      </c>
      <c r="L3" s="18" t="s">
        <v>14</v>
      </c>
      <c r="M3" s="19">
        <f>VLOOKUP(K2,'武器・種族・職業のリスト'!B20:K36,10,FALSE)+VLOOKUP(K3,'武器・種族・職業のリスト'!B37:K48,10,FALSE)</f>
        <v>29</v>
      </c>
      <c r="N3" s="6"/>
      <c r="O3" s="6"/>
      <c r="Q3" s="20"/>
    </row>
    <row r="4" spans="2:18" ht="12.75">
      <c r="B4" s="10" t="s">
        <v>15</v>
      </c>
      <c r="C4" s="21" t="s">
        <v>16</v>
      </c>
      <c r="D4" s="16" t="s">
        <v>17</v>
      </c>
      <c r="E4" s="22" t="s">
        <v>18</v>
      </c>
      <c r="F4" s="10" t="s">
        <v>19</v>
      </c>
      <c r="G4" s="23" t="s">
        <v>20</v>
      </c>
      <c r="H4" s="18" t="s">
        <v>21</v>
      </c>
      <c r="I4" s="24" t="s">
        <v>22</v>
      </c>
      <c r="J4" s="24"/>
      <c r="N4" s="6"/>
      <c r="O4" s="6"/>
      <c r="R4" s="20"/>
    </row>
    <row r="5" spans="2:18" ht="12.75">
      <c r="B5" s="25" t="s">
        <v>23</v>
      </c>
      <c r="C5" s="3" t="s">
        <v>24</v>
      </c>
      <c r="D5" s="3"/>
      <c r="E5" s="3"/>
      <c r="F5" s="25" t="s">
        <v>25</v>
      </c>
      <c r="G5" s="26">
        <f>F118+E132+E138+E135+M10+E141</f>
        <v>510</v>
      </c>
      <c r="H5" s="27"/>
      <c r="N5" s="6"/>
      <c r="O5" s="6"/>
      <c r="R5" s="20"/>
    </row>
    <row r="6" spans="4:18" ht="12.75">
      <c r="D6" s="28"/>
      <c r="E6" s="28"/>
      <c r="F6" s="28"/>
      <c r="H6" s="29" t="s">
        <v>26</v>
      </c>
      <c r="J6" s="1" t="s">
        <v>27</v>
      </c>
      <c r="N6" s="6"/>
      <c r="O6" s="6"/>
      <c r="R6" s="20"/>
    </row>
    <row r="7" spans="2:18" ht="12.75">
      <c r="B7" s="7" t="s">
        <v>28</v>
      </c>
      <c r="C7" s="30" t="s">
        <v>29</v>
      </c>
      <c r="D7" s="30"/>
      <c r="E7" s="28"/>
      <c r="F7" s="31" t="s">
        <v>30</v>
      </c>
      <c r="G7" s="32">
        <f>M2+(VLOOKUP(K2,'武器・種族・職業のリスト'!B20:M36,11,FALSE)*(I2-1))+P80+K14+C78</f>
        <v>55</v>
      </c>
      <c r="H7" s="31" t="s">
        <v>31</v>
      </c>
      <c r="I7" s="33"/>
      <c r="J7" s="34" t="s">
        <v>32</v>
      </c>
      <c r="K7" s="35">
        <f>N75+C81</f>
        <v>8</v>
      </c>
      <c r="L7" s="36" t="s">
        <v>33</v>
      </c>
      <c r="M7" s="37">
        <v>530</v>
      </c>
      <c r="N7" s="6"/>
      <c r="O7" s="6"/>
      <c r="R7" s="20"/>
    </row>
    <row r="8" spans="2:18" ht="12.75">
      <c r="B8" s="38" t="s">
        <v>34</v>
      </c>
      <c r="C8" s="39" t="s">
        <v>35</v>
      </c>
      <c r="D8" s="39"/>
      <c r="F8" s="40" t="s">
        <v>36</v>
      </c>
      <c r="G8" s="41">
        <f>M3+(VLOOKUP(C7,'武器・種族・職業のリスト'!B20:M36,12,FALSE)*(I2-1))+P81+K19+C79</f>
        <v>84</v>
      </c>
      <c r="H8" s="40" t="s">
        <v>37</v>
      </c>
      <c r="I8" s="42">
        <f>K17+K18+VLOOKUP(K2,'武器・種族・職業のリスト'!B20:J36,8,FALSE)+VLOOKUP(K3,'武器・種族・職業のリスト'!B37:J48,8,FALSE)+K58+K75</f>
        <v>7</v>
      </c>
      <c r="J8" s="43" t="s">
        <v>38</v>
      </c>
      <c r="K8" s="44">
        <f>K19+O75+C82</f>
        <v>8</v>
      </c>
      <c r="L8" s="45" t="s">
        <v>39</v>
      </c>
      <c r="M8" s="46">
        <f>IF((M7-G5)&lt;0,"経験値が足りません",M7-G5)</f>
        <v>20</v>
      </c>
      <c r="N8" s="6"/>
      <c r="O8" s="6"/>
      <c r="R8" s="20"/>
    </row>
    <row r="9" spans="2:15" ht="12.75">
      <c r="B9" s="16" t="s">
        <v>40</v>
      </c>
      <c r="C9" s="47" t="s">
        <v>41</v>
      </c>
      <c r="D9" s="47"/>
      <c r="F9" s="48" t="s">
        <v>42</v>
      </c>
      <c r="G9" s="49">
        <f>5+IF(C9="鬼人",-2,0)+C131</f>
        <v>5</v>
      </c>
      <c r="H9" s="50" t="s">
        <v>43</v>
      </c>
      <c r="I9" s="51">
        <f>'好感度表'!F26</f>
        <v>0</v>
      </c>
      <c r="J9" s="43" t="s">
        <v>44</v>
      </c>
      <c r="K9" s="52">
        <f>K22</f>
        <v>1</v>
      </c>
      <c r="L9" s="53" t="s">
        <v>45</v>
      </c>
      <c r="M9" s="54">
        <f>80+K10+M10</f>
        <v>80</v>
      </c>
      <c r="N9" s="6"/>
      <c r="O9" s="6"/>
    </row>
    <row r="10" spans="6:15" ht="12.75">
      <c r="F10" s="55" t="s">
        <v>46</v>
      </c>
      <c r="H10" s="56" t="s">
        <v>47</v>
      </c>
      <c r="I10" s="57"/>
      <c r="J10" s="58" t="s">
        <v>48</v>
      </c>
      <c r="K10" s="59">
        <v>0</v>
      </c>
      <c r="L10" s="60" t="s">
        <v>49</v>
      </c>
      <c r="M10" s="61">
        <v>0</v>
      </c>
      <c r="N10" s="62" t="s">
        <v>50</v>
      </c>
      <c r="O10" s="62"/>
    </row>
    <row r="11" spans="2:15" ht="12.75">
      <c r="B11" s="63"/>
      <c r="H11"/>
      <c r="J11" s="29" t="s">
        <v>51</v>
      </c>
      <c r="N11" s="64"/>
      <c r="O11" s="64"/>
    </row>
    <row r="12" spans="2:15" ht="12.75">
      <c r="B12" s="65"/>
      <c r="C12" s="6" t="s">
        <v>52</v>
      </c>
      <c r="D12" s="66" t="s">
        <v>53</v>
      </c>
      <c r="E12" s="3" t="s">
        <v>54</v>
      </c>
      <c r="F12" s="3"/>
      <c r="G12" s="6" t="s">
        <v>55</v>
      </c>
      <c r="H12" s="6" t="s">
        <v>56</v>
      </c>
      <c r="I12" s="6" t="s">
        <v>57</v>
      </c>
      <c r="J12" s="6" t="s">
        <v>58</v>
      </c>
      <c r="K12" s="6" t="s">
        <v>59</v>
      </c>
      <c r="L12" s="67" t="s">
        <v>60</v>
      </c>
      <c r="M12" s="67" t="s">
        <v>61</v>
      </c>
      <c r="N12" s="68" t="s">
        <v>62</v>
      </c>
      <c r="O12"/>
    </row>
    <row r="13" spans="2:15" ht="18.75" customHeight="1">
      <c r="B13" s="65"/>
      <c r="C13" s="65"/>
      <c r="D13" s="65"/>
      <c r="E13" s="3" t="s">
        <v>63</v>
      </c>
      <c r="F13" s="69" t="s">
        <v>64</v>
      </c>
      <c r="G13" s="6"/>
      <c r="H13" s="6"/>
      <c r="I13" s="6"/>
      <c r="J13" s="6"/>
      <c r="K13" s="6"/>
      <c r="L13" s="6"/>
      <c r="M13" s="6"/>
      <c r="N13" s="6"/>
      <c r="O13"/>
    </row>
    <row r="14" spans="2:15" ht="12.75">
      <c r="B14" s="70" t="s">
        <v>65</v>
      </c>
      <c r="C14" s="71">
        <f>VLOOKUP($C$9,'武器・種族・職業のリスト'!$B$4:$K$17,2,0)</f>
        <v>2</v>
      </c>
      <c r="D14" s="72"/>
      <c r="E14" s="73">
        <f>VLOOKUP($C$7,'武器・種族・職業のリスト'!$B$21:$M$36,2,0)</f>
        <v>0</v>
      </c>
      <c r="F14" s="74">
        <f>VLOOKUP($C$8,'武器・種族・職業のリスト'!$B$37:$M$48,2,0)</f>
        <v>0</v>
      </c>
      <c r="G14" s="75">
        <f>C122</f>
        <v>0</v>
      </c>
      <c r="H14" s="76">
        <f>G14+SUM(C14:D14)</f>
        <v>2</v>
      </c>
      <c r="I14" s="77"/>
      <c r="J14" s="77"/>
      <c r="K14" s="76">
        <f>SUM(H14:J14)+SUM(E14:F14)</f>
        <v>2</v>
      </c>
      <c r="L14" s="78"/>
      <c r="M14" s="79"/>
      <c r="N14" s="80" t="str">
        <f>M14+2&amp;"D+"&amp;SUM(K14:L14)</f>
        <v>2D+2</v>
      </c>
      <c r="O14"/>
    </row>
    <row r="15" spans="2:15" ht="12.75">
      <c r="B15" s="3" t="s">
        <v>66</v>
      </c>
      <c r="C15" s="71">
        <f>VLOOKUP($C$9,'武器・種族・職業のリスト'!$B$4:$K$17,3,0)</f>
        <v>3</v>
      </c>
      <c r="D15" s="81">
        <v>2</v>
      </c>
      <c r="E15" s="82">
        <f>VLOOKUP($C$7,'武器・種族・職業のリスト'!$B$21:$M$36,3,0)</f>
        <v>1</v>
      </c>
      <c r="F15" s="82">
        <f>VLOOKUP($C$8,'武器・種族・職業のリスト'!$B$37:$M$48,3,0)</f>
        <v>2</v>
      </c>
      <c r="G15" s="83">
        <f>C123</f>
        <v>0</v>
      </c>
      <c r="H15" s="76">
        <f>G15+SUM(C15:D15)</f>
        <v>5</v>
      </c>
      <c r="I15" s="84"/>
      <c r="J15" s="84"/>
      <c r="K15" s="76">
        <f>SUM(H15:J15)+SUM(E15:F15)</f>
        <v>8</v>
      </c>
      <c r="L15" s="85"/>
      <c r="M15" s="86"/>
      <c r="N15" s="80" t="str">
        <f>M15+2&amp;"D+"&amp;SUM(K15:L15)</f>
        <v>2D+8</v>
      </c>
      <c r="O15"/>
    </row>
    <row r="16" spans="2:15" ht="12.75">
      <c r="B16" s="87" t="s">
        <v>67</v>
      </c>
      <c r="C16" s="71">
        <f>VLOOKUP($C$9,'武器・種族・職業のリスト'!$B$4:$K$17,4,0)</f>
        <v>2</v>
      </c>
      <c r="D16" s="81"/>
      <c r="E16" s="82">
        <f>VLOOKUP($C$7,'武器・種族・職業のリスト'!$B$21:$M$36,4,0)</f>
        <v>0</v>
      </c>
      <c r="F16" s="82">
        <f>VLOOKUP($C$8,'武器・種族・職業のリスト'!$B$37:$M$48,4,0)</f>
        <v>0</v>
      </c>
      <c r="G16" s="83">
        <f>C124</f>
        <v>0</v>
      </c>
      <c r="H16" s="76">
        <f>G16+SUM(C16:D16)</f>
        <v>2</v>
      </c>
      <c r="I16" s="84"/>
      <c r="J16" s="84"/>
      <c r="K16" s="76">
        <f>SUM(H16:J16)+SUM(E16:F16)</f>
        <v>2</v>
      </c>
      <c r="L16" s="85"/>
      <c r="M16" s="86"/>
      <c r="N16" s="80" t="str">
        <f>M16+2&amp;"D+"&amp;SUM(K16:L16)</f>
        <v>2D+2</v>
      </c>
      <c r="O16"/>
    </row>
    <row r="17" spans="2:15" ht="12.75">
      <c r="B17" s="3" t="s">
        <v>68</v>
      </c>
      <c r="C17" s="71">
        <f>VLOOKUP($C$9,'武器・種族・職業のリスト'!$B$4:$K$17,5,0)</f>
        <v>2</v>
      </c>
      <c r="D17" s="81"/>
      <c r="E17" s="82">
        <f>VLOOKUP($C$7,'武器・種族・職業のリスト'!$B$21:$M$36,5,0)</f>
        <v>0</v>
      </c>
      <c r="F17" s="82">
        <f>VLOOKUP($C$8,'武器・種族・職業のリスト'!$B$37:$M$48,5,0)</f>
        <v>1</v>
      </c>
      <c r="G17" s="83">
        <f>C125</f>
        <v>0</v>
      </c>
      <c r="H17" s="76">
        <f>G17+SUM(C17:D17)</f>
        <v>2</v>
      </c>
      <c r="I17" s="84"/>
      <c r="J17" s="84"/>
      <c r="K17" s="76">
        <f>SUM(H17:J17)+SUM(E17:F17)</f>
        <v>3</v>
      </c>
      <c r="L17" s="85"/>
      <c r="M17" s="86"/>
      <c r="N17" s="80" t="str">
        <f>M17+2&amp;"D+"&amp;SUM(K17:L17)</f>
        <v>2D+3</v>
      </c>
      <c r="O17"/>
    </row>
    <row r="18" spans="2:15" ht="12.75">
      <c r="B18" s="87" t="s">
        <v>69</v>
      </c>
      <c r="C18" s="71">
        <f>VLOOKUP($C$9,'武器・種族・職業のリスト'!$B$4:$K$17,6,0)</f>
        <v>2</v>
      </c>
      <c r="D18" s="81">
        <v>1</v>
      </c>
      <c r="E18" s="82">
        <f>VLOOKUP($C$7,'武器・種族・職業のリスト'!$B$21:$M$36,6,0)</f>
        <v>1</v>
      </c>
      <c r="F18" s="82">
        <f>VLOOKUP($C$8,'武器・種族・職業のリスト'!$B$37:$M$48,6,0)</f>
        <v>0</v>
      </c>
      <c r="G18" s="83">
        <f>C126</f>
        <v>0</v>
      </c>
      <c r="H18" s="76">
        <f>G18+SUM(C18:D18)</f>
        <v>3</v>
      </c>
      <c r="I18" s="84"/>
      <c r="J18" s="84"/>
      <c r="K18" s="76">
        <f>SUM(H18:J18)+SUM(E18:F18)</f>
        <v>4</v>
      </c>
      <c r="L18" s="85"/>
      <c r="M18" s="86"/>
      <c r="N18" s="80" t="str">
        <f>M18+2&amp;"D+"&amp;SUM(K18:L18)</f>
        <v>2D+4</v>
      </c>
      <c r="O18"/>
    </row>
    <row r="19" spans="2:15" ht="12.75">
      <c r="B19" s="3" t="s">
        <v>70</v>
      </c>
      <c r="C19" s="71">
        <f>VLOOKUP($C$9,'武器・種族・職業のリスト'!$B$4:$K$17,7,0)</f>
        <v>3</v>
      </c>
      <c r="D19" s="81"/>
      <c r="E19" s="82">
        <f>VLOOKUP($C$7,'武器・種族・職業のリスト'!$B$21:$M$36,7,0)</f>
        <v>2</v>
      </c>
      <c r="F19" s="82">
        <f>VLOOKUP($C$8,'武器・種族・職業のリスト'!$B$37:$M$48,7,0)</f>
        <v>1</v>
      </c>
      <c r="G19" s="83">
        <f>C127</f>
        <v>0</v>
      </c>
      <c r="H19" s="76">
        <f>G19+SUM(C19:D19)</f>
        <v>3</v>
      </c>
      <c r="I19" s="84"/>
      <c r="J19" s="84"/>
      <c r="K19" s="76">
        <f>SUM(H19:J19)+SUM(E19:F19)</f>
        <v>6</v>
      </c>
      <c r="L19" s="85"/>
      <c r="M19" s="86"/>
      <c r="N19" s="80" t="str">
        <f>M19+2&amp;"D+"&amp;SUM(K19:L19)</f>
        <v>2D+6</v>
      </c>
      <c r="O19"/>
    </row>
    <row r="20" spans="2:15" ht="12.75">
      <c r="B20" s="87" t="s">
        <v>71</v>
      </c>
      <c r="C20" s="71">
        <f>VLOOKUP($C$9,'武器・種族・職業のリスト'!$B$4:$K$17,8,0)</f>
        <v>2</v>
      </c>
      <c r="D20" s="81"/>
      <c r="E20" s="88">
        <v>0</v>
      </c>
      <c r="F20" s="71">
        <v>0</v>
      </c>
      <c r="G20" s="83">
        <f>C128</f>
        <v>0</v>
      </c>
      <c r="H20" s="76">
        <f>G20+SUM(C20:D20)</f>
        <v>2</v>
      </c>
      <c r="I20" s="84">
        <v>3</v>
      </c>
      <c r="J20" s="84"/>
      <c r="K20" s="76">
        <f>SUM(H20:J20)+SUM(E20:F20)</f>
        <v>5</v>
      </c>
      <c r="L20" s="85"/>
      <c r="M20" s="86"/>
      <c r="N20" s="89" t="s">
        <v>72</v>
      </c>
      <c r="O20"/>
    </row>
    <row r="21" spans="2:15" ht="12.75">
      <c r="B21" s="3" t="s">
        <v>73</v>
      </c>
      <c r="C21" s="71">
        <f>VLOOKUP($C$9,'武器・種族・職業のリスト'!$B$4:$K$17,9,0)</f>
        <v>2</v>
      </c>
      <c r="D21" s="81">
        <v>1</v>
      </c>
      <c r="E21" s="88">
        <v>0</v>
      </c>
      <c r="F21" s="71">
        <v>0</v>
      </c>
      <c r="G21" s="83">
        <f>C129</f>
        <v>0</v>
      </c>
      <c r="H21" s="76">
        <f>G21+SUM(C21:D21)</f>
        <v>3</v>
      </c>
      <c r="I21" s="84"/>
      <c r="J21" s="84"/>
      <c r="K21" s="76">
        <f>SUM(H21:J21)+SUM(E21:F21)</f>
        <v>3</v>
      </c>
      <c r="L21" s="85"/>
      <c r="M21" s="86"/>
      <c r="N21" s="89" t="s">
        <v>72</v>
      </c>
      <c r="O21"/>
    </row>
    <row r="22" spans="2:15" ht="12.75">
      <c r="B22" s="90" t="s">
        <v>44</v>
      </c>
      <c r="C22" s="91">
        <f>VLOOKUP($C$9,'武器・種族・職業のリスト'!$B$4:$K$17,10,0)</f>
        <v>1</v>
      </c>
      <c r="D22" s="92"/>
      <c r="E22" s="93">
        <v>0</v>
      </c>
      <c r="F22" s="91">
        <v>0</v>
      </c>
      <c r="G22" s="94">
        <f>C130</f>
        <v>0</v>
      </c>
      <c r="H22" s="95">
        <f>G22+SUM(C22:D22)</f>
        <v>1</v>
      </c>
      <c r="I22" s="96"/>
      <c r="J22" s="96"/>
      <c r="K22" s="95">
        <f>SUM(H22:J22)+SUM(E22:F22)</f>
        <v>1</v>
      </c>
      <c r="L22" s="97"/>
      <c r="M22" s="98"/>
      <c r="N22" s="99" t="s">
        <v>72</v>
      </c>
      <c r="O22"/>
    </row>
    <row r="23" spans="2:13" ht="12.75">
      <c r="B23" s="28"/>
      <c r="G23" s="100"/>
      <c r="K23" s="101"/>
      <c r="L23" s="102"/>
      <c r="M23" s="103" t="s">
        <v>74</v>
      </c>
    </row>
    <row r="24" spans="2:12" ht="12.75">
      <c r="B24" s="28" t="s">
        <v>62</v>
      </c>
      <c r="C24" s="55"/>
      <c r="J24" s="104" t="s">
        <v>75</v>
      </c>
      <c r="K24" s="104"/>
      <c r="L24" s="105" t="s">
        <v>76</v>
      </c>
    </row>
    <row r="25" spans="2:14" ht="12.75">
      <c r="B25" s="65"/>
      <c r="C25" s="106" t="s">
        <v>77</v>
      </c>
      <c r="D25" s="107" t="s">
        <v>78</v>
      </c>
      <c r="E25" s="108" t="s">
        <v>58</v>
      </c>
      <c r="F25" s="3" t="s">
        <v>61</v>
      </c>
      <c r="G25" s="3" t="s">
        <v>62</v>
      </c>
      <c r="H25"/>
      <c r="J25" s="109" t="s">
        <v>79</v>
      </c>
      <c r="K25" s="110"/>
      <c r="L25" s="110"/>
      <c r="M25" s="110"/>
      <c r="N25" s="110"/>
    </row>
    <row r="26" spans="2:14" ht="12.75">
      <c r="B26" s="3" t="s">
        <v>80</v>
      </c>
      <c r="C26" s="3"/>
      <c r="D26" s="3"/>
      <c r="E26" s="3"/>
      <c r="F26" s="3"/>
      <c r="G26" s="3"/>
      <c r="H26"/>
      <c r="J26" s="109" t="s">
        <v>81</v>
      </c>
      <c r="K26" s="110"/>
      <c r="L26" s="110"/>
      <c r="M26" s="110"/>
      <c r="N26" s="110"/>
    </row>
    <row r="27" spans="2:14" ht="12.75">
      <c r="B27" s="111" t="s">
        <v>82</v>
      </c>
      <c r="C27" s="112">
        <f>K16+K21</f>
        <v>5</v>
      </c>
      <c r="D27" s="113">
        <v>0</v>
      </c>
      <c r="E27" s="114">
        <f>I56</f>
        <v>0</v>
      </c>
      <c r="F27" s="79">
        <v>0</v>
      </c>
      <c r="G27" s="80" t="str">
        <f>F27+2&amp;"D+"&amp;SUM(C27:E27)</f>
        <v>2D+5</v>
      </c>
      <c r="H27"/>
      <c r="J27" s="109" t="s">
        <v>83</v>
      </c>
      <c r="K27" s="110" t="s">
        <v>84</v>
      </c>
      <c r="L27" s="110"/>
      <c r="M27" s="110"/>
      <c r="N27" s="110"/>
    </row>
    <row r="28" spans="2:14" ht="12.75">
      <c r="B28" s="115" t="s">
        <v>85</v>
      </c>
      <c r="C28" s="71">
        <f>K20</f>
        <v>5</v>
      </c>
      <c r="D28" s="81">
        <v>0</v>
      </c>
      <c r="E28" s="116">
        <f>J56</f>
        <v>0</v>
      </c>
      <c r="F28" s="79">
        <v>0</v>
      </c>
      <c r="G28" s="80" t="str">
        <f>F28+1&amp;"D+"&amp;SUM(C28:E28)</f>
        <v>1D+5</v>
      </c>
      <c r="H28"/>
      <c r="J28" s="117" t="s">
        <v>86</v>
      </c>
      <c r="K28" s="118"/>
      <c r="L28" s="118"/>
      <c r="M28" s="118"/>
      <c r="N28" s="118"/>
    </row>
    <row r="29" spans="2:14" ht="12.75">
      <c r="B29" s="115" t="s">
        <v>87</v>
      </c>
      <c r="C29" s="88">
        <f>K20+K15</f>
        <v>13</v>
      </c>
      <c r="D29" s="81">
        <f>15+K18</f>
        <v>19</v>
      </c>
      <c r="E29" s="116">
        <f>N56</f>
        <v>0</v>
      </c>
      <c r="F29" s="79">
        <v>0</v>
      </c>
      <c r="G29" s="80" t="str">
        <f>F29+1&amp;"D+"&amp;SUM(C29:E29)</f>
        <v>1D+32</v>
      </c>
      <c r="H29"/>
      <c r="J29" s="117"/>
      <c r="K29" s="118"/>
      <c r="L29" s="118"/>
      <c r="M29" s="118"/>
      <c r="N29" s="118"/>
    </row>
    <row r="30" spans="2:14" ht="12.75">
      <c r="B30" s="3" t="s">
        <v>88</v>
      </c>
      <c r="C30" s="3"/>
      <c r="D30" s="3"/>
      <c r="E30" s="3"/>
      <c r="F30" s="3"/>
      <c r="G30" s="3"/>
      <c r="H30"/>
      <c r="J30" s="117"/>
      <c r="K30" s="118"/>
      <c r="L30" s="118"/>
      <c r="M30" s="118"/>
      <c r="N30" s="118"/>
    </row>
    <row r="31" spans="2:14" ht="12.75">
      <c r="B31" s="111" t="s">
        <v>82</v>
      </c>
      <c r="C31" s="119">
        <f>K16+K21</f>
        <v>5</v>
      </c>
      <c r="D31" s="81">
        <v>0</v>
      </c>
      <c r="E31" s="116">
        <f>I57</f>
        <v>1</v>
      </c>
      <c r="F31" s="79">
        <v>0</v>
      </c>
      <c r="G31" s="80" t="str">
        <f>F31+2&amp;"D+"&amp;SUM(C31:E31)</f>
        <v>2D+6</v>
      </c>
      <c r="H31"/>
      <c r="J31" s="117"/>
      <c r="K31" s="118"/>
      <c r="L31" s="118"/>
      <c r="M31" s="118"/>
      <c r="N31" s="118"/>
    </row>
    <row r="32" spans="2:14" ht="12.75">
      <c r="B32" s="115" t="s">
        <v>85</v>
      </c>
      <c r="C32" s="82">
        <f>K20</f>
        <v>5</v>
      </c>
      <c r="D32" s="81">
        <v>0</v>
      </c>
      <c r="E32" s="116">
        <f>J57</f>
        <v>2</v>
      </c>
      <c r="F32" s="79">
        <v>0</v>
      </c>
      <c r="G32" s="80" t="str">
        <f>F32+1&amp;"D+"&amp;SUM(C32:E32)</f>
        <v>1D+7</v>
      </c>
      <c r="H32"/>
      <c r="J32" s="117"/>
      <c r="K32" s="118"/>
      <c r="L32" s="118"/>
      <c r="M32" s="118"/>
      <c r="N32" s="118"/>
    </row>
    <row r="33" spans="2:14" ht="12.75">
      <c r="B33" s="115" t="s">
        <v>87</v>
      </c>
      <c r="C33" s="88">
        <f>K20+K15</f>
        <v>13</v>
      </c>
      <c r="D33" s="81">
        <v>0</v>
      </c>
      <c r="E33" s="116">
        <f>N57</f>
        <v>5</v>
      </c>
      <c r="F33" s="79">
        <v>0</v>
      </c>
      <c r="G33" s="80" t="str">
        <f>F33+1&amp;"D+"&amp;SUM(C33:E33)</f>
        <v>1D+18</v>
      </c>
      <c r="H33"/>
      <c r="J33" s="55" t="s">
        <v>89</v>
      </c>
      <c r="K33"/>
      <c r="L33"/>
      <c r="M33"/>
      <c r="N33"/>
    </row>
    <row r="34" spans="2:14" ht="12.75">
      <c r="B34" s="3" t="s">
        <v>90</v>
      </c>
      <c r="C34" s="3"/>
      <c r="D34" s="3"/>
      <c r="E34" s="3"/>
      <c r="F34" s="3"/>
      <c r="G34" s="3"/>
      <c r="H34"/>
      <c r="J34" s="55"/>
      <c r="K34"/>
      <c r="L34"/>
      <c r="M34"/>
      <c r="N34"/>
    </row>
    <row r="35" spans="2:14" ht="12.75">
      <c r="B35" s="115" t="s">
        <v>91</v>
      </c>
      <c r="C35" s="88">
        <f>K19+K21</f>
        <v>9</v>
      </c>
      <c r="D35" s="81">
        <v>3</v>
      </c>
      <c r="E35" s="116">
        <f>O58</f>
        <v>0</v>
      </c>
      <c r="F35" s="79">
        <v>0</v>
      </c>
      <c r="G35" s="80" t="str">
        <f>F35+2&amp;"D+"&amp;SUM(C35:E35)</f>
        <v>2D+12</v>
      </c>
      <c r="H35"/>
      <c r="J35"/>
      <c r="K35"/>
      <c r="L35"/>
      <c r="M35"/>
      <c r="N35"/>
    </row>
    <row r="36" spans="2:14" ht="13.5" customHeight="1">
      <c r="B36" s="120" t="s">
        <v>92</v>
      </c>
      <c r="C36" s="93">
        <f>K17</f>
        <v>3</v>
      </c>
      <c r="D36" s="92">
        <v>0</v>
      </c>
      <c r="E36" s="121">
        <f>I75</f>
        <v>0</v>
      </c>
      <c r="F36" s="122">
        <v>0</v>
      </c>
      <c r="G36" s="123" t="str">
        <f>F36+2&amp;"D+"&amp;SUM(C36:E36)</f>
        <v>2D+3</v>
      </c>
      <c r="H36"/>
      <c r="J36"/>
      <c r="K36"/>
      <c r="L36"/>
      <c r="M36"/>
      <c r="N36"/>
    </row>
    <row r="37" spans="2:11" ht="13.5" customHeight="1">
      <c r="B37" s="124"/>
      <c r="D37" s="102"/>
      <c r="E37" s="102"/>
      <c r="G37" s="100"/>
      <c r="H37"/>
      <c r="I37" s="102"/>
      <c r="K37"/>
    </row>
    <row r="38" spans="2:14" ht="12.75">
      <c r="B38" s="63" t="s">
        <v>93</v>
      </c>
      <c r="C38" s="55"/>
      <c r="H38"/>
      <c r="J38" s="20" t="s">
        <v>94</v>
      </c>
      <c r="K38" s="20"/>
      <c r="N38" s="55"/>
    </row>
    <row r="39" spans="2:15" ht="12.75">
      <c r="B39" s="125"/>
      <c r="C39" s="126" t="s">
        <v>62</v>
      </c>
      <c r="D39" s="108" t="s">
        <v>78</v>
      </c>
      <c r="E39" s="3" t="s">
        <v>58</v>
      </c>
      <c r="F39" s="3" t="s">
        <v>61</v>
      </c>
      <c r="G39" s="3" t="s">
        <v>95</v>
      </c>
      <c r="H39"/>
      <c r="J39" s="127" t="s">
        <v>96</v>
      </c>
      <c r="K39" s="128">
        <v>100000</v>
      </c>
      <c r="L39" s="128"/>
      <c r="M39" s="129"/>
      <c r="N39" s="129"/>
      <c r="O39" s="129"/>
    </row>
    <row r="40" spans="2:15" ht="12.75">
      <c r="B40" s="130" t="s">
        <v>97</v>
      </c>
      <c r="C40" s="131">
        <f>K18</f>
        <v>4</v>
      </c>
      <c r="D40" s="113">
        <v>0</v>
      </c>
      <c r="E40" s="132">
        <v>0</v>
      </c>
      <c r="F40" s="79">
        <v>0</v>
      </c>
      <c r="G40" s="80" t="str">
        <f>F40+2&amp;"D+"&amp;SUM(C40:E40)</f>
        <v>2D+4</v>
      </c>
      <c r="H40"/>
      <c r="J40" s="133" t="s">
        <v>98</v>
      </c>
      <c r="K40" s="134">
        <v>870000</v>
      </c>
      <c r="L40" s="134"/>
      <c r="M40" s="129"/>
      <c r="N40" s="129"/>
      <c r="O40" s="129"/>
    </row>
    <row r="41" spans="2:15" ht="12.75">
      <c r="B41" s="135" t="s">
        <v>99</v>
      </c>
      <c r="C41" s="136">
        <f>K16</f>
        <v>2</v>
      </c>
      <c r="D41" s="81">
        <v>0</v>
      </c>
      <c r="E41" s="137">
        <v>0</v>
      </c>
      <c r="F41" s="79">
        <v>0</v>
      </c>
      <c r="G41" s="80" t="str">
        <f>F41+2&amp;"D+"&amp;SUM(C41:E41)</f>
        <v>2D+2</v>
      </c>
      <c r="H41"/>
      <c r="J41" s="138" t="s">
        <v>100</v>
      </c>
      <c r="K41" s="139">
        <v>1500000</v>
      </c>
      <c r="L41" s="139"/>
      <c r="M41" s="129"/>
      <c r="N41" s="129"/>
      <c r="O41" s="129"/>
    </row>
    <row r="42" spans="2:15" ht="12.75">
      <c r="B42" s="135" t="s">
        <v>101</v>
      </c>
      <c r="C42" s="136">
        <f>K15</f>
        <v>8</v>
      </c>
      <c r="D42" s="81">
        <v>0</v>
      </c>
      <c r="E42" s="137">
        <v>0</v>
      </c>
      <c r="F42" s="79">
        <v>0</v>
      </c>
      <c r="G42" s="80" t="str">
        <f>F42+2&amp;"D+"&amp;SUM(C42:E42)</f>
        <v>2D+8</v>
      </c>
      <c r="H42"/>
      <c r="J42" s="140" t="s">
        <v>94</v>
      </c>
      <c r="K42" s="141">
        <f>K39+K41-K40</f>
        <v>730000</v>
      </c>
      <c r="L42" s="141"/>
      <c r="M42" s="129"/>
      <c r="N42" s="129"/>
      <c r="O42" s="129"/>
    </row>
    <row r="43" spans="2:15" ht="12.75">
      <c r="B43" s="135" t="s">
        <v>102</v>
      </c>
      <c r="C43" s="136">
        <f>K18</f>
        <v>4</v>
      </c>
      <c r="D43" s="81">
        <v>0</v>
      </c>
      <c r="E43" s="137">
        <v>0</v>
      </c>
      <c r="F43" s="79">
        <v>0</v>
      </c>
      <c r="G43" s="80" t="str">
        <f>F43+2&amp;"D+"&amp;SUM(C43:E43)</f>
        <v>2D+4</v>
      </c>
      <c r="H43"/>
      <c r="M43" s="129"/>
      <c r="N43" s="129"/>
      <c r="O43" s="129"/>
    </row>
    <row r="44" spans="2:15" ht="12.75">
      <c r="B44" s="135" t="s">
        <v>103</v>
      </c>
      <c r="C44" s="136">
        <f>K15</f>
        <v>8</v>
      </c>
      <c r="D44" s="81">
        <v>0</v>
      </c>
      <c r="E44" s="137">
        <v>0</v>
      </c>
      <c r="F44" s="79">
        <v>1</v>
      </c>
      <c r="G44" s="80" t="str">
        <f>F44+2&amp;"D+"&amp;SUM(C44:E44)</f>
        <v>3D+8</v>
      </c>
      <c r="H44"/>
      <c r="J44" s="142" t="s">
        <v>104</v>
      </c>
      <c r="K44" s="143">
        <v>0</v>
      </c>
      <c r="L44" s="144"/>
      <c r="M44" s="129"/>
      <c r="N44" s="129"/>
      <c r="O44" s="129"/>
    </row>
    <row r="45" spans="2:15" ht="12.75">
      <c r="B45" s="135" t="s">
        <v>105</v>
      </c>
      <c r="C45" s="136">
        <f>K15</f>
        <v>8</v>
      </c>
      <c r="D45" s="81">
        <v>0</v>
      </c>
      <c r="E45" s="137">
        <v>0</v>
      </c>
      <c r="F45" s="86">
        <v>0</v>
      </c>
      <c r="G45" s="145" t="str">
        <f>F45+2&amp;"D+"&amp;SUM(C45:E45)</f>
        <v>2D+8</v>
      </c>
      <c r="H45"/>
      <c r="K45" s="144"/>
      <c r="L45" s="144"/>
      <c r="M45" s="129"/>
      <c r="N45" s="129"/>
      <c r="O45" s="129"/>
    </row>
    <row r="46" spans="2:15" ht="12.75">
      <c r="B46" s="146" t="s">
        <v>106</v>
      </c>
      <c r="C46" s="147">
        <f>K18</f>
        <v>4</v>
      </c>
      <c r="D46" s="92">
        <v>0</v>
      </c>
      <c r="E46" s="148">
        <v>0</v>
      </c>
      <c r="F46" s="122">
        <v>0</v>
      </c>
      <c r="G46" s="149" t="str">
        <f>F46+2&amp;"D+"&amp;SUM(C46:E46)</f>
        <v>2D+4</v>
      </c>
      <c r="H46"/>
      <c r="K46" s="144"/>
      <c r="L46" s="144"/>
      <c r="M46" s="129"/>
      <c r="N46" s="129"/>
      <c r="O46" s="129"/>
    </row>
    <row r="47" spans="11:15" ht="12.75">
      <c r="K47" s="144"/>
      <c r="L47" s="144"/>
      <c r="M47" s="129"/>
      <c r="N47" s="129"/>
      <c r="O47" s="129"/>
    </row>
    <row r="48" spans="2:13" ht="12.75">
      <c r="B48" s="63" t="s">
        <v>107</v>
      </c>
      <c r="C48" s="55" t="str">
        <f>IF(OR((K14*3)&lt;(SUM($H$50:$H$53)+SUM($H$61:$H$62)),(K14*3)&lt;(H60+SUM($H$63:$H$64))),"重量限界値を超えています","限界値を超えている場合、ココに表示されます")</f>
        <v>限界値を超えている場合、ココに表示されます</v>
      </c>
      <c r="H48" s="55" t="s">
        <v>108</v>
      </c>
      <c r="M48" s="55"/>
    </row>
    <row r="49" spans="2:16" ht="12.75">
      <c r="B49" s="150"/>
      <c r="C49" s="3" t="s">
        <v>109</v>
      </c>
      <c r="D49" s="3"/>
      <c r="E49" s="151" t="s">
        <v>110</v>
      </c>
      <c r="F49" s="3" t="s">
        <v>111</v>
      </c>
      <c r="G49" s="3" t="s">
        <v>13</v>
      </c>
      <c r="H49" s="3" t="s">
        <v>112</v>
      </c>
      <c r="I49" s="3" t="s">
        <v>113</v>
      </c>
      <c r="J49" s="152" t="s">
        <v>114</v>
      </c>
      <c r="K49" s="153" t="s">
        <v>115</v>
      </c>
      <c r="L49" s="3" t="s">
        <v>116</v>
      </c>
      <c r="M49" s="153" t="s">
        <v>117</v>
      </c>
      <c r="N49" s="3" t="s">
        <v>118</v>
      </c>
      <c r="O49" s="3" t="s">
        <v>91</v>
      </c>
      <c r="P49" s="3" t="s">
        <v>31</v>
      </c>
    </row>
    <row r="50" spans="2:16" ht="12.75">
      <c r="B50" s="154" t="s">
        <v>80</v>
      </c>
      <c r="C50" s="155" t="s">
        <v>119</v>
      </c>
      <c r="D50" s="155"/>
      <c r="E50" s="156" t="str">
        <f>VLOOKUP($C50,'武器・種族・職業のリスト'!$B$52:$M$226,3,FALSE)</f>
        <v>なし</v>
      </c>
      <c r="F50" s="157" t="str">
        <f>VLOOKUP($C50,'武器・種族・職業のリスト'!$B$52:$M$226,4,FALSE)</f>
        <v>片手</v>
      </c>
      <c r="G50" s="157">
        <f>VLOOKUP($C50,'武器・種族・職業のリスト'!$B$52:$M$226,5,FALSE)</f>
        <v>1</v>
      </c>
      <c r="H50" s="157">
        <f>VLOOKUP($C50,'武器・種族・職業のリスト'!$B$52:$M$226,6,FALSE)</f>
        <v>0</v>
      </c>
      <c r="I50" s="157">
        <f>VLOOKUP($C50,'武器・種族・職業のリスト'!$B$52:$M$226,7,FALSE)</f>
        <v>0</v>
      </c>
      <c r="J50" s="157">
        <f>VLOOKUP($C50,'武器・種族・職業のリスト'!$B$52:$M$226,8,FALSE)</f>
        <v>0</v>
      </c>
      <c r="K50" s="157">
        <f>VLOOKUP($C50,'武器・種族・職業のリスト'!$B$52:$M$226,9,FALSE)</f>
        <v>0</v>
      </c>
      <c r="L50" s="157">
        <f>VLOOKUP($C50,'武器・種族・職業のリスト'!$B$52:$M$226,10,FALSE)</f>
        <v>1</v>
      </c>
      <c r="M50" s="157">
        <f>VLOOKUP($C50,'武器・種族・職業のリスト'!$B$52:$M$226,11,FALSE)</f>
        <v>0</v>
      </c>
      <c r="N50" s="157">
        <f>VLOOKUP($C50,'武器・種族・職業のリスト'!$B$52:$M$226,12,FALSE)</f>
        <v>0</v>
      </c>
      <c r="O50" s="158">
        <v>0</v>
      </c>
      <c r="P50" s="159"/>
    </row>
    <row r="51" spans="2:16" ht="12.75">
      <c r="B51" s="160" t="s">
        <v>88</v>
      </c>
      <c r="C51" s="155" t="s">
        <v>120</v>
      </c>
      <c r="D51" s="155"/>
      <c r="E51" s="156" t="str">
        <f>VLOOKUP($C51,'武器・種族・職業のリスト'!$B$52:$M$226,3,FALSE)</f>
        <v>短剣</v>
      </c>
      <c r="F51" s="157" t="str">
        <f>VLOOKUP($C51,'武器・種族・職業のリスト'!$B$52:$M$226,4,FALSE)</f>
        <v>片手</v>
      </c>
      <c r="G51" s="157">
        <f>VLOOKUP($C51,'武器・種族・職業のリスト'!$B$52:$M$226,5,FALSE)</f>
        <v>4</v>
      </c>
      <c r="H51" s="157">
        <f>VLOOKUP($C51,'武器・種族・職業のリスト'!$B$52:$M$226,6,FALSE)</f>
        <v>2</v>
      </c>
      <c r="I51" s="157">
        <f>VLOOKUP($C51,'武器・種族・職業のリスト'!$B$52:$M$226,7,FALSE)</f>
        <v>1</v>
      </c>
      <c r="J51" s="157">
        <f>VLOOKUP($C51,'武器・種族・職業のリスト'!$B$52:$M$226,8,FALSE)</f>
        <v>2</v>
      </c>
      <c r="K51" s="157">
        <f>VLOOKUP($C51,'武器・種族・職業のリスト'!$B$52:$M$226,9,FALSE)</f>
        <v>0</v>
      </c>
      <c r="L51" s="157">
        <f>VLOOKUP($C51,'武器・種族・職業のリスト'!$B$52:$M$226,10,FALSE)</f>
        <v>1</v>
      </c>
      <c r="M51" s="157">
        <f>VLOOKUP($C51,'武器・種族・職業のリスト'!$B$52:$M$226,11,FALSE)</f>
        <v>260000</v>
      </c>
      <c r="N51" s="157">
        <f>VLOOKUP($C51,'武器・種族・職業のリスト'!$B$52:$M$226,12,FALSE)</f>
        <v>5</v>
      </c>
      <c r="O51" s="158">
        <v>0</v>
      </c>
      <c r="P51" s="159"/>
    </row>
    <row r="52" spans="2:16" ht="12.75" hidden="1" outlineLevel="1">
      <c r="B52" s="130" t="s">
        <v>121</v>
      </c>
      <c r="C52" s="161"/>
      <c r="D52" s="161"/>
      <c r="E52" s="161"/>
      <c r="F52" s="161"/>
      <c r="G52" s="162"/>
      <c r="H52" s="77"/>
      <c r="I52" s="77"/>
      <c r="J52" s="77"/>
      <c r="K52" s="163"/>
      <c r="L52" s="161"/>
      <c r="M52" s="164"/>
      <c r="N52" s="77"/>
      <c r="O52" s="77"/>
      <c r="P52" s="77"/>
    </row>
    <row r="53" spans="2:16" ht="12.75" hidden="1" outlineLevel="1">
      <c r="B53" s="130"/>
      <c r="C53" s="24"/>
      <c r="D53" s="24"/>
      <c r="E53" s="165"/>
      <c r="F53" s="165"/>
      <c r="G53" s="166"/>
      <c r="H53" s="167"/>
      <c r="I53" s="167"/>
      <c r="J53" s="167"/>
      <c r="L53" s="165"/>
      <c r="M53" s="168"/>
      <c r="N53" s="167"/>
      <c r="O53" s="169"/>
      <c r="P53" s="169"/>
    </row>
    <row r="54" spans="2:16" ht="12.75" hidden="1" outlineLevel="1">
      <c r="B54" s="155" t="s">
        <v>122</v>
      </c>
      <c r="C54" s="161"/>
      <c r="D54" s="161"/>
      <c r="E54" s="161"/>
      <c r="F54" s="161"/>
      <c r="G54" s="161"/>
      <c r="H54" s="161"/>
      <c r="I54" s="161"/>
      <c r="J54" s="161"/>
      <c r="K54" s="161"/>
      <c r="L54" s="161"/>
      <c r="M54" s="161"/>
      <c r="N54" s="161"/>
      <c r="O54" s="161"/>
      <c r="P54" s="161"/>
    </row>
    <row r="55" spans="2:16" ht="12.75" hidden="1" outlineLevel="1">
      <c r="B55" s="90" t="s">
        <v>123</v>
      </c>
      <c r="C55" s="170"/>
      <c r="D55" s="170"/>
      <c r="E55" s="170"/>
      <c r="F55" s="170"/>
      <c r="G55" s="170"/>
      <c r="H55" s="170"/>
      <c r="I55" s="170"/>
      <c r="J55" s="170"/>
      <c r="K55" s="170"/>
      <c r="L55" s="170"/>
      <c r="M55" s="170"/>
      <c r="N55" s="170"/>
      <c r="O55" s="170"/>
      <c r="P55" s="170"/>
    </row>
    <row r="56" spans="1:256" ht="12.75">
      <c r="A56"/>
      <c r="B56" s="171" t="s">
        <v>80</v>
      </c>
      <c r="C56" s="172" t="s">
        <v>124</v>
      </c>
      <c r="D56" s="172"/>
      <c r="E56" s="172" t="s">
        <v>72</v>
      </c>
      <c r="F56" s="172" t="s">
        <v>72</v>
      </c>
      <c r="G56" s="172">
        <f>G50+G52</f>
        <v>1</v>
      </c>
      <c r="H56" s="173">
        <f>H50+H52</f>
        <v>0</v>
      </c>
      <c r="I56" s="173">
        <f>I50+I52</f>
        <v>0</v>
      </c>
      <c r="J56" s="173">
        <f>J50+J52</f>
        <v>0</v>
      </c>
      <c r="K56" s="173">
        <f>K50+K52</f>
        <v>0</v>
      </c>
      <c r="L56" s="172">
        <f>L50+L52</f>
        <v>1</v>
      </c>
      <c r="M56" s="173">
        <f>M50+M52</f>
        <v>0</v>
      </c>
      <c r="N56" s="173">
        <f>N50+N52</f>
        <v>0</v>
      </c>
      <c r="O56" s="173">
        <f>SUM(O50:O53)</f>
        <v>0</v>
      </c>
      <c r="P56" s="174"/>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c r="B57" s="171" t="s">
        <v>88</v>
      </c>
      <c r="C57" s="172" t="s">
        <v>125</v>
      </c>
      <c r="D57" s="172"/>
      <c r="E57" s="172" t="s">
        <v>72</v>
      </c>
      <c r="F57" s="172" t="s">
        <v>72</v>
      </c>
      <c r="G57" s="172">
        <f>G51+G53</f>
        <v>4</v>
      </c>
      <c r="H57" s="173">
        <f>H51+H53</f>
        <v>2</v>
      </c>
      <c r="I57" s="173">
        <f>I51+I53</f>
        <v>1</v>
      </c>
      <c r="J57" s="173">
        <f>J51+J53</f>
        <v>2</v>
      </c>
      <c r="K57" s="173">
        <f>K51+K53</f>
        <v>0</v>
      </c>
      <c r="L57" s="172">
        <f>L51+L53</f>
        <v>1</v>
      </c>
      <c r="M57" s="173">
        <f>M51+M53</f>
        <v>260000</v>
      </c>
      <c r="N57" s="173">
        <f>N51+N53</f>
        <v>5</v>
      </c>
      <c r="O57" s="173">
        <f>SUM(O51:O54)</f>
        <v>0</v>
      </c>
      <c r="P57" s="174"/>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2.75">
      <c r="B58" s="3" t="s">
        <v>126</v>
      </c>
      <c r="C58" s="175" t="str">
        <f>SUM(H50:H53)+SUM(H61:H62)&amp;"/"&amp;K14*3&amp;"(重量/限界値）"</f>
        <v>2/6(重量/限界値）</v>
      </c>
      <c r="D58" s="175"/>
      <c r="E58" s="3" t="s">
        <v>72</v>
      </c>
      <c r="F58" s="3" t="s">
        <v>72</v>
      </c>
      <c r="G58" s="3" t="s">
        <v>72</v>
      </c>
      <c r="H58" s="69">
        <f>SUM(H50:H53)</f>
        <v>2</v>
      </c>
      <c r="I58" s="69">
        <f>SUM(I50:I53)</f>
        <v>1</v>
      </c>
      <c r="J58" s="69">
        <f>SUM(J50:J53)</f>
        <v>2</v>
      </c>
      <c r="K58" s="69">
        <f>SUM(K50:K53)</f>
        <v>0</v>
      </c>
      <c r="L58" s="3" t="s">
        <v>72</v>
      </c>
      <c r="M58" s="69">
        <f>SUM(M50:M53)</f>
        <v>260000</v>
      </c>
      <c r="N58" s="69">
        <f>SUM(N50:N53)</f>
        <v>5</v>
      </c>
      <c r="O58" s="176">
        <f>SUM(O50:O53)</f>
        <v>0</v>
      </c>
      <c r="P58" s="69"/>
    </row>
    <row r="59" spans="2:16" ht="12.75">
      <c r="B59" s="3"/>
      <c r="C59" s="3" t="s">
        <v>109</v>
      </c>
      <c r="D59" s="3"/>
      <c r="E59" s="3" t="s">
        <v>110</v>
      </c>
      <c r="F59" s="3" t="s">
        <v>111</v>
      </c>
      <c r="G59" s="3" t="s">
        <v>13</v>
      </c>
      <c r="H59" s="3" t="s">
        <v>112</v>
      </c>
      <c r="I59" s="3" t="s">
        <v>127</v>
      </c>
      <c r="J59" s="152" t="s">
        <v>114</v>
      </c>
      <c r="K59" s="153" t="s">
        <v>115</v>
      </c>
      <c r="L59" s="3" t="s">
        <v>116</v>
      </c>
      <c r="M59" s="153" t="s">
        <v>117</v>
      </c>
      <c r="N59" s="3" t="s">
        <v>32</v>
      </c>
      <c r="O59" s="153" t="s">
        <v>38</v>
      </c>
      <c r="P59" s="90" t="s">
        <v>31</v>
      </c>
    </row>
    <row r="60" spans="2:16" ht="12.75">
      <c r="B60" s="177" t="s">
        <v>128</v>
      </c>
      <c r="C60" s="155" t="s">
        <v>129</v>
      </c>
      <c r="D60" s="155"/>
      <c r="E60" s="178" t="str">
        <f>VLOOKUP(C60,'防具リスト表'!$B$5:$N$201,3,0)</f>
        <v>服</v>
      </c>
      <c r="F60" s="178" t="str">
        <f>VLOOKUP(C60,'防具リスト表'!$B$5:$N$201,4,0)</f>
        <v>胴</v>
      </c>
      <c r="G60" s="83">
        <f>VLOOKUP(C60,'防具リスト表'!$B$5:$N$201,5,0)</f>
        <v>4</v>
      </c>
      <c r="H60" s="83">
        <f>VLOOKUP(C60,'防具リスト表'!$B$5:$N$201,6,0)</f>
        <v>4</v>
      </c>
      <c r="I60" s="83">
        <f>VLOOKUP(C60,'防具リスト表'!$B$5:$N$201,7,0)</f>
        <v>0</v>
      </c>
      <c r="J60" s="83">
        <f>VLOOKUP(C60,'防具リスト表'!$B$5:$N$201,8,0)</f>
        <v>0</v>
      </c>
      <c r="K60" s="179">
        <f>VLOOKUP(C60,'防具リスト表'!$B$5:$N$201,9,0)</f>
        <v>0</v>
      </c>
      <c r="L60" s="83">
        <f>VLOOKUP(C60,'防具リスト表'!$B$5:$N$201,10,0)</f>
        <v>0</v>
      </c>
      <c r="M60" s="180">
        <f>VLOOKUP(C60,'防具リスト表'!$B$5:$N$201,11,0)</f>
        <v>200000</v>
      </c>
      <c r="N60" s="83">
        <f>VLOOKUP(C60,'防具リスト表'!$B$5:$N$201,12,0)</f>
        <v>8</v>
      </c>
      <c r="O60" s="179">
        <f>VLOOKUP(C60,'防具リスト表'!$B$5:$N$201,13,0)</f>
        <v>2</v>
      </c>
      <c r="P60" s="84"/>
    </row>
    <row r="61" spans="2:16" ht="12.75">
      <c r="B61" s="13" t="s">
        <v>130</v>
      </c>
      <c r="C61" s="23" t="s">
        <v>131</v>
      </c>
      <c r="D61" s="23"/>
      <c r="E61" s="178">
        <f>VLOOKUP(C61,'防具リスト表'!$B$5:$N$201,3,0)</f>
        <v>0</v>
      </c>
      <c r="F61" s="178">
        <f>VLOOKUP(C61,'防具リスト表'!$B$5:$N$201,4,0)</f>
        <v>0</v>
      </c>
      <c r="G61" s="83">
        <f>VLOOKUP(C61,'防具リスト表'!$B$5:$N$201,5,0)</f>
        <v>0</v>
      </c>
      <c r="H61" s="83">
        <f>VLOOKUP(C61,'防具リスト表'!$B$5:$N$201,6,0)</f>
        <v>0</v>
      </c>
      <c r="I61" s="83">
        <f>VLOOKUP(C61,'防具リスト表'!$B$5:$N$201,7,0)</f>
        <v>0</v>
      </c>
      <c r="J61" s="83">
        <f>VLOOKUP(C61,'防具リスト表'!$B$5:$N$201,8,0)</f>
        <v>0</v>
      </c>
      <c r="K61" s="179">
        <f>VLOOKUP(C61,'防具リスト表'!$B$5:$N$201,9,0)</f>
        <v>0</v>
      </c>
      <c r="L61" s="83">
        <f>VLOOKUP(C61,'防具リスト表'!$B$5:$N$201,10,0)</f>
        <v>0</v>
      </c>
      <c r="M61" s="180">
        <f>VLOOKUP(C61,'防具リスト表'!$B$5:$N$201,11,0)</f>
        <v>0</v>
      </c>
      <c r="N61" s="83">
        <f>VLOOKUP(C61,'防具リスト表'!$B$5:$N$201,12,0)</f>
        <v>0</v>
      </c>
      <c r="O61" s="179">
        <f>VLOOKUP(C61,'防具リスト表'!$B$5:$N$201,13,0)</f>
        <v>0</v>
      </c>
      <c r="P61" s="84"/>
    </row>
    <row r="62" spans="2:16" ht="12.75">
      <c r="B62" s="13" t="s">
        <v>130</v>
      </c>
      <c r="C62" s="23" t="s">
        <v>131</v>
      </c>
      <c r="D62" s="23"/>
      <c r="E62" s="178">
        <f>VLOOKUP(C62,'防具リスト表'!$B$5:$N$201,3,0)</f>
        <v>0</v>
      </c>
      <c r="F62" s="178">
        <f>VLOOKUP(C62,'防具リスト表'!$B$5:$N$201,4,0)</f>
        <v>0</v>
      </c>
      <c r="G62" s="83">
        <f>VLOOKUP(C62,'防具リスト表'!$B$5:$N$201,5,0)</f>
        <v>0</v>
      </c>
      <c r="H62" s="83">
        <f>VLOOKUP(C62,'防具リスト表'!$B$5:$N$201,6,0)</f>
        <v>0</v>
      </c>
      <c r="I62" s="83">
        <f>VLOOKUP(C62,'防具リスト表'!$B$5:$N$201,7,0)</f>
        <v>0</v>
      </c>
      <c r="J62" s="83">
        <f>VLOOKUP(C62,'防具リスト表'!$B$5:$N$201,8,0)</f>
        <v>0</v>
      </c>
      <c r="K62" s="179">
        <f>VLOOKUP(C62,'防具リスト表'!$B$5:$N$201,9,0)</f>
        <v>0</v>
      </c>
      <c r="L62" s="83">
        <f>VLOOKUP(C62,'防具リスト表'!$B$5:$N$201,10,0)</f>
        <v>0</v>
      </c>
      <c r="M62" s="180">
        <f>VLOOKUP(C62,'防具リスト表'!$B$5:$N$201,11,0)</f>
        <v>0</v>
      </c>
      <c r="N62" s="83">
        <f>VLOOKUP(C62,'防具リスト表'!$B$5:$N$201,12,0)</f>
        <v>0</v>
      </c>
      <c r="O62" s="179">
        <f>VLOOKUP(C62,'防具リスト表'!$B$5:$N$201,13,0)</f>
        <v>0</v>
      </c>
      <c r="P62" s="84"/>
    </row>
    <row r="63" spans="2:16" ht="12.75">
      <c r="B63" s="181" t="s">
        <v>132</v>
      </c>
      <c r="C63" s="23" t="s">
        <v>133</v>
      </c>
      <c r="D63" s="23"/>
      <c r="E63" s="178" t="str">
        <f>VLOOKUP(C63,'防具リスト表'!$B$5:$N$201,3,0)</f>
        <v>装身具</v>
      </c>
      <c r="F63" s="178" t="str">
        <f>VLOOKUP(C63,'防具リスト表'!$B$5:$N$201,4,0)</f>
        <v>装身具</v>
      </c>
      <c r="G63" s="83">
        <f>VLOOKUP(C63,'防具リスト表'!$B$5:$N$201,5,0)</f>
        <v>1</v>
      </c>
      <c r="H63" s="83">
        <f>VLOOKUP(C63,'防具リスト表'!$B$5:$N$201,6,0)</f>
        <v>1</v>
      </c>
      <c r="I63" s="83">
        <f>VLOOKUP(C63,'防具リスト表'!$B$5:$N$201,7,0)</f>
        <v>0</v>
      </c>
      <c r="J63" s="83">
        <f>VLOOKUP(C63,'防具リスト表'!$B$5:$N$201,8,0)</f>
        <v>0</v>
      </c>
      <c r="K63" s="179">
        <f>VLOOKUP(C63,'防具リスト表'!$B$5:$N$201,9,0)</f>
        <v>0</v>
      </c>
      <c r="L63" s="83">
        <f>VLOOKUP(C63,'防具リスト表'!$B$5:$N$201,10,0)</f>
        <v>0</v>
      </c>
      <c r="M63" s="180">
        <f>VLOOKUP(C63,'防具リスト表'!$B$5:$N$201,11,0)</f>
        <v>150000</v>
      </c>
      <c r="N63" s="83">
        <f>VLOOKUP(C63,'防具リスト表'!$B$5:$N$201,12,0)</f>
        <v>0</v>
      </c>
      <c r="O63" s="179">
        <f>VLOOKUP(C63,'防具リスト表'!$B$5:$N$201,13,0)</f>
        <v>0</v>
      </c>
      <c r="P63" s="84"/>
    </row>
    <row r="64" spans="2:16" ht="12.75">
      <c r="B64" s="182" t="s">
        <v>132</v>
      </c>
      <c r="C64" s="23" t="s">
        <v>131</v>
      </c>
      <c r="D64" s="23"/>
      <c r="E64" s="178">
        <f>VLOOKUP(C64,'防具リスト表'!$B$5:$N$201,3,0)</f>
        <v>0</v>
      </c>
      <c r="F64" s="178">
        <f>VLOOKUP(C64,'防具リスト表'!$B$5:$N$201,4,0)</f>
        <v>0</v>
      </c>
      <c r="G64" s="83">
        <f>VLOOKUP(C64,'防具リスト表'!$B$5:$N$201,5,0)</f>
        <v>0</v>
      </c>
      <c r="H64" s="83">
        <f>VLOOKUP(C64,'防具リスト表'!$B$5:$N$201,6,0)</f>
        <v>0</v>
      </c>
      <c r="I64" s="83">
        <f>VLOOKUP(C64,'防具リスト表'!$B$5:$N$201,7,0)</f>
        <v>0</v>
      </c>
      <c r="J64" s="83">
        <f>VLOOKUP(C64,'防具リスト表'!$B$5:$N$201,8,0)</f>
        <v>0</v>
      </c>
      <c r="K64" s="179">
        <f>VLOOKUP(C64,'防具リスト表'!$B$5:$N$201,9,0)</f>
        <v>0</v>
      </c>
      <c r="L64" s="83">
        <f>VLOOKUP(C64,'防具リスト表'!$B$5:$N$201,10,0)</f>
        <v>0</v>
      </c>
      <c r="M64" s="180">
        <f>VLOOKUP(C64,'防具リスト表'!$B$5:$N$201,11,0)</f>
        <v>0</v>
      </c>
      <c r="N64" s="83">
        <f>VLOOKUP(C64,'防具リスト表'!$B$5:$N$201,12,0)</f>
        <v>0</v>
      </c>
      <c r="O64" s="179">
        <f>VLOOKUP(C64,'防具リスト表'!$B$5:$N$201,13,0)</f>
        <v>0</v>
      </c>
      <c r="P64" s="96"/>
    </row>
    <row r="65" spans="2:16" ht="12.75" hidden="1" outlineLevel="1">
      <c r="B65" s="130" t="s">
        <v>134</v>
      </c>
      <c r="C65" s="161"/>
      <c r="D65" s="161"/>
      <c r="E65" s="155"/>
      <c r="F65" s="155"/>
      <c r="G65" s="155"/>
      <c r="H65" s="155"/>
      <c r="I65" s="155"/>
      <c r="J65" s="155"/>
      <c r="K65" s="155"/>
      <c r="L65" s="155"/>
      <c r="M65" s="128"/>
      <c r="N65" s="155"/>
      <c r="O65" s="177"/>
      <c r="P65" s="84"/>
    </row>
    <row r="66" spans="2:16" ht="12.75" hidden="1" outlineLevel="1">
      <c r="B66" s="130"/>
      <c r="C66" s="183"/>
      <c r="D66" s="183"/>
      <c r="E66" s="23"/>
      <c r="F66" s="23"/>
      <c r="G66" s="23"/>
      <c r="H66" s="23"/>
      <c r="I66" s="23"/>
      <c r="J66" s="23"/>
      <c r="K66" s="23"/>
      <c r="L66" s="23"/>
      <c r="M66" s="134"/>
      <c r="N66" s="23"/>
      <c r="O66" s="181"/>
      <c r="P66" s="84"/>
    </row>
    <row r="67" spans="2:16" ht="12.75" hidden="1" outlineLevel="1">
      <c r="B67" s="130"/>
      <c r="C67" s="183"/>
      <c r="D67" s="183"/>
      <c r="E67" s="23"/>
      <c r="F67" s="23"/>
      <c r="G67" s="23"/>
      <c r="H67" s="23"/>
      <c r="I67" s="23"/>
      <c r="J67" s="23"/>
      <c r="K67" s="23"/>
      <c r="L67" s="23"/>
      <c r="M67" s="134"/>
      <c r="N67" s="23"/>
      <c r="O67" s="181"/>
      <c r="P67" s="84"/>
    </row>
    <row r="68" spans="2:16" ht="12.75" hidden="1" outlineLevel="1">
      <c r="B68" s="130"/>
      <c r="C68" s="183"/>
      <c r="D68" s="183"/>
      <c r="E68" s="23"/>
      <c r="F68" s="23"/>
      <c r="G68" s="23"/>
      <c r="H68" s="23"/>
      <c r="I68" s="23"/>
      <c r="J68" s="23"/>
      <c r="K68" s="23"/>
      <c r="L68" s="23"/>
      <c r="M68" s="134"/>
      <c r="N68" s="23"/>
      <c r="O68" s="181"/>
      <c r="P68" s="84"/>
    </row>
    <row r="69" spans="2:16" ht="12.75" hidden="1" outlineLevel="1">
      <c r="B69" s="130"/>
      <c r="C69" s="24"/>
      <c r="D69" s="24"/>
      <c r="E69" s="184"/>
      <c r="F69" s="184"/>
      <c r="G69" s="184"/>
      <c r="H69" s="184"/>
      <c r="I69" s="184"/>
      <c r="J69" s="184"/>
      <c r="K69" s="184"/>
      <c r="L69" s="184"/>
      <c r="M69" s="185"/>
      <c r="N69" s="184"/>
      <c r="O69" s="182"/>
      <c r="P69" s="84"/>
    </row>
    <row r="70" spans="2:16" ht="12.75" hidden="1" outlineLevel="1">
      <c r="B70" s="70" t="s">
        <v>135</v>
      </c>
      <c r="C70" s="161"/>
      <c r="D70" s="161"/>
      <c r="E70" s="161"/>
      <c r="F70" s="161"/>
      <c r="G70" s="161"/>
      <c r="H70" s="161"/>
      <c r="I70" s="161"/>
      <c r="J70" s="161"/>
      <c r="K70" s="161"/>
      <c r="L70" s="161"/>
      <c r="M70" s="161"/>
      <c r="N70" s="161"/>
      <c r="O70" s="161"/>
      <c r="P70" s="161"/>
    </row>
    <row r="71" spans="2:16" ht="12.75" hidden="1" outlineLevel="1">
      <c r="B71" s="184" t="s">
        <v>136</v>
      </c>
      <c r="C71" s="183"/>
      <c r="D71" s="183"/>
      <c r="E71" s="183"/>
      <c r="F71" s="183"/>
      <c r="G71" s="183"/>
      <c r="H71" s="183"/>
      <c r="I71" s="183"/>
      <c r="J71" s="183"/>
      <c r="K71" s="183"/>
      <c r="L71" s="183"/>
      <c r="M71" s="183"/>
      <c r="N71" s="183"/>
      <c r="O71" s="183"/>
      <c r="P71" s="183"/>
    </row>
    <row r="72" spans="2:16" ht="12.75" hidden="1" outlineLevel="1">
      <c r="B72" s="23" t="s">
        <v>136</v>
      </c>
      <c r="C72" s="183"/>
      <c r="D72" s="183"/>
      <c r="E72" s="183"/>
      <c r="F72" s="183"/>
      <c r="G72" s="183"/>
      <c r="H72" s="183"/>
      <c r="I72" s="183"/>
      <c r="J72" s="183"/>
      <c r="K72" s="183"/>
      <c r="L72" s="183"/>
      <c r="M72" s="183"/>
      <c r="N72" s="183"/>
      <c r="O72" s="183"/>
      <c r="P72" s="183"/>
    </row>
    <row r="73" spans="2:16" ht="12.75" hidden="1" outlineLevel="1">
      <c r="B73" s="186" t="s">
        <v>137</v>
      </c>
      <c r="C73" s="183"/>
      <c r="D73" s="183"/>
      <c r="E73" s="183"/>
      <c r="F73" s="183"/>
      <c r="G73" s="183"/>
      <c r="H73" s="183"/>
      <c r="I73" s="183"/>
      <c r="J73" s="183"/>
      <c r="K73" s="183"/>
      <c r="L73" s="183"/>
      <c r="M73" s="183"/>
      <c r="N73" s="183"/>
      <c r="O73" s="183"/>
      <c r="P73" s="183"/>
    </row>
    <row r="74" spans="2:16" ht="12.75" hidden="1" outlineLevel="1">
      <c r="B74" s="186" t="s">
        <v>137</v>
      </c>
      <c r="C74" s="170"/>
      <c r="D74" s="170"/>
      <c r="E74" s="170"/>
      <c r="F74" s="170"/>
      <c r="G74" s="170"/>
      <c r="H74" s="170"/>
      <c r="I74" s="170"/>
      <c r="J74" s="170"/>
      <c r="K74" s="170"/>
      <c r="L74" s="170"/>
      <c r="M74" s="170"/>
      <c r="N74" s="170"/>
      <c r="O74" s="170"/>
      <c r="P74" s="170"/>
    </row>
    <row r="75" spans="2:16" ht="12.75">
      <c r="B75" s="3" t="s">
        <v>126</v>
      </c>
      <c r="C75" s="3" t="str">
        <f>H60+SUM(H63:H64)&amp;"/"&amp;K14*3&amp;"(重量/限界値）"</f>
        <v>5/6(重量/限界値）</v>
      </c>
      <c r="D75" s="3"/>
      <c r="E75" s="3" t="s">
        <v>72</v>
      </c>
      <c r="F75" s="3" t="s">
        <v>72</v>
      </c>
      <c r="G75" s="3" t="s">
        <v>72</v>
      </c>
      <c r="H75" s="187">
        <v>0</v>
      </c>
      <c r="I75" s="187">
        <f>SUM(I60:I69)</f>
        <v>0</v>
      </c>
      <c r="J75" s="187">
        <v>0</v>
      </c>
      <c r="K75" s="187">
        <f>SUM(K60:K69)</f>
        <v>0</v>
      </c>
      <c r="L75" s="3" t="s">
        <v>72</v>
      </c>
      <c r="M75" s="187">
        <f>SUM(M60:M69)</f>
        <v>350000</v>
      </c>
      <c r="N75" s="187">
        <f>SUM(N60:N69)</f>
        <v>8</v>
      </c>
      <c r="O75" s="176">
        <f>SUM(O60:O69)</f>
        <v>2</v>
      </c>
      <c r="P75" s="187"/>
    </row>
    <row r="76" spans="2:4" ht="12.75">
      <c r="B76" s="28"/>
      <c r="C76" s="28"/>
      <c r="D76" s="28"/>
    </row>
    <row r="77" spans="2:4" ht="12.75">
      <c r="B77" s="3" t="s">
        <v>138</v>
      </c>
      <c r="C77" s="188" t="s">
        <v>139</v>
      </c>
      <c r="D77" s="55" t="s">
        <v>140</v>
      </c>
    </row>
    <row r="78" spans="2:4" ht="12.75" hidden="1" outlineLevel="1">
      <c r="B78" s="189" t="s">
        <v>30</v>
      </c>
      <c r="C78" s="190"/>
      <c r="D78" s="28"/>
    </row>
    <row r="79" spans="2:4" ht="12.75" hidden="1" outlineLevel="1">
      <c r="B79" s="191" t="s">
        <v>36</v>
      </c>
      <c r="C79" s="192"/>
      <c r="D79" s="28"/>
    </row>
    <row r="80" spans="2:4" ht="12.75" hidden="1" outlineLevel="1">
      <c r="B80" s="191" t="s">
        <v>42</v>
      </c>
      <c r="C80" s="192"/>
      <c r="D80" s="28"/>
    </row>
    <row r="81" spans="2:4" ht="12.75" hidden="1" outlineLevel="1">
      <c r="B81" s="191" t="s">
        <v>32</v>
      </c>
      <c r="C81" s="192"/>
      <c r="D81" s="28"/>
    </row>
    <row r="82" spans="2:4" ht="12.75" hidden="1" outlineLevel="1">
      <c r="B82" s="191" t="s">
        <v>38</v>
      </c>
      <c r="C82" s="193"/>
      <c r="D82" s="28"/>
    </row>
    <row r="83" spans="2:4" ht="13.5" customHeight="1">
      <c r="B83" s="194"/>
      <c r="C83" s="194"/>
      <c r="D83" s="28"/>
    </row>
    <row r="84" spans="2:3" ht="13.5" customHeight="1">
      <c r="B84" s="28" t="s">
        <v>141</v>
      </c>
      <c r="C84" s="55" t="s">
        <v>142</v>
      </c>
    </row>
    <row r="85" spans="2:6" ht="13.5" customHeight="1">
      <c r="B85" s="3" t="s">
        <v>143</v>
      </c>
      <c r="C85" s="3"/>
      <c r="D85" s="106" t="s">
        <v>144</v>
      </c>
      <c r="E85" s="108" t="s">
        <v>145</v>
      </c>
      <c r="F85" s="3" t="s">
        <v>146</v>
      </c>
    </row>
    <row r="86" spans="2:6" ht="13.5" customHeight="1" hidden="1" outlineLevel="1">
      <c r="B86" s="23" t="s">
        <v>72</v>
      </c>
      <c r="C86" s="23"/>
      <c r="D86" s="195">
        <f>IF(B86="","0",VLOOKUP(B86,'好感度表'!$B$4:$J$25,3,0))</f>
        <v>0</v>
      </c>
      <c r="E86" s="196">
        <f>IF(B86="","0",VLOOKUP(B86,'好感度表'!$B$4:$J$25,4,0))</f>
        <v>0</v>
      </c>
      <c r="F86" s="197">
        <f>D86+E86</f>
        <v>0</v>
      </c>
    </row>
    <row r="87" spans="2:6" ht="13.5" customHeight="1" hidden="1" outlineLevel="1">
      <c r="B87" s="23" t="s">
        <v>72</v>
      </c>
      <c r="C87" s="23"/>
      <c r="D87" s="195">
        <f>IF(B87="","0",VLOOKUP(B87,'好感度表'!$B$4:$J$25,3,0))</f>
        <v>0</v>
      </c>
      <c r="E87" s="196">
        <f>IF(B87="","0",VLOOKUP(B87,'好感度表'!$B$4:$J$25,4,0))</f>
        <v>0</v>
      </c>
      <c r="F87" s="197">
        <f>D87+E87</f>
        <v>0</v>
      </c>
    </row>
    <row r="88" spans="2:6" ht="13.5" customHeight="1" hidden="1" outlineLevel="1">
      <c r="B88" s="23" t="s">
        <v>72</v>
      </c>
      <c r="C88" s="23"/>
      <c r="D88" s="195">
        <f>IF(B88="","0",VLOOKUP(B88,'好感度表'!$B$4:$J$25,3,0))</f>
        <v>0</v>
      </c>
      <c r="E88" s="196">
        <f>IF(B88="","0",VLOOKUP(B88,'好感度表'!$B$4:$J$25,4,0))</f>
        <v>0</v>
      </c>
      <c r="F88" s="197">
        <f>D88+E88</f>
        <v>0</v>
      </c>
    </row>
    <row r="89" spans="2:6" ht="13.5" customHeight="1" hidden="1" outlineLevel="1">
      <c r="B89" s="23" t="s">
        <v>72</v>
      </c>
      <c r="C89" s="23"/>
      <c r="D89" s="195">
        <f>IF(B89="","0",VLOOKUP(B89,'好感度表'!$B$4:$J$25,3,0))</f>
        <v>0</v>
      </c>
      <c r="E89" s="196">
        <f>IF(B89="","0",VLOOKUP(B89,'好感度表'!$B$4:$J$25,4,0))</f>
        <v>0</v>
      </c>
      <c r="F89" s="197">
        <f>D89+E89</f>
        <v>0</v>
      </c>
    </row>
    <row r="90" spans="2:6" ht="12.75" customHeight="1" hidden="1" outlineLevel="1">
      <c r="B90" s="23" t="s">
        <v>72</v>
      </c>
      <c r="C90" s="23"/>
      <c r="D90" s="195">
        <f>IF(B90="","0",VLOOKUP(B90,'好感度表'!$B$4:$J$25,3,0))</f>
        <v>0</v>
      </c>
      <c r="E90" s="196">
        <f>IF(B90="","0",VLOOKUP(B90,'好感度表'!$B$4:$J$25,4,0))</f>
        <v>0</v>
      </c>
      <c r="F90" s="197">
        <f>D90+E90</f>
        <v>0</v>
      </c>
    </row>
    <row r="91" spans="2:6" ht="13.5" customHeight="1">
      <c r="B91" s="198" t="s">
        <v>126</v>
      </c>
      <c r="C91" s="198"/>
      <c r="D91" s="199">
        <f>SUM(D86:D90)</f>
        <v>0</v>
      </c>
      <c r="E91" s="200">
        <f>SUM(E86:E90)</f>
        <v>0</v>
      </c>
      <c r="F91" s="201">
        <f>SUM(F86:F90)</f>
        <v>0</v>
      </c>
    </row>
    <row r="92" ht="13.5" customHeight="1">
      <c r="C92" s="55" t="s">
        <v>147</v>
      </c>
    </row>
    <row r="93" spans="2:4" ht="13.5" customHeight="1">
      <c r="B93" s="202"/>
      <c r="C93" s="202"/>
      <c r="D93" s="28"/>
    </row>
    <row r="94" spans="2:3" ht="12.75">
      <c r="B94" s="63" t="s">
        <v>148</v>
      </c>
      <c r="C94" s="55" t="s">
        <v>149</v>
      </c>
    </row>
    <row r="95" spans="2:7" ht="12.75">
      <c r="B95" s="152" t="s">
        <v>150</v>
      </c>
      <c r="C95" s="152"/>
      <c r="D95" s="3" t="s">
        <v>112</v>
      </c>
      <c r="E95" s="3" t="s">
        <v>151</v>
      </c>
      <c r="F95" s="3"/>
      <c r="G95" s="3"/>
    </row>
    <row r="96" spans="2:7" ht="12.75" outlineLevel="1">
      <c r="B96" s="161" t="s">
        <v>152</v>
      </c>
      <c r="C96" s="161"/>
      <c r="D96" s="203">
        <v>1</v>
      </c>
      <c r="E96" s="155" t="s">
        <v>153</v>
      </c>
      <c r="F96" s="155"/>
      <c r="G96" s="155"/>
    </row>
    <row r="97" spans="2:7" ht="12.75" outlineLevel="1">
      <c r="B97" s="183" t="s">
        <v>154</v>
      </c>
      <c r="C97" s="183"/>
      <c r="D97" s="204">
        <v>3</v>
      </c>
      <c r="E97" s="23" t="s">
        <v>155</v>
      </c>
      <c r="F97" s="23"/>
      <c r="G97" s="23"/>
    </row>
    <row r="98" spans="2:7" ht="12.75" outlineLevel="1">
      <c r="B98" s="183" t="s">
        <v>156</v>
      </c>
      <c r="C98" s="183"/>
      <c r="D98" s="204">
        <v>5</v>
      </c>
      <c r="E98" s="23" t="s">
        <v>157</v>
      </c>
      <c r="F98" s="23"/>
      <c r="G98" s="23"/>
    </row>
    <row r="99" spans="2:7" ht="12.75" outlineLevel="1">
      <c r="B99" s="183" t="s">
        <v>158</v>
      </c>
      <c r="C99" s="183"/>
      <c r="D99" s="204">
        <v>-2</v>
      </c>
      <c r="E99" s="23" t="s">
        <v>159</v>
      </c>
      <c r="F99" s="23"/>
      <c r="G99" s="23"/>
    </row>
    <row r="100" spans="2:7" ht="12.75" outlineLevel="1">
      <c r="B100" s="183" t="s">
        <v>158</v>
      </c>
      <c r="C100" s="183"/>
      <c r="D100" s="204">
        <v>-2</v>
      </c>
      <c r="E100" s="23" t="s">
        <v>160</v>
      </c>
      <c r="F100" s="23"/>
      <c r="G100" s="23"/>
    </row>
    <row r="101" spans="2:7" ht="12.75" customHeight="1" outlineLevel="1">
      <c r="B101" s="183" t="s">
        <v>158</v>
      </c>
      <c r="C101" s="183"/>
      <c r="D101" s="204">
        <v>0</v>
      </c>
      <c r="E101" s="23" t="s">
        <v>160</v>
      </c>
      <c r="F101" s="23"/>
      <c r="G101" s="23"/>
    </row>
    <row r="102" spans="2:7" ht="12.75" outlineLevel="1">
      <c r="B102" s="183" t="s">
        <v>161</v>
      </c>
      <c r="C102" s="183"/>
      <c r="D102" s="204">
        <v>0</v>
      </c>
      <c r="E102" s="23" t="s">
        <v>162</v>
      </c>
      <c r="F102" s="23"/>
      <c r="G102" s="23"/>
    </row>
    <row r="103" spans="2:7" ht="12.75" outlineLevel="1">
      <c r="B103" s="24"/>
      <c r="C103" s="24"/>
      <c r="D103" s="205"/>
      <c r="E103" s="170"/>
      <c r="F103" s="170"/>
      <c r="G103" s="170"/>
    </row>
    <row r="104" spans="2:7" ht="12.75">
      <c r="B104" s="198" t="s">
        <v>126</v>
      </c>
      <c r="C104" s="198"/>
      <c r="D104" s="206">
        <f>SUM(D96:D103)</f>
        <v>5</v>
      </c>
      <c r="E104" s="207" t="str">
        <f>D104&amp;"/"&amp;K14*3&amp;"(持ち物/限界値）"</f>
        <v>5/6(持ち物/限界値）</v>
      </c>
      <c r="F104" s="207"/>
      <c r="G104" s="207"/>
    </row>
    <row r="105" spans="3:11" ht="12.75">
      <c r="C105" s="55"/>
      <c r="K105" s="28"/>
    </row>
    <row r="106" spans="2:7" ht="12.75">
      <c r="B106" s="69" t="s">
        <v>163</v>
      </c>
      <c r="C106" s="207" t="s">
        <v>164</v>
      </c>
      <c r="D106" s="207"/>
      <c r="E106" s="207"/>
      <c r="F106" s="69">
        <f>C108</f>
        <v>8</v>
      </c>
      <c r="G106" s="55" t="s">
        <v>165</v>
      </c>
    </row>
    <row r="107" spans="2:7" ht="12.75" outlineLevel="1">
      <c r="B107" s="208" t="s">
        <v>166</v>
      </c>
      <c r="C107" s="209" t="s">
        <v>13</v>
      </c>
      <c r="D107" s="209" t="s">
        <v>167</v>
      </c>
      <c r="E107" s="209" t="s">
        <v>168</v>
      </c>
      <c r="F107" s="208" t="s">
        <v>169</v>
      </c>
      <c r="G107" s="208"/>
    </row>
    <row r="108" spans="2:7" ht="12.75" outlineLevel="1">
      <c r="B108" s="69" t="str">
        <f>C7</f>
        <v>魔道士</v>
      </c>
      <c r="C108" s="210">
        <v>8</v>
      </c>
      <c r="D108" s="211">
        <f>((C108-1)*2)+2</f>
        <v>16</v>
      </c>
      <c r="E108" s="211">
        <f>C108*10</f>
        <v>80</v>
      </c>
      <c r="F108" s="212">
        <f>(((C108-1)*(C108))/2)*10</f>
        <v>280</v>
      </c>
      <c r="G108" s="212"/>
    </row>
    <row r="109" spans="2:7" ht="12.75" outlineLevel="1">
      <c r="B109" s="208" t="s">
        <v>170</v>
      </c>
      <c r="C109" s="209" t="s">
        <v>13</v>
      </c>
      <c r="D109" s="208" t="s">
        <v>167</v>
      </c>
      <c r="E109" s="208" t="s">
        <v>168</v>
      </c>
      <c r="F109" s="208" t="s">
        <v>169</v>
      </c>
      <c r="G109" s="208"/>
    </row>
    <row r="110" spans="2:7" ht="12.75" outlineLevel="1">
      <c r="B110" s="77" t="str">
        <f>C8</f>
        <v>魔道博士</v>
      </c>
      <c r="C110" s="213">
        <v>5</v>
      </c>
      <c r="D110" s="214">
        <f>C110*2</f>
        <v>10</v>
      </c>
      <c r="E110" s="214">
        <f>C110*10</f>
        <v>50</v>
      </c>
      <c r="F110" s="215">
        <f>(((C110-1)*(C110))/2)*10</f>
        <v>100</v>
      </c>
      <c r="G110" s="215"/>
    </row>
    <row r="111" spans="2:7" ht="12.75" outlineLevel="1">
      <c r="B111" s="174" t="s">
        <v>171</v>
      </c>
      <c r="C111" s="216">
        <v>5</v>
      </c>
      <c r="D111" s="217">
        <f>IF(C111=0,0,C111*2-1)</f>
        <v>9</v>
      </c>
      <c r="E111" s="217">
        <f>IF(C111=0,"30",C111*10)</f>
        <v>50</v>
      </c>
      <c r="F111" s="218">
        <f>IF(C111=0,"0",(((C111-1)*(C111))/2)*10+IF(B111="　",0,30))</f>
        <v>130</v>
      </c>
      <c r="G111" s="218"/>
    </row>
    <row r="112" spans="2:7" ht="12.75" outlineLevel="1">
      <c r="B112" s="174" t="s">
        <v>172</v>
      </c>
      <c r="C112" s="216">
        <v>0</v>
      </c>
      <c r="D112" s="217">
        <f>IF(C112=0,0,C112*2-1)</f>
        <v>0</v>
      </c>
      <c r="E112" s="217" t="str">
        <f>IF(C112=0,"30",C112*10)</f>
        <v>30</v>
      </c>
      <c r="F112" s="218" t="str">
        <f>IF(C112=0,"0",(((C112-1)*(C112))/2)*10+IF(B112="　",0,30))</f>
        <v>0</v>
      </c>
      <c r="G112" s="218"/>
    </row>
    <row r="113" spans="2:7" ht="12.75" outlineLevel="1">
      <c r="B113" s="174" t="s">
        <v>172</v>
      </c>
      <c r="C113" s="216">
        <v>0</v>
      </c>
      <c r="D113" s="217">
        <f>IF(C113=0,0,C113*2-1)</f>
        <v>0</v>
      </c>
      <c r="E113" s="217" t="str">
        <f>IF(C113=0,"30",C113*10)</f>
        <v>30</v>
      </c>
      <c r="F113" s="218" t="str">
        <f>IF(C113=0,"0",(((C113-1)*(C113))/2)*10+IF(B113="　",0,30))</f>
        <v>0</v>
      </c>
      <c r="G113" s="218"/>
    </row>
    <row r="114" spans="2:7" ht="12.75" outlineLevel="1">
      <c r="B114" s="174" t="s">
        <v>172</v>
      </c>
      <c r="C114" s="219">
        <v>0</v>
      </c>
      <c r="D114" s="217">
        <f>IF(C114=0,0,C114*2-1)</f>
        <v>0</v>
      </c>
      <c r="E114" s="217" t="str">
        <f>IF(C114=0,"30",C114*10)</f>
        <v>30</v>
      </c>
      <c r="F114" s="218" t="str">
        <f>IF(C114=0,"0",(((C114-1)*(C114))/2)*10+IF(B114="　",0,30))</f>
        <v>0</v>
      </c>
      <c r="G114" s="218"/>
    </row>
    <row r="115" spans="2:8" ht="12.75" outlineLevel="1">
      <c r="B115" s="208" t="s">
        <v>173</v>
      </c>
      <c r="C115" s="209" t="s">
        <v>13</v>
      </c>
      <c r="D115" s="208" t="s">
        <v>174</v>
      </c>
      <c r="E115" s="208" t="s">
        <v>168</v>
      </c>
      <c r="F115" s="208" t="s">
        <v>169</v>
      </c>
      <c r="G115" s="208"/>
      <c r="H115" s="55" t="s">
        <v>175</v>
      </c>
    </row>
    <row r="116" spans="2:8" ht="12.75" outlineLevel="1">
      <c r="B116" s="174" t="s">
        <v>172</v>
      </c>
      <c r="C116" s="216">
        <v>10</v>
      </c>
      <c r="D116" s="220">
        <v>10</v>
      </c>
      <c r="E116" s="217">
        <f>IF(C116=0,"50",C116*10)</f>
        <v>100</v>
      </c>
      <c r="F116" s="218">
        <f>IF(C116=0,"0",(((C116-1)*(C116))/2)*10+IF(B116="　",0,50)-(((D116-1)*(D116))/2)*10+IF(B116="　",0,0))</f>
        <v>0</v>
      </c>
      <c r="G116" s="218"/>
      <c r="H116" s="55" t="s">
        <v>176</v>
      </c>
    </row>
    <row r="117" spans="2:7" ht="12.75" outlineLevel="1">
      <c r="B117" s="174" t="s">
        <v>172</v>
      </c>
      <c r="C117" s="219">
        <v>10</v>
      </c>
      <c r="D117" s="220">
        <v>10</v>
      </c>
      <c r="E117" s="217">
        <f>IF(C117=0,"50",C117*10)</f>
        <v>100</v>
      </c>
      <c r="F117" s="218">
        <f>IF(C117=0,"0",(((C117-1)*(C117))/2)*10+IF(B117="　",0,50)-(((D117-1)*(D117))/2)*10+IF(B117="　",0,0))</f>
        <v>0</v>
      </c>
      <c r="G117" s="218"/>
    </row>
    <row r="118" spans="2:7" ht="12.75">
      <c r="B118" s="69" t="s">
        <v>126</v>
      </c>
      <c r="C118" s="126" t="s">
        <v>72</v>
      </c>
      <c r="D118" s="107" t="s">
        <v>72</v>
      </c>
      <c r="E118" s="221" t="s">
        <v>72</v>
      </c>
      <c r="F118" s="212">
        <f>F108+SUM(F110:G114)+SUM(F116:F117)</f>
        <v>510</v>
      </c>
      <c r="G118" s="212"/>
    </row>
    <row r="119" spans="3:6" ht="12.75">
      <c r="C119" s="222"/>
      <c r="E119" s="28"/>
      <c r="F119" s="28"/>
    </row>
    <row r="120" spans="2:6" ht="12.75">
      <c r="B120" s="69" t="s">
        <v>55</v>
      </c>
      <c r="C120" s="223" t="s">
        <v>39</v>
      </c>
      <c r="D120" s="224">
        <f>M8</f>
        <v>20</v>
      </c>
      <c r="E120" s="55" t="s">
        <v>177</v>
      </c>
      <c r="F120" s="28"/>
    </row>
    <row r="121" spans="2:6" ht="12.75">
      <c r="B121" s="225" t="s">
        <v>178</v>
      </c>
      <c r="C121" s="226" t="s">
        <v>179</v>
      </c>
      <c r="D121" s="227" t="s">
        <v>168</v>
      </c>
      <c r="E121" s="225" t="s">
        <v>180</v>
      </c>
      <c r="F121" s="225"/>
    </row>
    <row r="122" spans="2:6" ht="12.75" hidden="1" outlineLevel="1">
      <c r="B122" s="150" t="s">
        <v>65</v>
      </c>
      <c r="C122" s="228">
        <v>0</v>
      </c>
      <c r="D122" s="229">
        <f>(H14)*(5+((ROUNDUP((H14)/5,0)-1)*3))</f>
        <v>10</v>
      </c>
      <c r="E122" s="218">
        <f>IF(VLOOKUP(SUM(C14:D14),'経験値テーブル'!$B$2:$V$11,MATCH(H14,'経験値テーブル'!$C$2:$V$2,0),0)=1,0,VLOOKUP(SUM(C14:D14),'経験値テーブル'!$B$2:$V$11,MATCH(H14,'経験値テーブル'!$C$2:$V$2,0),0))</f>
        <v>0</v>
      </c>
      <c r="F122" s="218"/>
    </row>
    <row r="123" spans="2:6" ht="12.75" hidden="1" outlineLevel="1">
      <c r="B123" s="230" t="s">
        <v>66</v>
      </c>
      <c r="C123" s="231">
        <v>0</v>
      </c>
      <c r="D123" s="229">
        <f>(H15)*(5+((ROUNDUP((H15)/5,0)-1)*3))</f>
        <v>25</v>
      </c>
      <c r="E123" s="218">
        <f>IF(VLOOKUP(SUM(C15:D15),'経験値テーブル'!$B$2:$V$11,MATCH(H15,'経験値テーブル'!$C$2:$V$2,0),0)=1,0,VLOOKUP(SUM(C15:D15),'経験値テーブル'!$B$2:$V$11,MATCH(H15,'経験値テーブル'!$C$2:$V$2,0),0))</f>
        <v>0</v>
      </c>
      <c r="F123" s="218"/>
    </row>
    <row r="124" spans="2:6" ht="12.75" hidden="1" outlineLevel="1">
      <c r="B124" s="232" t="s">
        <v>67</v>
      </c>
      <c r="C124" s="231">
        <v>0</v>
      </c>
      <c r="D124" s="229">
        <f>(H16)*(5+((ROUNDUP((H16)/5,0)-1)*3))</f>
        <v>10</v>
      </c>
      <c r="E124" s="218">
        <f>IF(VLOOKUP(SUM(C16:D16),'経験値テーブル'!$B$2:$V$11,MATCH(H16,'経験値テーブル'!$C$2:$V$2,0),0)=1,0,VLOOKUP(SUM(C16:D16),'経験値テーブル'!$B$2:$V$11,MATCH(H16,'経験値テーブル'!$C$2:$V$2,0),0))</f>
        <v>0</v>
      </c>
      <c r="F124" s="218"/>
    </row>
    <row r="125" spans="2:6" ht="12.75" hidden="1" outlineLevel="1">
      <c r="B125" s="230" t="s">
        <v>68</v>
      </c>
      <c r="C125" s="231">
        <v>0</v>
      </c>
      <c r="D125" s="229">
        <f>(H17)*(5+((ROUNDUP((H17)/5,0)-1)*3))</f>
        <v>10</v>
      </c>
      <c r="E125" s="218">
        <f>IF(VLOOKUP(SUM(C17:D17),'経験値テーブル'!$B$2:$V$11,MATCH(H17,'経験値テーブル'!$C$2:$V$2,0),0)=1,0,VLOOKUP(SUM(C17:D17),'経験値テーブル'!$B$2:$V$11,MATCH(H17,'経験値テーブル'!$C$2:$V$2,0),0))</f>
        <v>0</v>
      </c>
      <c r="F125" s="218"/>
    </row>
    <row r="126" spans="2:6" ht="12.75" hidden="1" outlineLevel="1">
      <c r="B126" s="232" t="s">
        <v>69</v>
      </c>
      <c r="C126" s="231">
        <v>0</v>
      </c>
      <c r="D126" s="229">
        <f>(H18)*(5+((ROUNDUP((H18)/5,0)-1)*3))</f>
        <v>15</v>
      </c>
      <c r="E126" s="218">
        <f>IF(VLOOKUP(SUM(C18:D18),'経験値テーブル'!$B$2:$V$11,MATCH(H18,'経験値テーブル'!$C$2:$V$2,0),0)=1,0,VLOOKUP(SUM(C18:D18),'経験値テーブル'!$B$2:$V$11,MATCH(H18,'経験値テーブル'!$C$2:$V$2,0),0))</f>
        <v>0</v>
      </c>
      <c r="F126" s="218"/>
    </row>
    <row r="127" spans="2:6" ht="12.75" hidden="1" outlineLevel="1">
      <c r="B127" s="230" t="s">
        <v>70</v>
      </c>
      <c r="C127" s="231">
        <v>0</v>
      </c>
      <c r="D127" s="229">
        <f>(H19)*(5+((ROUNDUP((H19)/5,0)-1)*3))</f>
        <v>15</v>
      </c>
      <c r="E127" s="218">
        <f>IF(VLOOKUP(SUM(C19:D19),'経験値テーブル'!$B$2:$V$11,MATCH(H19,'経験値テーブル'!$C$2:$V$2,0),0)=1,0,VLOOKUP(SUM(C19:D19),'経験値テーブル'!$B$2:$V$11,MATCH(H19,'経験値テーブル'!$C$2:$V$2,0),0))</f>
        <v>0</v>
      </c>
      <c r="F127" s="218"/>
    </row>
    <row r="128" spans="2:6" ht="12.75" hidden="1" outlineLevel="1">
      <c r="B128" s="232" t="s">
        <v>71</v>
      </c>
      <c r="C128" s="231">
        <v>0</v>
      </c>
      <c r="D128" s="229">
        <f>(H20)*(10+((ROUNDUP((H20)/5,0)-1)*3))</f>
        <v>20</v>
      </c>
      <c r="E128" s="218">
        <f>IF(VLOOKUP(SUM(C20:D20),'経験値テーブル'!$B$14:$V$27,MATCH(H20,'経験値テーブル'!$C$2:$V$2,0),0)=1,0,VLOOKUP(SUM(C20:D20),'経験値テーブル'!$B$14:$V$27,MATCH(H20,'経験値テーブル'!$C$2:$V$2,0),0))</f>
        <v>0</v>
      </c>
      <c r="F128" s="218"/>
    </row>
    <row r="129" spans="2:6" ht="12.75" hidden="1" outlineLevel="1">
      <c r="B129" s="230" t="s">
        <v>73</v>
      </c>
      <c r="C129" s="231">
        <v>0</v>
      </c>
      <c r="D129" s="229">
        <f>(H21)*(10+((ROUNDUP((H21)/5,0)-1)*3))</f>
        <v>30</v>
      </c>
      <c r="E129" s="218">
        <f>IF(VLOOKUP(SUM(C21:D21),'経験値テーブル'!$B$14:$V$27,MATCH(H21,'経験値テーブル'!$C$2:$V$2,0),0)=1,0,VLOOKUP(SUM(C21:D21),'経験値テーブル'!$B$14:$V$27,MATCH(H21,'経験値テーブル'!$C$2:$V$2,0),0))</f>
        <v>0</v>
      </c>
      <c r="F129" s="218"/>
    </row>
    <row r="130" spans="2:6" ht="12.75" hidden="1" outlineLevel="1">
      <c r="B130" s="233" t="s">
        <v>44</v>
      </c>
      <c r="C130" s="231">
        <v>0</v>
      </c>
      <c r="D130" s="229">
        <f>(H22)*(10+((ROUNDUP((H22)/5,0)-1)*3))</f>
        <v>10</v>
      </c>
      <c r="E130" s="218">
        <f>IF(VLOOKUP(SUM(C22:D22),'経験値テーブル'!$B$14:$V$27,MATCH(H22,'経験値テーブル'!$C$2:$V$2,0),0)=1,0,VLOOKUP(SUM(C22:D22),'経験値テーブル'!$B$14:$V$27,MATCH(H22,'経験値テーブル'!$C$2:$V$2,0),0))</f>
        <v>0</v>
      </c>
      <c r="F130" s="218"/>
    </row>
    <row r="131" spans="2:6" ht="12.75" hidden="1" outlineLevel="1">
      <c r="B131" s="233" t="s">
        <v>42</v>
      </c>
      <c r="C131" s="234">
        <v>0</v>
      </c>
      <c r="D131" s="235">
        <f>(5+IF(C9="鬼人",-2,0)+C131)*10</f>
        <v>50</v>
      </c>
      <c r="E131" s="218">
        <f>((C131+(G9-C131))*((C131-1)+(G9-C131))/2-(G9-C131)*(G9-C131-1)/2)*10</f>
        <v>0</v>
      </c>
      <c r="F131" s="218"/>
    </row>
    <row r="132" spans="2:6" ht="12.75" hidden="1" outlineLevel="1">
      <c r="B132" s="236" t="s">
        <v>126</v>
      </c>
      <c r="C132" s="236"/>
      <c r="D132" s="236"/>
      <c r="E132" s="212">
        <f>SUM(E122:F131)</f>
        <v>0</v>
      </c>
      <c r="F132" s="212"/>
    </row>
    <row r="133" spans="2:3" ht="12.75" hidden="1" outlineLevel="1">
      <c r="B133" s="28"/>
      <c r="C133" s="222"/>
    </row>
    <row r="134" spans="2:6" ht="12.75" hidden="1" outlineLevel="1">
      <c r="B134" s="237" t="str">
        <f>"連携スキルの習得数"&amp;"("&amp;B135&amp;"/"&amp;ROUNDDOWN(I2/5,0)&amp;")"</f>
        <v>連携スキルの習得数(0/1)</v>
      </c>
      <c r="C134" s="237"/>
      <c r="D134" s="237"/>
      <c r="E134" s="225" t="s">
        <v>169</v>
      </c>
      <c r="F134" s="225"/>
    </row>
    <row r="135" spans="2:6" ht="12.75" hidden="1" outlineLevel="1">
      <c r="B135" s="3">
        <v>0</v>
      </c>
      <c r="C135" s="3"/>
      <c r="D135" s="3"/>
      <c r="E135" s="212">
        <f>B135*30</f>
        <v>0</v>
      </c>
      <c r="F135" s="212"/>
    </row>
    <row r="136" spans="2:3" ht="12.75" hidden="1" outlineLevel="1">
      <c r="B136" s="28"/>
      <c r="C136" s="55" t="s">
        <v>181</v>
      </c>
    </row>
    <row r="137" spans="2:6" ht="12.75" hidden="1" outlineLevel="1">
      <c r="B137" s="237" t="str">
        <f>"ユニークスキル取得数"&amp;"("&amp;B138&amp;"/"&amp;ROUNDDOWN(I2/5,0)&amp;")"</f>
        <v>ユニークスキル取得数(0/1)</v>
      </c>
      <c r="C137" s="237"/>
      <c r="D137" s="237"/>
      <c r="E137" s="225" t="s">
        <v>169</v>
      </c>
      <c r="F137" s="225"/>
    </row>
    <row r="138" spans="2:6" ht="17.25" customHeight="1" hidden="1" outlineLevel="1">
      <c r="B138" s="3">
        <v>0</v>
      </c>
      <c r="C138" s="3"/>
      <c r="D138" s="3"/>
      <c r="E138" s="238">
        <v>0</v>
      </c>
      <c r="F138" s="238"/>
    </row>
    <row r="139" spans="2:3" ht="12.75" hidden="1" outlineLevel="1">
      <c r="B139" s="28"/>
      <c r="C139" s="222"/>
    </row>
    <row r="140" spans="2:6" ht="17.25" customHeight="1" hidden="1" outlineLevel="1">
      <c r="B140" s="237" t="s">
        <v>182</v>
      </c>
      <c r="C140" s="237"/>
      <c r="D140" s="237"/>
      <c r="E140" s="225" t="s">
        <v>169</v>
      </c>
      <c r="F140" s="225"/>
    </row>
    <row r="141" spans="2:6" ht="17.25" customHeight="1" hidden="1" outlineLevel="1">
      <c r="B141" s="239" t="b">
        <v>0</v>
      </c>
      <c r="C141" s="239"/>
      <c r="D141" s="239"/>
      <c r="E141" s="212">
        <f>B141*150</f>
        <v>0</v>
      </c>
      <c r="F141" s="212"/>
    </row>
    <row r="142" spans="2:3" ht="12.75">
      <c r="B142" s="28"/>
      <c r="C142" s="222"/>
    </row>
    <row r="143" spans="2:16" ht="12.75">
      <c r="B143" s="240" t="s">
        <v>183</v>
      </c>
      <c r="C143" s="240"/>
      <c r="D143" s="241" t="s">
        <v>13</v>
      </c>
      <c r="E143" s="242" t="s">
        <v>184</v>
      </c>
      <c r="F143" s="241" t="s">
        <v>62</v>
      </c>
      <c r="G143" s="242" t="s">
        <v>185</v>
      </c>
      <c r="H143" s="241" t="s">
        <v>116</v>
      </c>
      <c r="I143" s="242" t="s">
        <v>186</v>
      </c>
      <c r="J143" s="241" t="s">
        <v>187</v>
      </c>
      <c r="K143" s="241" t="s">
        <v>188</v>
      </c>
      <c r="L143" s="241"/>
      <c r="M143" s="241"/>
      <c r="N143" s="241"/>
      <c r="O143" s="243" t="s">
        <v>189</v>
      </c>
      <c r="P143" s="241" t="s">
        <v>190</v>
      </c>
    </row>
    <row r="144" spans="2:16" ht="12.75" outlineLevel="1">
      <c r="B144" s="183" t="s">
        <v>191</v>
      </c>
      <c r="C144" s="183"/>
      <c r="D144" s="186">
        <v>5</v>
      </c>
      <c r="E144" s="244" t="s">
        <v>192</v>
      </c>
      <c r="F144" s="23" t="s">
        <v>91</v>
      </c>
      <c r="G144" s="244" t="s">
        <v>193</v>
      </c>
      <c r="H144" s="23" t="s">
        <v>194</v>
      </c>
      <c r="I144" s="244">
        <v>13</v>
      </c>
      <c r="J144" s="23"/>
      <c r="K144" s="23" t="s">
        <v>195</v>
      </c>
      <c r="L144" s="23"/>
      <c r="M144" s="23"/>
      <c r="N144" s="23"/>
      <c r="O144" s="84" t="s">
        <v>171</v>
      </c>
      <c r="P144" s="23"/>
    </row>
    <row r="145" spans="2:16" ht="12.75" outlineLevel="1">
      <c r="B145" s="183" t="s">
        <v>196</v>
      </c>
      <c r="C145" s="183"/>
      <c r="D145" s="186">
        <v>5</v>
      </c>
      <c r="E145" s="244" t="s">
        <v>197</v>
      </c>
      <c r="F145" s="23"/>
      <c r="G145" s="244"/>
      <c r="H145" s="23"/>
      <c r="I145" s="244" t="s">
        <v>198</v>
      </c>
      <c r="J145" s="23"/>
      <c r="K145" s="23" t="s">
        <v>199</v>
      </c>
      <c r="L145" s="23"/>
      <c r="M145" s="23"/>
      <c r="N145" s="23"/>
      <c r="O145" s="84" t="s">
        <v>200</v>
      </c>
      <c r="P145" s="23"/>
    </row>
    <row r="146" spans="2:16" ht="12.75" outlineLevel="1">
      <c r="B146" s="183" t="s">
        <v>201</v>
      </c>
      <c r="C146" s="183"/>
      <c r="D146" s="186">
        <v>1</v>
      </c>
      <c r="E146" s="244" t="s">
        <v>197</v>
      </c>
      <c r="F146" s="23"/>
      <c r="G146" s="244"/>
      <c r="H146" s="23"/>
      <c r="I146" s="244" t="s">
        <v>198</v>
      </c>
      <c r="J146" s="23"/>
      <c r="K146" s="23" t="s">
        <v>202</v>
      </c>
      <c r="L146" s="23"/>
      <c r="M146" s="23"/>
      <c r="N146" s="23"/>
      <c r="O146" s="84" t="s">
        <v>200</v>
      </c>
      <c r="P146" s="23"/>
    </row>
    <row r="147" spans="2:16" ht="12.75" outlineLevel="1">
      <c r="B147" s="183" t="s">
        <v>203</v>
      </c>
      <c r="C147" s="183"/>
      <c r="D147" s="186">
        <v>1</v>
      </c>
      <c r="E147" s="244" t="s">
        <v>197</v>
      </c>
      <c r="F147" s="23"/>
      <c r="G147" s="244"/>
      <c r="H147" s="23"/>
      <c r="I147" s="244" t="s">
        <v>198</v>
      </c>
      <c r="J147" s="23"/>
      <c r="K147" s="23" t="s">
        <v>204</v>
      </c>
      <c r="L147" s="23"/>
      <c r="M147" s="23"/>
      <c r="N147" s="23"/>
      <c r="O147" s="84" t="s">
        <v>200</v>
      </c>
      <c r="P147" s="23"/>
    </row>
    <row r="148" spans="2:16" ht="12.75" outlineLevel="1">
      <c r="B148" s="183" t="s">
        <v>205</v>
      </c>
      <c r="C148" s="183"/>
      <c r="D148" s="186">
        <v>1</v>
      </c>
      <c r="E148" s="244" t="s">
        <v>192</v>
      </c>
      <c r="F148" s="23" t="s">
        <v>91</v>
      </c>
      <c r="G148" s="244"/>
      <c r="H148" s="23"/>
      <c r="I148" s="244">
        <v>4</v>
      </c>
      <c r="J148" s="23" t="s">
        <v>206</v>
      </c>
      <c r="K148" s="23" t="s">
        <v>207</v>
      </c>
      <c r="L148" s="23"/>
      <c r="M148" s="23"/>
      <c r="N148" s="23"/>
      <c r="O148" s="84" t="s">
        <v>200</v>
      </c>
      <c r="P148" s="23"/>
    </row>
    <row r="149" spans="2:16" ht="12.75" outlineLevel="1">
      <c r="B149" s="183" t="s">
        <v>208</v>
      </c>
      <c r="C149" s="183"/>
      <c r="D149" s="186">
        <v>1</v>
      </c>
      <c r="E149" s="244" t="s">
        <v>192</v>
      </c>
      <c r="F149" s="23" t="s">
        <v>91</v>
      </c>
      <c r="G149" s="244"/>
      <c r="H149" s="23"/>
      <c r="I149" s="244">
        <v>6</v>
      </c>
      <c r="J149" s="23"/>
      <c r="K149" s="23" t="s">
        <v>209</v>
      </c>
      <c r="L149" s="23"/>
      <c r="M149" s="23"/>
      <c r="N149" s="23"/>
      <c r="O149" s="84" t="s">
        <v>200</v>
      </c>
      <c r="P149" s="23"/>
    </row>
    <row r="150" spans="2:16" ht="12.75" outlineLevel="1">
      <c r="B150" s="181" t="s">
        <v>210</v>
      </c>
      <c r="C150" s="181"/>
      <c r="D150" s="186">
        <v>1</v>
      </c>
      <c r="E150" s="244" t="s">
        <v>211</v>
      </c>
      <c r="F150" s="23"/>
      <c r="G150" s="244"/>
      <c r="H150" s="23"/>
      <c r="I150" s="244">
        <v>10</v>
      </c>
      <c r="J150" s="23"/>
      <c r="K150" s="23" t="s">
        <v>212</v>
      </c>
      <c r="L150" s="23"/>
      <c r="M150" s="23"/>
      <c r="N150" s="23"/>
      <c r="O150" s="84" t="s">
        <v>200</v>
      </c>
      <c r="P150" s="23"/>
    </row>
    <row r="151" spans="2:16" ht="12.75" outlineLevel="1">
      <c r="B151" s="183" t="s">
        <v>213</v>
      </c>
      <c r="C151" s="183"/>
      <c r="D151" s="186">
        <v>1</v>
      </c>
      <c r="E151" s="244" t="s">
        <v>192</v>
      </c>
      <c r="F151" s="23" t="s">
        <v>91</v>
      </c>
      <c r="G151" s="244"/>
      <c r="H151" s="23"/>
      <c r="I151" s="244">
        <v>3</v>
      </c>
      <c r="J151" s="23" t="s">
        <v>206</v>
      </c>
      <c r="K151" s="23" t="s">
        <v>214</v>
      </c>
      <c r="L151" s="23"/>
      <c r="M151" s="23"/>
      <c r="N151" s="23"/>
      <c r="O151" s="84" t="s">
        <v>200</v>
      </c>
      <c r="P151" s="23"/>
    </row>
    <row r="152" spans="2:16" ht="12.75" outlineLevel="1">
      <c r="B152" s="183" t="s">
        <v>215</v>
      </c>
      <c r="C152" s="183"/>
      <c r="D152" s="186">
        <v>1</v>
      </c>
      <c r="E152" s="244" t="s">
        <v>192</v>
      </c>
      <c r="F152" s="23" t="s">
        <v>91</v>
      </c>
      <c r="G152" s="244"/>
      <c r="H152" s="23"/>
      <c r="I152" s="244">
        <v>3</v>
      </c>
      <c r="J152" s="23"/>
      <c r="K152" s="181" t="s">
        <v>216</v>
      </c>
      <c r="L152" s="181"/>
      <c r="M152" s="181"/>
      <c r="N152" s="181"/>
      <c r="O152" s="84" t="s">
        <v>200</v>
      </c>
      <c r="P152" s="23"/>
    </row>
    <row r="153" spans="2:16" ht="12.75" outlineLevel="1">
      <c r="B153" s="183" t="s">
        <v>217</v>
      </c>
      <c r="C153" s="183"/>
      <c r="D153" s="186">
        <v>1</v>
      </c>
      <c r="E153" s="244" t="s">
        <v>218</v>
      </c>
      <c r="F153" s="23"/>
      <c r="G153" s="244"/>
      <c r="H153" s="23"/>
      <c r="I153" s="244" t="s">
        <v>198</v>
      </c>
      <c r="J153" s="23"/>
      <c r="K153" s="23" t="s">
        <v>219</v>
      </c>
      <c r="L153" s="23"/>
      <c r="M153" s="23"/>
      <c r="N153" s="23"/>
      <c r="O153" s="84" t="s">
        <v>41</v>
      </c>
      <c r="P153" s="23"/>
    </row>
    <row r="154" spans="2:16" ht="12.75" outlineLevel="1">
      <c r="B154" s="183" t="s">
        <v>220</v>
      </c>
      <c r="C154" s="183"/>
      <c r="D154" s="186">
        <v>1</v>
      </c>
      <c r="E154" s="244" t="s">
        <v>197</v>
      </c>
      <c r="F154" s="23"/>
      <c r="G154" s="244"/>
      <c r="H154" s="23"/>
      <c r="I154" s="244" t="s">
        <v>198</v>
      </c>
      <c r="J154" s="23"/>
      <c r="K154" s="23" t="s">
        <v>221</v>
      </c>
      <c r="L154" s="23"/>
      <c r="M154" s="23"/>
      <c r="N154" s="23"/>
      <c r="O154" s="84" t="s">
        <v>41</v>
      </c>
      <c r="P154" s="23"/>
    </row>
    <row r="155" spans="2:16" ht="12.75" outlineLevel="1">
      <c r="B155" s="183" t="s">
        <v>222</v>
      </c>
      <c r="C155" s="183"/>
      <c r="D155" s="186">
        <v>3</v>
      </c>
      <c r="E155" s="244" t="s">
        <v>223</v>
      </c>
      <c r="F155" s="23"/>
      <c r="G155" s="244"/>
      <c r="H155" s="23" t="s">
        <v>224</v>
      </c>
      <c r="I155" s="244" t="s">
        <v>198</v>
      </c>
      <c r="J155" s="23"/>
      <c r="K155" s="23" t="s">
        <v>225</v>
      </c>
      <c r="L155" s="23"/>
      <c r="M155" s="23"/>
      <c r="N155" s="23"/>
      <c r="O155" s="84" t="s">
        <v>41</v>
      </c>
      <c r="P155" s="23"/>
    </row>
    <row r="156" spans="2:16" ht="12.75" outlineLevel="1">
      <c r="B156" s="183" t="s">
        <v>226</v>
      </c>
      <c r="C156" s="183"/>
      <c r="D156" s="186">
        <v>3</v>
      </c>
      <c r="E156" s="244" t="s">
        <v>227</v>
      </c>
      <c r="F156" s="23"/>
      <c r="G156" s="244"/>
      <c r="H156" s="23"/>
      <c r="I156" s="244">
        <v>10</v>
      </c>
      <c r="J156" s="23"/>
      <c r="K156" s="23" t="s">
        <v>228</v>
      </c>
      <c r="L156" s="23"/>
      <c r="M156" s="23"/>
      <c r="N156" s="23"/>
      <c r="O156" s="84" t="s">
        <v>35</v>
      </c>
      <c r="P156" s="23"/>
    </row>
    <row r="157" spans="2:16" ht="12.75" outlineLevel="1">
      <c r="B157" s="183" t="s">
        <v>229</v>
      </c>
      <c r="C157" s="183"/>
      <c r="D157" s="186">
        <v>1</v>
      </c>
      <c r="E157" s="244" t="s">
        <v>230</v>
      </c>
      <c r="F157" s="23"/>
      <c r="G157" s="244"/>
      <c r="H157" s="23" t="s">
        <v>224</v>
      </c>
      <c r="I157" s="244" t="s">
        <v>198</v>
      </c>
      <c r="J157" s="23"/>
      <c r="K157" s="23" t="s">
        <v>231</v>
      </c>
      <c r="L157" s="23"/>
      <c r="M157" s="23"/>
      <c r="N157" s="23"/>
      <c r="O157" s="84" t="s">
        <v>35</v>
      </c>
      <c r="P157" s="23"/>
    </row>
    <row r="158" spans="2:16" ht="12.75" outlineLevel="1">
      <c r="B158" s="183" t="s">
        <v>232</v>
      </c>
      <c r="C158" s="183"/>
      <c r="D158" s="186">
        <v>1</v>
      </c>
      <c r="E158" s="244" t="s">
        <v>227</v>
      </c>
      <c r="F158" s="23"/>
      <c r="G158" s="244"/>
      <c r="H158" s="23"/>
      <c r="I158" s="244">
        <v>6</v>
      </c>
      <c r="J158" s="23"/>
      <c r="K158" s="23" t="s">
        <v>233</v>
      </c>
      <c r="L158" s="23"/>
      <c r="M158" s="23"/>
      <c r="N158" s="23"/>
      <c r="O158" s="84" t="s">
        <v>35</v>
      </c>
      <c r="P158" s="23"/>
    </row>
    <row r="159" spans="2:16" ht="12.75" outlineLevel="1">
      <c r="B159" s="183" t="s">
        <v>234</v>
      </c>
      <c r="C159" s="183"/>
      <c r="D159" s="186">
        <v>1</v>
      </c>
      <c r="E159" s="244" t="s">
        <v>197</v>
      </c>
      <c r="F159" s="23"/>
      <c r="G159" s="244"/>
      <c r="H159" s="23"/>
      <c r="I159" s="244" t="s">
        <v>198</v>
      </c>
      <c r="J159" s="23"/>
      <c r="K159" s="23" t="s">
        <v>235</v>
      </c>
      <c r="L159" s="23"/>
      <c r="M159" s="23"/>
      <c r="N159" s="23"/>
      <c r="O159" s="84" t="s">
        <v>35</v>
      </c>
      <c r="P159" s="23"/>
    </row>
    <row r="160" spans="2:16" ht="12.75" outlineLevel="1">
      <c r="B160" s="183" t="s">
        <v>236</v>
      </c>
      <c r="C160" s="183"/>
      <c r="D160" s="186">
        <v>1</v>
      </c>
      <c r="E160" s="244" t="s">
        <v>227</v>
      </c>
      <c r="F160" s="23"/>
      <c r="G160" s="244"/>
      <c r="H160" s="23"/>
      <c r="I160" s="244">
        <v>5</v>
      </c>
      <c r="J160" s="23"/>
      <c r="K160" s="23" t="s">
        <v>237</v>
      </c>
      <c r="L160" s="23"/>
      <c r="M160" s="23"/>
      <c r="N160" s="23"/>
      <c r="O160" s="84" t="s">
        <v>35</v>
      </c>
      <c r="P160" s="23"/>
    </row>
    <row r="161" spans="2:16" ht="12.75" outlineLevel="1">
      <c r="B161" s="183" t="s">
        <v>238</v>
      </c>
      <c r="C161" s="183"/>
      <c r="D161" s="186">
        <v>2</v>
      </c>
      <c r="E161" s="244" t="s">
        <v>197</v>
      </c>
      <c r="F161" s="23"/>
      <c r="G161" s="244"/>
      <c r="H161" s="23"/>
      <c r="I161" s="244" t="s">
        <v>198</v>
      </c>
      <c r="J161" s="23"/>
      <c r="K161" s="23" t="s">
        <v>239</v>
      </c>
      <c r="L161" s="23"/>
      <c r="M161" s="23"/>
      <c r="N161" s="23"/>
      <c r="O161" s="84" t="s">
        <v>35</v>
      </c>
      <c r="P161" s="23"/>
    </row>
    <row r="162" spans="2:16" ht="12.75" outlineLevel="1">
      <c r="B162" s="183" t="s">
        <v>240</v>
      </c>
      <c r="C162" s="183"/>
      <c r="D162" s="186">
        <v>1</v>
      </c>
      <c r="E162" s="244" t="s">
        <v>192</v>
      </c>
      <c r="F162" s="23"/>
      <c r="G162" s="244"/>
      <c r="H162" s="23"/>
      <c r="I162" s="244">
        <v>5</v>
      </c>
      <c r="J162" s="23"/>
      <c r="K162" s="23" t="s">
        <v>241</v>
      </c>
      <c r="L162" s="23"/>
      <c r="M162" s="23"/>
      <c r="N162" s="23"/>
      <c r="O162" s="84" t="s">
        <v>35</v>
      </c>
      <c r="P162" s="23"/>
    </row>
    <row r="163" spans="2:16" ht="12.75" outlineLevel="1">
      <c r="B163" s="183" t="s">
        <v>242</v>
      </c>
      <c r="C163" s="183"/>
      <c r="D163" s="186">
        <v>3</v>
      </c>
      <c r="E163" s="244" t="s">
        <v>243</v>
      </c>
      <c r="F163" s="23"/>
      <c r="G163" s="244"/>
      <c r="H163" s="23"/>
      <c r="I163" s="244">
        <v>5</v>
      </c>
      <c r="J163" s="23"/>
      <c r="K163" s="23" t="s">
        <v>244</v>
      </c>
      <c r="L163" s="23"/>
      <c r="M163" s="23"/>
      <c r="N163" s="23"/>
      <c r="O163" s="84" t="s">
        <v>171</v>
      </c>
      <c r="P163" s="23"/>
    </row>
    <row r="164" spans="1:256" ht="12.75" outlineLevel="1">
      <c r="A164"/>
      <c r="B164" s="24" t="s">
        <v>245</v>
      </c>
      <c r="C164" s="24"/>
      <c r="D164" s="184">
        <v>1</v>
      </c>
      <c r="E164" s="245" t="s">
        <v>192</v>
      </c>
      <c r="F164" s="184"/>
      <c r="G164" s="245"/>
      <c r="H164" s="184"/>
      <c r="I164" s="245">
        <v>4</v>
      </c>
      <c r="J164" s="184"/>
      <c r="K164" s="24" t="s">
        <v>246</v>
      </c>
      <c r="L164" s="24"/>
      <c r="M164" s="24"/>
      <c r="N164" s="24"/>
      <c r="O164" s="84" t="s">
        <v>171</v>
      </c>
      <c r="P164" s="18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2:16" ht="12.75" outlineLevel="1">
      <c r="B165" s="246" t="s">
        <v>247</v>
      </c>
      <c r="C165" s="246"/>
      <c r="D165" s="246"/>
      <c r="E165" s="246"/>
      <c r="F165" s="246"/>
      <c r="G165" s="246"/>
      <c r="H165" s="246"/>
      <c r="I165" s="246"/>
      <c r="J165" s="246"/>
      <c r="K165" s="246"/>
      <c r="L165" s="246"/>
      <c r="M165" s="246"/>
      <c r="N165" s="246"/>
      <c r="O165" s="246"/>
      <c r="P165" s="246"/>
    </row>
    <row r="166" spans="2:17" ht="15" customHeight="1" outlineLevel="1">
      <c r="B166"/>
      <c r="C166"/>
      <c r="D166"/>
      <c r="E166"/>
      <c r="F166"/>
      <c r="G166"/>
      <c r="H166"/>
      <c r="I166"/>
      <c r="J166"/>
      <c r="K166"/>
      <c r="L166"/>
      <c r="M166"/>
      <c r="N166"/>
      <c r="O166"/>
      <c r="P166"/>
      <c r="Q166" s="20"/>
    </row>
    <row r="167" spans="2:16" ht="12.75">
      <c r="B167"/>
      <c r="C167"/>
      <c r="D167"/>
      <c r="E167"/>
      <c r="F167"/>
      <c r="G167"/>
      <c r="H167"/>
      <c r="I167"/>
      <c r="J167"/>
      <c r="K167"/>
      <c r="L167"/>
      <c r="M167"/>
      <c r="N167"/>
      <c r="O167"/>
      <c r="P167"/>
    </row>
    <row r="168" spans="2:16" ht="12.75">
      <c r="B168" s="28"/>
      <c r="C168" s="28"/>
      <c r="D168" s="28"/>
      <c r="E168" s="28"/>
      <c r="F168" s="28"/>
      <c r="G168" s="28"/>
      <c r="H168" s="28"/>
      <c r="I168" s="28"/>
      <c r="J168" s="28"/>
      <c r="K168" s="28"/>
      <c r="L168" s="28"/>
      <c r="M168" s="28"/>
      <c r="N168" s="28"/>
      <c r="O168" s="28"/>
      <c r="P168" s="28"/>
    </row>
    <row r="169" spans="2:16" ht="12.75">
      <c r="B169" s="247" t="s">
        <v>248</v>
      </c>
      <c r="C169" s="248" t="s">
        <v>249</v>
      </c>
      <c r="D169" s="249" t="str">
        <f>SUM(D171:D184)&amp;"/"&amp;M9</f>
        <v>79/80</v>
      </c>
      <c r="E169" s="28"/>
      <c r="F169" s="28"/>
      <c r="G169" s="28"/>
      <c r="H169" s="28"/>
      <c r="I169" s="28"/>
      <c r="J169" s="28"/>
      <c r="K169" s="28"/>
      <c r="L169" s="28"/>
      <c r="M169" s="28"/>
      <c r="N169" s="28"/>
      <c r="O169" s="28"/>
      <c r="P169" s="28"/>
    </row>
    <row r="170" spans="2:16" ht="12.75">
      <c r="B170" s="240" t="s">
        <v>250</v>
      </c>
      <c r="C170" s="240"/>
      <c r="D170" s="241" t="s">
        <v>251</v>
      </c>
      <c r="E170" s="242" t="s">
        <v>110</v>
      </c>
      <c r="F170" s="241" t="s">
        <v>188</v>
      </c>
      <c r="G170" s="241"/>
      <c r="H170" s="241"/>
      <c r="I170" s="241"/>
      <c r="J170" s="28"/>
      <c r="K170" s="28"/>
      <c r="L170" s="28"/>
      <c r="M170" s="28"/>
      <c r="N170" s="28"/>
      <c r="O170" s="28"/>
      <c r="P170" s="28"/>
    </row>
    <row r="171" spans="2:16" ht="12.75" outlineLevel="1">
      <c r="B171" s="183" t="s">
        <v>252</v>
      </c>
      <c r="C171" s="183"/>
      <c r="D171" s="23">
        <v>-30</v>
      </c>
      <c r="E171" s="250"/>
      <c r="F171" s="23" t="s">
        <v>253</v>
      </c>
      <c r="G171" s="23"/>
      <c r="H171" s="23"/>
      <c r="I171" s="23"/>
      <c r="J171"/>
      <c r="K171"/>
      <c r="L171"/>
      <c r="M171"/>
      <c r="N171" s="28"/>
      <c r="O171" s="28"/>
      <c r="P171" s="28"/>
    </row>
    <row r="172" spans="2:16" ht="12.75" outlineLevel="1">
      <c r="B172" s="183" t="s">
        <v>254</v>
      </c>
      <c r="C172" s="183"/>
      <c r="D172" s="23">
        <v>10</v>
      </c>
      <c r="E172" s="250"/>
      <c r="F172" s="23"/>
      <c r="G172" s="23"/>
      <c r="H172" s="23"/>
      <c r="I172" s="23"/>
      <c r="J172"/>
      <c r="K172"/>
      <c r="L172"/>
      <c r="M172"/>
      <c r="N172" s="28"/>
      <c r="O172" s="28"/>
      <c r="P172" s="28"/>
    </row>
    <row r="173" spans="2:16" ht="12.75" outlineLevel="1">
      <c r="B173" s="183" t="s">
        <v>255</v>
      </c>
      <c r="C173" s="183"/>
      <c r="D173" s="23">
        <v>0</v>
      </c>
      <c r="E173" s="250"/>
      <c r="F173" s="23"/>
      <c r="G173" s="23"/>
      <c r="H173" s="23"/>
      <c r="I173" s="23"/>
      <c r="J173"/>
      <c r="K173"/>
      <c r="L173"/>
      <c r="M173"/>
      <c r="N173" s="28"/>
      <c r="O173" s="28"/>
      <c r="P173" s="28"/>
    </row>
    <row r="174" spans="2:16" ht="12.75" outlineLevel="1">
      <c r="B174" s="183" t="s">
        <v>256</v>
      </c>
      <c r="C174" s="183"/>
      <c r="D174" s="23">
        <v>8</v>
      </c>
      <c r="E174" s="250"/>
      <c r="F174" s="23"/>
      <c r="G174" s="23"/>
      <c r="H174" s="23"/>
      <c r="I174" s="23"/>
      <c r="J174"/>
      <c r="K174"/>
      <c r="L174"/>
      <c r="M174"/>
      <c r="N174" s="28"/>
      <c r="O174" s="28"/>
      <c r="P174" s="28"/>
    </row>
    <row r="175" spans="2:16" ht="12.75" outlineLevel="1">
      <c r="B175" s="183" t="s">
        <v>257</v>
      </c>
      <c r="C175" s="183"/>
      <c r="D175" s="23">
        <v>1</v>
      </c>
      <c r="E175" s="250"/>
      <c r="F175" s="23"/>
      <c r="G175" s="23"/>
      <c r="H175" s="23"/>
      <c r="I175" s="23"/>
      <c r="J175"/>
      <c r="K175" s="28"/>
      <c r="L175" s="28"/>
      <c r="M175" s="28"/>
      <c r="N175" s="28"/>
      <c r="O175" s="28"/>
      <c r="P175" s="28"/>
    </row>
    <row r="176" spans="2:16" ht="12.75" outlineLevel="1">
      <c r="B176" s="183" t="s">
        <v>258</v>
      </c>
      <c r="C176" s="183"/>
      <c r="D176" s="23">
        <v>5</v>
      </c>
      <c r="E176" s="250"/>
      <c r="F176" s="23"/>
      <c r="G176" s="23"/>
      <c r="H176" s="23"/>
      <c r="I176" s="23"/>
      <c r="J176"/>
      <c r="K176" s="28"/>
      <c r="L176" s="28"/>
      <c r="M176" s="28"/>
      <c r="N176" s="28"/>
      <c r="O176" s="28"/>
      <c r="P176" s="28"/>
    </row>
    <row r="177" spans="2:16" ht="12.75" outlineLevel="1">
      <c r="B177" s="183" t="s">
        <v>259</v>
      </c>
      <c r="C177" s="183"/>
      <c r="D177" s="23">
        <v>20</v>
      </c>
      <c r="E177" s="250"/>
      <c r="F177" s="23"/>
      <c r="G177" s="23"/>
      <c r="H177" s="23"/>
      <c r="I177" s="23"/>
      <c r="J177"/>
      <c r="K177" s="28"/>
      <c r="L177" s="28"/>
      <c r="M177" s="28"/>
      <c r="N177" s="28"/>
      <c r="O177" s="28"/>
      <c r="P177" s="28"/>
    </row>
    <row r="178" spans="2:16" ht="12.75" outlineLevel="1">
      <c r="B178" s="183" t="s">
        <v>260</v>
      </c>
      <c r="C178" s="183"/>
      <c r="D178" s="23">
        <v>5</v>
      </c>
      <c r="E178" s="250"/>
      <c r="F178" s="23"/>
      <c r="G178" s="23"/>
      <c r="H178" s="23"/>
      <c r="I178" s="23"/>
      <c r="J178"/>
      <c r="K178" s="28"/>
      <c r="L178" s="28"/>
      <c r="M178" s="28"/>
      <c r="N178" s="28"/>
      <c r="O178" s="28"/>
      <c r="P178" s="28"/>
    </row>
    <row r="179" spans="2:16" ht="12.75" outlineLevel="1">
      <c r="B179" s="183" t="s">
        <v>261</v>
      </c>
      <c r="C179" s="183"/>
      <c r="D179" s="23">
        <v>20</v>
      </c>
      <c r="E179" s="250"/>
      <c r="F179" s="23"/>
      <c r="G179" s="23"/>
      <c r="H179" s="23"/>
      <c r="I179" s="23"/>
      <c r="J179"/>
      <c r="K179" s="28"/>
      <c r="L179" s="28"/>
      <c r="M179" s="28"/>
      <c r="N179" s="28"/>
      <c r="O179" s="28"/>
      <c r="P179" s="28"/>
    </row>
    <row r="180" spans="2:16" ht="12.75" outlineLevel="1">
      <c r="B180" s="183" t="s">
        <v>262</v>
      </c>
      <c r="C180" s="183"/>
      <c r="D180" s="23">
        <v>8</v>
      </c>
      <c r="E180" s="250"/>
      <c r="F180" s="23"/>
      <c r="G180" s="23"/>
      <c r="H180" s="23"/>
      <c r="I180" s="23"/>
      <c r="J180"/>
      <c r="K180" s="28"/>
      <c r="L180" s="28"/>
      <c r="M180" s="28"/>
      <c r="N180" s="28"/>
      <c r="O180" s="28"/>
      <c r="P180" s="28"/>
    </row>
    <row r="181" spans="2:16" ht="12.75" outlineLevel="1">
      <c r="B181" s="183" t="s">
        <v>263</v>
      </c>
      <c r="C181" s="183"/>
      <c r="D181" s="23">
        <v>8</v>
      </c>
      <c r="E181" s="250"/>
      <c r="F181" s="23"/>
      <c r="G181" s="23"/>
      <c r="H181" s="23"/>
      <c r="I181" s="23"/>
      <c r="J181"/>
      <c r="K181" s="28"/>
      <c r="L181" s="28"/>
      <c r="M181" s="28"/>
      <c r="N181" s="28"/>
      <c r="O181" s="28"/>
      <c r="P181" s="28"/>
    </row>
    <row r="182" spans="2:16" ht="12.75" outlineLevel="1">
      <c r="B182" s="183" t="s">
        <v>264</v>
      </c>
      <c r="C182" s="183"/>
      <c r="D182" s="23">
        <v>8</v>
      </c>
      <c r="E182" s="250"/>
      <c r="F182" s="251"/>
      <c r="G182" s="251"/>
      <c r="H182" s="251"/>
      <c r="I182" s="251"/>
      <c r="J182"/>
      <c r="K182" s="28"/>
      <c r="L182" s="28"/>
      <c r="M182" s="28"/>
      <c r="N182" s="28"/>
      <c r="O182" s="28"/>
      <c r="P182" s="28"/>
    </row>
    <row r="183" spans="2:16" ht="12.75" outlineLevel="1">
      <c r="B183" s="183" t="s">
        <v>265</v>
      </c>
      <c r="C183" s="183"/>
      <c r="D183" s="23">
        <v>8</v>
      </c>
      <c r="E183" s="250"/>
      <c r="F183" s="23"/>
      <c r="G183" s="23"/>
      <c r="H183" s="23"/>
      <c r="I183" s="23"/>
      <c r="J183"/>
      <c r="K183" s="28"/>
      <c r="L183" s="28"/>
      <c r="M183" s="28"/>
      <c r="N183" s="28"/>
      <c r="O183" s="28"/>
      <c r="P183" s="28"/>
    </row>
    <row r="184" spans="2:16" ht="12.75" outlineLevel="1">
      <c r="B184" s="183" t="s">
        <v>266</v>
      </c>
      <c r="C184" s="183"/>
      <c r="D184" s="23">
        <v>8</v>
      </c>
      <c r="E184" s="250"/>
      <c r="F184" s="23"/>
      <c r="G184" s="23"/>
      <c r="H184" s="23"/>
      <c r="I184" s="23"/>
      <c r="J184"/>
      <c r="K184" s="28"/>
      <c r="L184" s="28"/>
      <c r="M184" s="28"/>
      <c r="N184" s="28"/>
      <c r="O184" s="28"/>
      <c r="P184" s="28"/>
    </row>
    <row r="185" spans="2:16" ht="12.75">
      <c r="B185" s="252" t="s">
        <v>267</v>
      </c>
      <c r="C185" s="252"/>
      <c r="D185" s="252"/>
      <c r="E185" s="252"/>
      <c r="F185" s="252"/>
      <c r="G185" s="252"/>
      <c r="H185" s="252"/>
      <c r="I185" s="252"/>
      <c r="J185" s="28"/>
      <c r="K185" s="28"/>
      <c r="L185" s="28"/>
      <c r="M185" s="28"/>
      <c r="N185" s="28"/>
      <c r="O185" s="28"/>
      <c r="P185" s="28"/>
    </row>
    <row r="186" spans="1:256" ht="12.75">
      <c r="A186"/>
      <c r="B186"/>
      <c r="C186"/>
      <c r="D186"/>
      <c r="E186"/>
      <c r="F186"/>
      <c r="G186"/>
      <c r="H186"/>
      <c r="I186"/>
      <c r="J186"/>
      <c r="K186" s="28"/>
      <c r="L186" s="28"/>
      <c r="M186" s="28"/>
      <c r="N186" s="28"/>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2:16" ht="12.75">
      <c r="B187" s="253" t="s">
        <v>268</v>
      </c>
      <c r="C187" s="253"/>
      <c r="D187" s="55"/>
      <c r="E187" s="254"/>
      <c r="F187" s="254"/>
      <c r="G187" s="254"/>
      <c r="H187" s="254"/>
      <c r="I187" s="254"/>
      <c r="J187" s="254"/>
      <c r="K187" s="28"/>
      <c r="L187" s="28"/>
      <c r="M187" s="28"/>
      <c r="N187" s="28"/>
      <c r="P187" s="103" t="s">
        <v>269</v>
      </c>
    </row>
    <row r="188" spans="2:16" ht="12.75">
      <c r="B188" s="3" t="s">
        <v>183</v>
      </c>
      <c r="C188" s="3"/>
      <c r="D188" s="126" t="s">
        <v>270</v>
      </c>
      <c r="E188" s="126"/>
      <c r="F188" s="107" t="s">
        <v>271</v>
      </c>
      <c r="G188" s="107"/>
      <c r="H188" s="107" t="s">
        <v>272</v>
      </c>
      <c r="I188" s="221" t="s">
        <v>273</v>
      </c>
      <c r="J188" s="221"/>
      <c r="K188" s="221"/>
      <c r="L188" s="221"/>
      <c r="M188" s="221"/>
      <c r="N188" s="28"/>
      <c r="O188" s="3" t="s">
        <v>274</v>
      </c>
      <c r="P188" s="3"/>
    </row>
    <row r="189" spans="2:16" ht="12.75" customHeight="1" outlineLevel="1">
      <c r="B189" s="161" t="s">
        <v>275</v>
      </c>
      <c r="C189" s="161"/>
      <c r="D189" s="255" t="s">
        <v>243</v>
      </c>
      <c r="E189" s="255"/>
      <c r="F189" s="256" t="s">
        <v>276</v>
      </c>
      <c r="G189" s="256"/>
      <c r="H189" s="256" t="s">
        <v>277</v>
      </c>
      <c r="I189" s="257" t="s">
        <v>278</v>
      </c>
      <c r="J189" s="257"/>
      <c r="K189" s="257"/>
      <c r="L189" s="257"/>
      <c r="M189" s="257"/>
      <c r="N189" s="255" t="s">
        <v>279</v>
      </c>
      <c r="O189" s="258" t="s">
        <v>280</v>
      </c>
      <c r="P189" s="258"/>
    </row>
    <row r="190" spans="2:16" ht="12.75" outlineLevel="1">
      <c r="B190" s="183" t="s">
        <v>281</v>
      </c>
      <c r="C190" s="183"/>
      <c r="D190" s="250" t="s">
        <v>243</v>
      </c>
      <c r="E190" s="250"/>
      <c r="F190" s="110" t="s">
        <v>279</v>
      </c>
      <c r="G190" s="110"/>
      <c r="H190" s="118">
        <v>1</v>
      </c>
      <c r="I190" s="259" t="s">
        <v>282</v>
      </c>
      <c r="J190" s="259"/>
      <c r="K190" s="259"/>
      <c r="L190" s="259"/>
      <c r="M190" s="259"/>
      <c r="N190" s="250" t="s">
        <v>283</v>
      </c>
      <c r="O190" s="259" t="s">
        <v>284</v>
      </c>
      <c r="P190" s="259"/>
    </row>
    <row r="191" spans="2:16" ht="12.75" outlineLevel="1">
      <c r="B191" s="183"/>
      <c r="C191" s="183"/>
      <c r="D191" s="250"/>
      <c r="E191" s="250"/>
      <c r="F191" s="110"/>
      <c r="G191" s="110"/>
      <c r="H191" s="118"/>
      <c r="I191" s="259"/>
      <c r="J191" s="259"/>
      <c r="K191" s="259"/>
      <c r="L191" s="259"/>
      <c r="M191" s="259"/>
      <c r="N191" s="250" t="s">
        <v>285</v>
      </c>
      <c r="O191" s="260" t="s">
        <v>286</v>
      </c>
      <c r="P191" s="260"/>
    </row>
    <row r="192" spans="2:16" ht="12.75" outlineLevel="1">
      <c r="B192" s="183"/>
      <c r="C192" s="183"/>
      <c r="D192" s="250"/>
      <c r="E192" s="250"/>
      <c r="F192" s="110"/>
      <c r="G192" s="110"/>
      <c r="H192" s="118"/>
      <c r="I192" s="259"/>
      <c r="J192" s="259"/>
      <c r="K192" s="259"/>
      <c r="L192" s="259"/>
      <c r="M192" s="259"/>
      <c r="N192" s="250" t="s">
        <v>287</v>
      </c>
      <c r="O192" s="259" t="s">
        <v>288</v>
      </c>
      <c r="P192" s="259"/>
    </row>
    <row r="193" spans="2:16" ht="12.75" outlineLevel="1">
      <c r="B193" s="24"/>
      <c r="C193" s="24"/>
      <c r="D193" s="261"/>
      <c r="E193" s="261"/>
      <c r="F193" s="262"/>
      <c r="G193" s="262"/>
      <c r="H193" s="262"/>
      <c r="I193" s="263"/>
      <c r="J193" s="263"/>
      <c r="K193" s="263"/>
      <c r="L193" s="263"/>
      <c r="M193" s="263"/>
      <c r="N193" s="261"/>
      <c r="O193" s="263"/>
      <c r="P193" s="263"/>
    </row>
    <row r="195" spans="2:3" ht="12.75">
      <c r="B195" s="63" t="s">
        <v>289</v>
      </c>
      <c r="C195" s="55" t="s">
        <v>290</v>
      </c>
    </row>
    <row r="196" spans="2:12" ht="12.75" customHeight="1">
      <c r="B196" s="264" t="s">
        <v>291</v>
      </c>
      <c r="C196" s="264"/>
      <c r="D196" s="264"/>
      <c r="E196" s="264"/>
      <c r="F196" s="264"/>
      <c r="G196" s="264"/>
      <c r="H196" s="264"/>
      <c r="I196" s="264"/>
      <c r="J196" s="264"/>
      <c r="K196" s="264"/>
      <c r="L196" s="264"/>
    </row>
    <row r="197" spans="2:12" ht="12.75">
      <c r="B197" s="264"/>
      <c r="C197" s="264"/>
      <c r="D197" s="264"/>
      <c r="E197" s="264"/>
      <c r="F197" s="264"/>
      <c r="G197" s="264"/>
      <c r="H197" s="264"/>
      <c r="I197" s="264"/>
      <c r="J197" s="264"/>
      <c r="K197" s="264"/>
      <c r="L197" s="264"/>
    </row>
    <row r="198" spans="2:12" ht="12.75">
      <c r="B198" s="264"/>
      <c r="C198" s="264"/>
      <c r="D198" s="264"/>
      <c r="E198" s="264"/>
      <c r="F198" s="264"/>
      <c r="G198" s="264"/>
      <c r="H198" s="264"/>
      <c r="I198" s="264"/>
      <c r="J198" s="264"/>
      <c r="K198" s="264"/>
      <c r="L198" s="264"/>
    </row>
    <row r="199" spans="2:12" ht="12.75">
      <c r="B199" s="264"/>
      <c r="C199" s="264"/>
      <c r="D199" s="264"/>
      <c r="E199" s="264"/>
      <c r="F199" s="264"/>
      <c r="G199" s="264"/>
      <c r="H199" s="264"/>
      <c r="I199" s="264"/>
      <c r="J199" s="264"/>
      <c r="K199" s="264"/>
      <c r="L199" s="264"/>
    </row>
    <row r="200" spans="2:12" ht="12.75">
      <c r="B200" s="264"/>
      <c r="C200" s="264"/>
      <c r="D200" s="264"/>
      <c r="E200" s="264"/>
      <c r="F200" s="264"/>
      <c r="G200" s="264"/>
      <c r="H200" s="264"/>
      <c r="I200" s="264"/>
      <c r="J200" s="264"/>
      <c r="K200" s="264"/>
      <c r="L200" s="264"/>
    </row>
    <row r="201" spans="2:12" ht="12.75">
      <c r="B201" s="264"/>
      <c r="C201" s="264"/>
      <c r="D201" s="264"/>
      <c r="E201" s="264"/>
      <c r="F201" s="264"/>
      <c r="G201" s="264"/>
      <c r="H201" s="264"/>
      <c r="I201" s="264"/>
      <c r="J201" s="264"/>
      <c r="K201" s="264"/>
      <c r="L201" s="264"/>
    </row>
    <row r="202" spans="2:12" ht="12.75">
      <c r="B202" s="264"/>
      <c r="C202" s="264"/>
      <c r="D202" s="264"/>
      <c r="E202" s="264"/>
      <c r="F202" s="264"/>
      <c r="G202" s="264"/>
      <c r="H202" s="264"/>
      <c r="I202" s="264"/>
      <c r="J202" s="264"/>
      <c r="K202" s="264"/>
      <c r="L202" s="264"/>
    </row>
    <row r="203" spans="2:12" ht="12.75">
      <c r="B203" s="264"/>
      <c r="C203" s="264"/>
      <c r="D203" s="264"/>
      <c r="E203" s="264"/>
      <c r="F203" s="264"/>
      <c r="G203" s="264"/>
      <c r="H203" s="264"/>
      <c r="I203" s="264"/>
      <c r="J203" s="264"/>
      <c r="K203" s="264"/>
      <c r="L203" s="264"/>
    </row>
    <row r="204" spans="2:12" ht="12.75">
      <c r="B204" s="264"/>
      <c r="C204" s="264"/>
      <c r="D204" s="264"/>
      <c r="E204" s="264"/>
      <c r="F204" s="264"/>
      <c r="G204" s="264"/>
      <c r="H204" s="264"/>
      <c r="I204" s="264"/>
      <c r="J204" s="264"/>
      <c r="K204" s="264"/>
      <c r="L204" s="264"/>
    </row>
  </sheetData>
  <sheetProtection selectLockedCells="1" selectUnlockedCells="1"/>
  <mergeCells count="236">
    <mergeCell ref="C2:E2"/>
    <mergeCell ref="I2:I3"/>
    <mergeCell ref="N2:O9"/>
    <mergeCell ref="I4:J4"/>
    <mergeCell ref="C5:E5"/>
    <mergeCell ref="C7:D7"/>
    <mergeCell ref="C8:D8"/>
    <mergeCell ref="C9:D9"/>
    <mergeCell ref="N10:O10"/>
    <mergeCell ref="B12:B13"/>
    <mergeCell ref="C12:C13"/>
    <mergeCell ref="D12:D13"/>
    <mergeCell ref="E12:F12"/>
    <mergeCell ref="G12:G13"/>
    <mergeCell ref="H12:H13"/>
    <mergeCell ref="I12:I13"/>
    <mergeCell ref="J12:J13"/>
    <mergeCell ref="K12:K13"/>
    <mergeCell ref="L12:L13"/>
    <mergeCell ref="M12:M13"/>
    <mergeCell ref="N12:N13"/>
    <mergeCell ref="K25:N25"/>
    <mergeCell ref="B26:G26"/>
    <mergeCell ref="K26:N26"/>
    <mergeCell ref="K27:N27"/>
    <mergeCell ref="J28:J32"/>
    <mergeCell ref="K28:N32"/>
    <mergeCell ref="B30:G30"/>
    <mergeCell ref="B34:G34"/>
    <mergeCell ref="K39:L39"/>
    <mergeCell ref="K40:L40"/>
    <mergeCell ref="K41:L41"/>
    <mergeCell ref="K42:L42"/>
    <mergeCell ref="M47:O47"/>
    <mergeCell ref="C49:D49"/>
    <mergeCell ref="C50:D50"/>
    <mergeCell ref="C51:D51"/>
    <mergeCell ref="B52:B53"/>
    <mergeCell ref="C52:D52"/>
    <mergeCell ref="C53:D53"/>
    <mergeCell ref="C54:P54"/>
    <mergeCell ref="C55:P55"/>
    <mergeCell ref="C56:D56"/>
    <mergeCell ref="C57:D57"/>
    <mergeCell ref="C58:D58"/>
    <mergeCell ref="C59:D59"/>
    <mergeCell ref="C60:D60"/>
    <mergeCell ref="C61:D61"/>
    <mergeCell ref="C62:D62"/>
    <mergeCell ref="C63:D63"/>
    <mergeCell ref="C64:D64"/>
    <mergeCell ref="B65:B69"/>
    <mergeCell ref="C65:D65"/>
    <mergeCell ref="C66:D66"/>
    <mergeCell ref="C67:D67"/>
    <mergeCell ref="C68:D68"/>
    <mergeCell ref="C69:D69"/>
    <mergeCell ref="C70:P70"/>
    <mergeCell ref="C71:P71"/>
    <mergeCell ref="C72:P72"/>
    <mergeCell ref="C73:P73"/>
    <mergeCell ref="C74:P74"/>
    <mergeCell ref="C75:D75"/>
    <mergeCell ref="B85:C85"/>
    <mergeCell ref="B86:C86"/>
    <mergeCell ref="B87:C87"/>
    <mergeCell ref="B88:C88"/>
    <mergeCell ref="B89:C89"/>
    <mergeCell ref="B90:C90"/>
    <mergeCell ref="B91:C91"/>
    <mergeCell ref="B95:C95"/>
    <mergeCell ref="E95:G95"/>
    <mergeCell ref="B96:C96"/>
    <mergeCell ref="E96:G96"/>
    <mergeCell ref="B97:C97"/>
    <mergeCell ref="E97:G97"/>
    <mergeCell ref="B98:C98"/>
    <mergeCell ref="E98:G98"/>
    <mergeCell ref="B99:C99"/>
    <mergeCell ref="E99:G99"/>
    <mergeCell ref="B100:C100"/>
    <mergeCell ref="E100:G100"/>
    <mergeCell ref="B101:C101"/>
    <mergeCell ref="E101:G101"/>
    <mergeCell ref="B102:C102"/>
    <mergeCell ref="E102:G102"/>
    <mergeCell ref="B103:C103"/>
    <mergeCell ref="E103:G103"/>
    <mergeCell ref="B104:C104"/>
    <mergeCell ref="E104:G104"/>
    <mergeCell ref="C106:E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E121:F121"/>
    <mergeCell ref="E122:F122"/>
    <mergeCell ref="E123:F123"/>
    <mergeCell ref="E124:F124"/>
    <mergeCell ref="E125:F125"/>
    <mergeCell ref="E126:F126"/>
    <mergeCell ref="E127:F127"/>
    <mergeCell ref="E128:F128"/>
    <mergeCell ref="E129:F129"/>
    <mergeCell ref="E130:F130"/>
    <mergeCell ref="E131:F131"/>
    <mergeCell ref="B132:D132"/>
    <mergeCell ref="E132:F132"/>
    <mergeCell ref="B134:D134"/>
    <mergeCell ref="E134:F134"/>
    <mergeCell ref="B135:D135"/>
    <mergeCell ref="E135:F135"/>
    <mergeCell ref="B137:D137"/>
    <mergeCell ref="E137:F137"/>
    <mergeCell ref="B138:D138"/>
    <mergeCell ref="E138:F138"/>
    <mergeCell ref="B140:D140"/>
    <mergeCell ref="E140:F140"/>
    <mergeCell ref="B141:D141"/>
    <mergeCell ref="E141:F141"/>
    <mergeCell ref="B143:C143"/>
    <mergeCell ref="K143:N143"/>
    <mergeCell ref="B144:C144"/>
    <mergeCell ref="K144:N144"/>
    <mergeCell ref="B145:C145"/>
    <mergeCell ref="K145:N145"/>
    <mergeCell ref="B146:C146"/>
    <mergeCell ref="K146:N146"/>
    <mergeCell ref="B147:C147"/>
    <mergeCell ref="K147:N147"/>
    <mergeCell ref="B148:C148"/>
    <mergeCell ref="K148:N148"/>
    <mergeCell ref="B149:C149"/>
    <mergeCell ref="K149:N149"/>
    <mergeCell ref="B150:C150"/>
    <mergeCell ref="K150:N150"/>
    <mergeCell ref="B151:C151"/>
    <mergeCell ref="K151:N151"/>
    <mergeCell ref="B152:C152"/>
    <mergeCell ref="K152:N152"/>
    <mergeCell ref="B153:C153"/>
    <mergeCell ref="K153:N153"/>
    <mergeCell ref="B154:C154"/>
    <mergeCell ref="K154:N154"/>
    <mergeCell ref="B155:C155"/>
    <mergeCell ref="K155:N155"/>
    <mergeCell ref="B156:C156"/>
    <mergeCell ref="K156:N156"/>
    <mergeCell ref="B157:C157"/>
    <mergeCell ref="K157:N157"/>
    <mergeCell ref="B158:C158"/>
    <mergeCell ref="K158:N158"/>
    <mergeCell ref="B159:C159"/>
    <mergeCell ref="K159:N159"/>
    <mergeCell ref="B160:C160"/>
    <mergeCell ref="K160:N160"/>
    <mergeCell ref="B161:C161"/>
    <mergeCell ref="K161:N161"/>
    <mergeCell ref="B162:C162"/>
    <mergeCell ref="K162:N162"/>
    <mergeCell ref="B163:C163"/>
    <mergeCell ref="K163:N163"/>
    <mergeCell ref="B164:C164"/>
    <mergeCell ref="K164:N164"/>
    <mergeCell ref="B165:P165"/>
    <mergeCell ref="B170:C170"/>
    <mergeCell ref="F170:I170"/>
    <mergeCell ref="B171:C171"/>
    <mergeCell ref="F171:I171"/>
    <mergeCell ref="B172:C172"/>
    <mergeCell ref="F172:I172"/>
    <mergeCell ref="B173:C173"/>
    <mergeCell ref="F173:I173"/>
    <mergeCell ref="B174:C174"/>
    <mergeCell ref="F174:I174"/>
    <mergeCell ref="B175:C175"/>
    <mergeCell ref="F175:I175"/>
    <mergeCell ref="B176:C176"/>
    <mergeCell ref="F176:I176"/>
    <mergeCell ref="B177:C177"/>
    <mergeCell ref="F177:I177"/>
    <mergeCell ref="B178:C178"/>
    <mergeCell ref="F178:I178"/>
    <mergeCell ref="B179:C179"/>
    <mergeCell ref="F179:I179"/>
    <mergeCell ref="B180:C180"/>
    <mergeCell ref="F180:I180"/>
    <mergeCell ref="B181:C181"/>
    <mergeCell ref="F181:I181"/>
    <mergeCell ref="B182:C182"/>
    <mergeCell ref="F182:I182"/>
    <mergeCell ref="B183:C183"/>
    <mergeCell ref="F183:I183"/>
    <mergeCell ref="B184:C184"/>
    <mergeCell ref="F184:I184"/>
    <mergeCell ref="B185:I185"/>
    <mergeCell ref="B187:C187"/>
    <mergeCell ref="B188:C188"/>
    <mergeCell ref="D188:E188"/>
    <mergeCell ref="F188:G188"/>
    <mergeCell ref="I188:M188"/>
    <mergeCell ref="O188:P188"/>
    <mergeCell ref="B189:C189"/>
    <mergeCell ref="D189:E189"/>
    <mergeCell ref="F189:G189"/>
    <mergeCell ref="I189:M189"/>
    <mergeCell ref="O189:P189"/>
    <mergeCell ref="B190:C190"/>
    <mergeCell ref="D190:E190"/>
    <mergeCell ref="F190:G190"/>
    <mergeCell ref="I190:M190"/>
    <mergeCell ref="O190:P190"/>
    <mergeCell ref="B191:C191"/>
    <mergeCell ref="D191:E191"/>
    <mergeCell ref="F191:G191"/>
    <mergeCell ref="I191:M191"/>
    <mergeCell ref="O191:P191"/>
    <mergeCell ref="B192:C192"/>
    <mergeCell ref="D192:E192"/>
    <mergeCell ref="F192:G192"/>
    <mergeCell ref="I192:M192"/>
    <mergeCell ref="O192:P192"/>
    <mergeCell ref="B193:C193"/>
    <mergeCell ref="D193:E193"/>
    <mergeCell ref="F193:G193"/>
    <mergeCell ref="I193:M193"/>
    <mergeCell ref="O193:P193"/>
    <mergeCell ref="B196:L204"/>
  </mergeCells>
  <dataValidations count="12">
    <dataValidation operator="equal" allowBlank="1" showErrorMessage="1" sqref="K2:K3">
      <formula1>0</formula1>
    </dataValidation>
    <dataValidation type="list" operator="equal" allowBlank="1" sqref="C7">
      <formula1>武器・種族・職業のリスト!$B$21:$B$36</formula1>
    </dataValidation>
    <dataValidation type="list" operator="equal" allowBlank="1" sqref="C8">
      <formula1>武器・種族・職業のリスト!$B$37:$B$48</formula1>
    </dataValidation>
    <dataValidation type="list" operator="equal" allowBlank="1" sqref="C9">
      <formula1>武器・種族・職業のリスト!$B$4:$B$17</formula1>
    </dataValidation>
    <dataValidation type="list" operator="equal" allowBlank="1" sqref="C50:C51">
      <formula1>武器・種族・職業のリスト!$B$52:$B$173</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武器・種族・職業のリスト!$B$21:$B$49</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workbookViewId="0" topLeftCell="A1">
      <selection activeCell="A1" sqref="A1"/>
    </sheetView>
  </sheetViews>
  <sheetFormatPr defaultColWidth="10.00390625" defaultRowHeight="13.5"/>
  <cols>
    <col min="1" max="14" width="9.875" style="1" customWidth="1"/>
    <col min="15" max="15" width="17.625" style="1" customWidth="1"/>
    <col min="16" max="16384" width="9.875" style="1" customWidth="1"/>
  </cols>
  <sheetData>
    <row r="1" ht="12.75">
      <c r="L1" s="55" t="s">
        <v>292</v>
      </c>
    </row>
    <row r="2" spans="2:12" ht="12.75">
      <c r="B2" s="1" t="s">
        <v>293</v>
      </c>
      <c r="D2" s="55" t="s">
        <v>294</v>
      </c>
      <c r="K2" s="1" t="s">
        <v>295</v>
      </c>
      <c r="L2" s="55" t="s">
        <v>296</v>
      </c>
    </row>
    <row r="3" spans="2:15" ht="12.75">
      <c r="B3" s="3" t="s">
        <v>297</v>
      </c>
      <c r="C3" s="3"/>
      <c r="D3" s="3"/>
      <c r="E3" s="3" t="s">
        <v>298</v>
      </c>
      <c r="F3" s="3"/>
      <c r="G3" s="3"/>
      <c r="H3" s="3"/>
      <c r="K3" s="265" t="s">
        <v>297</v>
      </c>
      <c r="L3" s="3"/>
      <c r="M3" s="3"/>
      <c r="N3" s="3"/>
      <c r="O3" s="3"/>
    </row>
    <row r="4" spans="2:15" ht="12.75">
      <c r="B4" s="266"/>
      <c r="C4" s="266"/>
      <c r="D4" s="266"/>
      <c r="E4" s="155"/>
      <c r="F4" s="155"/>
      <c r="G4" s="155"/>
      <c r="H4" s="155"/>
      <c r="K4" s="267" t="s">
        <v>86</v>
      </c>
      <c r="L4" s="6"/>
      <c r="M4" s="6"/>
      <c r="N4" s="6"/>
      <c r="O4" s="6"/>
    </row>
    <row r="5" spans="2:15" ht="12.75">
      <c r="B5" s="268"/>
      <c r="C5" s="268"/>
      <c r="D5" s="268"/>
      <c r="E5" s="23"/>
      <c r="F5" s="23"/>
      <c r="G5" s="23"/>
      <c r="H5" s="23"/>
      <c r="K5" s="267"/>
      <c r="L5" s="267"/>
      <c r="M5" s="6"/>
      <c r="N5" s="6"/>
      <c r="O5" s="6"/>
    </row>
    <row r="6" spans="2:15" ht="12.75">
      <c r="B6" s="268"/>
      <c r="C6" s="268"/>
      <c r="D6" s="268"/>
      <c r="E6" s="23"/>
      <c r="F6" s="23"/>
      <c r="G6" s="23"/>
      <c r="H6" s="23"/>
      <c r="K6" s="267"/>
      <c r="L6" s="267"/>
      <c r="M6" s="6"/>
      <c r="N6" s="6"/>
      <c r="O6" s="6"/>
    </row>
    <row r="7" spans="2:15" ht="12.75">
      <c r="B7" s="268"/>
      <c r="C7" s="268"/>
      <c r="D7" s="268"/>
      <c r="E7" s="23"/>
      <c r="F7" s="23"/>
      <c r="G7" s="23"/>
      <c r="H7" s="23"/>
      <c r="K7" s="267"/>
      <c r="L7" s="267"/>
      <c r="M7" s="6"/>
      <c r="N7" s="6"/>
      <c r="O7" s="6"/>
    </row>
    <row r="8" spans="2:15" ht="12.75">
      <c r="B8" s="268"/>
      <c r="C8" s="268"/>
      <c r="D8" s="268"/>
      <c r="E8" s="23"/>
      <c r="F8" s="23"/>
      <c r="G8" s="23"/>
      <c r="H8" s="23"/>
      <c r="K8" s="267"/>
      <c r="L8" s="267"/>
      <c r="M8" s="6"/>
      <c r="N8" s="6"/>
      <c r="O8" s="6"/>
    </row>
    <row r="9" spans="2:15" ht="12.75">
      <c r="B9" s="268"/>
      <c r="C9" s="268"/>
      <c r="D9" s="268"/>
      <c r="E9" s="23"/>
      <c r="F9" s="23"/>
      <c r="G9" s="23"/>
      <c r="H9" s="23"/>
      <c r="K9" s="267"/>
      <c r="L9" s="267"/>
      <c r="M9" s="6"/>
      <c r="N9" s="6"/>
      <c r="O9" s="6"/>
    </row>
    <row r="10" spans="2:15" ht="12.75">
      <c r="B10" s="268"/>
      <c r="C10" s="268"/>
      <c r="D10" s="268"/>
      <c r="E10" s="23"/>
      <c r="F10" s="23"/>
      <c r="G10" s="23"/>
      <c r="H10" s="23"/>
      <c r="K10" s="267"/>
      <c r="L10" s="267"/>
      <c r="M10" s="6"/>
      <c r="N10" s="6"/>
      <c r="O10" s="6"/>
    </row>
    <row r="11" spans="2:15" ht="12.75">
      <c r="B11" s="268"/>
      <c r="C11" s="268"/>
      <c r="D11" s="268"/>
      <c r="E11" s="23"/>
      <c r="F11" s="23"/>
      <c r="G11" s="23"/>
      <c r="H11" s="23"/>
      <c r="K11" s="267"/>
      <c r="L11" s="267"/>
      <c r="M11" s="6"/>
      <c r="N11" s="6"/>
      <c r="O11" s="6"/>
    </row>
    <row r="12" spans="2:15" ht="12.75">
      <c r="B12" s="268"/>
      <c r="C12" s="268"/>
      <c r="D12" s="268"/>
      <c r="E12" s="23"/>
      <c r="F12" s="23"/>
      <c r="G12" s="23"/>
      <c r="H12" s="23"/>
      <c r="K12" s="267"/>
      <c r="L12" s="267"/>
      <c r="M12" s="6"/>
      <c r="N12" s="6"/>
      <c r="O12" s="6"/>
    </row>
    <row r="13" spans="2:15" ht="12.75">
      <c r="B13" s="268"/>
      <c r="C13" s="268"/>
      <c r="D13" s="268"/>
      <c r="E13" s="23"/>
      <c r="F13" s="23"/>
      <c r="G13" s="23"/>
      <c r="H13" s="23"/>
      <c r="K13" s="267"/>
      <c r="L13" s="267"/>
      <c r="M13" s="6"/>
      <c r="N13" s="6"/>
      <c r="O13" s="6"/>
    </row>
    <row r="14" spans="2:15" ht="12.75">
      <c r="B14" s="268"/>
      <c r="C14" s="268"/>
      <c r="D14" s="268"/>
      <c r="E14" s="23"/>
      <c r="F14" s="23"/>
      <c r="G14" s="23"/>
      <c r="H14" s="23"/>
      <c r="K14" s="267"/>
      <c r="L14" s="267"/>
      <c r="M14" s="6"/>
      <c r="N14" s="6"/>
      <c r="O14" s="6"/>
    </row>
    <row r="15" spans="2:15" ht="12.75">
      <c r="B15" s="268"/>
      <c r="C15" s="268"/>
      <c r="D15" s="268"/>
      <c r="E15" s="23"/>
      <c r="F15" s="23"/>
      <c r="G15" s="23"/>
      <c r="H15" s="23"/>
      <c r="K15" s="267"/>
      <c r="L15" s="267"/>
      <c r="M15" s="6"/>
      <c r="N15" s="6"/>
      <c r="O15" s="6"/>
    </row>
    <row r="16" spans="2:15" ht="12.75">
      <c r="B16" s="268"/>
      <c r="C16" s="268"/>
      <c r="D16" s="268"/>
      <c r="E16" s="23"/>
      <c r="F16" s="23"/>
      <c r="G16" s="23"/>
      <c r="H16" s="23"/>
      <c r="K16" s="267"/>
      <c r="L16" s="267"/>
      <c r="M16" s="6"/>
      <c r="N16" s="6"/>
      <c r="O16" s="6"/>
    </row>
    <row r="17" spans="2:15" ht="12.75">
      <c r="B17" s="268"/>
      <c r="C17" s="268"/>
      <c r="D17" s="268"/>
      <c r="E17" s="23"/>
      <c r="F17" s="23"/>
      <c r="G17" s="23"/>
      <c r="H17" s="23"/>
      <c r="K17" s="267"/>
      <c r="L17" s="267"/>
      <c r="M17" s="6"/>
      <c r="N17" s="6"/>
      <c r="O17" s="6"/>
    </row>
    <row r="18" spans="2:15" ht="12.75">
      <c r="B18" s="268"/>
      <c r="C18" s="268"/>
      <c r="D18" s="268"/>
      <c r="E18" s="23"/>
      <c r="F18" s="23"/>
      <c r="G18" s="23"/>
      <c r="H18" s="23"/>
      <c r="K18" s="267"/>
      <c r="L18" s="267"/>
      <c r="M18" s="6"/>
      <c r="N18" s="6"/>
      <c r="O18" s="6"/>
    </row>
    <row r="19" spans="2:15" ht="12.75">
      <c r="B19" s="268"/>
      <c r="C19" s="268"/>
      <c r="D19" s="268"/>
      <c r="E19" s="23"/>
      <c r="F19" s="23"/>
      <c r="G19" s="23"/>
      <c r="H19" s="23"/>
      <c r="K19" s="267"/>
      <c r="L19" s="267"/>
      <c r="M19" s="6"/>
      <c r="N19" s="6"/>
      <c r="O19" s="6"/>
    </row>
    <row r="20" spans="2:15" ht="12.75">
      <c r="B20" s="268"/>
      <c r="C20" s="268"/>
      <c r="D20" s="268"/>
      <c r="E20" s="23"/>
      <c r="F20" s="23"/>
      <c r="G20" s="23"/>
      <c r="H20" s="23"/>
      <c r="K20" s="267"/>
      <c r="L20" s="267"/>
      <c r="M20" s="6"/>
      <c r="N20" s="6"/>
      <c r="O20" s="6"/>
    </row>
    <row r="21" spans="2:15" ht="12.75">
      <c r="B21" s="268"/>
      <c r="C21" s="268"/>
      <c r="D21" s="268"/>
      <c r="E21" s="23"/>
      <c r="F21" s="23"/>
      <c r="G21" s="23"/>
      <c r="H21" s="23"/>
      <c r="K21" s="267"/>
      <c r="L21" s="267"/>
      <c r="M21" s="6"/>
      <c r="N21" s="6"/>
      <c r="O21" s="6"/>
    </row>
    <row r="22" spans="2:15" ht="12.75">
      <c r="B22" s="268"/>
      <c r="C22" s="268"/>
      <c r="D22" s="268"/>
      <c r="E22" s="23"/>
      <c r="F22" s="23"/>
      <c r="G22" s="23"/>
      <c r="H22" s="23"/>
      <c r="K22" s="267"/>
      <c r="L22" s="267"/>
      <c r="M22" s="6"/>
      <c r="N22" s="6"/>
      <c r="O22" s="6"/>
    </row>
    <row r="23" spans="2:15" ht="12.75">
      <c r="B23" s="268"/>
      <c r="C23" s="268"/>
      <c r="D23" s="268"/>
      <c r="E23" s="23"/>
      <c r="F23" s="23"/>
      <c r="G23" s="23"/>
      <c r="H23" s="23"/>
      <c r="K23" s="267"/>
      <c r="L23" s="267"/>
      <c r="M23" s="6"/>
      <c r="N23" s="6"/>
      <c r="O23" s="6"/>
    </row>
    <row r="24" spans="2:15" ht="12.75">
      <c r="B24" s="269"/>
      <c r="C24" s="269"/>
      <c r="D24" s="269"/>
      <c r="E24" s="24"/>
      <c r="F24" s="24"/>
      <c r="G24" s="24"/>
      <c r="H24" s="24"/>
      <c r="K24" s="267"/>
      <c r="L24" s="267"/>
      <c r="M24" s="6"/>
      <c r="N24" s="6"/>
      <c r="O24" s="6"/>
    </row>
  </sheetData>
  <sheetProtection selectLockedCells="1" selectUnlockedCells="1"/>
  <mergeCells count="47">
    <mergeCell ref="B3:D3"/>
    <mergeCell ref="E3:H3"/>
    <mergeCell ref="L3:O3"/>
    <mergeCell ref="B4:D4"/>
    <mergeCell ref="E4:H4"/>
    <mergeCell ref="K4:K24"/>
    <mergeCell ref="L4:O2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workbookViewId="0" topLeftCell="A1">
      <selection activeCell="E53" sqref="E53"/>
    </sheetView>
  </sheetViews>
  <sheetFormatPr defaultColWidth="10.0039062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2.75">
      <c r="B1" s="55" t="s">
        <v>299</v>
      </c>
    </row>
    <row r="2" spans="2:3" ht="12.75">
      <c r="B2" s="28" t="s">
        <v>141</v>
      </c>
      <c r="C2" s="55" t="s">
        <v>300</v>
      </c>
    </row>
    <row r="3" spans="2:9" ht="12.75">
      <c r="B3" s="270" t="s">
        <v>143</v>
      </c>
      <c r="C3" s="3" t="s">
        <v>301</v>
      </c>
      <c r="D3" s="106" t="s">
        <v>302</v>
      </c>
      <c r="E3" s="221" t="s">
        <v>303</v>
      </c>
      <c r="F3" s="3" t="s">
        <v>43</v>
      </c>
      <c r="G3" s="3" t="s">
        <v>146</v>
      </c>
      <c r="I3" s="271" t="s">
        <v>304</v>
      </c>
    </row>
    <row r="4" spans="2:9" ht="12.75">
      <c r="B4" s="272"/>
      <c r="C4" s="186"/>
      <c r="D4" s="273">
        <v>0</v>
      </c>
      <c r="E4" s="274">
        <v>0</v>
      </c>
      <c r="F4" s="186">
        <v>0</v>
      </c>
      <c r="G4" s="186">
        <f>SUM(D4:E4)</f>
        <v>0</v>
      </c>
      <c r="I4" s="1" t="s">
        <v>305</v>
      </c>
    </row>
    <row r="5" spans="2:7" ht="12.75">
      <c r="B5" s="275"/>
      <c r="C5" s="23"/>
      <c r="D5" s="276">
        <v>0</v>
      </c>
      <c r="E5" s="274">
        <v>0</v>
      </c>
      <c r="F5" s="186">
        <v>0</v>
      </c>
      <c r="G5" s="186">
        <f>SUM(D5:E5)</f>
        <v>0</v>
      </c>
    </row>
    <row r="6" spans="2:7" ht="12.75">
      <c r="B6" s="275"/>
      <c r="C6" s="23"/>
      <c r="D6" s="276">
        <v>0</v>
      </c>
      <c r="E6" s="274">
        <v>0</v>
      </c>
      <c r="F6" s="186">
        <v>0</v>
      </c>
      <c r="G6" s="186">
        <f>SUM(D6:E6)</f>
        <v>0</v>
      </c>
    </row>
    <row r="7" spans="2:7" ht="12.75">
      <c r="B7" s="275"/>
      <c r="C7" s="23"/>
      <c r="D7" s="276">
        <v>0</v>
      </c>
      <c r="E7" s="274">
        <v>0</v>
      </c>
      <c r="F7" s="186">
        <v>0</v>
      </c>
      <c r="G7" s="186">
        <f>SUM(D7:E7)</f>
        <v>0</v>
      </c>
    </row>
    <row r="8" spans="2:7" ht="12.75">
      <c r="B8" s="275"/>
      <c r="C8" s="23"/>
      <c r="D8" s="276">
        <v>0</v>
      </c>
      <c r="E8" s="274">
        <v>0</v>
      </c>
      <c r="F8" s="186">
        <v>0</v>
      </c>
      <c r="G8" s="186">
        <f>SUM(D8:E8)</f>
        <v>0</v>
      </c>
    </row>
    <row r="9" spans="2:7" ht="12.75">
      <c r="B9" s="275"/>
      <c r="C9" s="23"/>
      <c r="D9" s="276">
        <v>0</v>
      </c>
      <c r="E9" s="274">
        <v>0</v>
      </c>
      <c r="F9" s="186">
        <v>0</v>
      </c>
      <c r="G9" s="186">
        <f>SUM(D9:E9)</f>
        <v>0</v>
      </c>
    </row>
    <row r="10" spans="2:7" ht="12.75">
      <c r="B10" s="275"/>
      <c r="C10" s="23"/>
      <c r="D10" s="276">
        <v>0</v>
      </c>
      <c r="E10" s="274">
        <v>0</v>
      </c>
      <c r="F10" s="186">
        <v>0</v>
      </c>
      <c r="G10" s="186">
        <f>SUM(D10:E10)</f>
        <v>0</v>
      </c>
    </row>
    <row r="11" spans="2:7" ht="12.75">
      <c r="B11" s="275"/>
      <c r="C11" s="23"/>
      <c r="D11" s="276">
        <v>0</v>
      </c>
      <c r="E11" s="274">
        <v>0</v>
      </c>
      <c r="F11" s="186">
        <v>0</v>
      </c>
      <c r="G11" s="186">
        <f>SUM(D11:E11)</f>
        <v>0</v>
      </c>
    </row>
    <row r="12" spans="2:7" ht="12.75">
      <c r="B12" s="275"/>
      <c r="C12" s="23"/>
      <c r="D12" s="276">
        <v>0</v>
      </c>
      <c r="E12" s="274">
        <v>0</v>
      </c>
      <c r="F12" s="186">
        <v>0</v>
      </c>
      <c r="G12" s="186">
        <f>SUM(D12:E12)</f>
        <v>0</v>
      </c>
    </row>
    <row r="13" spans="2:7" ht="12.75">
      <c r="B13" s="275"/>
      <c r="C13" s="23"/>
      <c r="D13" s="276">
        <v>0</v>
      </c>
      <c r="E13" s="274">
        <v>0</v>
      </c>
      <c r="F13" s="186">
        <v>0</v>
      </c>
      <c r="G13" s="186">
        <f>SUM(D13:E13)</f>
        <v>0</v>
      </c>
    </row>
    <row r="14" spans="2:7" ht="12.75">
      <c r="B14" s="275"/>
      <c r="C14" s="23"/>
      <c r="D14" s="276">
        <v>0</v>
      </c>
      <c r="E14" s="274">
        <v>0</v>
      </c>
      <c r="F14" s="186">
        <v>0</v>
      </c>
      <c r="G14" s="186">
        <f>SUM(D14:E14)</f>
        <v>0</v>
      </c>
    </row>
    <row r="15" spans="2:7" ht="12.75">
      <c r="B15" s="275"/>
      <c r="C15" s="23"/>
      <c r="D15" s="276">
        <v>0</v>
      </c>
      <c r="E15" s="274">
        <v>0</v>
      </c>
      <c r="F15" s="186">
        <v>0</v>
      </c>
      <c r="G15" s="186">
        <f>SUM(D15:E15)</f>
        <v>0</v>
      </c>
    </row>
    <row r="16" spans="2:7" ht="12.75">
      <c r="B16" s="275"/>
      <c r="C16" s="23"/>
      <c r="D16" s="276">
        <v>0</v>
      </c>
      <c r="E16" s="274">
        <v>0</v>
      </c>
      <c r="F16" s="186">
        <v>0</v>
      </c>
      <c r="G16" s="186">
        <f>SUM(D16:E16)</f>
        <v>0</v>
      </c>
    </row>
    <row r="17" spans="2:7" ht="12.75">
      <c r="B17" s="275"/>
      <c r="C17" s="23"/>
      <c r="D17" s="276">
        <v>0</v>
      </c>
      <c r="E17" s="274">
        <v>0</v>
      </c>
      <c r="F17" s="186">
        <v>0</v>
      </c>
      <c r="G17" s="186">
        <f>SUM(D17:E17)</f>
        <v>0</v>
      </c>
    </row>
    <row r="18" spans="2:7" ht="12.75">
      <c r="B18" s="275"/>
      <c r="C18" s="23"/>
      <c r="D18" s="276">
        <v>0</v>
      </c>
      <c r="E18" s="274">
        <v>0</v>
      </c>
      <c r="F18" s="186">
        <v>0</v>
      </c>
      <c r="G18" s="186">
        <f>SUM(D18:E18)</f>
        <v>0</v>
      </c>
    </row>
    <row r="19" spans="2:7" ht="12.75">
      <c r="B19" s="275"/>
      <c r="C19" s="23"/>
      <c r="D19" s="276">
        <v>0</v>
      </c>
      <c r="E19" s="274">
        <v>0</v>
      </c>
      <c r="F19" s="186">
        <v>0</v>
      </c>
      <c r="G19" s="186">
        <f>SUM(D19:E19)</f>
        <v>0</v>
      </c>
    </row>
    <row r="20" spans="2:7" ht="12.75">
      <c r="B20" s="275"/>
      <c r="C20" s="23"/>
      <c r="D20" s="276">
        <v>0</v>
      </c>
      <c r="E20" s="274">
        <v>0</v>
      </c>
      <c r="F20" s="186">
        <v>0</v>
      </c>
      <c r="G20" s="186">
        <f>SUM(D20:E20)</f>
        <v>0</v>
      </c>
    </row>
    <row r="21" spans="2:7" ht="12.75">
      <c r="B21" s="275"/>
      <c r="C21" s="23"/>
      <c r="D21" s="276">
        <v>0</v>
      </c>
      <c r="E21" s="274">
        <v>0</v>
      </c>
      <c r="F21" s="186">
        <v>0</v>
      </c>
      <c r="G21" s="186">
        <f>SUM(D21:E21)</f>
        <v>0</v>
      </c>
    </row>
    <row r="22" spans="2:7" ht="12.75">
      <c r="B22" s="275"/>
      <c r="C22" s="23"/>
      <c r="D22" s="276">
        <v>0</v>
      </c>
      <c r="E22" s="274">
        <v>0</v>
      </c>
      <c r="F22" s="186">
        <v>0</v>
      </c>
      <c r="G22" s="186">
        <f>SUM(D22:E22)</f>
        <v>0</v>
      </c>
    </row>
    <row r="23" spans="2:7" ht="12.75">
      <c r="B23" s="275"/>
      <c r="C23" s="23"/>
      <c r="D23" s="276">
        <v>0</v>
      </c>
      <c r="E23" s="274">
        <v>0</v>
      </c>
      <c r="F23" s="186">
        <v>0</v>
      </c>
      <c r="G23" s="186">
        <f>SUM(D23:E23)</f>
        <v>0</v>
      </c>
    </row>
    <row r="24" spans="2:7" ht="12.75">
      <c r="B24" s="275"/>
      <c r="C24" s="23"/>
      <c r="D24" s="276">
        <v>0</v>
      </c>
      <c r="E24" s="274">
        <v>0</v>
      </c>
      <c r="F24" s="186">
        <v>0</v>
      </c>
      <c r="G24" s="186">
        <f>SUM(D24:E24)</f>
        <v>0</v>
      </c>
    </row>
    <row r="25" spans="2:7" ht="12.75">
      <c r="B25" s="275" t="s">
        <v>72</v>
      </c>
      <c r="C25" s="23"/>
      <c r="D25" s="276">
        <v>0</v>
      </c>
      <c r="E25" s="277">
        <v>0</v>
      </c>
      <c r="F25" s="186">
        <v>0</v>
      </c>
      <c r="G25" s="186">
        <f>SUM(D25:E25)</f>
        <v>0</v>
      </c>
    </row>
    <row r="26" spans="2:7" ht="12.75">
      <c r="B26" s="230" t="s">
        <v>126</v>
      </c>
      <c r="C26" s="3"/>
      <c r="D26" s="151">
        <f>SUM(D4:D25)</f>
        <v>0</v>
      </c>
      <c r="E26" s="151">
        <f>SUM(E4:E25)</f>
        <v>0</v>
      </c>
      <c r="F26" s="151">
        <f>SUM(F4:F25)</f>
        <v>0</v>
      </c>
      <c r="G26" s="151">
        <f>SUM(G4:G25)</f>
        <v>0</v>
      </c>
    </row>
    <row r="29" spans="2:7" ht="12.75">
      <c r="B29" s="28" t="s">
        <v>141</v>
      </c>
      <c r="C29" s="55" t="s">
        <v>306</v>
      </c>
      <c r="G29" s="1" t="s">
        <v>307</v>
      </c>
    </row>
    <row r="30" spans="2:7" ht="12.75">
      <c r="B30" s="270" t="s">
        <v>143</v>
      </c>
      <c r="C30" s="3" t="s">
        <v>301</v>
      </c>
      <c r="D30" s="106" t="s">
        <v>144</v>
      </c>
      <c r="E30" s="221" t="s">
        <v>145</v>
      </c>
      <c r="F30" s="3" t="s">
        <v>43</v>
      </c>
      <c r="G30" s="3" t="s">
        <v>146</v>
      </c>
    </row>
    <row r="31" spans="2:7" ht="12.75">
      <c r="B31" s="272"/>
      <c r="C31" s="186"/>
      <c r="D31" s="273">
        <v>0</v>
      </c>
      <c r="E31" s="274">
        <v>0</v>
      </c>
      <c r="F31" s="186">
        <v>0</v>
      </c>
      <c r="G31" s="186">
        <f>SUM(D31:E31)</f>
        <v>0</v>
      </c>
    </row>
    <row r="32" spans="2:7" ht="12.75">
      <c r="B32" s="275"/>
      <c r="C32" s="23"/>
      <c r="D32" s="276">
        <v>0</v>
      </c>
      <c r="E32" s="274">
        <v>0</v>
      </c>
      <c r="F32" s="186">
        <v>0</v>
      </c>
      <c r="G32" s="186">
        <f>SUM(D32:E32)</f>
        <v>0</v>
      </c>
    </row>
    <row r="33" spans="2:7" ht="12.75">
      <c r="B33" s="275"/>
      <c r="C33" s="23"/>
      <c r="D33" s="276">
        <v>0</v>
      </c>
      <c r="E33" s="274">
        <v>0</v>
      </c>
      <c r="F33" s="186">
        <v>0</v>
      </c>
      <c r="G33" s="186">
        <f>SUM(D33:E33)</f>
        <v>0</v>
      </c>
    </row>
    <row r="34" spans="2:7" ht="12.75">
      <c r="B34" s="275"/>
      <c r="C34" s="23"/>
      <c r="D34" s="276">
        <v>0</v>
      </c>
      <c r="E34" s="274">
        <v>0</v>
      </c>
      <c r="F34" s="186">
        <v>0</v>
      </c>
      <c r="G34" s="186">
        <f>SUM(D34:E34)</f>
        <v>0</v>
      </c>
    </row>
    <row r="35" spans="2:7" ht="12.75">
      <c r="B35" s="275"/>
      <c r="C35" s="23"/>
      <c r="D35" s="276">
        <v>0</v>
      </c>
      <c r="E35" s="274">
        <v>0</v>
      </c>
      <c r="F35" s="186">
        <v>0</v>
      </c>
      <c r="G35" s="186">
        <f>SUM(D35:E35)</f>
        <v>0</v>
      </c>
    </row>
    <row r="36" spans="2:7" ht="12.75">
      <c r="B36" s="275"/>
      <c r="C36" s="23"/>
      <c r="D36" s="276">
        <v>0</v>
      </c>
      <c r="E36" s="274">
        <v>0</v>
      </c>
      <c r="F36" s="186">
        <v>0</v>
      </c>
      <c r="G36" s="186">
        <f>SUM(D36:E36)</f>
        <v>0</v>
      </c>
    </row>
    <row r="37" spans="2:7" ht="12.75">
      <c r="B37" s="275"/>
      <c r="C37" s="23"/>
      <c r="D37" s="276">
        <v>0</v>
      </c>
      <c r="E37" s="274">
        <v>0</v>
      </c>
      <c r="F37" s="186">
        <v>0</v>
      </c>
      <c r="G37" s="186">
        <f>SUM(D37:E37)</f>
        <v>0</v>
      </c>
    </row>
    <row r="38" spans="2:7" ht="12.75">
      <c r="B38" s="275"/>
      <c r="C38" s="23"/>
      <c r="D38" s="276">
        <v>0</v>
      </c>
      <c r="E38" s="274">
        <v>0</v>
      </c>
      <c r="F38" s="186">
        <v>0</v>
      </c>
      <c r="G38" s="186">
        <f>SUM(D38:E38)</f>
        <v>0</v>
      </c>
    </row>
    <row r="39" spans="2:7" ht="12.75">
      <c r="B39" s="275"/>
      <c r="C39" s="23"/>
      <c r="D39" s="276">
        <v>0</v>
      </c>
      <c r="E39" s="274">
        <v>0</v>
      </c>
      <c r="F39" s="186">
        <v>0</v>
      </c>
      <c r="G39" s="186">
        <f>SUM(D39:E39)</f>
        <v>0</v>
      </c>
    </row>
    <row r="40" spans="2:7" ht="12.75">
      <c r="B40" s="275"/>
      <c r="C40" s="23"/>
      <c r="D40" s="276">
        <v>0</v>
      </c>
      <c r="E40" s="274">
        <v>0</v>
      </c>
      <c r="F40" s="186">
        <v>0</v>
      </c>
      <c r="G40" s="186">
        <f>SUM(D40:E40)</f>
        <v>0</v>
      </c>
    </row>
    <row r="41" spans="2:7" ht="12.75">
      <c r="B41" s="275"/>
      <c r="C41" s="23"/>
      <c r="D41" s="276">
        <v>0</v>
      </c>
      <c r="E41" s="274">
        <v>0</v>
      </c>
      <c r="F41" s="186">
        <v>0</v>
      </c>
      <c r="G41" s="186">
        <f>SUM(D41:E41)</f>
        <v>0</v>
      </c>
    </row>
    <row r="42" spans="2:7" ht="12.75">
      <c r="B42" s="275"/>
      <c r="C42" s="23"/>
      <c r="D42" s="276">
        <v>0</v>
      </c>
      <c r="E42" s="274">
        <v>0</v>
      </c>
      <c r="F42" s="186">
        <v>0</v>
      </c>
      <c r="G42" s="186">
        <f>SUM(D42:E42)</f>
        <v>0</v>
      </c>
    </row>
    <row r="43" spans="2:7" ht="12.75">
      <c r="B43" s="275"/>
      <c r="C43" s="23"/>
      <c r="D43" s="276">
        <v>0</v>
      </c>
      <c r="E43" s="274">
        <v>0</v>
      </c>
      <c r="F43" s="186">
        <v>0</v>
      </c>
      <c r="G43" s="186">
        <f>SUM(D43:E43)</f>
        <v>0</v>
      </c>
    </row>
    <row r="44" spans="2:7" ht="12.75">
      <c r="B44" s="275"/>
      <c r="C44" s="23"/>
      <c r="D44" s="276">
        <v>0</v>
      </c>
      <c r="E44" s="274">
        <v>0</v>
      </c>
      <c r="F44" s="186">
        <v>0</v>
      </c>
      <c r="G44" s="186">
        <f>SUM(D44:E44)</f>
        <v>0</v>
      </c>
    </row>
    <row r="45" spans="2:7" ht="12.75">
      <c r="B45" s="275"/>
      <c r="C45" s="23"/>
      <c r="D45" s="276">
        <v>0</v>
      </c>
      <c r="E45" s="274">
        <v>0</v>
      </c>
      <c r="F45" s="186">
        <v>0</v>
      </c>
      <c r="G45" s="186">
        <f>SUM(D45:E45)</f>
        <v>0</v>
      </c>
    </row>
    <row r="46" spans="2:7" ht="12.75">
      <c r="B46" s="275"/>
      <c r="C46" s="23"/>
      <c r="D46" s="276">
        <v>0</v>
      </c>
      <c r="E46" s="274">
        <v>0</v>
      </c>
      <c r="F46" s="186">
        <v>0</v>
      </c>
      <c r="G46" s="186">
        <f>SUM(D46:E46)</f>
        <v>0</v>
      </c>
    </row>
    <row r="47" spans="2:7" ht="12.75">
      <c r="B47" s="275"/>
      <c r="C47" s="23"/>
      <c r="D47" s="276">
        <v>0</v>
      </c>
      <c r="E47" s="274">
        <v>0</v>
      </c>
      <c r="F47" s="186">
        <v>0</v>
      </c>
      <c r="G47" s="186">
        <f>SUM(D47:E47)</f>
        <v>0</v>
      </c>
    </row>
    <row r="48" spans="2:7" ht="12.75">
      <c r="B48" s="275"/>
      <c r="C48" s="23"/>
      <c r="D48" s="276">
        <v>0</v>
      </c>
      <c r="E48" s="274">
        <v>0</v>
      </c>
      <c r="F48" s="186">
        <v>0</v>
      </c>
      <c r="G48" s="186">
        <f>SUM(D48:E48)</f>
        <v>0</v>
      </c>
    </row>
    <row r="49" spans="2:7" ht="12.75">
      <c r="B49" s="275"/>
      <c r="C49" s="23"/>
      <c r="D49" s="276">
        <v>0</v>
      </c>
      <c r="E49" s="274">
        <v>0</v>
      </c>
      <c r="F49" s="186">
        <v>0</v>
      </c>
      <c r="G49" s="186">
        <f>SUM(D49:E49)</f>
        <v>0</v>
      </c>
    </row>
    <row r="50" spans="2:7" ht="12.75">
      <c r="B50" s="275"/>
      <c r="C50" s="23"/>
      <c r="D50" s="276">
        <v>0</v>
      </c>
      <c r="E50" s="274">
        <v>0</v>
      </c>
      <c r="F50" s="186">
        <v>0</v>
      </c>
      <c r="G50" s="186">
        <f>SUM(D50:E50)</f>
        <v>0</v>
      </c>
    </row>
    <row r="51" spans="2:7" ht="12.75">
      <c r="B51" s="275"/>
      <c r="C51" s="23"/>
      <c r="D51" s="276">
        <v>0</v>
      </c>
      <c r="E51" s="274">
        <v>0</v>
      </c>
      <c r="F51" s="186">
        <v>0</v>
      </c>
      <c r="G51" s="186">
        <f>SUM(D51:E51)</f>
        <v>0</v>
      </c>
    </row>
    <row r="52" spans="2:7" ht="12.75">
      <c r="B52" s="275"/>
      <c r="C52" s="23"/>
      <c r="D52" s="276">
        <v>0</v>
      </c>
      <c r="E52" s="277">
        <v>0</v>
      </c>
      <c r="F52" s="186">
        <v>0</v>
      </c>
      <c r="G52" s="186">
        <f>SUM(D52:E52)</f>
        <v>0</v>
      </c>
    </row>
    <row r="53" spans="2:7" ht="12.75">
      <c r="B53" s="230" t="s">
        <v>126</v>
      </c>
      <c r="C53" s="3"/>
      <c r="D53" s="151">
        <f>SUM(D31:D52)</f>
        <v>0</v>
      </c>
      <c r="E53" s="151">
        <f>SUM(E31:E52)</f>
        <v>0</v>
      </c>
      <c r="F53" s="151">
        <f>SUM(F31:F52)</f>
        <v>0</v>
      </c>
      <c r="G53" s="151">
        <f>SUM(G31:G52)</f>
        <v>0</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5"/>
  <sheetViews>
    <sheetView zoomScale="91" zoomScaleNormal="91" workbookViewId="0" topLeftCell="A1">
      <selection activeCell="J237" sqref="J237"/>
    </sheetView>
  </sheetViews>
  <sheetFormatPr defaultColWidth="10.0039062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2.75">
      <c r="O1" s="278"/>
    </row>
    <row r="2" spans="2:3" ht="12.75">
      <c r="B2" s="279" t="s">
        <v>308</v>
      </c>
      <c r="C2" s="279"/>
    </row>
    <row r="3" spans="2:11" ht="12.75">
      <c r="B3" s="150" t="s">
        <v>40</v>
      </c>
      <c r="C3" s="126" t="s">
        <v>65</v>
      </c>
      <c r="D3" s="107" t="s">
        <v>66</v>
      </c>
      <c r="E3" s="107" t="s">
        <v>67</v>
      </c>
      <c r="F3" s="107" t="s">
        <v>309</v>
      </c>
      <c r="G3" s="107" t="s">
        <v>69</v>
      </c>
      <c r="H3" s="107" t="s">
        <v>70</v>
      </c>
      <c r="I3" s="107" t="s">
        <v>71</v>
      </c>
      <c r="J3" s="107" t="s">
        <v>73</v>
      </c>
      <c r="K3" s="68" t="s">
        <v>44</v>
      </c>
    </row>
    <row r="4" spans="2:11" ht="12.75">
      <c r="B4" s="155" t="s">
        <v>310</v>
      </c>
      <c r="C4" s="72">
        <v>3</v>
      </c>
      <c r="D4" s="72">
        <v>2</v>
      </c>
      <c r="E4" s="72">
        <v>3</v>
      </c>
      <c r="F4" s="72">
        <v>2</v>
      </c>
      <c r="G4" s="72">
        <v>2</v>
      </c>
      <c r="H4" s="72">
        <v>2</v>
      </c>
      <c r="I4" s="72">
        <v>2</v>
      </c>
      <c r="J4" s="72">
        <v>1</v>
      </c>
      <c r="K4" s="37">
        <v>2</v>
      </c>
    </row>
    <row r="5" spans="2:11" ht="12.75">
      <c r="B5" s="23" t="s">
        <v>41</v>
      </c>
      <c r="C5" s="81">
        <v>2</v>
      </c>
      <c r="D5" s="81">
        <v>3</v>
      </c>
      <c r="E5" s="81">
        <v>2</v>
      </c>
      <c r="F5" s="81">
        <v>2</v>
      </c>
      <c r="G5" s="81">
        <v>2</v>
      </c>
      <c r="H5" s="81">
        <v>3</v>
      </c>
      <c r="I5" s="81">
        <v>2</v>
      </c>
      <c r="J5" s="81">
        <v>2</v>
      </c>
      <c r="K5" s="137">
        <v>1</v>
      </c>
    </row>
    <row r="6" spans="2:11" ht="12.75">
      <c r="B6" s="23" t="s">
        <v>311</v>
      </c>
      <c r="C6" s="81">
        <v>2</v>
      </c>
      <c r="D6" s="81">
        <v>3</v>
      </c>
      <c r="E6" s="81">
        <v>2</v>
      </c>
      <c r="F6" s="81">
        <v>2</v>
      </c>
      <c r="G6" s="81">
        <v>3</v>
      </c>
      <c r="H6" s="81">
        <v>2</v>
      </c>
      <c r="I6" s="81">
        <v>1</v>
      </c>
      <c r="J6" s="81">
        <v>2</v>
      </c>
      <c r="K6" s="137">
        <v>2</v>
      </c>
    </row>
    <row r="7" spans="2:11" ht="12.75">
      <c r="B7" s="23" t="s">
        <v>312</v>
      </c>
      <c r="C7" s="81">
        <v>3</v>
      </c>
      <c r="D7" s="81">
        <v>1</v>
      </c>
      <c r="E7" s="81">
        <v>2</v>
      </c>
      <c r="F7" s="81">
        <v>3</v>
      </c>
      <c r="G7" s="81">
        <v>2</v>
      </c>
      <c r="H7" s="81">
        <v>3</v>
      </c>
      <c r="I7" s="81">
        <v>3</v>
      </c>
      <c r="J7" s="81">
        <v>1</v>
      </c>
      <c r="K7" s="137">
        <v>1</v>
      </c>
    </row>
    <row r="8" spans="2:11" ht="12.75">
      <c r="B8" s="23" t="s">
        <v>313</v>
      </c>
      <c r="C8" s="81">
        <v>3</v>
      </c>
      <c r="D8" s="81">
        <v>2</v>
      </c>
      <c r="E8" s="81">
        <v>2</v>
      </c>
      <c r="F8" s="81">
        <v>3</v>
      </c>
      <c r="G8" s="81">
        <v>2</v>
      </c>
      <c r="H8" s="81">
        <v>2</v>
      </c>
      <c r="I8" s="81">
        <v>2</v>
      </c>
      <c r="J8" s="81">
        <v>2</v>
      </c>
      <c r="K8" s="137">
        <v>1</v>
      </c>
    </row>
    <row r="9" spans="2:15" ht="12.75">
      <c r="B9" s="23" t="s">
        <v>314</v>
      </c>
      <c r="C9" s="81">
        <v>3</v>
      </c>
      <c r="D9" s="81">
        <v>1</v>
      </c>
      <c r="E9" s="81">
        <v>3</v>
      </c>
      <c r="F9" s="81">
        <v>2</v>
      </c>
      <c r="G9" s="81">
        <v>3</v>
      </c>
      <c r="H9" s="81">
        <v>2</v>
      </c>
      <c r="I9" s="81">
        <v>3</v>
      </c>
      <c r="J9" s="81">
        <v>1</v>
      </c>
      <c r="K9" s="137">
        <v>1</v>
      </c>
      <c r="O9" s="1" t="s">
        <v>315</v>
      </c>
    </row>
    <row r="10" spans="2:15" ht="12.75">
      <c r="B10" s="23" t="s">
        <v>316</v>
      </c>
      <c r="C10" s="81">
        <v>2</v>
      </c>
      <c r="D10" s="81">
        <v>3</v>
      </c>
      <c r="E10" s="81">
        <v>2</v>
      </c>
      <c r="F10" s="81">
        <v>2</v>
      </c>
      <c r="G10" s="81">
        <v>3</v>
      </c>
      <c r="H10" s="81">
        <v>3</v>
      </c>
      <c r="I10" s="81">
        <v>2</v>
      </c>
      <c r="J10" s="81">
        <v>2</v>
      </c>
      <c r="K10" s="137">
        <v>1</v>
      </c>
      <c r="O10" s="1" t="s">
        <v>315</v>
      </c>
    </row>
    <row r="11" spans="2:11" ht="12.75">
      <c r="B11" s="23" t="s">
        <v>317</v>
      </c>
      <c r="C11" s="81">
        <v>3</v>
      </c>
      <c r="D11" s="81">
        <v>2</v>
      </c>
      <c r="E11" s="81">
        <v>3</v>
      </c>
      <c r="F11" s="81">
        <v>2</v>
      </c>
      <c r="G11" s="81">
        <v>2</v>
      </c>
      <c r="H11" s="81">
        <v>2</v>
      </c>
      <c r="I11" s="81">
        <v>2</v>
      </c>
      <c r="J11" s="81">
        <v>1</v>
      </c>
      <c r="K11" s="137">
        <v>2</v>
      </c>
    </row>
    <row r="12" spans="2:11" ht="12.75">
      <c r="B12" s="23" t="s">
        <v>318</v>
      </c>
      <c r="C12" s="81">
        <v>2</v>
      </c>
      <c r="D12" s="81">
        <v>3</v>
      </c>
      <c r="E12" s="81">
        <v>2</v>
      </c>
      <c r="F12" s="81">
        <v>2</v>
      </c>
      <c r="G12" s="81">
        <v>2</v>
      </c>
      <c r="H12" s="81">
        <v>3</v>
      </c>
      <c r="I12" s="81">
        <v>2</v>
      </c>
      <c r="J12" s="81">
        <v>2</v>
      </c>
      <c r="K12" s="137">
        <v>1</v>
      </c>
    </row>
    <row r="13" spans="2:14" ht="12.75">
      <c r="B13" s="23" t="s">
        <v>319</v>
      </c>
      <c r="C13" s="81">
        <v>2</v>
      </c>
      <c r="D13" s="81">
        <v>3</v>
      </c>
      <c r="E13" s="81">
        <v>2</v>
      </c>
      <c r="F13" s="81">
        <v>2</v>
      </c>
      <c r="G13" s="81">
        <v>3</v>
      </c>
      <c r="H13" s="81">
        <v>2</v>
      </c>
      <c r="I13" s="81">
        <v>1</v>
      </c>
      <c r="J13" s="81">
        <v>2</v>
      </c>
      <c r="K13" s="137">
        <v>2</v>
      </c>
      <c r="N13"/>
    </row>
    <row r="14" spans="2:14" ht="12.75">
      <c r="B14" s="23" t="s">
        <v>320</v>
      </c>
      <c r="C14" s="81">
        <v>3</v>
      </c>
      <c r="D14" s="81">
        <v>1</v>
      </c>
      <c r="E14" s="81">
        <v>2</v>
      </c>
      <c r="F14" s="81">
        <v>3</v>
      </c>
      <c r="G14" s="81">
        <v>2</v>
      </c>
      <c r="H14" s="81">
        <v>3</v>
      </c>
      <c r="I14" s="81">
        <v>3</v>
      </c>
      <c r="J14" s="81">
        <v>1</v>
      </c>
      <c r="K14" s="137">
        <v>1</v>
      </c>
      <c r="N14" s="280"/>
    </row>
    <row r="15" spans="2:14" ht="12.75">
      <c r="B15" s="23" t="s">
        <v>321</v>
      </c>
      <c r="C15" s="81">
        <v>3</v>
      </c>
      <c r="D15" s="81">
        <v>2</v>
      </c>
      <c r="E15" s="81">
        <v>2</v>
      </c>
      <c r="F15" s="81">
        <v>3</v>
      </c>
      <c r="G15" s="81">
        <v>2</v>
      </c>
      <c r="H15" s="81">
        <v>2</v>
      </c>
      <c r="I15" s="81">
        <v>2</v>
      </c>
      <c r="J15" s="81">
        <v>2</v>
      </c>
      <c r="K15" s="137">
        <v>1</v>
      </c>
      <c r="N15" s="281"/>
    </row>
    <row r="16" spans="2:14" ht="12.75">
      <c r="B16" s="23" t="s">
        <v>322</v>
      </c>
      <c r="C16" s="81">
        <v>3</v>
      </c>
      <c r="D16" s="81">
        <v>1</v>
      </c>
      <c r="E16" s="81">
        <v>3</v>
      </c>
      <c r="F16" s="81">
        <v>2</v>
      </c>
      <c r="G16" s="81">
        <v>3</v>
      </c>
      <c r="H16" s="81">
        <v>2</v>
      </c>
      <c r="I16" s="81">
        <v>3</v>
      </c>
      <c r="J16" s="81">
        <v>1</v>
      </c>
      <c r="K16" s="137">
        <v>1</v>
      </c>
      <c r="N16" s="281"/>
    </row>
    <row r="17" spans="2:15" ht="12.75">
      <c r="B17" s="24" t="s">
        <v>323</v>
      </c>
      <c r="C17" s="92">
        <v>2</v>
      </c>
      <c r="D17" s="92">
        <v>3</v>
      </c>
      <c r="E17" s="92">
        <v>2</v>
      </c>
      <c r="F17" s="92">
        <v>2</v>
      </c>
      <c r="G17" s="92">
        <v>3</v>
      </c>
      <c r="H17" s="92">
        <v>3</v>
      </c>
      <c r="I17" s="92">
        <v>2</v>
      </c>
      <c r="J17" s="92">
        <v>2</v>
      </c>
      <c r="K17" s="148">
        <v>1</v>
      </c>
      <c r="N17" s="281"/>
      <c r="O17" s="282" t="s">
        <v>324</v>
      </c>
    </row>
    <row r="18" spans="14:15" ht="12.75">
      <c r="N18" s="281"/>
      <c r="O18" s="283" t="s">
        <v>325</v>
      </c>
    </row>
    <row r="19" spans="2:15" ht="12.75">
      <c r="B19" s="284" t="s">
        <v>326</v>
      </c>
      <c r="C19" s="284"/>
      <c r="N19" s="285"/>
      <c r="O19" s="174" t="s">
        <v>327</v>
      </c>
    </row>
    <row r="20" spans="2:15" ht="12.75">
      <c r="B20" s="230" t="s">
        <v>40</v>
      </c>
      <c r="C20" s="126" t="s">
        <v>65</v>
      </c>
      <c r="D20" s="107" t="s">
        <v>66</v>
      </c>
      <c r="E20" s="107" t="s">
        <v>67</v>
      </c>
      <c r="F20" s="107" t="s">
        <v>309</v>
      </c>
      <c r="G20" s="107" t="s">
        <v>69</v>
      </c>
      <c r="H20" s="108" t="s">
        <v>70</v>
      </c>
      <c r="I20" s="69" t="s">
        <v>37</v>
      </c>
      <c r="J20" s="3" t="s">
        <v>6</v>
      </c>
      <c r="K20" s="3" t="s">
        <v>14</v>
      </c>
      <c r="L20" s="286" t="s">
        <v>328</v>
      </c>
      <c r="M20" s="68" t="s">
        <v>329</v>
      </c>
      <c r="O20" s="174" t="s">
        <v>330</v>
      </c>
    </row>
    <row r="21" spans="2:15" ht="12.75">
      <c r="B21" s="181" t="s">
        <v>331</v>
      </c>
      <c r="C21" s="287">
        <v>1</v>
      </c>
      <c r="D21" s="81">
        <v>0</v>
      </c>
      <c r="E21" s="81">
        <v>1</v>
      </c>
      <c r="F21" s="81">
        <v>0</v>
      </c>
      <c r="G21" s="81">
        <v>0</v>
      </c>
      <c r="H21" s="288">
        <v>1</v>
      </c>
      <c r="I21" s="81">
        <v>1</v>
      </c>
      <c r="J21" s="289">
        <v>15</v>
      </c>
      <c r="K21" s="137">
        <v>10</v>
      </c>
      <c r="L21" s="290">
        <v>7</v>
      </c>
      <c r="M21" s="291">
        <v>5</v>
      </c>
      <c r="O21" s="174" t="s">
        <v>332</v>
      </c>
    </row>
    <row r="22" spans="2:15" ht="12.75">
      <c r="B22" s="181" t="s">
        <v>29</v>
      </c>
      <c r="C22" s="287">
        <v>0</v>
      </c>
      <c r="D22" s="81">
        <v>1</v>
      </c>
      <c r="E22" s="81">
        <v>0</v>
      </c>
      <c r="F22" s="81">
        <v>0</v>
      </c>
      <c r="G22" s="81">
        <v>1</v>
      </c>
      <c r="H22" s="288">
        <v>2</v>
      </c>
      <c r="I22" s="81">
        <v>0</v>
      </c>
      <c r="J22" s="289">
        <v>10</v>
      </c>
      <c r="K22" s="137">
        <v>15</v>
      </c>
      <c r="L22" s="290">
        <v>5</v>
      </c>
      <c r="M22" s="291">
        <v>7</v>
      </c>
      <c r="O22" s="174" t="s">
        <v>333</v>
      </c>
    </row>
    <row r="23" spans="2:15" ht="12.75">
      <c r="B23" s="181" t="s">
        <v>334</v>
      </c>
      <c r="C23" s="287">
        <v>1</v>
      </c>
      <c r="D23" s="81">
        <v>0</v>
      </c>
      <c r="E23" s="81">
        <v>1</v>
      </c>
      <c r="F23" s="81">
        <v>0</v>
      </c>
      <c r="G23" s="81">
        <v>1</v>
      </c>
      <c r="H23" s="288">
        <v>0</v>
      </c>
      <c r="I23" s="81">
        <v>1</v>
      </c>
      <c r="J23" s="289">
        <v>12</v>
      </c>
      <c r="K23" s="137">
        <v>13</v>
      </c>
      <c r="L23" s="290">
        <v>6</v>
      </c>
      <c r="M23" s="291">
        <v>6</v>
      </c>
      <c r="O23" s="174" t="s">
        <v>335</v>
      </c>
    </row>
    <row r="24" spans="2:15" ht="12.75">
      <c r="B24" s="181" t="s">
        <v>336</v>
      </c>
      <c r="C24" s="287">
        <v>0</v>
      </c>
      <c r="D24" s="81">
        <v>1</v>
      </c>
      <c r="E24" s="81">
        <v>1</v>
      </c>
      <c r="F24" s="81">
        <v>1</v>
      </c>
      <c r="G24" s="81">
        <v>0</v>
      </c>
      <c r="H24" s="288">
        <v>1</v>
      </c>
      <c r="I24" s="81">
        <v>0</v>
      </c>
      <c r="J24" s="289">
        <v>13</v>
      </c>
      <c r="K24" s="137">
        <v>12</v>
      </c>
      <c r="L24" s="290">
        <v>6</v>
      </c>
      <c r="M24" s="291">
        <v>6</v>
      </c>
      <c r="O24" s="174" t="s">
        <v>337</v>
      </c>
    </row>
    <row r="25" spans="2:15" ht="12.75">
      <c r="B25" s="135" t="s">
        <v>35</v>
      </c>
      <c r="C25" s="292">
        <v>0</v>
      </c>
      <c r="D25" s="290">
        <v>1</v>
      </c>
      <c r="E25" s="290">
        <v>0</v>
      </c>
      <c r="F25" s="290">
        <v>1</v>
      </c>
      <c r="G25" s="290">
        <v>0</v>
      </c>
      <c r="H25" s="293">
        <v>1</v>
      </c>
      <c r="I25" s="81">
        <v>0</v>
      </c>
      <c r="J25" s="292">
        <v>8</v>
      </c>
      <c r="K25" s="291">
        <v>14</v>
      </c>
      <c r="L25" s="290">
        <v>5</v>
      </c>
      <c r="M25" s="291">
        <v>7</v>
      </c>
      <c r="O25" s="174" t="s">
        <v>338</v>
      </c>
    </row>
    <row r="26" spans="2:15" ht="12.75">
      <c r="B26" s="135" t="s">
        <v>339</v>
      </c>
      <c r="C26" s="292">
        <v>1</v>
      </c>
      <c r="D26" s="290">
        <v>0</v>
      </c>
      <c r="E26" s="290">
        <v>1</v>
      </c>
      <c r="F26" s="290">
        <v>0</v>
      </c>
      <c r="G26" s="290">
        <v>0</v>
      </c>
      <c r="H26" s="293">
        <v>0</v>
      </c>
      <c r="I26" s="81">
        <v>1</v>
      </c>
      <c r="J26" s="292">
        <v>10</v>
      </c>
      <c r="K26" s="291">
        <v>12</v>
      </c>
      <c r="L26" s="290">
        <v>6</v>
      </c>
      <c r="M26" s="291">
        <v>6</v>
      </c>
      <c r="O26" s="294" t="s">
        <v>340</v>
      </c>
    </row>
    <row r="27" spans="2:13" ht="12.75">
      <c r="B27" s="135" t="s">
        <v>341</v>
      </c>
      <c r="C27" s="292">
        <v>0</v>
      </c>
      <c r="D27" s="290">
        <v>0</v>
      </c>
      <c r="E27" s="290">
        <v>1</v>
      </c>
      <c r="F27" s="290">
        <v>0</v>
      </c>
      <c r="G27" s="290">
        <v>1</v>
      </c>
      <c r="H27" s="293">
        <v>0</v>
      </c>
      <c r="I27" s="81">
        <v>1</v>
      </c>
      <c r="J27" s="292">
        <v>14</v>
      </c>
      <c r="K27" s="291">
        <v>8</v>
      </c>
      <c r="L27" s="290">
        <v>6</v>
      </c>
      <c r="M27" s="291">
        <v>6</v>
      </c>
    </row>
    <row r="28" spans="2:13" ht="12.75">
      <c r="B28" s="135" t="s">
        <v>342</v>
      </c>
      <c r="C28" s="292">
        <v>1</v>
      </c>
      <c r="D28" s="290">
        <v>0</v>
      </c>
      <c r="E28" s="290">
        <v>1</v>
      </c>
      <c r="F28" s="290">
        <v>0</v>
      </c>
      <c r="G28" s="290">
        <v>1</v>
      </c>
      <c r="H28" s="293">
        <v>0</v>
      </c>
      <c r="I28" s="81">
        <v>0</v>
      </c>
      <c r="J28" s="292">
        <v>10</v>
      </c>
      <c r="K28" s="291">
        <v>12</v>
      </c>
      <c r="L28" s="290">
        <v>8</v>
      </c>
      <c r="M28" s="291">
        <v>4</v>
      </c>
    </row>
    <row r="29" spans="2:13" ht="12.75">
      <c r="B29" s="135" t="s">
        <v>343</v>
      </c>
      <c r="C29" s="292">
        <v>1</v>
      </c>
      <c r="D29" s="290">
        <v>0</v>
      </c>
      <c r="E29" s="290">
        <v>0</v>
      </c>
      <c r="F29" s="290">
        <v>1</v>
      </c>
      <c r="G29" s="290">
        <v>0</v>
      </c>
      <c r="H29" s="293">
        <v>1</v>
      </c>
      <c r="I29" s="81">
        <v>0</v>
      </c>
      <c r="J29" s="292">
        <v>13</v>
      </c>
      <c r="K29" s="291">
        <v>9</v>
      </c>
      <c r="L29" s="290">
        <v>7</v>
      </c>
      <c r="M29" s="291">
        <v>5</v>
      </c>
    </row>
    <row r="30" spans="2:13" ht="12.75">
      <c r="B30" s="135" t="s">
        <v>344</v>
      </c>
      <c r="C30" s="292">
        <v>0</v>
      </c>
      <c r="D30" s="290">
        <v>2</v>
      </c>
      <c r="E30" s="290">
        <v>0</v>
      </c>
      <c r="F30" s="290">
        <v>0</v>
      </c>
      <c r="G30" s="290">
        <v>0</v>
      </c>
      <c r="H30" s="293">
        <v>2</v>
      </c>
      <c r="I30" s="81">
        <v>-1</v>
      </c>
      <c r="J30" s="292">
        <v>0</v>
      </c>
      <c r="K30" s="291">
        <v>22</v>
      </c>
      <c r="L30" s="290">
        <v>4</v>
      </c>
      <c r="M30" s="291">
        <v>8</v>
      </c>
    </row>
    <row r="31" spans="2:13" ht="12.75">
      <c r="B31" s="135" t="s">
        <v>345</v>
      </c>
      <c r="C31" s="292">
        <v>1</v>
      </c>
      <c r="D31" s="290">
        <v>1</v>
      </c>
      <c r="E31" s="290">
        <v>1</v>
      </c>
      <c r="F31" s="290">
        <v>0</v>
      </c>
      <c r="G31" s="290">
        <v>0</v>
      </c>
      <c r="H31" s="293">
        <v>0</v>
      </c>
      <c r="I31" s="81">
        <v>0</v>
      </c>
      <c r="J31" s="292">
        <v>12</v>
      </c>
      <c r="K31" s="291">
        <v>10</v>
      </c>
      <c r="L31" s="290">
        <v>7</v>
      </c>
      <c r="M31" s="291">
        <v>5</v>
      </c>
    </row>
    <row r="32" spans="2:13" ht="12.75">
      <c r="B32" s="135" t="s">
        <v>346</v>
      </c>
      <c r="C32" s="292">
        <v>0</v>
      </c>
      <c r="D32" s="290">
        <v>1</v>
      </c>
      <c r="E32" s="290">
        <v>0</v>
      </c>
      <c r="F32" s="290">
        <v>1</v>
      </c>
      <c r="G32" s="290">
        <v>0</v>
      </c>
      <c r="H32" s="290">
        <v>2</v>
      </c>
      <c r="I32" s="81">
        <v>0</v>
      </c>
      <c r="J32" s="290">
        <v>9</v>
      </c>
      <c r="K32" s="291">
        <v>13</v>
      </c>
      <c r="L32" s="290">
        <v>5</v>
      </c>
      <c r="M32" s="291">
        <v>7</v>
      </c>
    </row>
    <row r="33" spans="2:13" ht="12.75">
      <c r="B33" s="135" t="s">
        <v>347</v>
      </c>
      <c r="C33" s="292">
        <v>1</v>
      </c>
      <c r="D33" s="290">
        <v>0</v>
      </c>
      <c r="E33" s="290">
        <v>0</v>
      </c>
      <c r="F33" s="290">
        <v>1</v>
      </c>
      <c r="G33" s="290">
        <v>1</v>
      </c>
      <c r="H33" s="290">
        <v>0</v>
      </c>
      <c r="I33" s="81">
        <v>0</v>
      </c>
      <c r="J33" s="290">
        <v>12</v>
      </c>
      <c r="K33" s="291">
        <v>10</v>
      </c>
      <c r="L33" s="290">
        <v>6</v>
      </c>
      <c r="M33" s="291">
        <v>6</v>
      </c>
    </row>
    <row r="34" spans="2:13" ht="12.75">
      <c r="B34" s="135" t="s">
        <v>171</v>
      </c>
      <c r="C34" s="292">
        <v>0</v>
      </c>
      <c r="D34" s="290">
        <v>0</v>
      </c>
      <c r="E34" s="290">
        <v>1</v>
      </c>
      <c r="F34" s="290">
        <v>0</v>
      </c>
      <c r="G34" s="290">
        <v>1</v>
      </c>
      <c r="H34" s="290">
        <v>1</v>
      </c>
      <c r="I34" s="81">
        <v>1</v>
      </c>
      <c r="J34" s="290">
        <v>11</v>
      </c>
      <c r="K34" s="291">
        <v>11</v>
      </c>
      <c r="L34" s="81">
        <v>5</v>
      </c>
      <c r="M34" s="137">
        <v>7</v>
      </c>
    </row>
    <row r="35" spans="2:13" ht="12.75">
      <c r="B35" s="135" t="s">
        <v>348</v>
      </c>
      <c r="C35" s="292">
        <v>0</v>
      </c>
      <c r="D35" s="290">
        <v>1</v>
      </c>
      <c r="E35" s="290">
        <v>0</v>
      </c>
      <c r="F35" s="290">
        <v>0</v>
      </c>
      <c r="G35" s="290">
        <v>1</v>
      </c>
      <c r="H35" s="290">
        <v>1</v>
      </c>
      <c r="I35" s="81">
        <v>0</v>
      </c>
      <c r="J35" s="290">
        <v>8</v>
      </c>
      <c r="K35" s="291">
        <v>14</v>
      </c>
      <c r="L35" s="81">
        <v>5</v>
      </c>
      <c r="M35" s="137">
        <v>7</v>
      </c>
    </row>
    <row r="36" spans="2:13" ht="12.75">
      <c r="B36" s="295" t="s">
        <v>349</v>
      </c>
      <c r="C36" s="296">
        <v>2</v>
      </c>
      <c r="D36" s="297">
        <v>0</v>
      </c>
      <c r="E36" s="297">
        <v>0</v>
      </c>
      <c r="F36" s="297">
        <v>0</v>
      </c>
      <c r="G36" s="297">
        <v>0</v>
      </c>
      <c r="H36" s="297">
        <v>1</v>
      </c>
      <c r="I36" s="92">
        <v>0</v>
      </c>
      <c r="J36" s="297">
        <v>14</v>
      </c>
      <c r="K36" s="298">
        <v>9</v>
      </c>
      <c r="L36" s="92">
        <v>7</v>
      </c>
      <c r="M36" s="148">
        <v>5</v>
      </c>
    </row>
    <row r="37" spans="2:15" ht="12.75">
      <c r="B37" s="135" t="s">
        <v>35</v>
      </c>
      <c r="C37" s="292">
        <v>0</v>
      </c>
      <c r="D37" s="290">
        <v>2</v>
      </c>
      <c r="E37" s="290">
        <v>0</v>
      </c>
      <c r="F37" s="290">
        <v>1</v>
      </c>
      <c r="G37" s="290">
        <v>0</v>
      </c>
      <c r="H37" s="293">
        <v>1</v>
      </c>
      <c r="I37" s="81">
        <v>0</v>
      </c>
      <c r="J37" s="292">
        <v>8</v>
      </c>
      <c r="K37" s="291">
        <v>14</v>
      </c>
      <c r="O37"/>
    </row>
    <row r="38" spans="2:15" ht="12.75">
      <c r="B38" s="135" t="s">
        <v>339</v>
      </c>
      <c r="C38" s="292">
        <v>1</v>
      </c>
      <c r="D38" s="290">
        <v>1</v>
      </c>
      <c r="E38" s="290">
        <v>1</v>
      </c>
      <c r="F38" s="290">
        <v>0</v>
      </c>
      <c r="G38" s="290">
        <v>0</v>
      </c>
      <c r="H38" s="293">
        <v>0</v>
      </c>
      <c r="I38" s="81">
        <v>1</v>
      </c>
      <c r="J38" s="292">
        <v>10</v>
      </c>
      <c r="K38" s="291">
        <v>12</v>
      </c>
      <c r="M38"/>
      <c r="O38"/>
    </row>
    <row r="39" spans="2:13" ht="12.75">
      <c r="B39" s="135" t="s">
        <v>341</v>
      </c>
      <c r="C39" s="292">
        <v>0</v>
      </c>
      <c r="D39" s="290">
        <v>0</v>
      </c>
      <c r="E39" s="290">
        <v>1</v>
      </c>
      <c r="F39" s="290">
        <v>1</v>
      </c>
      <c r="G39" s="290">
        <v>1</v>
      </c>
      <c r="H39" s="293">
        <v>0</v>
      </c>
      <c r="I39" s="81">
        <v>1</v>
      </c>
      <c r="J39" s="292">
        <v>14</v>
      </c>
      <c r="K39" s="291">
        <v>8</v>
      </c>
      <c r="M39"/>
    </row>
    <row r="40" spans="2:13" ht="12.75">
      <c r="B40" s="135" t="s">
        <v>342</v>
      </c>
      <c r="C40" s="292">
        <v>1</v>
      </c>
      <c r="D40" s="290">
        <v>0</v>
      </c>
      <c r="E40" s="290">
        <v>2</v>
      </c>
      <c r="F40" s="290">
        <v>0</v>
      </c>
      <c r="G40" s="290">
        <v>1</v>
      </c>
      <c r="H40" s="293">
        <v>0</v>
      </c>
      <c r="I40" s="81">
        <v>0</v>
      </c>
      <c r="J40" s="292">
        <v>10</v>
      </c>
      <c r="K40" s="291">
        <v>12</v>
      </c>
      <c r="M40"/>
    </row>
    <row r="41" spans="2:13" ht="12.75">
      <c r="B41" s="135" t="s">
        <v>343</v>
      </c>
      <c r="C41" s="292">
        <v>2</v>
      </c>
      <c r="D41" s="290">
        <v>0</v>
      </c>
      <c r="E41" s="290">
        <v>0</v>
      </c>
      <c r="F41" s="290">
        <v>1</v>
      </c>
      <c r="G41" s="290">
        <v>0</v>
      </c>
      <c r="H41" s="293">
        <v>1</v>
      </c>
      <c r="I41" s="81">
        <v>0</v>
      </c>
      <c r="J41" s="292">
        <v>13</v>
      </c>
      <c r="K41" s="291">
        <v>9</v>
      </c>
      <c r="M41"/>
    </row>
    <row r="42" spans="2:13" ht="12.75">
      <c r="B42" s="135" t="s">
        <v>344</v>
      </c>
      <c r="C42" s="292">
        <v>0</v>
      </c>
      <c r="D42" s="290">
        <v>2</v>
      </c>
      <c r="E42" s="290">
        <v>0</v>
      </c>
      <c r="F42" s="290">
        <v>0</v>
      </c>
      <c r="G42" s="290">
        <v>1</v>
      </c>
      <c r="H42" s="290">
        <v>2</v>
      </c>
      <c r="I42" s="81">
        <v>-1</v>
      </c>
      <c r="J42" s="290">
        <v>0</v>
      </c>
      <c r="K42" s="291">
        <v>22</v>
      </c>
      <c r="M42"/>
    </row>
    <row r="43" spans="2:13" ht="12.75">
      <c r="B43" s="135" t="s">
        <v>345</v>
      </c>
      <c r="C43" s="292">
        <v>2</v>
      </c>
      <c r="D43" s="290">
        <v>1</v>
      </c>
      <c r="E43" s="290">
        <v>1</v>
      </c>
      <c r="F43" s="290">
        <v>0</v>
      </c>
      <c r="G43" s="290">
        <v>0</v>
      </c>
      <c r="H43" s="290">
        <v>0</v>
      </c>
      <c r="I43" s="81">
        <v>0</v>
      </c>
      <c r="J43" s="290">
        <v>12</v>
      </c>
      <c r="K43" s="291">
        <v>10</v>
      </c>
      <c r="M43"/>
    </row>
    <row r="44" spans="2:11" ht="12.75">
      <c r="B44" s="135" t="s">
        <v>346</v>
      </c>
      <c r="C44" s="292">
        <v>0</v>
      </c>
      <c r="D44" s="290">
        <v>1</v>
      </c>
      <c r="E44" s="290">
        <v>0</v>
      </c>
      <c r="F44" s="290">
        <v>1</v>
      </c>
      <c r="G44" s="290">
        <v>0</v>
      </c>
      <c r="H44" s="290">
        <v>2</v>
      </c>
      <c r="I44" s="81">
        <v>0</v>
      </c>
      <c r="J44" s="290">
        <v>9</v>
      </c>
      <c r="K44" s="291">
        <v>13</v>
      </c>
    </row>
    <row r="45" spans="2:11" ht="12.75">
      <c r="B45" s="135" t="s">
        <v>347</v>
      </c>
      <c r="C45" s="292">
        <v>1</v>
      </c>
      <c r="D45" s="290">
        <v>0</v>
      </c>
      <c r="E45" s="290">
        <v>0</v>
      </c>
      <c r="F45" s="290">
        <v>1</v>
      </c>
      <c r="G45" s="290">
        <v>1</v>
      </c>
      <c r="H45" s="290">
        <v>0</v>
      </c>
      <c r="I45" s="81">
        <v>1</v>
      </c>
      <c r="J45" s="290">
        <v>12</v>
      </c>
      <c r="K45" s="291">
        <v>10</v>
      </c>
    </row>
    <row r="46" spans="2:11" ht="12.75">
      <c r="B46" s="135" t="s">
        <v>171</v>
      </c>
      <c r="C46" s="292">
        <v>0</v>
      </c>
      <c r="D46" s="290">
        <v>0</v>
      </c>
      <c r="E46" s="290">
        <v>1</v>
      </c>
      <c r="F46" s="290">
        <v>0</v>
      </c>
      <c r="G46" s="290">
        <v>1</v>
      </c>
      <c r="H46" s="290">
        <v>1</v>
      </c>
      <c r="I46" s="81">
        <v>1</v>
      </c>
      <c r="J46" s="290">
        <v>11</v>
      </c>
      <c r="K46" s="291">
        <v>11</v>
      </c>
    </row>
    <row r="47" spans="2:11" ht="12.75">
      <c r="B47" s="135" t="s">
        <v>348</v>
      </c>
      <c r="C47" s="290">
        <v>0</v>
      </c>
      <c r="D47" s="290">
        <v>1</v>
      </c>
      <c r="E47" s="290">
        <v>0</v>
      </c>
      <c r="F47" s="290">
        <v>0</v>
      </c>
      <c r="G47" s="290">
        <v>2</v>
      </c>
      <c r="H47" s="290">
        <v>1</v>
      </c>
      <c r="I47" s="81">
        <v>0</v>
      </c>
      <c r="J47" s="290">
        <v>8</v>
      </c>
      <c r="K47" s="291">
        <v>14</v>
      </c>
    </row>
    <row r="48" spans="1:256" ht="12.75">
      <c r="A48"/>
      <c r="B48" s="299" t="s">
        <v>349</v>
      </c>
      <c r="C48" s="300">
        <v>2</v>
      </c>
      <c r="D48" s="300">
        <v>0</v>
      </c>
      <c r="E48" s="300">
        <v>0</v>
      </c>
      <c r="F48" s="300">
        <v>0</v>
      </c>
      <c r="G48" s="300">
        <v>0</v>
      </c>
      <c r="H48" s="300">
        <v>2</v>
      </c>
      <c r="I48" s="300">
        <v>0</v>
      </c>
      <c r="J48" s="300">
        <v>13</v>
      </c>
      <c r="K48" s="301">
        <v>9</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50" ht="12.75">
      <c r="B50" s="63" t="s">
        <v>350</v>
      </c>
    </row>
    <row r="51" spans="2:17" ht="12.75">
      <c r="B51" s="302" t="s">
        <v>109</v>
      </c>
      <c r="C51" s="303"/>
      <c r="D51" s="107" t="s">
        <v>110</v>
      </c>
      <c r="E51" s="107" t="s">
        <v>111</v>
      </c>
      <c r="F51" s="107" t="s">
        <v>13</v>
      </c>
      <c r="G51" s="107" t="s">
        <v>112</v>
      </c>
      <c r="H51" s="107" t="s">
        <v>113</v>
      </c>
      <c r="I51" s="304" t="s">
        <v>114</v>
      </c>
      <c r="J51" s="107" t="s">
        <v>115</v>
      </c>
      <c r="K51" s="107" t="s">
        <v>116</v>
      </c>
      <c r="L51" s="107" t="s">
        <v>117</v>
      </c>
      <c r="M51" s="107" t="s">
        <v>87</v>
      </c>
      <c r="N51" s="284"/>
      <c r="O51" s="284"/>
      <c r="P51" s="284"/>
      <c r="Q51" s="284"/>
    </row>
    <row r="52" spans="2:17" ht="12.75">
      <c r="B52" s="305" t="s">
        <v>119</v>
      </c>
      <c r="C52" s="306"/>
      <c r="D52" s="110" t="s">
        <v>131</v>
      </c>
      <c r="E52" s="110" t="s">
        <v>130</v>
      </c>
      <c r="F52" s="307">
        <v>1</v>
      </c>
      <c r="G52" s="307">
        <v>0</v>
      </c>
      <c r="H52" s="307">
        <v>0</v>
      </c>
      <c r="I52" s="308">
        <v>0</v>
      </c>
      <c r="J52" s="307">
        <v>0</v>
      </c>
      <c r="K52" s="307">
        <v>1</v>
      </c>
      <c r="L52" s="307">
        <v>0</v>
      </c>
      <c r="M52" s="307">
        <v>0</v>
      </c>
      <c r="N52" s="309"/>
      <c r="O52" s="309"/>
      <c r="P52" s="309"/>
      <c r="Q52" s="309"/>
    </row>
    <row r="53" spans="2:17" ht="12.75">
      <c r="B53" s="305" t="s">
        <v>351</v>
      </c>
      <c r="C53" s="306"/>
      <c r="D53" s="110" t="s">
        <v>352</v>
      </c>
      <c r="E53" s="110" t="s">
        <v>353</v>
      </c>
      <c r="F53" s="307">
        <v>1</v>
      </c>
      <c r="G53" s="307">
        <v>0</v>
      </c>
      <c r="H53" s="307">
        <v>0</v>
      </c>
      <c r="I53" s="308">
        <f>キャラクターシート!I2+3</f>
        <v>11</v>
      </c>
      <c r="J53" s="307">
        <v>0</v>
      </c>
      <c r="K53" s="307">
        <v>1</v>
      </c>
      <c r="L53" s="307">
        <v>0</v>
      </c>
      <c r="M53" s="307">
        <v>0</v>
      </c>
      <c r="N53" s="309"/>
      <c r="O53" s="309"/>
      <c r="P53" s="309"/>
      <c r="Q53" s="309"/>
    </row>
    <row r="54" spans="2:17" ht="12.75">
      <c r="B54" s="305" t="s">
        <v>354</v>
      </c>
      <c r="C54" s="306"/>
      <c r="D54" s="310" t="s">
        <v>355</v>
      </c>
      <c r="E54" s="310" t="s">
        <v>130</v>
      </c>
      <c r="F54" s="113">
        <v>1</v>
      </c>
      <c r="G54" s="113">
        <v>4</v>
      </c>
      <c r="H54" s="113">
        <v>0</v>
      </c>
      <c r="I54" s="113">
        <v>2</v>
      </c>
      <c r="J54" s="113">
        <v>0</v>
      </c>
      <c r="K54" s="310">
        <v>1</v>
      </c>
      <c r="L54" s="311">
        <v>30000</v>
      </c>
      <c r="M54" s="113">
        <v>1</v>
      </c>
      <c r="N54" s="309"/>
      <c r="O54" s="309"/>
      <c r="P54" s="309"/>
      <c r="Q54" s="309"/>
    </row>
    <row r="55" spans="2:17" ht="12.75">
      <c r="B55" s="305" t="s">
        <v>356</v>
      </c>
      <c r="C55" s="306"/>
      <c r="D55" s="118" t="s">
        <v>355</v>
      </c>
      <c r="E55" s="118" t="s">
        <v>130</v>
      </c>
      <c r="F55" s="81">
        <v>1</v>
      </c>
      <c r="G55" s="81">
        <v>6</v>
      </c>
      <c r="H55" s="81">
        <v>-1</v>
      </c>
      <c r="I55" s="81">
        <v>3</v>
      </c>
      <c r="J55" s="81">
        <v>-1</v>
      </c>
      <c r="K55" s="118">
        <v>1</v>
      </c>
      <c r="L55" s="312">
        <v>50000</v>
      </c>
      <c r="M55" s="81">
        <v>1</v>
      </c>
      <c r="N55" s="309"/>
      <c r="O55" s="309"/>
      <c r="P55" s="309"/>
      <c r="Q55" s="309"/>
    </row>
    <row r="56" spans="2:17" ht="12.75">
      <c r="B56" s="305" t="s">
        <v>357</v>
      </c>
      <c r="C56" s="306"/>
      <c r="D56" s="118" t="s">
        <v>355</v>
      </c>
      <c r="E56" s="118" t="s">
        <v>130</v>
      </c>
      <c r="F56" s="81">
        <v>1</v>
      </c>
      <c r="G56" s="81">
        <v>5</v>
      </c>
      <c r="H56" s="81">
        <v>-1</v>
      </c>
      <c r="I56" s="81">
        <v>5</v>
      </c>
      <c r="J56" s="81">
        <v>0</v>
      </c>
      <c r="K56" s="118">
        <v>1</v>
      </c>
      <c r="L56" s="312">
        <v>60000</v>
      </c>
      <c r="M56" s="81">
        <v>1</v>
      </c>
      <c r="N56" s="309"/>
      <c r="O56" s="309"/>
      <c r="P56" s="309"/>
      <c r="Q56" s="309"/>
    </row>
    <row r="57" spans="2:17" ht="12.75">
      <c r="B57" s="305" t="s">
        <v>358</v>
      </c>
      <c r="C57" s="306"/>
      <c r="D57" s="118" t="s">
        <v>355</v>
      </c>
      <c r="E57" s="118" t="s">
        <v>130</v>
      </c>
      <c r="F57" s="81">
        <v>2</v>
      </c>
      <c r="G57" s="81">
        <v>8</v>
      </c>
      <c r="H57" s="81">
        <v>-1</v>
      </c>
      <c r="I57" s="81">
        <v>7</v>
      </c>
      <c r="J57" s="81">
        <v>-1</v>
      </c>
      <c r="K57" s="118">
        <v>1</v>
      </c>
      <c r="L57" s="312">
        <v>100000</v>
      </c>
      <c r="M57" s="81">
        <v>1</v>
      </c>
      <c r="N57" s="309"/>
      <c r="O57" s="309"/>
      <c r="P57" s="309"/>
      <c r="Q57" s="309"/>
    </row>
    <row r="58" spans="2:17" ht="12.75">
      <c r="B58" s="305" t="s">
        <v>359</v>
      </c>
      <c r="C58" s="306"/>
      <c r="D58" s="118" t="s">
        <v>355</v>
      </c>
      <c r="E58" s="118" t="s">
        <v>130</v>
      </c>
      <c r="F58" s="81">
        <v>2</v>
      </c>
      <c r="G58" s="81">
        <v>7</v>
      </c>
      <c r="H58" s="81">
        <v>-1</v>
      </c>
      <c r="I58" s="81">
        <v>6</v>
      </c>
      <c r="J58" s="81">
        <v>0</v>
      </c>
      <c r="K58" s="118">
        <v>1</v>
      </c>
      <c r="L58" s="312">
        <v>90000</v>
      </c>
      <c r="M58" s="81">
        <v>2</v>
      </c>
      <c r="N58" s="309"/>
      <c r="O58" s="309"/>
      <c r="P58" s="309"/>
      <c r="Q58" s="309"/>
    </row>
    <row r="59" spans="2:17" ht="12.75">
      <c r="B59" s="305" t="s">
        <v>360</v>
      </c>
      <c r="C59" s="306"/>
      <c r="D59" s="118" t="s">
        <v>355</v>
      </c>
      <c r="E59" s="118" t="s">
        <v>353</v>
      </c>
      <c r="F59" s="81">
        <v>2</v>
      </c>
      <c r="G59" s="81">
        <v>12</v>
      </c>
      <c r="H59" s="81">
        <v>-3</v>
      </c>
      <c r="I59" s="81">
        <v>10</v>
      </c>
      <c r="J59" s="81">
        <v>-1</v>
      </c>
      <c r="K59" s="118">
        <v>1</v>
      </c>
      <c r="L59" s="312">
        <v>110000</v>
      </c>
      <c r="M59" s="81">
        <v>1</v>
      </c>
      <c r="N59" s="309"/>
      <c r="O59" s="309"/>
      <c r="P59" s="309"/>
      <c r="Q59" s="309"/>
    </row>
    <row r="60" spans="2:17" ht="12.75">
      <c r="B60" s="305" t="s">
        <v>361</v>
      </c>
      <c r="C60" s="306"/>
      <c r="D60" s="118" t="s">
        <v>355</v>
      </c>
      <c r="E60" s="118" t="s">
        <v>130</v>
      </c>
      <c r="F60" s="81">
        <v>3</v>
      </c>
      <c r="G60" s="81">
        <v>10</v>
      </c>
      <c r="H60" s="81">
        <v>-1</v>
      </c>
      <c r="I60" s="81">
        <v>8</v>
      </c>
      <c r="J60" s="81">
        <v>-1</v>
      </c>
      <c r="K60" s="118">
        <v>1</v>
      </c>
      <c r="L60" s="312">
        <v>150000</v>
      </c>
      <c r="M60" s="81">
        <v>1</v>
      </c>
      <c r="N60" s="309"/>
      <c r="O60" s="309"/>
      <c r="P60" s="309"/>
      <c r="Q60" s="309"/>
    </row>
    <row r="61" spans="2:17" ht="12.75">
      <c r="B61" s="305" t="s">
        <v>362</v>
      </c>
      <c r="C61" s="306"/>
      <c r="D61" s="118" t="s">
        <v>355</v>
      </c>
      <c r="E61" s="118" t="s">
        <v>353</v>
      </c>
      <c r="F61" s="81">
        <v>4</v>
      </c>
      <c r="G61" s="81">
        <v>14</v>
      </c>
      <c r="H61" s="81">
        <v>-2</v>
      </c>
      <c r="I61" s="81">
        <v>12</v>
      </c>
      <c r="J61" s="81">
        <v>-2</v>
      </c>
      <c r="K61" s="118">
        <v>1</v>
      </c>
      <c r="L61" s="312">
        <v>250000</v>
      </c>
      <c r="M61" s="81">
        <v>1</v>
      </c>
      <c r="N61" s="309"/>
      <c r="O61" s="309"/>
      <c r="P61" s="309"/>
      <c r="Q61" s="309"/>
    </row>
    <row r="62" spans="2:17" ht="12.75">
      <c r="B62" s="305" t="s">
        <v>363</v>
      </c>
      <c r="C62" s="306"/>
      <c r="D62" s="118" t="s">
        <v>355</v>
      </c>
      <c r="E62" s="118" t="s">
        <v>130</v>
      </c>
      <c r="F62" s="81">
        <v>5</v>
      </c>
      <c r="G62" s="81">
        <v>10</v>
      </c>
      <c r="H62" s="81">
        <v>-1</v>
      </c>
      <c r="I62" s="81">
        <v>9</v>
      </c>
      <c r="J62" s="81">
        <v>0</v>
      </c>
      <c r="K62" s="118">
        <v>1</v>
      </c>
      <c r="L62" s="312">
        <v>250000</v>
      </c>
      <c r="M62" s="81">
        <v>2</v>
      </c>
      <c r="N62" s="309"/>
      <c r="O62" s="309"/>
      <c r="P62" s="309"/>
      <c r="Q62" s="309"/>
    </row>
    <row r="63" spans="2:17" ht="12.75">
      <c r="B63" s="305" t="s">
        <v>364</v>
      </c>
      <c r="C63" s="306"/>
      <c r="D63" s="118" t="s">
        <v>355</v>
      </c>
      <c r="E63" s="118" t="s">
        <v>353</v>
      </c>
      <c r="F63" s="81">
        <v>6</v>
      </c>
      <c r="G63" s="81">
        <v>16</v>
      </c>
      <c r="H63" s="81">
        <v>-2</v>
      </c>
      <c r="I63" s="81">
        <v>15</v>
      </c>
      <c r="J63" s="81">
        <v>-2</v>
      </c>
      <c r="K63" s="118">
        <v>1</v>
      </c>
      <c r="L63" s="312">
        <v>300000</v>
      </c>
      <c r="M63" s="81">
        <v>1</v>
      </c>
      <c r="N63" s="309"/>
      <c r="O63" s="309"/>
      <c r="P63" s="309"/>
      <c r="Q63" s="309"/>
    </row>
    <row r="64" spans="2:17" ht="12.75">
      <c r="B64" s="305" t="s">
        <v>365</v>
      </c>
      <c r="C64" s="306"/>
      <c r="D64" s="118" t="s">
        <v>366</v>
      </c>
      <c r="E64" s="118" t="s">
        <v>130</v>
      </c>
      <c r="F64" s="81">
        <v>1</v>
      </c>
      <c r="G64" s="81">
        <v>1</v>
      </c>
      <c r="H64" s="81">
        <v>0</v>
      </c>
      <c r="I64" s="81">
        <v>1</v>
      </c>
      <c r="J64" s="81">
        <v>0</v>
      </c>
      <c r="K64" s="118">
        <v>1</v>
      </c>
      <c r="L64" s="312">
        <v>10000</v>
      </c>
      <c r="M64" s="81">
        <v>1</v>
      </c>
      <c r="N64" s="309"/>
      <c r="O64" s="309"/>
      <c r="P64" s="309"/>
      <c r="Q64" s="309"/>
    </row>
    <row r="65" spans="2:17" ht="12.75">
      <c r="B65" s="305" t="s">
        <v>367</v>
      </c>
      <c r="C65" s="306"/>
      <c r="D65" s="118" t="s">
        <v>366</v>
      </c>
      <c r="E65" s="118" t="s">
        <v>130</v>
      </c>
      <c r="F65" s="81">
        <v>1</v>
      </c>
      <c r="G65" s="81">
        <v>2</v>
      </c>
      <c r="H65" s="81">
        <v>0</v>
      </c>
      <c r="I65" s="81">
        <v>2</v>
      </c>
      <c r="J65" s="81">
        <v>0</v>
      </c>
      <c r="K65" s="118">
        <v>1</v>
      </c>
      <c r="L65" s="312">
        <v>20000</v>
      </c>
      <c r="M65" s="81">
        <v>2</v>
      </c>
      <c r="N65" s="309"/>
      <c r="O65" s="309"/>
      <c r="P65" s="309"/>
      <c r="Q65" s="309"/>
    </row>
    <row r="66" spans="2:17" ht="12.75">
      <c r="B66" s="305" t="s">
        <v>368</v>
      </c>
      <c r="C66" s="306"/>
      <c r="D66" s="118" t="s">
        <v>366</v>
      </c>
      <c r="E66" s="118" t="s">
        <v>130</v>
      </c>
      <c r="F66" s="81">
        <v>2</v>
      </c>
      <c r="G66" s="81">
        <v>2</v>
      </c>
      <c r="H66" s="81">
        <v>0</v>
      </c>
      <c r="I66" s="81">
        <v>3</v>
      </c>
      <c r="J66" s="81">
        <v>0</v>
      </c>
      <c r="K66" s="118">
        <v>1</v>
      </c>
      <c r="L66" s="312">
        <v>40000</v>
      </c>
      <c r="M66" s="81">
        <v>2</v>
      </c>
      <c r="N66" s="309"/>
      <c r="O66" s="309"/>
      <c r="P66" s="309"/>
      <c r="Q66" s="309"/>
    </row>
    <row r="67" spans="2:17" ht="12.75">
      <c r="B67" s="305" t="s">
        <v>369</v>
      </c>
      <c r="C67" s="306"/>
      <c r="D67" s="118" t="s">
        <v>366</v>
      </c>
      <c r="E67" s="118" t="s">
        <v>130</v>
      </c>
      <c r="F67" s="81">
        <v>3</v>
      </c>
      <c r="G67" s="81">
        <v>2</v>
      </c>
      <c r="H67" s="81">
        <v>0</v>
      </c>
      <c r="I67" s="81">
        <v>5</v>
      </c>
      <c r="J67" s="81">
        <v>0</v>
      </c>
      <c r="K67" s="118">
        <v>1</v>
      </c>
      <c r="L67" s="312">
        <v>120000</v>
      </c>
      <c r="M67" s="81">
        <v>3</v>
      </c>
      <c r="N67" s="309"/>
      <c r="O67" s="309"/>
      <c r="P67" s="309"/>
      <c r="Q67" s="309"/>
    </row>
    <row r="68" spans="2:17" ht="12.75">
      <c r="B68" s="305" t="s">
        <v>370</v>
      </c>
      <c r="C68" s="306"/>
      <c r="D68" s="118" t="s">
        <v>366</v>
      </c>
      <c r="E68" s="118" t="s">
        <v>130</v>
      </c>
      <c r="F68" s="81">
        <v>4</v>
      </c>
      <c r="G68" s="81">
        <v>2</v>
      </c>
      <c r="H68" s="81">
        <v>0</v>
      </c>
      <c r="I68" s="81">
        <v>5</v>
      </c>
      <c r="J68" s="81">
        <v>0</v>
      </c>
      <c r="K68" s="118">
        <v>1</v>
      </c>
      <c r="L68" s="312">
        <v>160000</v>
      </c>
      <c r="M68" s="81">
        <v>5</v>
      </c>
      <c r="N68" s="309"/>
      <c r="O68" s="309"/>
      <c r="P68" s="309"/>
      <c r="Q68" s="309"/>
    </row>
    <row r="69" spans="2:17" ht="12.75">
      <c r="B69" s="305" t="s">
        <v>371</v>
      </c>
      <c r="C69" s="306"/>
      <c r="D69" s="118" t="s">
        <v>366</v>
      </c>
      <c r="E69" s="118" t="s">
        <v>130</v>
      </c>
      <c r="F69" s="81">
        <v>5</v>
      </c>
      <c r="G69" s="81">
        <v>3</v>
      </c>
      <c r="H69" s="81">
        <v>1</v>
      </c>
      <c r="I69" s="81">
        <v>7</v>
      </c>
      <c r="J69" s="81">
        <v>0</v>
      </c>
      <c r="K69" s="118">
        <v>1</v>
      </c>
      <c r="L69" s="312">
        <v>200000</v>
      </c>
      <c r="M69" s="81">
        <v>4</v>
      </c>
      <c r="N69" s="309"/>
      <c r="O69" s="309"/>
      <c r="P69" s="309"/>
      <c r="Q69" s="309"/>
    </row>
    <row r="70" spans="2:17" ht="12.75">
      <c r="B70" s="305" t="s">
        <v>372</v>
      </c>
      <c r="C70" s="306"/>
      <c r="D70" s="118" t="s">
        <v>373</v>
      </c>
      <c r="E70" s="118" t="s">
        <v>353</v>
      </c>
      <c r="F70" s="81">
        <v>1</v>
      </c>
      <c r="G70" s="81">
        <v>6</v>
      </c>
      <c r="H70" s="81">
        <v>1</v>
      </c>
      <c r="I70" s="81">
        <v>5</v>
      </c>
      <c r="J70" s="81">
        <v>-1</v>
      </c>
      <c r="K70" s="118">
        <v>1</v>
      </c>
      <c r="L70" s="312">
        <v>30000</v>
      </c>
      <c r="M70" s="81">
        <v>1</v>
      </c>
      <c r="N70" s="309"/>
      <c r="O70" s="309"/>
      <c r="P70" s="309"/>
      <c r="Q70" s="309"/>
    </row>
    <row r="71" spans="2:17" ht="12.75">
      <c r="B71" s="305" t="s">
        <v>374</v>
      </c>
      <c r="C71" s="306"/>
      <c r="D71" s="118" t="s">
        <v>373</v>
      </c>
      <c r="E71" s="118" t="s">
        <v>353</v>
      </c>
      <c r="F71" s="81">
        <v>2</v>
      </c>
      <c r="G71" s="81">
        <v>8</v>
      </c>
      <c r="H71" s="81">
        <v>1</v>
      </c>
      <c r="I71" s="81">
        <v>7</v>
      </c>
      <c r="J71" s="81">
        <v>-1</v>
      </c>
      <c r="K71" s="118">
        <v>1</v>
      </c>
      <c r="L71" s="312">
        <v>90000</v>
      </c>
      <c r="M71" s="81">
        <v>1</v>
      </c>
      <c r="N71" s="309"/>
      <c r="O71" s="309"/>
      <c r="P71" s="309"/>
      <c r="Q71" s="309"/>
    </row>
    <row r="72" spans="2:17" ht="12.75">
      <c r="B72" s="305" t="s">
        <v>375</v>
      </c>
      <c r="C72" s="306"/>
      <c r="D72" s="118" t="s">
        <v>373</v>
      </c>
      <c r="E72" s="118" t="s">
        <v>353</v>
      </c>
      <c r="F72" s="81">
        <v>3</v>
      </c>
      <c r="G72" s="81">
        <v>12</v>
      </c>
      <c r="H72" s="81">
        <v>0</v>
      </c>
      <c r="I72" s="81">
        <v>9</v>
      </c>
      <c r="J72" s="81">
        <v>-1</v>
      </c>
      <c r="K72" s="118">
        <v>1</v>
      </c>
      <c r="L72" s="312">
        <v>130000</v>
      </c>
      <c r="M72" s="81">
        <v>2</v>
      </c>
      <c r="N72" s="309"/>
      <c r="O72" s="309"/>
      <c r="P72" s="309"/>
      <c r="Q72" s="309"/>
    </row>
    <row r="73" spans="2:17" ht="12.75">
      <c r="B73" s="305" t="s">
        <v>376</v>
      </c>
      <c r="C73" s="306"/>
      <c r="D73" s="118" t="s">
        <v>373</v>
      </c>
      <c r="E73" s="118" t="s">
        <v>353</v>
      </c>
      <c r="F73" s="81">
        <v>4</v>
      </c>
      <c r="G73" s="81">
        <v>14</v>
      </c>
      <c r="H73" s="81">
        <v>1</v>
      </c>
      <c r="I73" s="81">
        <v>11</v>
      </c>
      <c r="J73" s="81">
        <v>-2</v>
      </c>
      <c r="K73" s="118">
        <v>1</v>
      </c>
      <c r="L73" s="312">
        <v>180000</v>
      </c>
      <c r="M73" s="81">
        <v>1</v>
      </c>
      <c r="N73" s="309"/>
      <c r="O73" s="309"/>
      <c r="P73" s="309"/>
      <c r="Q73" s="309"/>
    </row>
    <row r="74" spans="2:17" ht="12.75">
      <c r="B74" s="305" t="s">
        <v>377</v>
      </c>
      <c r="C74" s="306"/>
      <c r="D74" s="118" t="s">
        <v>373</v>
      </c>
      <c r="E74" s="118" t="s">
        <v>353</v>
      </c>
      <c r="F74" s="81">
        <v>5</v>
      </c>
      <c r="G74" s="81">
        <v>12</v>
      </c>
      <c r="H74" s="81">
        <v>1</v>
      </c>
      <c r="I74" s="81">
        <v>13</v>
      </c>
      <c r="J74" s="81">
        <v>-1</v>
      </c>
      <c r="K74" s="118">
        <v>1</v>
      </c>
      <c r="L74" s="312">
        <v>230000</v>
      </c>
      <c r="M74" s="81">
        <v>3</v>
      </c>
      <c r="N74" s="309"/>
      <c r="O74" s="309"/>
      <c r="P74" s="309"/>
      <c r="Q74" s="309"/>
    </row>
    <row r="75" spans="2:17" ht="12.75">
      <c r="B75" s="305" t="s">
        <v>378</v>
      </c>
      <c r="C75" s="306"/>
      <c r="D75" s="118" t="s">
        <v>373</v>
      </c>
      <c r="E75" s="118" t="s">
        <v>353</v>
      </c>
      <c r="F75" s="81">
        <v>6</v>
      </c>
      <c r="G75" s="81">
        <v>15</v>
      </c>
      <c r="H75" s="81">
        <v>1</v>
      </c>
      <c r="I75" s="81">
        <v>15</v>
      </c>
      <c r="J75" s="81">
        <v>-2</v>
      </c>
      <c r="K75" s="118">
        <v>1</v>
      </c>
      <c r="L75" s="312">
        <v>270000</v>
      </c>
      <c r="M75" s="81">
        <v>1</v>
      </c>
      <c r="N75" s="309"/>
      <c r="O75" s="309"/>
      <c r="P75" s="309"/>
      <c r="Q75" s="309"/>
    </row>
    <row r="76" spans="2:17" ht="12.75">
      <c r="B76" s="305" t="s">
        <v>379</v>
      </c>
      <c r="C76" s="306"/>
      <c r="D76" s="118" t="s">
        <v>380</v>
      </c>
      <c r="E76" s="118" t="s">
        <v>130</v>
      </c>
      <c r="F76" s="81">
        <v>1</v>
      </c>
      <c r="G76" s="81">
        <v>5</v>
      </c>
      <c r="H76" s="81">
        <v>-2</v>
      </c>
      <c r="I76" s="81">
        <v>8</v>
      </c>
      <c r="J76" s="81">
        <v>-1</v>
      </c>
      <c r="K76" s="118">
        <v>1</v>
      </c>
      <c r="L76" s="312">
        <v>30000</v>
      </c>
      <c r="M76" s="81">
        <v>0</v>
      </c>
      <c r="N76" s="309"/>
      <c r="O76" s="309"/>
      <c r="P76" s="309"/>
      <c r="Q76" s="309"/>
    </row>
    <row r="77" spans="2:17" ht="12.75">
      <c r="B77" s="305" t="s">
        <v>381</v>
      </c>
      <c r="C77" s="306"/>
      <c r="D77" s="118" t="s">
        <v>380</v>
      </c>
      <c r="E77" s="118" t="s">
        <v>353</v>
      </c>
      <c r="F77" s="81">
        <v>2</v>
      </c>
      <c r="G77" s="81">
        <v>10</v>
      </c>
      <c r="H77" s="81">
        <v>-3</v>
      </c>
      <c r="I77" s="81">
        <v>10</v>
      </c>
      <c r="J77" s="81">
        <v>-2</v>
      </c>
      <c r="K77" s="118">
        <v>1</v>
      </c>
      <c r="L77" s="312">
        <v>60000</v>
      </c>
      <c r="M77" s="81">
        <v>0</v>
      </c>
      <c r="N77" s="309"/>
      <c r="O77" s="309"/>
      <c r="P77" s="309"/>
      <c r="Q77" s="309"/>
    </row>
    <row r="78" spans="2:17" ht="12.75">
      <c r="B78" s="305" t="s">
        <v>382</v>
      </c>
      <c r="C78" s="306"/>
      <c r="D78" s="118" t="s">
        <v>380</v>
      </c>
      <c r="E78" s="118" t="s">
        <v>353</v>
      </c>
      <c r="F78" s="81">
        <v>3</v>
      </c>
      <c r="G78" s="81">
        <v>10</v>
      </c>
      <c r="H78" s="81">
        <v>-2</v>
      </c>
      <c r="I78" s="81">
        <v>13</v>
      </c>
      <c r="J78" s="81">
        <v>-2</v>
      </c>
      <c r="K78" s="118">
        <v>1</v>
      </c>
      <c r="L78" s="312">
        <v>120000</v>
      </c>
      <c r="M78" s="81">
        <v>2</v>
      </c>
      <c r="N78" s="309"/>
      <c r="O78" s="309"/>
      <c r="P78" s="309"/>
      <c r="Q78" s="309"/>
    </row>
    <row r="79" spans="2:17" ht="12.75">
      <c r="B79" s="305" t="s">
        <v>383</v>
      </c>
      <c r="C79" s="306"/>
      <c r="D79" s="118" t="s">
        <v>380</v>
      </c>
      <c r="E79" s="118" t="s">
        <v>353</v>
      </c>
      <c r="F79" s="81">
        <v>4</v>
      </c>
      <c r="G79" s="81">
        <v>12</v>
      </c>
      <c r="H79" s="81">
        <v>-4</v>
      </c>
      <c r="I79" s="81">
        <v>14</v>
      </c>
      <c r="J79" s="81">
        <v>-2</v>
      </c>
      <c r="K79" s="118">
        <v>1</v>
      </c>
      <c r="L79" s="312">
        <v>170000</v>
      </c>
      <c r="M79" s="81">
        <v>0</v>
      </c>
      <c r="N79" s="309"/>
      <c r="O79" s="309"/>
      <c r="P79" s="309"/>
      <c r="Q79" s="309"/>
    </row>
    <row r="80" spans="2:17" ht="12.75">
      <c r="B80" s="305" t="s">
        <v>384</v>
      </c>
      <c r="C80" s="306"/>
      <c r="D80" s="118" t="s">
        <v>380</v>
      </c>
      <c r="E80" s="118" t="s">
        <v>353</v>
      </c>
      <c r="F80" s="81">
        <v>5</v>
      </c>
      <c r="G80" s="81">
        <v>14</v>
      </c>
      <c r="H80" s="81">
        <v>-3</v>
      </c>
      <c r="I80" s="81">
        <v>16</v>
      </c>
      <c r="J80" s="81">
        <v>-3</v>
      </c>
      <c r="K80" s="118">
        <v>1</v>
      </c>
      <c r="L80" s="312">
        <v>240000</v>
      </c>
      <c r="M80" s="81">
        <v>2</v>
      </c>
      <c r="N80" s="309"/>
      <c r="O80" s="309"/>
      <c r="P80" s="309"/>
      <c r="Q80" s="309"/>
    </row>
    <row r="81" spans="2:17" ht="12.75">
      <c r="B81" s="305" t="s">
        <v>385</v>
      </c>
      <c r="C81" s="306"/>
      <c r="D81" s="118" t="s">
        <v>380</v>
      </c>
      <c r="E81" s="118" t="s">
        <v>353</v>
      </c>
      <c r="F81" s="81">
        <v>6</v>
      </c>
      <c r="G81" s="81">
        <v>15</v>
      </c>
      <c r="H81" s="81">
        <v>-4</v>
      </c>
      <c r="I81" s="81">
        <v>18</v>
      </c>
      <c r="J81" s="81">
        <v>-2</v>
      </c>
      <c r="K81" s="118">
        <v>1</v>
      </c>
      <c r="L81" s="312">
        <v>320000</v>
      </c>
      <c r="M81" s="81">
        <v>0</v>
      </c>
      <c r="N81" s="309"/>
      <c r="O81" s="309"/>
      <c r="P81" s="309"/>
      <c r="Q81" s="309"/>
    </row>
    <row r="82" spans="2:17" ht="12.75">
      <c r="B82" s="305" t="s">
        <v>386</v>
      </c>
      <c r="C82" s="306"/>
      <c r="D82" s="118" t="s">
        <v>387</v>
      </c>
      <c r="E82" s="118" t="s">
        <v>353</v>
      </c>
      <c r="F82" s="81">
        <v>1</v>
      </c>
      <c r="G82" s="81">
        <v>5</v>
      </c>
      <c r="H82" s="81">
        <v>-1</v>
      </c>
      <c r="I82" s="81">
        <v>5</v>
      </c>
      <c r="J82" s="81">
        <v>-1</v>
      </c>
      <c r="K82" s="118" t="s">
        <v>388</v>
      </c>
      <c r="L82" s="312">
        <v>40000</v>
      </c>
      <c r="M82" s="81">
        <v>0</v>
      </c>
      <c r="N82" s="309"/>
      <c r="O82" s="309"/>
      <c r="P82" s="309"/>
      <c r="Q82" s="309"/>
    </row>
    <row r="83" spans="2:17" ht="12.75">
      <c r="B83" s="305" t="s">
        <v>389</v>
      </c>
      <c r="C83" s="306"/>
      <c r="D83" s="118" t="s">
        <v>387</v>
      </c>
      <c r="E83" s="118" t="s">
        <v>130</v>
      </c>
      <c r="F83" s="81">
        <v>2</v>
      </c>
      <c r="G83" s="81">
        <v>4</v>
      </c>
      <c r="H83" s="81">
        <v>-2</v>
      </c>
      <c r="I83" s="81">
        <v>5</v>
      </c>
      <c r="J83" s="81">
        <v>0</v>
      </c>
      <c r="K83" s="118" t="s">
        <v>194</v>
      </c>
      <c r="L83" s="312">
        <v>70000</v>
      </c>
      <c r="M83" s="81">
        <v>0</v>
      </c>
      <c r="N83" s="309"/>
      <c r="O83" s="309"/>
      <c r="P83" s="309"/>
      <c r="Q83" s="309"/>
    </row>
    <row r="84" spans="2:17" ht="12.75">
      <c r="B84" s="305" t="s">
        <v>390</v>
      </c>
      <c r="C84" s="306"/>
      <c r="D84" s="118" t="s">
        <v>387</v>
      </c>
      <c r="E84" s="118" t="s">
        <v>353</v>
      </c>
      <c r="F84" s="81">
        <v>3</v>
      </c>
      <c r="G84" s="81">
        <v>7</v>
      </c>
      <c r="H84" s="81">
        <v>-2</v>
      </c>
      <c r="I84" s="81">
        <v>8</v>
      </c>
      <c r="J84" s="81">
        <v>-1</v>
      </c>
      <c r="K84" s="118" t="s">
        <v>388</v>
      </c>
      <c r="L84" s="312">
        <v>120000</v>
      </c>
      <c r="M84" s="81">
        <v>1</v>
      </c>
      <c r="N84" s="309"/>
      <c r="O84" s="309"/>
      <c r="P84" s="309"/>
      <c r="Q84" s="309"/>
    </row>
    <row r="85" spans="2:17" ht="12.75">
      <c r="B85" s="305" t="s">
        <v>391</v>
      </c>
      <c r="C85" s="306"/>
      <c r="D85" s="118" t="s">
        <v>387</v>
      </c>
      <c r="E85" s="118" t="s">
        <v>353</v>
      </c>
      <c r="F85" s="81">
        <v>4</v>
      </c>
      <c r="G85" s="81">
        <v>5</v>
      </c>
      <c r="H85" s="81">
        <v>-2</v>
      </c>
      <c r="I85" s="81">
        <v>10</v>
      </c>
      <c r="J85" s="81">
        <v>-1</v>
      </c>
      <c r="K85" s="118" t="s">
        <v>194</v>
      </c>
      <c r="L85" s="312">
        <v>160000</v>
      </c>
      <c r="M85" s="81">
        <v>0</v>
      </c>
      <c r="N85" s="309"/>
      <c r="O85" s="309"/>
      <c r="P85" s="309"/>
      <c r="Q85" s="309"/>
    </row>
    <row r="86" spans="2:17" ht="12.75">
      <c r="B86" s="305" t="s">
        <v>392</v>
      </c>
      <c r="C86" s="306"/>
      <c r="D86" s="118" t="s">
        <v>387</v>
      </c>
      <c r="E86" s="118" t="s">
        <v>353</v>
      </c>
      <c r="F86" s="81">
        <v>5</v>
      </c>
      <c r="G86" s="81">
        <v>9</v>
      </c>
      <c r="H86" s="81">
        <v>-1</v>
      </c>
      <c r="I86" s="81">
        <v>10</v>
      </c>
      <c r="J86" s="81">
        <v>-1</v>
      </c>
      <c r="K86" s="118" t="s">
        <v>388</v>
      </c>
      <c r="L86" s="312">
        <v>260000</v>
      </c>
      <c r="M86" s="81">
        <v>1</v>
      </c>
      <c r="N86" s="309"/>
      <c r="O86" s="309"/>
      <c r="P86" s="309"/>
      <c r="Q86" s="309"/>
    </row>
    <row r="87" spans="2:17" ht="12.75">
      <c r="B87" s="305" t="s">
        <v>393</v>
      </c>
      <c r="C87" s="306"/>
      <c r="D87" s="313" t="s">
        <v>387</v>
      </c>
      <c r="E87" s="313" t="s">
        <v>353</v>
      </c>
      <c r="F87" s="314">
        <v>6</v>
      </c>
      <c r="G87" s="314">
        <v>11</v>
      </c>
      <c r="H87" s="314">
        <v>-3</v>
      </c>
      <c r="I87" s="314">
        <v>13</v>
      </c>
      <c r="J87" s="314">
        <v>-2</v>
      </c>
      <c r="K87" s="313" t="s">
        <v>388</v>
      </c>
      <c r="L87" s="315">
        <v>320000</v>
      </c>
      <c r="M87" s="314">
        <v>0</v>
      </c>
      <c r="N87" s="309"/>
      <c r="O87" s="309"/>
      <c r="P87" s="309"/>
      <c r="Q87" s="309"/>
    </row>
    <row r="88" spans="2:17" ht="12.75">
      <c r="B88" s="316" t="s">
        <v>394</v>
      </c>
      <c r="C88" s="317"/>
      <c r="D88" s="310" t="s">
        <v>355</v>
      </c>
      <c r="E88" s="310" t="s">
        <v>130</v>
      </c>
      <c r="F88" s="113">
        <v>4</v>
      </c>
      <c r="G88" s="113">
        <v>5</v>
      </c>
      <c r="H88" s="113">
        <v>1</v>
      </c>
      <c r="I88" s="113">
        <v>8</v>
      </c>
      <c r="J88" s="113">
        <v>0</v>
      </c>
      <c r="K88" s="310">
        <v>1</v>
      </c>
      <c r="L88" s="311">
        <v>320000</v>
      </c>
      <c r="M88" s="113">
        <v>3</v>
      </c>
      <c r="N88" s="309"/>
      <c r="O88" s="309"/>
      <c r="P88" s="309"/>
      <c r="Q88" s="309"/>
    </row>
    <row r="89" spans="2:17" ht="12.75">
      <c r="B89" s="318" t="s">
        <v>395</v>
      </c>
      <c r="C89" s="317"/>
      <c r="D89" s="118" t="s">
        <v>355</v>
      </c>
      <c r="E89" s="118" t="s">
        <v>353</v>
      </c>
      <c r="F89" s="81">
        <v>5</v>
      </c>
      <c r="G89" s="81">
        <v>15</v>
      </c>
      <c r="H89" s="81">
        <v>-2</v>
      </c>
      <c r="I89" s="81">
        <v>12</v>
      </c>
      <c r="J89" s="81">
        <v>-2</v>
      </c>
      <c r="K89" s="118">
        <v>1</v>
      </c>
      <c r="L89" s="312">
        <v>400000</v>
      </c>
      <c r="M89" s="81">
        <v>3</v>
      </c>
      <c r="N89" s="309"/>
      <c r="O89" s="309"/>
      <c r="P89" s="309"/>
      <c r="Q89" s="309"/>
    </row>
    <row r="90" spans="2:17" ht="12.75">
      <c r="B90" s="318" t="s">
        <v>396</v>
      </c>
      <c r="C90" s="317"/>
      <c r="D90" s="118" t="s">
        <v>355</v>
      </c>
      <c r="E90" s="118" t="s">
        <v>130</v>
      </c>
      <c r="F90" s="81">
        <v>5</v>
      </c>
      <c r="G90" s="81">
        <v>5</v>
      </c>
      <c r="H90" s="81">
        <v>-2</v>
      </c>
      <c r="I90" s="81">
        <v>10</v>
      </c>
      <c r="J90" s="81">
        <v>0</v>
      </c>
      <c r="K90" s="118">
        <v>1</v>
      </c>
      <c r="L90" s="312">
        <v>450000</v>
      </c>
      <c r="M90" s="81">
        <v>3</v>
      </c>
      <c r="N90" s="309"/>
      <c r="O90" s="309"/>
      <c r="P90" s="309"/>
      <c r="Q90" s="309"/>
    </row>
    <row r="91" spans="2:17" ht="12.75">
      <c r="B91" s="319" t="s">
        <v>397</v>
      </c>
      <c r="C91" s="317"/>
      <c r="D91" s="118" t="s">
        <v>355</v>
      </c>
      <c r="E91" s="118" t="s">
        <v>353</v>
      </c>
      <c r="F91" s="81">
        <v>6</v>
      </c>
      <c r="G91" s="81">
        <v>6</v>
      </c>
      <c r="H91" s="81">
        <v>-3</v>
      </c>
      <c r="I91" s="81">
        <v>18</v>
      </c>
      <c r="J91" s="81">
        <v>-1</v>
      </c>
      <c r="K91" s="118">
        <v>1</v>
      </c>
      <c r="L91" s="312">
        <v>600000</v>
      </c>
      <c r="M91" s="81">
        <v>4</v>
      </c>
      <c r="N91" s="309"/>
      <c r="O91" s="309"/>
      <c r="P91" s="309"/>
      <c r="Q91" s="309"/>
    </row>
    <row r="92" spans="2:17" ht="12.75">
      <c r="B92" s="319" t="s">
        <v>398</v>
      </c>
      <c r="C92" s="317"/>
      <c r="D92" s="118" t="s">
        <v>355</v>
      </c>
      <c r="E92" s="118" t="s">
        <v>130</v>
      </c>
      <c r="F92" s="81">
        <v>7</v>
      </c>
      <c r="G92" s="81">
        <v>10</v>
      </c>
      <c r="H92" s="81">
        <v>0</v>
      </c>
      <c r="I92" s="81">
        <v>12</v>
      </c>
      <c r="J92" s="81">
        <v>-1</v>
      </c>
      <c r="K92" s="118">
        <v>1</v>
      </c>
      <c r="L92" s="312">
        <v>680000</v>
      </c>
      <c r="M92" s="81">
        <v>4</v>
      </c>
      <c r="N92" s="309"/>
      <c r="O92" s="309"/>
      <c r="P92" s="309"/>
      <c r="Q92" s="309"/>
    </row>
    <row r="93" spans="2:17" ht="12.75">
      <c r="B93" s="319" t="s">
        <v>399</v>
      </c>
      <c r="C93" s="317"/>
      <c r="D93" s="118" t="s">
        <v>355</v>
      </c>
      <c r="E93" s="118" t="s">
        <v>353</v>
      </c>
      <c r="F93" s="81">
        <v>7</v>
      </c>
      <c r="G93" s="81">
        <v>12</v>
      </c>
      <c r="H93" s="81">
        <v>0</v>
      </c>
      <c r="I93" s="81">
        <v>15</v>
      </c>
      <c r="J93" s="81">
        <v>-2</v>
      </c>
      <c r="K93" s="118">
        <v>1</v>
      </c>
      <c r="L93" s="312">
        <v>740000</v>
      </c>
      <c r="M93" s="81">
        <v>7</v>
      </c>
      <c r="N93" s="309"/>
      <c r="O93" s="309"/>
      <c r="P93" s="309"/>
      <c r="Q93" s="309"/>
    </row>
    <row r="94" spans="2:17" ht="12.75">
      <c r="B94" s="319" t="s">
        <v>400</v>
      </c>
      <c r="C94" s="317"/>
      <c r="D94" s="118" t="s">
        <v>355</v>
      </c>
      <c r="E94" s="118" t="s">
        <v>353</v>
      </c>
      <c r="F94" s="81">
        <v>8</v>
      </c>
      <c r="G94" s="81">
        <v>9</v>
      </c>
      <c r="H94" s="81">
        <v>-2</v>
      </c>
      <c r="I94" s="81">
        <v>0</v>
      </c>
      <c r="J94" s="81">
        <v>0</v>
      </c>
      <c r="K94" s="118">
        <v>1</v>
      </c>
      <c r="L94" s="312">
        <v>800000</v>
      </c>
      <c r="M94" s="81">
        <v>0</v>
      </c>
      <c r="N94" s="309"/>
      <c r="O94" s="309"/>
      <c r="P94" s="309"/>
      <c r="Q94" s="309"/>
    </row>
    <row r="95" spans="2:17" ht="12.75">
      <c r="B95" s="319" t="s">
        <v>401</v>
      </c>
      <c r="C95" s="317"/>
      <c r="D95" s="118" t="s">
        <v>355</v>
      </c>
      <c r="E95" s="118" t="s">
        <v>130</v>
      </c>
      <c r="F95" s="81">
        <v>8</v>
      </c>
      <c r="G95" s="81">
        <v>5</v>
      </c>
      <c r="H95" s="81">
        <v>-2</v>
      </c>
      <c r="I95" s="81">
        <v>18</v>
      </c>
      <c r="J95" s="81">
        <v>0</v>
      </c>
      <c r="K95" s="118">
        <v>1</v>
      </c>
      <c r="L95" s="312">
        <v>820000</v>
      </c>
      <c r="M95" s="81">
        <v>5</v>
      </c>
      <c r="N95" s="309"/>
      <c r="O95" s="309"/>
      <c r="P95" s="309"/>
      <c r="Q95" s="309"/>
    </row>
    <row r="96" spans="2:17" ht="12.75">
      <c r="B96" s="318" t="s">
        <v>402</v>
      </c>
      <c r="C96" s="317"/>
      <c r="D96" s="118" t="s">
        <v>355</v>
      </c>
      <c r="E96" s="118" t="s">
        <v>353</v>
      </c>
      <c r="F96" s="81">
        <v>8</v>
      </c>
      <c r="G96" s="81">
        <v>16</v>
      </c>
      <c r="H96" s="81">
        <v>-2</v>
      </c>
      <c r="I96" s="81">
        <v>17</v>
      </c>
      <c r="J96" s="81">
        <v>-2</v>
      </c>
      <c r="K96" s="118">
        <v>1</v>
      </c>
      <c r="L96" s="312">
        <v>950000</v>
      </c>
      <c r="M96" s="81">
        <v>3</v>
      </c>
      <c r="N96" s="309"/>
      <c r="O96" s="309"/>
      <c r="P96" s="309"/>
      <c r="Q96" s="309"/>
    </row>
    <row r="97" spans="2:17" ht="12.75">
      <c r="B97" s="318" t="s">
        <v>403</v>
      </c>
      <c r="C97" s="317"/>
      <c r="D97" s="118" t="s">
        <v>355</v>
      </c>
      <c r="E97" s="118" t="s">
        <v>353</v>
      </c>
      <c r="F97" s="81">
        <v>9</v>
      </c>
      <c r="G97" s="81">
        <v>17</v>
      </c>
      <c r="H97" s="81">
        <v>-2</v>
      </c>
      <c r="I97" s="81">
        <v>22</v>
      </c>
      <c r="J97" s="81">
        <v>-1</v>
      </c>
      <c r="K97" s="118">
        <v>1</v>
      </c>
      <c r="L97" s="312">
        <v>1000000</v>
      </c>
      <c r="M97" s="81">
        <v>5</v>
      </c>
      <c r="N97" s="309"/>
      <c r="O97" s="309"/>
      <c r="P97" s="309"/>
      <c r="Q97" s="309"/>
    </row>
    <row r="98" spans="2:17" ht="12.75">
      <c r="B98" s="318" t="s">
        <v>404</v>
      </c>
      <c r="C98" s="317"/>
      <c r="D98" s="310" t="s">
        <v>355</v>
      </c>
      <c r="E98" s="310" t="s">
        <v>353</v>
      </c>
      <c r="F98" s="113">
        <v>8</v>
      </c>
      <c r="G98" s="113">
        <v>17</v>
      </c>
      <c r="H98" s="113">
        <v>-2</v>
      </c>
      <c r="I98" s="113">
        <v>18</v>
      </c>
      <c r="J98" s="113">
        <v>-2</v>
      </c>
      <c r="K98" s="310">
        <v>1</v>
      </c>
      <c r="L98" s="311">
        <v>940000</v>
      </c>
      <c r="M98" s="113">
        <v>8</v>
      </c>
      <c r="N98" s="309"/>
      <c r="O98" s="309"/>
      <c r="P98" s="309"/>
      <c r="Q98" s="309"/>
    </row>
    <row r="99" spans="2:17" ht="12.75">
      <c r="B99" s="318" t="s">
        <v>405</v>
      </c>
      <c r="C99" s="317"/>
      <c r="D99" s="118" t="s">
        <v>355</v>
      </c>
      <c r="E99" s="118" t="s">
        <v>353</v>
      </c>
      <c r="F99" s="81">
        <v>9</v>
      </c>
      <c r="G99" s="81">
        <v>18</v>
      </c>
      <c r="H99" s="81">
        <v>-2</v>
      </c>
      <c r="I99" s="81">
        <v>20</v>
      </c>
      <c r="J99" s="81">
        <v>-2</v>
      </c>
      <c r="K99" s="118">
        <v>1</v>
      </c>
      <c r="L99" s="312">
        <v>1100000</v>
      </c>
      <c r="M99" s="81">
        <v>6</v>
      </c>
      <c r="N99" s="309"/>
      <c r="O99" s="309"/>
      <c r="P99" s="309"/>
      <c r="Q99" s="309"/>
    </row>
    <row r="100" spans="2:17" ht="12.75">
      <c r="B100" s="318" t="s">
        <v>406</v>
      </c>
      <c r="C100" s="317"/>
      <c r="D100" s="118" t="s">
        <v>355</v>
      </c>
      <c r="E100" s="118" t="s">
        <v>130</v>
      </c>
      <c r="F100" s="81">
        <v>9</v>
      </c>
      <c r="G100" s="81">
        <v>10</v>
      </c>
      <c r="H100" s="81">
        <v>0</v>
      </c>
      <c r="I100" s="81">
        <v>15</v>
      </c>
      <c r="J100" s="81">
        <v>-1</v>
      </c>
      <c r="K100" s="118">
        <v>1</v>
      </c>
      <c r="L100" s="312">
        <v>980000</v>
      </c>
      <c r="M100" s="81">
        <v>8</v>
      </c>
      <c r="N100" s="309"/>
      <c r="O100" s="309"/>
      <c r="P100" s="309"/>
      <c r="Q100" s="309"/>
    </row>
    <row r="101" spans="2:17" ht="12.75">
      <c r="B101" s="318" t="s">
        <v>407</v>
      </c>
      <c r="C101" s="317"/>
      <c r="D101" s="118" t="s">
        <v>355</v>
      </c>
      <c r="E101" s="118" t="s">
        <v>130</v>
      </c>
      <c r="F101" s="81">
        <v>10</v>
      </c>
      <c r="G101" s="81">
        <v>11</v>
      </c>
      <c r="H101" s="81">
        <v>-1</v>
      </c>
      <c r="I101" s="81">
        <v>15</v>
      </c>
      <c r="J101" s="81">
        <v>-1</v>
      </c>
      <c r="K101" s="118">
        <v>1</v>
      </c>
      <c r="L101" s="312">
        <v>1080000</v>
      </c>
      <c r="M101" s="81">
        <v>6</v>
      </c>
      <c r="N101" s="309"/>
      <c r="O101" s="309"/>
      <c r="P101" s="309"/>
      <c r="Q101" s="309"/>
    </row>
    <row r="102" spans="2:17" ht="13.5" customHeight="1">
      <c r="B102" s="318" t="s">
        <v>408</v>
      </c>
      <c r="C102" s="317"/>
      <c r="D102" s="118" t="s">
        <v>355</v>
      </c>
      <c r="E102" s="118" t="s">
        <v>130</v>
      </c>
      <c r="F102" s="81">
        <v>10</v>
      </c>
      <c r="G102" s="81">
        <v>6</v>
      </c>
      <c r="H102" s="81">
        <v>-1</v>
      </c>
      <c r="I102" s="81">
        <v>15</v>
      </c>
      <c r="J102" s="81">
        <v>-1</v>
      </c>
      <c r="K102" s="118">
        <v>1</v>
      </c>
      <c r="L102" s="312">
        <v>1200000</v>
      </c>
      <c r="M102" s="81">
        <v>2</v>
      </c>
      <c r="N102" s="309"/>
      <c r="O102" s="309"/>
      <c r="P102" s="309"/>
      <c r="Q102" s="309"/>
    </row>
    <row r="103" spans="2:17" ht="12.75" customHeight="1">
      <c r="B103" s="318" t="s">
        <v>409</v>
      </c>
      <c r="C103" s="317"/>
      <c r="D103" s="118" t="s">
        <v>355</v>
      </c>
      <c r="E103" s="118" t="s">
        <v>353</v>
      </c>
      <c r="F103" s="81">
        <v>10</v>
      </c>
      <c r="G103" s="81">
        <v>12</v>
      </c>
      <c r="H103" s="81">
        <v>-2</v>
      </c>
      <c r="I103" s="81">
        <v>20</v>
      </c>
      <c r="J103" s="81">
        <v>-1</v>
      </c>
      <c r="K103" s="118">
        <v>1</v>
      </c>
      <c r="L103" s="312">
        <v>1200000</v>
      </c>
      <c r="M103" s="81">
        <v>5</v>
      </c>
      <c r="N103" s="309"/>
      <c r="O103" s="309"/>
      <c r="P103" s="309"/>
      <c r="Q103" s="309"/>
    </row>
    <row r="104" spans="2:17" ht="12.75">
      <c r="B104" s="318" t="s">
        <v>410</v>
      </c>
      <c r="C104" s="317"/>
      <c r="D104" s="118" t="s">
        <v>355</v>
      </c>
      <c r="E104" s="118" t="s">
        <v>130</v>
      </c>
      <c r="F104" s="81">
        <v>10</v>
      </c>
      <c r="G104" s="81">
        <v>7</v>
      </c>
      <c r="H104" s="81">
        <v>-3</v>
      </c>
      <c r="I104" s="81">
        <v>12</v>
      </c>
      <c r="J104" s="81">
        <v>-1</v>
      </c>
      <c r="K104" s="118">
        <v>1</v>
      </c>
      <c r="L104" s="312">
        <v>1300000</v>
      </c>
      <c r="M104" s="81">
        <v>14</v>
      </c>
      <c r="N104" s="309"/>
      <c r="O104" s="309"/>
      <c r="P104" s="309"/>
      <c r="Q104" s="309"/>
    </row>
    <row r="105" spans="2:17" ht="12.75">
      <c r="B105" s="318" t="s">
        <v>411</v>
      </c>
      <c r="C105" s="317"/>
      <c r="D105" s="118" t="s">
        <v>355</v>
      </c>
      <c r="E105" s="118" t="s">
        <v>130</v>
      </c>
      <c r="F105" s="81">
        <v>10</v>
      </c>
      <c r="G105" s="81">
        <v>4</v>
      </c>
      <c r="H105" s="81">
        <v>-2</v>
      </c>
      <c r="I105" s="81">
        <v>13</v>
      </c>
      <c r="J105" s="81">
        <v>0</v>
      </c>
      <c r="K105" s="118">
        <v>1</v>
      </c>
      <c r="L105" s="312">
        <v>1220000</v>
      </c>
      <c r="M105" s="81">
        <v>6</v>
      </c>
      <c r="N105" s="309"/>
      <c r="O105" s="309"/>
      <c r="P105" s="309"/>
      <c r="Q105" s="309"/>
    </row>
    <row r="106" spans="2:17" ht="12.75">
      <c r="B106" s="318" t="s">
        <v>412</v>
      </c>
      <c r="C106" s="317"/>
      <c r="D106" s="118" t="s">
        <v>355</v>
      </c>
      <c r="E106" s="118" t="s">
        <v>130</v>
      </c>
      <c r="F106" s="81">
        <v>10</v>
      </c>
      <c r="G106" s="81">
        <v>10</v>
      </c>
      <c r="H106" s="81">
        <v>-1</v>
      </c>
      <c r="I106" s="81">
        <v>15</v>
      </c>
      <c r="J106" s="81">
        <v>-1</v>
      </c>
      <c r="K106" s="118">
        <v>1</v>
      </c>
      <c r="L106" s="312">
        <v>1200000</v>
      </c>
      <c r="M106" s="81">
        <v>8</v>
      </c>
      <c r="N106" s="309"/>
      <c r="O106" s="309"/>
      <c r="P106" s="309"/>
      <c r="Q106" s="309"/>
    </row>
    <row r="107" spans="2:17" ht="12.75">
      <c r="B107" s="318" t="s">
        <v>413</v>
      </c>
      <c r="C107" s="317"/>
      <c r="D107" s="118" t="s">
        <v>355</v>
      </c>
      <c r="E107" s="118" t="s">
        <v>130</v>
      </c>
      <c r="F107" s="81">
        <v>10</v>
      </c>
      <c r="G107" s="81">
        <v>10</v>
      </c>
      <c r="H107" s="81">
        <v>-1</v>
      </c>
      <c r="I107" s="81">
        <v>15</v>
      </c>
      <c r="J107" s="81">
        <v>-1</v>
      </c>
      <c r="K107" s="118">
        <v>1</v>
      </c>
      <c r="L107" s="312">
        <v>1200000</v>
      </c>
      <c r="M107" s="81">
        <v>8</v>
      </c>
      <c r="N107" s="309"/>
      <c r="O107" s="309"/>
      <c r="P107" s="309"/>
      <c r="Q107" s="309"/>
    </row>
    <row r="108" spans="2:17" ht="12.75">
      <c r="B108" s="318" t="s">
        <v>414</v>
      </c>
      <c r="C108" s="317"/>
      <c r="D108" s="118" t="s">
        <v>355</v>
      </c>
      <c r="E108" s="118" t="s">
        <v>130</v>
      </c>
      <c r="F108" s="81">
        <v>11</v>
      </c>
      <c r="G108" s="81">
        <v>12</v>
      </c>
      <c r="H108" s="81">
        <v>-3</v>
      </c>
      <c r="I108" s="81">
        <v>18</v>
      </c>
      <c r="J108" s="81">
        <v>1</v>
      </c>
      <c r="K108" s="118">
        <v>1</v>
      </c>
      <c r="L108" s="312">
        <v>1200000</v>
      </c>
      <c r="M108" s="81">
        <v>10</v>
      </c>
      <c r="N108" s="309"/>
      <c r="O108" s="309"/>
      <c r="P108" s="309"/>
      <c r="Q108" s="309"/>
    </row>
    <row r="109" spans="2:17" ht="12.75">
      <c r="B109" s="318" t="s">
        <v>415</v>
      </c>
      <c r="C109" s="317"/>
      <c r="D109" s="118" t="s">
        <v>355</v>
      </c>
      <c r="E109" s="118" t="s">
        <v>353</v>
      </c>
      <c r="F109" s="81">
        <v>11</v>
      </c>
      <c r="G109" s="81">
        <v>20</v>
      </c>
      <c r="H109" s="81">
        <v>-1</v>
      </c>
      <c r="I109" s="81">
        <v>22</v>
      </c>
      <c r="J109" s="81">
        <v>-2</v>
      </c>
      <c r="K109" s="118">
        <v>1</v>
      </c>
      <c r="L109" s="312">
        <v>1400000</v>
      </c>
      <c r="M109" s="81">
        <v>4</v>
      </c>
      <c r="N109" s="309"/>
      <c r="O109" s="309"/>
      <c r="P109" s="309"/>
      <c r="Q109" s="309"/>
    </row>
    <row r="110" spans="2:17" ht="12.75">
      <c r="B110" s="318" t="s">
        <v>416</v>
      </c>
      <c r="C110" s="317"/>
      <c r="D110" s="118" t="s">
        <v>355</v>
      </c>
      <c r="E110" s="118" t="s">
        <v>130</v>
      </c>
      <c r="F110" s="81">
        <v>12</v>
      </c>
      <c r="G110" s="81">
        <v>5</v>
      </c>
      <c r="H110" s="81">
        <v>-1</v>
      </c>
      <c r="I110" s="81">
        <v>16</v>
      </c>
      <c r="J110" s="81">
        <v>1</v>
      </c>
      <c r="K110" s="118">
        <v>1</v>
      </c>
      <c r="L110" s="312">
        <v>1350000</v>
      </c>
      <c r="M110" s="81">
        <v>7</v>
      </c>
      <c r="N110" s="309"/>
      <c r="O110" s="309"/>
      <c r="P110" s="309"/>
      <c r="Q110" s="309"/>
    </row>
    <row r="111" spans="2:17" ht="12.75">
      <c r="B111" s="318" t="s">
        <v>417</v>
      </c>
      <c r="C111" s="317"/>
      <c r="D111" s="118" t="s">
        <v>355</v>
      </c>
      <c r="E111" s="118" t="s">
        <v>353</v>
      </c>
      <c r="F111" s="81">
        <v>12</v>
      </c>
      <c r="G111" s="81">
        <v>25</v>
      </c>
      <c r="H111" s="81">
        <v>-3</v>
      </c>
      <c r="I111" s="81">
        <v>25</v>
      </c>
      <c r="J111" s="81">
        <v>-1</v>
      </c>
      <c r="K111" s="118">
        <v>1</v>
      </c>
      <c r="L111" s="312">
        <v>1500000</v>
      </c>
      <c r="M111" s="81">
        <v>5</v>
      </c>
      <c r="N111" s="309"/>
      <c r="O111" s="309"/>
      <c r="P111" s="309"/>
      <c r="Q111" s="309"/>
    </row>
    <row r="112" spans="2:17" ht="12.75">
      <c r="B112" s="318" t="s">
        <v>418</v>
      </c>
      <c r="C112" s="317"/>
      <c r="D112" s="118" t="s">
        <v>355</v>
      </c>
      <c r="E112" s="118" t="s">
        <v>130</v>
      </c>
      <c r="F112" s="81">
        <v>13</v>
      </c>
      <c r="G112" s="81">
        <v>6</v>
      </c>
      <c r="H112" s="81">
        <v>1</v>
      </c>
      <c r="I112" s="81">
        <v>20</v>
      </c>
      <c r="J112" s="81">
        <v>0</v>
      </c>
      <c r="K112" s="118">
        <v>1</v>
      </c>
      <c r="L112" s="312">
        <v>1460000</v>
      </c>
      <c r="M112" s="81">
        <v>5</v>
      </c>
      <c r="N112" s="309"/>
      <c r="O112" s="309"/>
      <c r="P112" s="309"/>
      <c r="Q112" s="309"/>
    </row>
    <row r="113" spans="2:17" ht="12.75">
      <c r="B113" s="318" t="s">
        <v>419</v>
      </c>
      <c r="C113" s="317"/>
      <c r="D113" s="118" t="s">
        <v>355</v>
      </c>
      <c r="E113" s="118" t="s">
        <v>353</v>
      </c>
      <c r="F113" s="81">
        <v>13</v>
      </c>
      <c r="G113" s="81">
        <v>20</v>
      </c>
      <c r="H113" s="81">
        <v>-2</v>
      </c>
      <c r="I113" s="81">
        <v>26</v>
      </c>
      <c r="J113" s="81">
        <v>-1</v>
      </c>
      <c r="K113" s="118">
        <v>1</v>
      </c>
      <c r="L113" s="312">
        <v>1600000</v>
      </c>
      <c r="M113" s="81">
        <v>8</v>
      </c>
      <c r="N113" s="309"/>
      <c r="O113" s="309"/>
      <c r="P113" s="309"/>
      <c r="Q113" s="309"/>
    </row>
    <row r="114" spans="2:17" ht="12.75">
      <c r="B114" s="318" t="s">
        <v>420</v>
      </c>
      <c r="C114" s="317"/>
      <c r="D114" s="118" t="s">
        <v>355</v>
      </c>
      <c r="E114" s="118" t="s">
        <v>130</v>
      </c>
      <c r="F114" s="81">
        <v>14</v>
      </c>
      <c r="G114" s="81">
        <v>10</v>
      </c>
      <c r="H114" s="81">
        <v>0</v>
      </c>
      <c r="I114" s="81">
        <v>22</v>
      </c>
      <c r="J114" s="81">
        <v>0</v>
      </c>
      <c r="K114" s="118">
        <v>1</v>
      </c>
      <c r="L114" s="312">
        <v>2600000</v>
      </c>
      <c r="M114" s="81">
        <v>12</v>
      </c>
      <c r="N114" s="309"/>
      <c r="O114" s="309"/>
      <c r="P114" s="309"/>
      <c r="Q114" s="309"/>
    </row>
    <row r="115" spans="2:17" ht="12.75">
      <c r="B115" s="318" t="s">
        <v>421</v>
      </c>
      <c r="C115" s="317"/>
      <c r="D115" s="118" t="s">
        <v>355</v>
      </c>
      <c r="E115" s="118" t="s">
        <v>353</v>
      </c>
      <c r="F115" s="81">
        <v>15</v>
      </c>
      <c r="G115" s="81">
        <v>14</v>
      </c>
      <c r="H115" s="81">
        <v>-1</v>
      </c>
      <c r="I115" s="81">
        <v>28</v>
      </c>
      <c r="J115" s="81">
        <v>-1</v>
      </c>
      <c r="K115" s="118">
        <v>1</v>
      </c>
      <c r="L115" s="312">
        <v>2300000</v>
      </c>
      <c r="M115" s="81">
        <v>10</v>
      </c>
      <c r="N115" s="309"/>
      <c r="O115" s="309"/>
      <c r="P115" s="309"/>
      <c r="Q115" s="309"/>
    </row>
    <row r="116" spans="2:17" ht="12.75">
      <c r="B116" s="318" t="s">
        <v>422</v>
      </c>
      <c r="C116" s="317"/>
      <c r="D116" s="118" t="s">
        <v>366</v>
      </c>
      <c r="E116" s="118" t="s">
        <v>130</v>
      </c>
      <c r="F116" s="81">
        <v>3</v>
      </c>
      <c r="G116" s="81">
        <v>2</v>
      </c>
      <c r="H116" s="81">
        <v>1</v>
      </c>
      <c r="I116" s="81">
        <v>2</v>
      </c>
      <c r="J116" s="81">
        <v>0</v>
      </c>
      <c r="K116" s="118">
        <v>1</v>
      </c>
      <c r="L116" s="312">
        <v>250000</v>
      </c>
      <c r="M116" s="81">
        <v>4</v>
      </c>
      <c r="N116" s="309"/>
      <c r="O116" s="309"/>
      <c r="P116" s="309"/>
      <c r="Q116" s="309"/>
    </row>
    <row r="117" spans="2:17" ht="12.75">
      <c r="B117" s="318" t="s">
        <v>423</v>
      </c>
      <c r="C117" s="317"/>
      <c r="D117" s="118" t="s">
        <v>366</v>
      </c>
      <c r="E117" s="118" t="s">
        <v>130</v>
      </c>
      <c r="F117" s="81">
        <v>3</v>
      </c>
      <c r="G117" s="81">
        <v>2</v>
      </c>
      <c r="H117" s="81">
        <v>1</v>
      </c>
      <c r="I117" s="81">
        <v>1</v>
      </c>
      <c r="J117" s="81">
        <v>0</v>
      </c>
      <c r="K117" s="118">
        <v>1</v>
      </c>
      <c r="L117" s="312">
        <v>220000</v>
      </c>
      <c r="M117" s="81">
        <v>6</v>
      </c>
      <c r="N117" s="309"/>
      <c r="O117" s="309"/>
      <c r="P117" s="309"/>
      <c r="Q117" s="309"/>
    </row>
    <row r="118" spans="2:17" ht="12.75">
      <c r="B118" s="318" t="s">
        <v>120</v>
      </c>
      <c r="C118" s="317"/>
      <c r="D118" s="118" t="s">
        <v>366</v>
      </c>
      <c r="E118" s="118" t="s">
        <v>130</v>
      </c>
      <c r="F118" s="81">
        <v>4</v>
      </c>
      <c r="G118" s="81">
        <v>2</v>
      </c>
      <c r="H118" s="81">
        <v>1</v>
      </c>
      <c r="I118" s="81">
        <v>2</v>
      </c>
      <c r="J118" s="81">
        <v>0</v>
      </c>
      <c r="K118" s="118">
        <v>1</v>
      </c>
      <c r="L118" s="312">
        <v>260000</v>
      </c>
      <c r="M118" s="81">
        <v>5</v>
      </c>
      <c r="N118" s="309"/>
      <c r="O118" s="309"/>
      <c r="P118" s="309"/>
      <c r="Q118" s="309"/>
    </row>
    <row r="119" spans="2:17" ht="12.75">
      <c r="B119" s="318" t="s">
        <v>424</v>
      </c>
      <c r="C119" s="317"/>
      <c r="D119" s="118" t="s">
        <v>366</v>
      </c>
      <c r="E119" s="118" t="s">
        <v>130</v>
      </c>
      <c r="F119" s="81">
        <v>5</v>
      </c>
      <c r="G119" s="81">
        <v>3</v>
      </c>
      <c r="H119" s="81">
        <v>1</v>
      </c>
      <c r="I119" s="81">
        <v>7</v>
      </c>
      <c r="J119" s="81">
        <v>1</v>
      </c>
      <c r="K119" s="118">
        <v>1</v>
      </c>
      <c r="L119" s="312">
        <v>330000</v>
      </c>
      <c r="M119" s="81">
        <v>5</v>
      </c>
      <c r="N119" s="309"/>
      <c r="O119" s="309"/>
      <c r="P119" s="309"/>
      <c r="Q119" s="309"/>
    </row>
    <row r="120" spans="2:17" ht="12.75">
      <c r="B120" s="318" t="s">
        <v>425</v>
      </c>
      <c r="C120" s="317"/>
      <c r="D120" s="118" t="s">
        <v>366</v>
      </c>
      <c r="E120" s="118" t="s">
        <v>130</v>
      </c>
      <c r="F120" s="81">
        <v>5</v>
      </c>
      <c r="G120" s="81">
        <v>5</v>
      </c>
      <c r="H120" s="81">
        <v>1</v>
      </c>
      <c r="I120" s="81">
        <v>3</v>
      </c>
      <c r="J120" s="81">
        <v>0</v>
      </c>
      <c r="K120" s="118">
        <v>1</v>
      </c>
      <c r="L120" s="312">
        <v>380000</v>
      </c>
      <c r="M120" s="81">
        <v>8</v>
      </c>
      <c r="N120" s="309"/>
      <c r="O120" s="309"/>
      <c r="P120" s="309"/>
      <c r="Q120" s="309"/>
    </row>
    <row r="121" spans="2:17" ht="12.75">
      <c r="B121" s="318" t="s">
        <v>426</v>
      </c>
      <c r="C121" s="317"/>
      <c r="D121" s="118" t="s">
        <v>366</v>
      </c>
      <c r="E121" s="118" t="s">
        <v>130</v>
      </c>
      <c r="F121" s="81">
        <v>6</v>
      </c>
      <c r="G121" s="81">
        <v>3</v>
      </c>
      <c r="H121" s="81">
        <v>1</v>
      </c>
      <c r="I121" s="81">
        <v>8</v>
      </c>
      <c r="J121" s="81">
        <v>1</v>
      </c>
      <c r="K121" s="118">
        <v>1</v>
      </c>
      <c r="L121" s="312">
        <v>400000</v>
      </c>
      <c r="M121" s="81">
        <v>3</v>
      </c>
      <c r="N121" s="309"/>
      <c r="O121" s="309"/>
      <c r="P121" s="309"/>
      <c r="Q121" s="309"/>
    </row>
    <row r="122" spans="2:17" ht="12.75">
      <c r="B122" s="318" t="s">
        <v>427</v>
      </c>
      <c r="C122" s="317"/>
      <c r="D122" s="118" t="s">
        <v>366</v>
      </c>
      <c r="E122" s="118" t="s">
        <v>130</v>
      </c>
      <c r="F122" s="81">
        <v>6</v>
      </c>
      <c r="G122" s="81">
        <v>5</v>
      </c>
      <c r="H122" s="81">
        <v>1</v>
      </c>
      <c r="I122" s="81">
        <v>5</v>
      </c>
      <c r="J122" s="81">
        <v>0</v>
      </c>
      <c r="K122" s="118">
        <v>1</v>
      </c>
      <c r="L122" s="312">
        <v>740000</v>
      </c>
      <c r="M122" s="81">
        <v>13</v>
      </c>
      <c r="N122" s="309"/>
      <c r="O122" s="309"/>
      <c r="P122" s="309"/>
      <c r="Q122" s="309"/>
    </row>
    <row r="123" spans="2:17" ht="12.75">
      <c r="B123" s="318" t="s">
        <v>428</v>
      </c>
      <c r="C123" s="317"/>
      <c r="D123" s="118" t="s">
        <v>366</v>
      </c>
      <c r="E123" s="118" t="s">
        <v>130</v>
      </c>
      <c r="F123" s="81">
        <v>6</v>
      </c>
      <c r="G123" s="81">
        <v>3</v>
      </c>
      <c r="H123" s="81">
        <v>1</v>
      </c>
      <c r="I123" s="81">
        <v>8</v>
      </c>
      <c r="J123" s="81">
        <v>0</v>
      </c>
      <c r="K123" s="118">
        <v>1</v>
      </c>
      <c r="L123" s="312">
        <v>700000</v>
      </c>
      <c r="M123" s="81">
        <v>7</v>
      </c>
      <c r="N123" s="309"/>
      <c r="O123" s="309"/>
      <c r="P123" s="309"/>
      <c r="Q123" s="309"/>
    </row>
    <row r="124" spans="2:17" ht="12.75">
      <c r="B124" s="318" t="s">
        <v>429</v>
      </c>
      <c r="C124" s="317"/>
      <c r="D124" s="118" t="s">
        <v>366</v>
      </c>
      <c r="E124" s="118" t="s">
        <v>130</v>
      </c>
      <c r="F124" s="81">
        <v>7</v>
      </c>
      <c r="G124" s="81">
        <v>2</v>
      </c>
      <c r="H124" s="81">
        <v>1</v>
      </c>
      <c r="I124" s="81">
        <v>10</v>
      </c>
      <c r="J124" s="81">
        <v>0</v>
      </c>
      <c r="K124" s="118">
        <v>1</v>
      </c>
      <c r="L124" s="312">
        <v>800000</v>
      </c>
      <c r="M124" s="81">
        <v>6</v>
      </c>
      <c r="N124" s="309"/>
      <c r="O124" s="309"/>
      <c r="P124" s="309"/>
      <c r="Q124" s="309"/>
    </row>
    <row r="125" spans="2:17" ht="12.75">
      <c r="B125" s="318" t="s">
        <v>430</v>
      </c>
      <c r="C125" s="317"/>
      <c r="D125" s="118" t="s">
        <v>366</v>
      </c>
      <c r="E125" s="118" t="s">
        <v>130</v>
      </c>
      <c r="F125" s="81">
        <v>8</v>
      </c>
      <c r="G125" s="81">
        <v>3</v>
      </c>
      <c r="H125" s="81">
        <v>1</v>
      </c>
      <c r="I125" s="81">
        <v>12</v>
      </c>
      <c r="J125" s="81">
        <v>0</v>
      </c>
      <c r="K125" s="118">
        <v>1</v>
      </c>
      <c r="L125" s="312">
        <v>950000</v>
      </c>
      <c r="M125" s="81">
        <v>12</v>
      </c>
      <c r="N125" s="309"/>
      <c r="O125" s="309"/>
      <c r="P125" s="309"/>
      <c r="Q125" s="309"/>
    </row>
    <row r="126" spans="2:17" ht="12.75">
      <c r="B126" s="318" t="s">
        <v>431</v>
      </c>
      <c r="C126" s="317"/>
      <c r="D126" s="118" t="s">
        <v>366</v>
      </c>
      <c r="E126" s="118" t="s">
        <v>130</v>
      </c>
      <c r="F126" s="81">
        <v>8</v>
      </c>
      <c r="G126" s="81">
        <v>5</v>
      </c>
      <c r="H126" s="81">
        <v>1</v>
      </c>
      <c r="I126" s="81">
        <v>12</v>
      </c>
      <c r="J126" s="81">
        <v>1</v>
      </c>
      <c r="K126" s="118">
        <v>1</v>
      </c>
      <c r="L126" s="312">
        <v>980000</v>
      </c>
      <c r="M126" s="81">
        <v>4</v>
      </c>
      <c r="N126" s="309"/>
      <c r="O126" s="309"/>
      <c r="P126" s="309"/>
      <c r="Q126" s="309"/>
    </row>
    <row r="127" spans="2:17" ht="12.75">
      <c r="B127" s="318" t="s">
        <v>432</v>
      </c>
      <c r="C127" s="317"/>
      <c r="D127" s="118" t="s">
        <v>366</v>
      </c>
      <c r="E127" s="118" t="s">
        <v>130</v>
      </c>
      <c r="F127" s="81">
        <v>9</v>
      </c>
      <c r="G127" s="81">
        <v>5</v>
      </c>
      <c r="H127" s="81">
        <v>1</v>
      </c>
      <c r="I127" s="81">
        <v>3</v>
      </c>
      <c r="J127" s="81">
        <v>0</v>
      </c>
      <c r="K127" s="118">
        <v>1</v>
      </c>
      <c r="L127" s="312">
        <v>1000000</v>
      </c>
      <c r="M127" s="81">
        <v>3</v>
      </c>
      <c r="N127" s="309"/>
      <c r="O127" s="309"/>
      <c r="P127" s="309"/>
      <c r="Q127" s="309"/>
    </row>
    <row r="128" spans="2:17" ht="12.75">
      <c r="B128" s="318" t="s">
        <v>433</v>
      </c>
      <c r="C128" s="317"/>
      <c r="D128" s="118" t="s">
        <v>366</v>
      </c>
      <c r="E128" s="118" t="s">
        <v>130</v>
      </c>
      <c r="F128" s="81">
        <v>10</v>
      </c>
      <c r="G128" s="81">
        <v>6</v>
      </c>
      <c r="H128" s="81">
        <v>1</v>
      </c>
      <c r="I128" s="81">
        <v>12</v>
      </c>
      <c r="J128" s="81">
        <v>0</v>
      </c>
      <c r="K128" s="118">
        <v>1</v>
      </c>
      <c r="L128" s="312">
        <v>1200000</v>
      </c>
      <c r="M128" s="81">
        <v>8</v>
      </c>
      <c r="N128" s="309"/>
      <c r="O128" s="309"/>
      <c r="P128" s="309"/>
      <c r="Q128" s="309"/>
    </row>
    <row r="129" spans="2:17" ht="12.75">
      <c r="B129" s="318" t="s">
        <v>434</v>
      </c>
      <c r="C129" s="317"/>
      <c r="D129" s="118" t="s">
        <v>366</v>
      </c>
      <c r="E129" s="118" t="s">
        <v>130</v>
      </c>
      <c r="F129" s="81">
        <v>10</v>
      </c>
      <c r="G129" s="81">
        <v>4</v>
      </c>
      <c r="H129" s="81">
        <v>1</v>
      </c>
      <c r="I129" s="81">
        <v>8</v>
      </c>
      <c r="J129" s="81">
        <v>0</v>
      </c>
      <c r="K129" s="118">
        <v>1</v>
      </c>
      <c r="L129" s="312">
        <v>1250000</v>
      </c>
      <c r="M129" s="81">
        <v>15</v>
      </c>
      <c r="N129" s="309"/>
      <c r="O129" s="309"/>
      <c r="P129" s="309"/>
      <c r="Q129" s="309"/>
    </row>
    <row r="130" spans="2:17" ht="12.75">
      <c r="B130" s="318" t="s">
        <v>435</v>
      </c>
      <c r="C130" s="317"/>
      <c r="D130" s="118" t="s">
        <v>366</v>
      </c>
      <c r="E130" s="118" t="s">
        <v>130</v>
      </c>
      <c r="F130" s="81">
        <v>11</v>
      </c>
      <c r="G130" s="81">
        <v>5</v>
      </c>
      <c r="H130" s="81">
        <v>1</v>
      </c>
      <c r="I130" s="81">
        <v>9</v>
      </c>
      <c r="J130" s="81">
        <v>1</v>
      </c>
      <c r="K130" s="118">
        <v>1</v>
      </c>
      <c r="L130" s="312">
        <v>1260000</v>
      </c>
      <c r="M130" s="81">
        <v>10</v>
      </c>
      <c r="N130" s="309"/>
      <c r="O130" s="309"/>
      <c r="P130" s="309"/>
      <c r="Q130" s="309"/>
    </row>
    <row r="131" spans="2:17" ht="12.75">
      <c r="B131" s="318" t="s">
        <v>436</v>
      </c>
      <c r="C131" s="317"/>
      <c r="D131" s="118" t="s">
        <v>366</v>
      </c>
      <c r="E131" s="118" t="s">
        <v>130</v>
      </c>
      <c r="F131" s="81">
        <v>11</v>
      </c>
      <c r="G131" s="81">
        <v>6</v>
      </c>
      <c r="H131" s="81">
        <v>1</v>
      </c>
      <c r="I131" s="81">
        <v>14</v>
      </c>
      <c r="J131" s="81">
        <v>2</v>
      </c>
      <c r="K131" s="118">
        <v>1</v>
      </c>
      <c r="L131" s="312">
        <v>1320000</v>
      </c>
      <c r="M131" s="81">
        <v>13</v>
      </c>
      <c r="N131" s="309"/>
      <c r="O131" s="309"/>
      <c r="P131" s="309"/>
      <c r="Q131" s="309"/>
    </row>
    <row r="132" spans="2:17" ht="12.75">
      <c r="B132" s="318" t="s">
        <v>437</v>
      </c>
      <c r="C132" s="317"/>
      <c r="D132" s="118" t="s">
        <v>366</v>
      </c>
      <c r="E132" s="118" t="s">
        <v>130</v>
      </c>
      <c r="F132" s="81">
        <v>12</v>
      </c>
      <c r="G132" s="81">
        <v>5</v>
      </c>
      <c r="H132" s="81">
        <v>1</v>
      </c>
      <c r="I132" s="81">
        <v>1</v>
      </c>
      <c r="J132" s="81">
        <v>0</v>
      </c>
      <c r="K132" s="118">
        <v>1</v>
      </c>
      <c r="L132" s="312">
        <v>1380000</v>
      </c>
      <c r="M132" s="81">
        <v>12</v>
      </c>
      <c r="N132" s="309"/>
      <c r="O132" s="309"/>
      <c r="P132" s="309"/>
      <c r="Q132" s="309"/>
    </row>
    <row r="133" spans="2:17" ht="12.75">
      <c r="B133" s="318" t="s">
        <v>438</v>
      </c>
      <c r="C133" s="317"/>
      <c r="D133" s="118" t="s">
        <v>366</v>
      </c>
      <c r="E133" s="118" t="s">
        <v>130</v>
      </c>
      <c r="F133" s="81">
        <v>13</v>
      </c>
      <c r="G133" s="81">
        <v>6</v>
      </c>
      <c r="H133" s="81">
        <v>1</v>
      </c>
      <c r="I133" s="81">
        <v>12</v>
      </c>
      <c r="J133" s="81">
        <v>1</v>
      </c>
      <c r="K133" s="118">
        <v>1</v>
      </c>
      <c r="L133" s="312">
        <v>1400000</v>
      </c>
      <c r="M133" s="81">
        <v>18</v>
      </c>
      <c r="N133" s="309"/>
      <c r="O133" s="309"/>
      <c r="P133" s="309"/>
      <c r="Q133" s="309"/>
    </row>
    <row r="134" spans="2:17" ht="12.75">
      <c r="B134" s="318" t="s">
        <v>439</v>
      </c>
      <c r="C134" s="317"/>
      <c r="D134" s="118" t="s">
        <v>366</v>
      </c>
      <c r="E134" s="118" t="s">
        <v>130</v>
      </c>
      <c r="F134" s="81">
        <v>14</v>
      </c>
      <c r="G134" s="81">
        <v>5</v>
      </c>
      <c r="H134" s="81">
        <v>1</v>
      </c>
      <c r="I134" s="81">
        <v>9</v>
      </c>
      <c r="J134" s="81">
        <v>0</v>
      </c>
      <c r="K134" s="118">
        <v>1</v>
      </c>
      <c r="L134" s="312">
        <v>1880000</v>
      </c>
      <c r="M134" s="81">
        <v>16</v>
      </c>
      <c r="N134" s="309"/>
      <c r="O134" s="309"/>
      <c r="P134" s="309"/>
      <c r="Q134" s="309"/>
    </row>
    <row r="135" spans="2:17" ht="12.75">
      <c r="B135" s="318" t="s">
        <v>440</v>
      </c>
      <c r="C135" s="317"/>
      <c r="D135" s="118" t="s">
        <v>366</v>
      </c>
      <c r="E135" s="118" t="s">
        <v>130</v>
      </c>
      <c r="F135" s="81">
        <v>15</v>
      </c>
      <c r="G135" s="81">
        <v>6</v>
      </c>
      <c r="H135" s="81">
        <v>1</v>
      </c>
      <c r="I135" s="81">
        <v>18</v>
      </c>
      <c r="J135" s="81">
        <v>2</v>
      </c>
      <c r="K135" s="118">
        <v>1</v>
      </c>
      <c r="L135" s="312">
        <v>2100000</v>
      </c>
      <c r="M135" s="81">
        <v>13</v>
      </c>
      <c r="N135" s="309"/>
      <c r="O135" s="309"/>
      <c r="P135" s="309"/>
      <c r="Q135" s="309"/>
    </row>
    <row r="136" spans="2:17" ht="12.75">
      <c r="B136" s="318" t="s">
        <v>441</v>
      </c>
      <c r="C136" s="317"/>
      <c r="D136" s="118" t="s">
        <v>373</v>
      </c>
      <c r="E136" s="118" t="s">
        <v>353</v>
      </c>
      <c r="F136" s="81">
        <v>4</v>
      </c>
      <c r="G136" s="81">
        <v>8</v>
      </c>
      <c r="H136" s="81">
        <v>1</v>
      </c>
      <c r="I136" s="81">
        <v>10</v>
      </c>
      <c r="J136" s="81">
        <v>-1</v>
      </c>
      <c r="K136" s="118">
        <v>1</v>
      </c>
      <c r="L136" s="312">
        <v>340000</v>
      </c>
      <c r="M136" s="81">
        <v>6</v>
      </c>
      <c r="N136" s="309"/>
      <c r="O136" s="309"/>
      <c r="P136" s="309"/>
      <c r="Q136" s="309"/>
    </row>
    <row r="137" spans="2:17" ht="12.75">
      <c r="B137" s="318" t="s">
        <v>442</v>
      </c>
      <c r="C137" s="317"/>
      <c r="D137" s="118" t="s">
        <v>373</v>
      </c>
      <c r="E137" s="118" t="s">
        <v>353</v>
      </c>
      <c r="F137" s="81">
        <v>4</v>
      </c>
      <c r="G137" s="81">
        <v>8</v>
      </c>
      <c r="H137" s="81">
        <v>0</v>
      </c>
      <c r="I137" s="81">
        <v>3</v>
      </c>
      <c r="J137" s="81">
        <v>-2</v>
      </c>
      <c r="K137" s="118">
        <v>1</v>
      </c>
      <c r="L137" s="312">
        <v>380000</v>
      </c>
      <c r="M137" s="81">
        <v>7</v>
      </c>
      <c r="N137" s="309"/>
      <c r="O137" s="309"/>
      <c r="P137" s="309"/>
      <c r="Q137" s="309"/>
    </row>
    <row r="138" spans="2:17" ht="12.75">
      <c r="B138" s="318" t="s">
        <v>443</v>
      </c>
      <c r="C138" s="317"/>
      <c r="D138" s="118" t="s">
        <v>373</v>
      </c>
      <c r="E138" s="118" t="s">
        <v>353</v>
      </c>
      <c r="F138" s="81">
        <v>5</v>
      </c>
      <c r="G138" s="81">
        <v>8</v>
      </c>
      <c r="H138" s="81">
        <v>0</v>
      </c>
      <c r="I138" s="81">
        <v>2</v>
      </c>
      <c r="J138" s="81">
        <v>-1</v>
      </c>
      <c r="K138" s="118">
        <v>1</v>
      </c>
      <c r="L138" s="312">
        <v>470000</v>
      </c>
      <c r="M138" s="81">
        <v>6</v>
      </c>
      <c r="N138" s="309"/>
      <c r="O138" s="309"/>
      <c r="P138" s="309"/>
      <c r="Q138" s="309"/>
    </row>
    <row r="139" spans="2:17" ht="12.75">
      <c r="B139" s="318" t="s">
        <v>444</v>
      </c>
      <c r="C139" s="317"/>
      <c r="D139" s="118" t="s">
        <v>373</v>
      </c>
      <c r="E139" s="118" t="s">
        <v>353</v>
      </c>
      <c r="F139" s="81">
        <v>5</v>
      </c>
      <c r="G139" s="81">
        <v>10</v>
      </c>
      <c r="H139" s="81">
        <v>1</v>
      </c>
      <c r="I139" s="81">
        <v>12</v>
      </c>
      <c r="J139" s="81">
        <v>-1</v>
      </c>
      <c r="K139" s="118">
        <v>1</v>
      </c>
      <c r="L139" s="312">
        <v>560000</v>
      </c>
      <c r="M139" s="81">
        <v>3</v>
      </c>
      <c r="N139" s="309"/>
      <c r="O139" s="309"/>
      <c r="P139" s="309"/>
      <c r="Q139" s="309"/>
    </row>
    <row r="140" spans="2:17" ht="12.75">
      <c r="B140" s="318" t="s">
        <v>445</v>
      </c>
      <c r="C140" s="317"/>
      <c r="D140" s="118" t="s">
        <v>373</v>
      </c>
      <c r="E140" s="118" t="s">
        <v>353</v>
      </c>
      <c r="F140" s="81">
        <v>6</v>
      </c>
      <c r="G140" s="81">
        <v>8</v>
      </c>
      <c r="H140" s="81">
        <v>1</v>
      </c>
      <c r="I140" s="81">
        <v>14</v>
      </c>
      <c r="J140" s="81">
        <v>-1</v>
      </c>
      <c r="K140" s="118">
        <v>1</v>
      </c>
      <c r="L140" s="312">
        <v>750000</v>
      </c>
      <c r="M140" s="81">
        <v>3</v>
      </c>
      <c r="N140" s="309"/>
      <c r="O140" s="309"/>
      <c r="P140" s="309"/>
      <c r="Q140" s="309"/>
    </row>
    <row r="141" spans="2:17" ht="12.75">
      <c r="B141" s="318" t="s">
        <v>446</v>
      </c>
      <c r="C141" s="317"/>
      <c r="D141" s="118" t="s">
        <v>373</v>
      </c>
      <c r="E141" s="118" t="s">
        <v>353</v>
      </c>
      <c r="F141" s="81">
        <v>7</v>
      </c>
      <c r="G141" s="81">
        <v>6</v>
      </c>
      <c r="H141" s="81">
        <v>0</v>
      </c>
      <c r="I141" s="81">
        <v>2</v>
      </c>
      <c r="J141" s="81">
        <v>-2</v>
      </c>
      <c r="K141" s="118">
        <v>1</v>
      </c>
      <c r="L141" s="312">
        <v>840000</v>
      </c>
      <c r="M141" s="81">
        <v>15</v>
      </c>
      <c r="N141" s="309"/>
      <c r="O141" s="309"/>
      <c r="P141" s="309"/>
      <c r="Q141" s="309"/>
    </row>
    <row r="142" spans="2:17" ht="12.75">
      <c r="B142" s="318" t="s">
        <v>447</v>
      </c>
      <c r="C142" s="317"/>
      <c r="D142" s="118" t="s">
        <v>373</v>
      </c>
      <c r="E142" s="118" t="s">
        <v>353</v>
      </c>
      <c r="F142" s="81">
        <v>7</v>
      </c>
      <c r="G142" s="81">
        <v>11</v>
      </c>
      <c r="H142" s="81">
        <v>1</v>
      </c>
      <c r="I142" s="81">
        <v>15</v>
      </c>
      <c r="J142" s="81">
        <v>-1</v>
      </c>
      <c r="K142" s="118">
        <v>1</v>
      </c>
      <c r="L142" s="312">
        <v>740000</v>
      </c>
      <c r="M142" s="81">
        <v>7</v>
      </c>
      <c r="N142" s="309"/>
      <c r="O142" s="309"/>
      <c r="P142" s="309"/>
      <c r="Q142" s="309"/>
    </row>
    <row r="143" spans="2:17" ht="12.75">
      <c r="B143" s="318" t="s">
        <v>448</v>
      </c>
      <c r="C143" s="317"/>
      <c r="D143" s="118" t="s">
        <v>373</v>
      </c>
      <c r="E143" s="118" t="s">
        <v>353</v>
      </c>
      <c r="F143" s="81">
        <v>8</v>
      </c>
      <c r="G143" s="81">
        <v>13</v>
      </c>
      <c r="H143" s="81">
        <v>1</v>
      </c>
      <c r="I143" s="81">
        <v>15</v>
      </c>
      <c r="J143" s="81">
        <v>-1</v>
      </c>
      <c r="K143" s="118">
        <v>1</v>
      </c>
      <c r="L143" s="312">
        <v>820000</v>
      </c>
      <c r="M143" s="81">
        <v>4</v>
      </c>
      <c r="N143" s="309"/>
      <c r="O143" s="309"/>
      <c r="P143" s="309"/>
      <c r="Q143" s="309"/>
    </row>
    <row r="144" spans="2:17" ht="12.75">
      <c r="B144" s="318" t="s">
        <v>449</v>
      </c>
      <c r="C144" s="317"/>
      <c r="D144" s="118" t="s">
        <v>373</v>
      </c>
      <c r="E144" s="118" t="s">
        <v>353</v>
      </c>
      <c r="F144" s="81">
        <v>9</v>
      </c>
      <c r="G144" s="81">
        <v>14</v>
      </c>
      <c r="H144" s="81">
        <v>1</v>
      </c>
      <c r="I144" s="81">
        <v>5</v>
      </c>
      <c r="J144" s="81">
        <v>-1</v>
      </c>
      <c r="K144" s="118">
        <v>1</v>
      </c>
      <c r="L144" s="312">
        <v>1000000</v>
      </c>
      <c r="M144" s="81">
        <v>18</v>
      </c>
      <c r="N144" s="309"/>
      <c r="O144" s="309"/>
      <c r="P144" s="309"/>
      <c r="Q144" s="309"/>
    </row>
    <row r="145" spans="2:17" ht="12.75">
      <c r="B145" s="318" t="s">
        <v>450</v>
      </c>
      <c r="C145" s="317"/>
      <c r="D145" s="118" t="s">
        <v>373</v>
      </c>
      <c r="E145" s="118" t="s">
        <v>353</v>
      </c>
      <c r="F145" s="81">
        <v>9</v>
      </c>
      <c r="G145" s="81">
        <v>12</v>
      </c>
      <c r="H145" s="81">
        <v>1</v>
      </c>
      <c r="I145" s="81">
        <v>18</v>
      </c>
      <c r="J145" s="81">
        <v>-1</v>
      </c>
      <c r="K145" s="118">
        <v>1</v>
      </c>
      <c r="L145" s="312">
        <v>960000</v>
      </c>
      <c r="M145" s="81">
        <v>8</v>
      </c>
      <c r="N145" s="309"/>
      <c r="O145" s="309"/>
      <c r="P145" s="309"/>
      <c r="Q145" s="309"/>
    </row>
    <row r="146" spans="2:17" ht="12.75">
      <c r="B146" s="318" t="s">
        <v>451</v>
      </c>
      <c r="C146" s="317"/>
      <c r="D146" s="118" t="s">
        <v>373</v>
      </c>
      <c r="E146" s="118" t="s">
        <v>353</v>
      </c>
      <c r="F146" s="81">
        <v>10</v>
      </c>
      <c r="G146" s="81">
        <v>10</v>
      </c>
      <c r="H146" s="81">
        <v>0</v>
      </c>
      <c r="I146" s="81">
        <v>22</v>
      </c>
      <c r="J146" s="81">
        <v>-1</v>
      </c>
      <c r="K146" s="118">
        <v>1</v>
      </c>
      <c r="L146" s="312">
        <v>1200000</v>
      </c>
      <c r="M146" s="81">
        <v>4</v>
      </c>
      <c r="N146" s="309"/>
      <c r="O146" s="309"/>
      <c r="P146" s="309"/>
      <c r="Q146" s="309"/>
    </row>
    <row r="147" spans="2:17" ht="12.75">
      <c r="B147" s="318" t="s">
        <v>452</v>
      </c>
      <c r="C147" s="317"/>
      <c r="D147" s="118" t="s">
        <v>373</v>
      </c>
      <c r="E147" s="118" t="s">
        <v>353</v>
      </c>
      <c r="F147" s="81">
        <v>10</v>
      </c>
      <c r="G147" s="81">
        <v>13</v>
      </c>
      <c r="H147" s="81">
        <v>1</v>
      </c>
      <c r="I147" s="81">
        <v>20</v>
      </c>
      <c r="J147" s="81">
        <v>-1</v>
      </c>
      <c r="K147" s="118">
        <v>1</v>
      </c>
      <c r="L147" s="312">
        <v>1150000</v>
      </c>
      <c r="M147" s="81">
        <v>4</v>
      </c>
      <c r="N147" s="309"/>
      <c r="O147" s="309"/>
      <c r="P147" s="309"/>
      <c r="Q147" s="309"/>
    </row>
    <row r="148" spans="2:17" ht="12.75">
      <c r="B148" s="318" t="s">
        <v>453</v>
      </c>
      <c r="C148" s="317"/>
      <c r="D148" s="118" t="s">
        <v>373</v>
      </c>
      <c r="E148" s="118" t="s">
        <v>353</v>
      </c>
      <c r="F148" s="81">
        <v>11</v>
      </c>
      <c r="G148" s="81">
        <v>15</v>
      </c>
      <c r="H148" s="81">
        <v>1</v>
      </c>
      <c r="I148" s="81">
        <v>22</v>
      </c>
      <c r="J148" s="81">
        <v>-1</v>
      </c>
      <c r="K148" s="118">
        <v>1</v>
      </c>
      <c r="L148" s="312">
        <v>1340000</v>
      </c>
      <c r="M148" s="81">
        <v>7</v>
      </c>
      <c r="N148" s="309"/>
      <c r="O148" s="309"/>
      <c r="P148" s="309"/>
      <c r="Q148" s="309"/>
    </row>
    <row r="149" spans="2:17" ht="12.75">
      <c r="B149" s="318" t="s">
        <v>454</v>
      </c>
      <c r="C149" s="317"/>
      <c r="D149" s="118" t="s">
        <v>373</v>
      </c>
      <c r="E149" s="118" t="s">
        <v>353</v>
      </c>
      <c r="F149" s="81">
        <v>12</v>
      </c>
      <c r="G149" s="81">
        <v>16</v>
      </c>
      <c r="H149" s="81">
        <v>1</v>
      </c>
      <c r="I149" s="81">
        <v>24</v>
      </c>
      <c r="J149" s="81">
        <v>-1</v>
      </c>
      <c r="K149" s="118">
        <v>1</v>
      </c>
      <c r="L149" s="312">
        <v>1480000</v>
      </c>
      <c r="M149" s="81">
        <v>4</v>
      </c>
      <c r="N149" s="309"/>
      <c r="O149" s="309"/>
      <c r="P149" s="309"/>
      <c r="Q149" s="309"/>
    </row>
    <row r="150" spans="2:17" ht="12.75">
      <c r="B150" s="318" t="s">
        <v>455</v>
      </c>
      <c r="C150" s="317"/>
      <c r="D150" s="118" t="s">
        <v>373</v>
      </c>
      <c r="E150" s="118" t="s">
        <v>353</v>
      </c>
      <c r="F150" s="81">
        <v>12</v>
      </c>
      <c r="G150" s="81">
        <v>10</v>
      </c>
      <c r="H150" s="81">
        <v>0</v>
      </c>
      <c r="I150" s="81">
        <v>6</v>
      </c>
      <c r="J150" s="81">
        <v>-2</v>
      </c>
      <c r="K150" s="118">
        <v>1</v>
      </c>
      <c r="L150" s="312">
        <v>1600000</v>
      </c>
      <c r="M150" s="81">
        <v>20</v>
      </c>
      <c r="N150" s="309"/>
      <c r="O150" s="309"/>
      <c r="P150" s="309"/>
      <c r="Q150" s="309"/>
    </row>
    <row r="151" spans="2:17" ht="12.75">
      <c r="B151" s="318" t="s">
        <v>456</v>
      </c>
      <c r="C151" s="317"/>
      <c r="D151" s="118" t="s">
        <v>373</v>
      </c>
      <c r="E151" s="118" t="s">
        <v>353</v>
      </c>
      <c r="F151" s="81">
        <v>12</v>
      </c>
      <c r="G151" s="81">
        <v>12</v>
      </c>
      <c r="H151" s="81">
        <v>1</v>
      </c>
      <c r="I151" s="81">
        <v>10</v>
      </c>
      <c r="J151" s="81">
        <v>-1</v>
      </c>
      <c r="K151" s="118">
        <v>1</v>
      </c>
      <c r="L151" s="312">
        <v>1520000</v>
      </c>
      <c r="M151" s="81">
        <v>14</v>
      </c>
      <c r="N151" s="309"/>
      <c r="O151" s="309"/>
      <c r="P151" s="309"/>
      <c r="Q151" s="309"/>
    </row>
    <row r="152" spans="2:17" ht="12.75">
      <c r="B152" s="318" t="s">
        <v>457</v>
      </c>
      <c r="C152" s="317"/>
      <c r="D152" s="118" t="s">
        <v>373</v>
      </c>
      <c r="E152" s="118" t="s">
        <v>353</v>
      </c>
      <c r="F152" s="81">
        <v>13</v>
      </c>
      <c r="G152" s="81">
        <v>14</v>
      </c>
      <c r="H152" s="81">
        <v>1</v>
      </c>
      <c r="I152" s="81">
        <v>23</v>
      </c>
      <c r="J152" s="81">
        <v>-1</v>
      </c>
      <c r="K152" s="118">
        <v>1</v>
      </c>
      <c r="L152" s="312">
        <v>1550000</v>
      </c>
      <c r="M152" s="81">
        <v>10</v>
      </c>
      <c r="N152" s="309"/>
      <c r="O152" s="309"/>
      <c r="P152" s="309"/>
      <c r="Q152" s="309"/>
    </row>
    <row r="153" spans="2:17" ht="12.75">
      <c r="B153" s="318" t="s">
        <v>458</v>
      </c>
      <c r="C153" s="317"/>
      <c r="D153" s="118" t="s">
        <v>373</v>
      </c>
      <c r="E153" s="118" t="s">
        <v>353</v>
      </c>
      <c r="F153" s="81">
        <v>14</v>
      </c>
      <c r="G153" s="81">
        <v>13</v>
      </c>
      <c r="H153" s="81">
        <v>1</v>
      </c>
      <c r="I153" s="81">
        <v>25</v>
      </c>
      <c r="J153" s="81">
        <v>1</v>
      </c>
      <c r="K153" s="118">
        <v>1</v>
      </c>
      <c r="L153" s="312">
        <v>1820000</v>
      </c>
      <c r="M153" s="81">
        <v>4</v>
      </c>
      <c r="N153" s="309"/>
      <c r="O153" s="309"/>
      <c r="P153" s="309"/>
      <c r="Q153" s="309"/>
    </row>
    <row r="154" spans="2:17" ht="12.75">
      <c r="B154" s="318" t="s">
        <v>459</v>
      </c>
      <c r="C154" s="317"/>
      <c r="D154" s="118" t="s">
        <v>373</v>
      </c>
      <c r="E154" s="118" t="s">
        <v>353</v>
      </c>
      <c r="F154" s="81">
        <v>15</v>
      </c>
      <c r="G154" s="81">
        <v>15</v>
      </c>
      <c r="H154" s="81">
        <v>1</v>
      </c>
      <c r="I154" s="81">
        <v>26</v>
      </c>
      <c r="J154" s="81">
        <v>-1</v>
      </c>
      <c r="K154" s="118">
        <v>1</v>
      </c>
      <c r="L154" s="312">
        <v>2100000</v>
      </c>
      <c r="M154" s="81">
        <v>10</v>
      </c>
      <c r="N154" s="309"/>
      <c r="O154" s="309"/>
      <c r="P154" s="309"/>
      <c r="Q154" s="309"/>
    </row>
    <row r="155" spans="2:17" ht="12.75">
      <c r="B155" s="318" t="s">
        <v>460</v>
      </c>
      <c r="C155" s="317"/>
      <c r="D155" s="118" t="s">
        <v>373</v>
      </c>
      <c r="E155" s="118" t="s">
        <v>353</v>
      </c>
      <c r="F155" s="81">
        <v>15</v>
      </c>
      <c r="G155" s="81">
        <v>16</v>
      </c>
      <c r="H155" s="81">
        <v>1</v>
      </c>
      <c r="I155" s="81">
        <v>28</v>
      </c>
      <c r="J155" s="81">
        <v>-1</v>
      </c>
      <c r="K155" s="118">
        <v>1</v>
      </c>
      <c r="L155" s="312">
        <v>2400000</v>
      </c>
      <c r="M155" s="81">
        <v>4</v>
      </c>
      <c r="N155" s="309"/>
      <c r="O155" s="309"/>
      <c r="P155" s="309"/>
      <c r="Q155" s="309"/>
    </row>
    <row r="156" spans="2:17" ht="12.75">
      <c r="B156" s="318" t="s">
        <v>461</v>
      </c>
      <c r="C156" s="317"/>
      <c r="D156" s="118" t="s">
        <v>380</v>
      </c>
      <c r="E156" s="118" t="s">
        <v>353</v>
      </c>
      <c r="F156" s="81">
        <v>5</v>
      </c>
      <c r="G156" s="81">
        <v>16</v>
      </c>
      <c r="H156" s="81">
        <v>-4</v>
      </c>
      <c r="I156" s="81">
        <v>17</v>
      </c>
      <c r="J156" s="81">
        <v>-3</v>
      </c>
      <c r="K156" s="118">
        <v>1</v>
      </c>
      <c r="L156" s="312">
        <v>420000</v>
      </c>
      <c r="M156" s="81">
        <v>3</v>
      </c>
      <c r="N156" s="309"/>
      <c r="O156" s="309"/>
      <c r="P156" s="309"/>
      <c r="Q156" s="309"/>
    </row>
    <row r="157" spans="2:17" ht="12.75">
      <c r="B157" s="318" t="s">
        <v>462</v>
      </c>
      <c r="C157" s="317"/>
      <c r="D157" s="118" t="s">
        <v>380</v>
      </c>
      <c r="E157" s="118" t="s">
        <v>353</v>
      </c>
      <c r="F157" s="81">
        <v>7</v>
      </c>
      <c r="G157" s="81">
        <v>18</v>
      </c>
      <c r="H157" s="81">
        <v>-3</v>
      </c>
      <c r="I157" s="81">
        <v>20</v>
      </c>
      <c r="J157" s="81">
        <v>-3</v>
      </c>
      <c r="K157" s="118">
        <v>1</v>
      </c>
      <c r="L157" s="312">
        <v>860000</v>
      </c>
      <c r="M157" s="81">
        <v>5</v>
      </c>
      <c r="N157" s="309"/>
      <c r="O157" s="309"/>
      <c r="P157" s="309"/>
      <c r="Q157" s="309"/>
    </row>
    <row r="158" spans="2:17" ht="12.75">
      <c r="B158" s="318" t="s">
        <v>463</v>
      </c>
      <c r="C158" s="317"/>
      <c r="D158" s="118" t="s">
        <v>380</v>
      </c>
      <c r="E158" s="118" t="s">
        <v>353</v>
      </c>
      <c r="F158" s="81">
        <v>8</v>
      </c>
      <c r="G158" s="81">
        <v>16</v>
      </c>
      <c r="H158" s="81">
        <v>-4</v>
      </c>
      <c r="I158" s="81">
        <v>22</v>
      </c>
      <c r="J158" s="81">
        <v>-2</v>
      </c>
      <c r="K158" s="118">
        <v>1</v>
      </c>
      <c r="L158" s="312">
        <v>950000</v>
      </c>
      <c r="M158" s="81">
        <v>7</v>
      </c>
      <c r="N158" s="309"/>
      <c r="O158" s="309"/>
      <c r="P158" s="309"/>
      <c r="Q158" s="309"/>
    </row>
    <row r="159" spans="2:17" ht="12.75">
      <c r="B159" s="318" t="s">
        <v>464</v>
      </c>
      <c r="C159" s="317"/>
      <c r="D159" s="118" t="s">
        <v>380</v>
      </c>
      <c r="E159" s="118" t="s">
        <v>353</v>
      </c>
      <c r="F159" s="81">
        <v>9</v>
      </c>
      <c r="G159" s="81">
        <v>20</v>
      </c>
      <c r="H159" s="81">
        <v>-5</v>
      </c>
      <c r="I159" s="81">
        <v>26</v>
      </c>
      <c r="J159" s="81">
        <v>-3</v>
      </c>
      <c r="K159" s="118">
        <v>1</v>
      </c>
      <c r="L159" s="312">
        <v>1080000</v>
      </c>
      <c r="M159" s="81">
        <v>3</v>
      </c>
      <c r="N159" s="309"/>
      <c r="O159" s="309"/>
      <c r="P159" s="309"/>
      <c r="Q159" s="309"/>
    </row>
    <row r="160" spans="2:17" ht="12.75">
      <c r="B160" s="318" t="s">
        <v>465</v>
      </c>
      <c r="C160" s="317"/>
      <c r="D160" s="118" t="s">
        <v>380</v>
      </c>
      <c r="E160" s="118" t="s">
        <v>353</v>
      </c>
      <c r="F160" s="81">
        <v>9</v>
      </c>
      <c r="G160" s="81">
        <v>17</v>
      </c>
      <c r="H160" s="81">
        <v>-2</v>
      </c>
      <c r="I160" s="81">
        <v>22</v>
      </c>
      <c r="J160" s="81">
        <v>-3</v>
      </c>
      <c r="K160" s="118">
        <v>1</v>
      </c>
      <c r="L160" s="312">
        <v>920000</v>
      </c>
      <c r="M160" s="81">
        <v>6</v>
      </c>
      <c r="N160" s="309"/>
      <c r="O160" s="309"/>
      <c r="P160" s="309"/>
      <c r="Q160" s="309"/>
    </row>
    <row r="161" spans="2:17" ht="12.75">
      <c r="B161" s="318" t="s">
        <v>466</v>
      </c>
      <c r="C161" s="317"/>
      <c r="D161" s="118" t="s">
        <v>380</v>
      </c>
      <c r="E161" s="118" t="s">
        <v>353</v>
      </c>
      <c r="F161" s="81">
        <v>10</v>
      </c>
      <c r="G161" s="81">
        <v>20</v>
      </c>
      <c r="H161" s="81">
        <v>-3</v>
      </c>
      <c r="I161" s="81">
        <v>20</v>
      </c>
      <c r="J161" s="81">
        <v>-3</v>
      </c>
      <c r="K161" s="118">
        <v>1</v>
      </c>
      <c r="L161" s="312">
        <v>1400000</v>
      </c>
      <c r="M161" s="81">
        <v>8</v>
      </c>
      <c r="N161" s="309"/>
      <c r="O161" s="309"/>
      <c r="P161" s="309"/>
      <c r="Q161" s="309"/>
    </row>
    <row r="162" spans="2:17" ht="12.75">
      <c r="B162" s="318" t="s">
        <v>467</v>
      </c>
      <c r="C162" s="317"/>
      <c r="D162" s="118" t="s">
        <v>380</v>
      </c>
      <c r="E162" s="118" t="s">
        <v>353</v>
      </c>
      <c r="F162" s="81">
        <v>12</v>
      </c>
      <c r="G162" s="81">
        <v>24</v>
      </c>
      <c r="H162" s="81">
        <v>-2</v>
      </c>
      <c r="I162" s="81">
        <v>28</v>
      </c>
      <c r="J162" s="81">
        <v>-3</v>
      </c>
      <c r="K162" s="118">
        <v>1</v>
      </c>
      <c r="L162" s="312">
        <v>1650000</v>
      </c>
      <c r="M162" s="81">
        <v>9</v>
      </c>
      <c r="N162" s="309"/>
      <c r="O162" s="309"/>
      <c r="P162" s="309"/>
      <c r="Q162" s="309"/>
    </row>
    <row r="163" spans="2:17" ht="12.75">
      <c r="B163" s="318" t="s">
        <v>468</v>
      </c>
      <c r="C163" s="317"/>
      <c r="D163" s="118" t="s">
        <v>380</v>
      </c>
      <c r="E163" s="118" t="s">
        <v>353</v>
      </c>
      <c r="F163" s="81">
        <v>15</v>
      </c>
      <c r="G163" s="81">
        <v>20</v>
      </c>
      <c r="H163" s="81">
        <v>-5</v>
      </c>
      <c r="I163" s="81">
        <v>35</v>
      </c>
      <c r="J163" s="81">
        <v>-3</v>
      </c>
      <c r="K163" s="118">
        <v>1</v>
      </c>
      <c r="L163" s="312">
        <v>2400000</v>
      </c>
      <c r="M163" s="81">
        <v>3</v>
      </c>
      <c r="N163" s="309"/>
      <c r="O163" s="309"/>
      <c r="P163" s="309"/>
      <c r="Q163" s="309"/>
    </row>
    <row r="164" spans="2:17" ht="12.75">
      <c r="B164" s="318" t="s">
        <v>469</v>
      </c>
      <c r="C164" s="317"/>
      <c r="D164" s="118" t="s">
        <v>387</v>
      </c>
      <c r="E164" s="118" t="s">
        <v>353</v>
      </c>
      <c r="F164" s="81">
        <v>5</v>
      </c>
      <c r="G164" s="81">
        <v>6</v>
      </c>
      <c r="H164" s="81">
        <v>0</v>
      </c>
      <c r="I164" s="81">
        <v>10</v>
      </c>
      <c r="J164" s="81">
        <v>0</v>
      </c>
      <c r="K164" s="118" t="s">
        <v>194</v>
      </c>
      <c r="L164" s="312">
        <v>400000</v>
      </c>
      <c r="M164" s="81">
        <v>6</v>
      </c>
      <c r="N164" s="309"/>
      <c r="O164" s="309"/>
      <c r="P164" s="309"/>
      <c r="Q164" s="309"/>
    </row>
    <row r="165" spans="2:17" ht="12.75">
      <c r="B165" s="318" t="s">
        <v>470</v>
      </c>
      <c r="C165" s="317"/>
      <c r="D165" s="118" t="s">
        <v>387</v>
      </c>
      <c r="E165" s="118" t="s">
        <v>353</v>
      </c>
      <c r="F165" s="81">
        <v>7</v>
      </c>
      <c r="G165" s="81">
        <v>8</v>
      </c>
      <c r="H165" s="81">
        <v>0</v>
      </c>
      <c r="I165" s="81">
        <v>15</v>
      </c>
      <c r="J165" s="81">
        <v>0</v>
      </c>
      <c r="K165" s="118" t="s">
        <v>194</v>
      </c>
      <c r="L165" s="312">
        <v>700000</v>
      </c>
      <c r="M165" s="81">
        <v>7</v>
      </c>
      <c r="N165" s="309"/>
      <c r="O165" s="309"/>
      <c r="P165" s="309"/>
      <c r="Q165" s="309"/>
    </row>
    <row r="166" spans="2:17" ht="12.75">
      <c r="B166" s="318" t="s">
        <v>471</v>
      </c>
      <c r="C166" s="317"/>
      <c r="D166" s="118" t="s">
        <v>387</v>
      </c>
      <c r="E166" s="118" t="s">
        <v>353</v>
      </c>
      <c r="F166" s="81">
        <v>8</v>
      </c>
      <c r="G166" s="81">
        <v>9</v>
      </c>
      <c r="H166" s="81">
        <v>-1</v>
      </c>
      <c r="I166" s="81">
        <v>17</v>
      </c>
      <c r="J166" s="81">
        <v>-1</v>
      </c>
      <c r="K166" s="118" t="s">
        <v>194</v>
      </c>
      <c r="L166" s="312">
        <v>1200000</v>
      </c>
      <c r="M166" s="81">
        <v>7</v>
      </c>
      <c r="N166" s="309"/>
      <c r="O166" s="309"/>
      <c r="P166" s="309"/>
      <c r="Q166" s="309"/>
    </row>
    <row r="167" spans="2:17" ht="12.75">
      <c r="B167" s="318" t="s">
        <v>472</v>
      </c>
      <c r="C167" s="317"/>
      <c r="D167" s="118" t="s">
        <v>387</v>
      </c>
      <c r="E167" s="118" t="s">
        <v>353</v>
      </c>
      <c r="F167" s="81">
        <v>9</v>
      </c>
      <c r="G167" s="81">
        <v>10</v>
      </c>
      <c r="H167" s="81">
        <v>1</v>
      </c>
      <c r="I167" s="81">
        <v>16</v>
      </c>
      <c r="J167" s="81">
        <v>0</v>
      </c>
      <c r="K167" s="118" t="s">
        <v>194</v>
      </c>
      <c r="L167" s="312">
        <v>1500000</v>
      </c>
      <c r="M167" s="81">
        <v>7</v>
      </c>
      <c r="N167" s="309"/>
      <c r="O167" s="309"/>
      <c r="P167" s="309"/>
      <c r="Q167" s="309"/>
    </row>
    <row r="168" spans="2:17" ht="12.75">
      <c r="B168" s="318" t="s">
        <v>473</v>
      </c>
      <c r="C168" s="317"/>
      <c r="D168" s="118" t="s">
        <v>387</v>
      </c>
      <c r="E168" s="118" t="s">
        <v>353</v>
      </c>
      <c r="F168" s="81">
        <v>10</v>
      </c>
      <c r="G168" s="81">
        <v>9</v>
      </c>
      <c r="H168" s="81">
        <v>0</v>
      </c>
      <c r="I168" s="81">
        <v>15</v>
      </c>
      <c r="J168" s="81">
        <v>-1</v>
      </c>
      <c r="K168" s="118" t="s">
        <v>194</v>
      </c>
      <c r="L168" s="312">
        <v>1300000</v>
      </c>
      <c r="M168" s="81">
        <v>5</v>
      </c>
      <c r="N168" s="309"/>
      <c r="O168" s="309"/>
      <c r="P168" s="309"/>
      <c r="Q168" s="309"/>
    </row>
    <row r="169" spans="2:17" ht="12.75">
      <c r="B169" s="318" t="s">
        <v>474</v>
      </c>
      <c r="C169" s="317"/>
      <c r="D169" s="118" t="s">
        <v>387</v>
      </c>
      <c r="E169" s="118" t="s">
        <v>353</v>
      </c>
      <c r="F169" s="81">
        <v>12</v>
      </c>
      <c r="G169" s="81">
        <v>10</v>
      </c>
      <c r="H169" s="81">
        <v>1</v>
      </c>
      <c r="I169" s="81">
        <v>20</v>
      </c>
      <c r="J169" s="81">
        <v>0</v>
      </c>
      <c r="K169" s="118" t="s">
        <v>194</v>
      </c>
      <c r="L169" s="312">
        <v>1640000</v>
      </c>
      <c r="M169" s="81">
        <v>10</v>
      </c>
      <c r="N169" s="309"/>
      <c r="O169" s="309"/>
      <c r="P169" s="309"/>
      <c r="Q169" s="309"/>
    </row>
    <row r="170" spans="2:17" ht="12.75">
      <c r="B170" s="318" t="s">
        <v>475</v>
      </c>
      <c r="C170" s="317"/>
      <c r="D170" s="118" t="s">
        <v>387</v>
      </c>
      <c r="E170" s="118" t="s">
        <v>353</v>
      </c>
      <c r="F170" s="81">
        <v>14</v>
      </c>
      <c r="G170" s="81">
        <v>10</v>
      </c>
      <c r="H170" s="81">
        <v>0</v>
      </c>
      <c r="I170" s="81">
        <v>30</v>
      </c>
      <c r="J170" s="81">
        <v>0</v>
      </c>
      <c r="K170" s="118" t="s">
        <v>194</v>
      </c>
      <c r="L170" s="312">
        <v>2450000</v>
      </c>
      <c r="M170" s="81">
        <v>12</v>
      </c>
      <c r="N170" s="309"/>
      <c r="O170" s="309"/>
      <c r="P170" s="309"/>
      <c r="Q170" s="309"/>
    </row>
    <row r="171" spans="2:17" ht="12.75">
      <c r="B171" s="318" t="s">
        <v>476</v>
      </c>
      <c r="C171" s="317"/>
      <c r="D171" s="118" t="s">
        <v>387</v>
      </c>
      <c r="E171" s="118" t="s">
        <v>353</v>
      </c>
      <c r="F171" s="81">
        <v>15</v>
      </c>
      <c r="G171" s="81">
        <v>12</v>
      </c>
      <c r="H171" s="81">
        <v>1</v>
      </c>
      <c r="I171" s="81">
        <v>25</v>
      </c>
      <c r="J171" s="81">
        <v>0</v>
      </c>
      <c r="K171" s="118" t="s">
        <v>194</v>
      </c>
      <c r="L171" s="312">
        <v>2600000</v>
      </c>
      <c r="M171" s="81">
        <v>9</v>
      </c>
      <c r="N171" s="309"/>
      <c r="O171" s="309"/>
      <c r="P171" s="309"/>
      <c r="Q171" s="309"/>
    </row>
    <row r="172" spans="2:17" ht="12.75">
      <c r="B172" s="318" t="s">
        <v>477</v>
      </c>
      <c r="C172" s="317"/>
      <c r="D172" s="118" t="s">
        <v>478</v>
      </c>
      <c r="E172" s="118" t="s">
        <v>130</v>
      </c>
      <c r="F172" s="81">
        <v>1</v>
      </c>
      <c r="G172" s="81">
        <v>5</v>
      </c>
      <c r="H172" s="81">
        <v>-2</v>
      </c>
      <c r="I172" s="81">
        <v>0</v>
      </c>
      <c r="J172" s="81">
        <v>0</v>
      </c>
      <c r="K172" s="118">
        <v>1</v>
      </c>
      <c r="L172" s="312">
        <v>80000</v>
      </c>
      <c r="M172" s="81">
        <v>0</v>
      </c>
      <c r="N172" s="309"/>
      <c r="O172" s="309"/>
      <c r="P172" s="309"/>
      <c r="Q172" s="309"/>
    </row>
    <row r="173" spans="2:17" ht="12.75">
      <c r="B173" s="318" t="s">
        <v>479</v>
      </c>
      <c r="C173" s="317"/>
      <c r="D173" s="118" t="s">
        <v>478</v>
      </c>
      <c r="E173" s="118" t="s">
        <v>353</v>
      </c>
      <c r="F173" s="81">
        <v>1</v>
      </c>
      <c r="G173" s="81">
        <v>10</v>
      </c>
      <c r="H173" s="81">
        <v>0</v>
      </c>
      <c r="I173" s="81">
        <v>0</v>
      </c>
      <c r="J173" s="81">
        <v>-2</v>
      </c>
      <c r="K173" s="118" t="s">
        <v>388</v>
      </c>
      <c r="L173" s="312">
        <v>140000</v>
      </c>
      <c r="M173" s="81">
        <v>0</v>
      </c>
      <c r="N173" s="309"/>
      <c r="O173" s="309"/>
      <c r="P173" s="309"/>
      <c r="Q173" s="309"/>
    </row>
    <row r="174" spans="2:17" ht="12.75">
      <c r="B174" s="318"/>
      <c r="C174" s="317"/>
      <c r="D174" s="118"/>
      <c r="E174" s="118"/>
      <c r="F174" s="81"/>
      <c r="G174" s="81"/>
      <c r="H174" s="81"/>
      <c r="I174" s="81"/>
      <c r="J174" s="81"/>
      <c r="K174" s="118"/>
      <c r="L174" s="312"/>
      <c r="M174" s="81"/>
      <c r="N174" s="309"/>
      <c r="O174" s="309"/>
      <c r="P174" s="309"/>
      <c r="Q174" s="309"/>
    </row>
    <row r="175" spans="2:17" ht="12.75">
      <c r="B175" s="318"/>
      <c r="C175" s="317"/>
      <c r="D175" s="118"/>
      <c r="E175" s="118"/>
      <c r="F175" s="81"/>
      <c r="G175" s="81"/>
      <c r="H175" s="81"/>
      <c r="I175" s="81"/>
      <c r="J175" s="81"/>
      <c r="K175" s="118"/>
      <c r="L175" s="312"/>
      <c r="M175" s="81"/>
      <c r="N175" s="309"/>
      <c r="O175" s="309"/>
      <c r="P175" s="309"/>
      <c r="Q175" s="309"/>
    </row>
    <row r="176" spans="2:17" ht="12.75">
      <c r="B176" s="318"/>
      <c r="C176" s="317"/>
      <c r="D176" s="118"/>
      <c r="E176" s="118"/>
      <c r="F176" s="81"/>
      <c r="G176" s="81"/>
      <c r="H176" s="81"/>
      <c r="I176" s="81"/>
      <c r="J176" s="81"/>
      <c r="K176" s="118"/>
      <c r="L176" s="312"/>
      <c r="M176" s="81"/>
      <c r="N176" s="309"/>
      <c r="O176" s="309"/>
      <c r="P176" s="309"/>
      <c r="Q176" s="309"/>
    </row>
    <row r="177" spans="2:17" ht="12.75">
      <c r="B177" s="318"/>
      <c r="C177" s="317"/>
      <c r="D177" s="118"/>
      <c r="E177" s="118"/>
      <c r="F177" s="81"/>
      <c r="G177" s="81"/>
      <c r="H177" s="81"/>
      <c r="I177" s="81"/>
      <c r="J177" s="81"/>
      <c r="K177" s="118"/>
      <c r="L177" s="312"/>
      <c r="M177" s="81"/>
      <c r="N177" s="309"/>
      <c r="O177" s="309"/>
      <c r="P177" s="309"/>
      <c r="Q177" s="309"/>
    </row>
    <row r="178" spans="2:17" ht="12.75">
      <c r="B178" s="318"/>
      <c r="C178" s="317"/>
      <c r="D178" s="118"/>
      <c r="E178" s="118"/>
      <c r="F178" s="81"/>
      <c r="G178" s="81"/>
      <c r="H178" s="81"/>
      <c r="I178" s="81"/>
      <c r="J178" s="81"/>
      <c r="K178" s="118"/>
      <c r="L178" s="312"/>
      <c r="M178" s="81"/>
      <c r="N178" s="309"/>
      <c r="O178" s="309"/>
      <c r="P178" s="309"/>
      <c r="Q178" s="309"/>
    </row>
    <row r="179" spans="2:17" ht="12.75">
      <c r="B179" s="318"/>
      <c r="C179" s="317"/>
      <c r="D179" s="118"/>
      <c r="E179" s="118"/>
      <c r="F179" s="81"/>
      <c r="G179" s="81"/>
      <c r="H179" s="81"/>
      <c r="I179" s="81"/>
      <c r="J179" s="81"/>
      <c r="K179" s="118"/>
      <c r="L179" s="312"/>
      <c r="M179" s="81"/>
      <c r="N179" s="309"/>
      <c r="O179" s="309"/>
      <c r="P179" s="309"/>
      <c r="Q179" s="309"/>
    </row>
    <row r="180" spans="2:17" ht="12.75">
      <c r="B180" s="318"/>
      <c r="C180" s="317"/>
      <c r="D180" s="118"/>
      <c r="E180" s="118"/>
      <c r="F180" s="81"/>
      <c r="G180" s="81"/>
      <c r="H180" s="81"/>
      <c r="I180" s="81"/>
      <c r="J180" s="81"/>
      <c r="K180" s="118"/>
      <c r="L180" s="312"/>
      <c r="M180" s="81"/>
      <c r="N180" s="309"/>
      <c r="O180" s="309"/>
      <c r="P180" s="309"/>
      <c r="Q180" s="309"/>
    </row>
    <row r="181" spans="2:17" ht="12.75">
      <c r="B181" s="318"/>
      <c r="C181" s="317"/>
      <c r="D181" s="118"/>
      <c r="E181" s="118"/>
      <c r="F181" s="81"/>
      <c r="G181" s="81"/>
      <c r="H181" s="81"/>
      <c r="I181" s="81"/>
      <c r="J181" s="81"/>
      <c r="K181" s="118"/>
      <c r="L181" s="312"/>
      <c r="M181" s="81"/>
      <c r="N181" s="309"/>
      <c r="O181" s="309"/>
      <c r="P181" s="309"/>
      <c r="Q181" s="309"/>
    </row>
    <row r="182" spans="2:17" ht="12.75">
      <c r="B182" s="318"/>
      <c r="C182" s="317"/>
      <c r="D182" s="118"/>
      <c r="E182" s="118"/>
      <c r="F182" s="81"/>
      <c r="G182" s="81"/>
      <c r="H182" s="81"/>
      <c r="I182" s="81"/>
      <c r="J182" s="81"/>
      <c r="K182" s="118"/>
      <c r="L182" s="312"/>
      <c r="M182" s="81"/>
      <c r="N182" s="309"/>
      <c r="O182" s="309"/>
      <c r="P182" s="309"/>
      <c r="Q182" s="309"/>
    </row>
    <row r="183" spans="2:17" ht="12.75">
      <c r="B183" s="318"/>
      <c r="C183" s="317"/>
      <c r="D183" s="118"/>
      <c r="E183" s="118"/>
      <c r="F183" s="81"/>
      <c r="G183" s="81"/>
      <c r="H183" s="81"/>
      <c r="I183" s="81"/>
      <c r="J183" s="81"/>
      <c r="K183" s="118"/>
      <c r="L183" s="312"/>
      <c r="M183" s="81"/>
      <c r="N183" s="309"/>
      <c r="O183" s="309"/>
      <c r="P183" s="309"/>
      <c r="Q183" s="309"/>
    </row>
    <row r="184" spans="2:17" ht="12.75">
      <c r="B184" s="318"/>
      <c r="C184" s="317"/>
      <c r="D184" s="118"/>
      <c r="E184" s="118"/>
      <c r="F184" s="81"/>
      <c r="G184" s="81"/>
      <c r="H184" s="81"/>
      <c r="I184" s="81"/>
      <c r="J184" s="81"/>
      <c r="K184" s="118"/>
      <c r="L184" s="312"/>
      <c r="M184" s="81"/>
      <c r="N184" s="309"/>
      <c r="O184" s="309"/>
      <c r="P184" s="309"/>
      <c r="Q184" s="309"/>
    </row>
    <row r="185" spans="2:17" ht="12.75">
      <c r="B185" s="318"/>
      <c r="C185" s="317"/>
      <c r="D185" s="118"/>
      <c r="E185" s="118"/>
      <c r="F185" s="81"/>
      <c r="G185" s="81"/>
      <c r="H185" s="81"/>
      <c r="I185" s="81"/>
      <c r="J185" s="81"/>
      <c r="K185" s="118"/>
      <c r="L185" s="312"/>
      <c r="M185" s="81"/>
      <c r="N185" s="309"/>
      <c r="O185" s="309"/>
      <c r="P185" s="309"/>
      <c r="Q185" s="309"/>
    </row>
    <row r="186" spans="2:17" ht="12.75">
      <c r="B186" s="318"/>
      <c r="C186" s="317"/>
      <c r="D186" s="118"/>
      <c r="E186" s="118"/>
      <c r="F186" s="81"/>
      <c r="G186" s="81"/>
      <c r="H186" s="81"/>
      <c r="I186" s="81"/>
      <c r="J186" s="81"/>
      <c r="K186" s="118"/>
      <c r="L186" s="312"/>
      <c r="M186" s="81"/>
      <c r="N186" s="309"/>
      <c r="O186" s="309"/>
      <c r="P186" s="309"/>
      <c r="Q186" s="309"/>
    </row>
    <row r="187" spans="2:17" ht="12.75">
      <c r="B187" s="318"/>
      <c r="C187" s="317"/>
      <c r="D187" s="118"/>
      <c r="E187" s="118"/>
      <c r="F187" s="81"/>
      <c r="G187" s="81"/>
      <c r="H187" s="81"/>
      <c r="I187" s="81"/>
      <c r="J187" s="81"/>
      <c r="K187" s="118"/>
      <c r="L187" s="312"/>
      <c r="M187" s="81"/>
      <c r="N187" s="309"/>
      <c r="O187" s="309"/>
      <c r="P187" s="309"/>
      <c r="Q187" s="309"/>
    </row>
    <row r="188" spans="2:17" ht="12.75">
      <c r="B188" s="318"/>
      <c r="C188" s="317"/>
      <c r="D188" s="118"/>
      <c r="E188" s="118"/>
      <c r="F188" s="81"/>
      <c r="G188" s="81"/>
      <c r="H188" s="81"/>
      <c r="I188" s="81"/>
      <c r="J188" s="81"/>
      <c r="K188" s="118"/>
      <c r="L188" s="312"/>
      <c r="M188" s="81"/>
      <c r="N188" s="309"/>
      <c r="O188" s="309"/>
      <c r="P188" s="309"/>
      <c r="Q188" s="309"/>
    </row>
    <row r="189" spans="2:17" ht="12.75">
      <c r="B189" s="318"/>
      <c r="C189" s="317"/>
      <c r="D189" s="118"/>
      <c r="E189" s="118"/>
      <c r="F189" s="81"/>
      <c r="G189" s="81"/>
      <c r="H189" s="81"/>
      <c r="I189" s="81"/>
      <c r="J189" s="81"/>
      <c r="K189" s="118"/>
      <c r="L189" s="312"/>
      <c r="M189" s="81"/>
      <c r="N189" s="309"/>
      <c r="O189" s="309"/>
      <c r="P189" s="309"/>
      <c r="Q189" s="309"/>
    </row>
    <row r="190" spans="2:17" ht="12.75">
      <c r="B190" s="318"/>
      <c r="C190" s="317"/>
      <c r="D190" s="118"/>
      <c r="E190" s="118"/>
      <c r="F190" s="81"/>
      <c r="G190" s="81"/>
      <c r="H190" s="81"/>
      <c r="I190" s="81"/>
      <c r="J190" s="81"/>
      <c r="K190" s="118"/>
      <c r="L190" s="312"/>
      <c r="M190" s="81"/>
      <c r="N190" s="309"/>
      <c r="O190" s="309"/>
      <c r="P190" s="309"/>
      <c r="Q190" s="309"/>
    </row>
    <row r="191" spans="2:17" ht="12.75">
      <c r="B191" s="318"/>
      <c r="C191" s="317"/>
      <c r="D191" s="118"/>
      <c r="E191" s="118"/>
      <c r="F191" s="81"/>
      <c r="G191" s="81"/>
      <c r="H191" s="81"/>
      <c r="I191" s="81"/>
      <c r="J191" s="81"/>
      <c r="K191" s="118"/>
      <c r="L191" s="312"/>
      <c r="M191" s="81"/>
      <c r="N191" s="309"/>
      <c r="O191" s="309"/>
      <c r="P191" s="309"/>
      <c r="Q191" s="309"/>
    </row>
    <row r="192" spans="2:17" ht="12.75">
      <c r="B192" s="318"/>
      <c r="C192" s="317"/>
      <c r="D192" s="118"/>
      <c r="E192" s="118"/>
      <c r="F192" s="81"/>
      <c r="G192" s="81"/>
      <c r="H192" s="81"/>
      <c r="I192" s="81"/>
      <c r="J192" s="81"/>
      <c r="K192" s="118"/>
      <c r="L192" s="312"/>
      <c r="M192" s="81"/>
      <c r="N192" s="309"/>
      <c r="O192" s="309"/>
      <c r="P192" s="309"/>
      <c r="Q192" s="309"/>
    </row>
    <row r="193" spans="2:17" ht="12.75">
      <c r="B193" s="318"/>
      <c r="C193" s="317"/>
      <c r="D193" s="118"/>
      <c r="E193" s="118"/>
      <c r="F193" s="81"/>
      <c r="G193" s="81"/>
      <c r="H193" s="81"/>
      <c r="I193" s="81"/>
      <c r="J193" s="81"/>
      <c r="K193" s="118"/>
      <c r="L193" s="312"/>
      <c r="M193" s="81"/>
      <c r="N193" s="309"/>
      <c r="O193" s="309"/>
      <c r="P193" s="309"/>
      <c r="Q193" s="309"/>
    </row>
    <row r="194" spans="2:17" ht="12.75">
      <c r="B194" s="318"/>
      <c r="C194" s="317"/>
      <c r="D194" s="118"/>
      <c r="E194" s="118"/>
      <c r="F194" s="81"/>
      <c r="G194" s="81"/>
      <c r="H194" s="81"/>
      <c r="I194" s="81"/>
      <c r="J194" s="81"/>
      <c r="K194" s="118"/>
      <c r="L194" s="312"/>
      <c r="M194" s="81"/>
      <c r="N194" s="309"/>
      <c r="O194" s="309"/>
      <c r="P194" s="309"/>
      <c r="Q194" s="309"/>
    </row>
    <row r="195" spans="2:17" ht="12.75">
      <c r="B195" s="318"/>
      <c r="C195" s="317"/>
      <c r="D195" s="118"/>
      <c r="E195" s="118"/>
      <c r="F195" s="81"/>
      <c r="G195" s="81"/>
      <c r="H195" s="81"/>
      <c r="I195" s="81"/>
      <c r="J195" s="81"/>
      <c r="K195" s="118"/>
      <c r="L195" s="312"/>
      <c r="M195" s="81"/>
      <c r="N195" s="309"/>
      <c r="O195" s="309"/>
      <c r="P195" s="309"/>
      <c r="Q195" s="309"/>
    </row>
    <row r="196" spans="2:17" ht="12.75">
      <c r="B196" s="318"/>
      <c r="C196" s="317"/>
      <c r="D196" s="118"/>
      <c r="E196" s="118"/>
      <c r="F196" s="81"/>
      <c r="G196" s="81"/>
      <c r="H196" s="81"/>
      <c r="I196" s="81"/>
      <c r="J196" s="81"/>
      <c r="K196" s="118"/>
      <c r="L196" s="312"/>
      <c r="M196" s="81"/>
      <c r="N196" s="309"/>
      <c r="O196" s="309"/>
      <c r="P196" s="309"/>
      <c r="Q196" s="309"/>
    </row>
    <row r="197" spans="2:17" ht="12.75">
      <c r="B197" s="318"/>
      <c r="C197" s="317"/>
      <c r="D197" s="118"/>
      <c r="E197" s="118"/>
      <c r="F197" s="81"/>
      <c r="G197" s="81"/>
      <c r="H197" s="81"/>
      <c r="I197" s="81"/>
      <c r="J197" s="81"/>
      <c r="K197" s="118"/>
      <c r="L197" s="312"/>
      <c r="M197" s="81"/>
      <c r="N197" s="309"/>
      <c r="O197" s="309"/>
      <c r="P197" s="309"/>
      <c r="Q197" s="309"/>
    </row>
    <row r="198" spans="2:17" ht="12.75">
      <c r="B198" s="318"/>
      <c r="C198" s="317"/>
      <c r="D198" s="118"/>
      <c r="E198" s="118"/>
      <c r="F198" s="81"/>
      <c r="G198" s="81"/>
      <c r="H198" s="81"/>
      <c r="I198" s="81"/>
      <c r="J198" s="81"/>
      <c r="K198" s="118"/>
      <c r="L198" s="312"/>
      <c r="M198" s="81"/>
      <c r="N198" s="309"/>
      <c r="O198" s="309"/>
      <c r="P198" s="309"/>
      <c r="Q198" s="309"/>
    </row>
    <row r="199" spans="2:17" ht="12.75">
      <c r="B199" s="318"/>
      <c r="C199" s="317"/>
      <c r="D199" s="118"/>
      <c r="E199" s="118"/>
      <c r="F199" s="81"/>
      <c r="G199" s="81"/>
      <c r="H199" s="81"/>
      <c r="I199" s="81"/>
      <c r="J199" s="81"/>
      <c r="K199" s="118"/>
      <c r="L199" s="312"/>
      <c r="M199" s="81"/>
      <c r="N199" s="309"/>
      <c r="O199" s="309"/>
      <c r="P199" s="309"/>
      <c r="Q199" s="309"/>
    </row>
    <row r="200" spans="2:17" ht="12.75">
      <c r="B200" s="318"/>
      <c r="C200" s="317"/>
      <c r="D200" s="118"/>
      <c r="E200" s="118"/>
      <c r="F200" s="81"/>
      <c r="G200" s="81"/>
      <c r="H200" s="81"/>
      <c r="I200" s="81"/>
      <c r="J200" s="81"/>
      <c r="K200" s="118"/>
      <c r="L200" s="312"/>
      <c r="M200" s="81"/>
      <c r="N200" s="309"/>
      <c r="O200" s="309"/>
      <c r="P200" s="309"/>
      <c r="Q200" s="309"/>
    </row>
    <row r="201" spans="2:17" ht="12.75">
      <c r="B201" s="318"/>
      <c r="C201" s="317"/>
      <c r="D201" s="118"/>
      <c r="E201" s="118"/>
      <c r="F201" s="81"/>
      <c r="G201" s="81"/>
      <c r="H201" s="81"/>
      <c r="I201" s="81"/>
      <c r="J201" s="81"/>
      <c r="K201" s="118"/>
      <c r="L201" s="312"/>
      <c r="M201" s="81"/>
      <c r="N201" s="309"/>
      <c r="O201" s="309"/>
      <c r="P201" s="309"/>
      <c r="Q201" s="309"/>
    </row>
    <row r="202" spans="2:17" ht="12.75">
      <c r="B202" s="318"/>
      <c r="C202" s="317"/>
      <c r="D202" s="118"/>
      <c r="E202" s="118"/>
      <c r="F202" s="81"/>
      <c r="G202" s="81"/>
      <c r="H202" s="81"/>
      <c r="I202" s="81"/>
      <c r="J202" s="81"/>
      <c r="K202" s="118"/>
      <c r="L202" s="312"/>
      <c r="M202" s="81"/>
      <c r="N202" s="309"/>
      <c r="O202" s="309"/>
      <c r="P202" s="309"/>
      <c r="Q202" s="309"/>
    </row>
    <row r="203" spans="2:17" ht="12.75">
      <c r="B203" s="318"/>
      <c r="C203" s="317"/>
      <c r="D203" s="118"/>
      <c r="E203" s="118"/>
      <c r="F203" s="81"/>
      <c r="G203" s="81"/>
      <c r="H203" s="81"/>
      <c r="I203" s="81"/>
      <c r="J203" s="81"/>
      <c r="K203" s="118"/>
      <c r="L203" s="312"/>
      <c r="M203" s="81"/>
      <c r="N203" s="309"/>
      <c r="O203" s="309"/>
      <c r="P203" s="309"/>
      <c r="Q203" s="309"/>
    </row>
    <row r="204" spans="2:17" ht="12.75">
      <c r="B204" s="318"/>
      <c r="C204" s="317"/>
      <c r="D204" s="118"/>
      <c r="E204" s="118"/>
      <c r="F204" s="81"/>
      <c r="G204" s="81"/>
      <c r="H204" s="81"/>
      <c r="I204" s="81"/>
      <c r="J204" s="81"/>
      <c r="K204" s="118"/>
      <c r="L204" s="312"/>
      <c r="M204" s="81"/>
      <c r="N204" s="309"/>
      <c r="O204" s="309"/>
      <c r="P204" s="309"/>
      <c r="Q204" s="309"/>
    </row>
    <row r="205" spans="2:17" ht="12.75">
      <c r="B205" s="318"/>
      <c r="C205" s="317"/>
      <c r="D205" s="118"/>
      <c r="E205" s="118"/>
      <c r="F205" s="81"/>
      <c r="G205" s="81"/>
      <c r="H205" s="81"/>
      <c r="I205" s="81"/>
      <c r="J205" s="81"/>
      <c r="K205" s="118"/>
      <c r="L205" s="312"/>
      <c r="M205" s="81"/>
      <c r="N205" s="309"/>
      <c r="O205" s="309"/>
      <c r="P205" s="309"/>
      <c r="Q205" s="309"/>
    </row>
    <row r="206" spans="2:17" ht="12.75">
      <c r="B206" s="318"/>
      <c r="C206" s="317"/>
      <c r="D206" s="118"/>
      <c r="E206" s="118"/>
      <c r="F206" s="81"/>
      <c r="G206" s="81"/>
      <c r="H206" s="81"/>
      <c r="I206" s="81"/>
      <c r="J206" s="81"/>
      <c r="K206" s="118"/>
      <c r="L206" s="312"/>
      <c r="M206" s="81"/>
      <c r="N206" s="309"/>
      <c r="O206" s="309"/>
      <c r="P206" s="309"/>
      <c r="Q206" s="309"/>
    </row>
    <row r="207" spans="2:17" ht="12.75">
      <c r="B207" s="318"/>
      <c r="C207" s="317"/>
      <c r="D207" s="118"/>
      <c r="E207" s="118"/>
      <c r="F207" s="81"/>
      <c r="G207" s="81"/>
      <c r="H207" s="81"/>
      <c r="I207" s="81"/>
      <c r="J207" s="81"/>
      <c r="K207" s="118"/>
      <c r="L207" s="312"/>
      <c r="M207" s="81"/>
      <c r="N207" s="309"/>
      <c r="O207" s="309"/>
      <c r="P207" s="309"/>
      <c r="Q207" s="309"/>
    </row>
    <row r="208" spans="2:17" ht="12.75">
      <c r="B208" s="318"/>
      <c r="C208" s="317"/>
      <c r="D208" s="118"/>
      <c r="E208" s="118"/>
      <c r="F208" s="81"/>
      <c r="G208" s="81"/>
      <c r="H208" s="81"/>
      <c r="I208" s="81"/>
      <c r="J208" s="81"/>
      <c r="K208" s="118"/>
      <c r="L208" s="312"/>
      <c r="M208" s="81"/>
      <c r="N208" s="309"/>
      <c r="O208" s="309"/>
      <c r="P208" s="309"/>
      <c r="Q208" s="309"/>
    </row>
    <row r="209" spans="2:17" ht="12.75">
      <c r="B209" s="318"/>
      <c r="C209" s="317"/>
      <c r="D209" s="118"/>
      <c r="E209" s="118"/>
      <c r="F209" s="81"/>
      <c r="G209" s="81"/>
      <c r="H209" s="81"/>
      <c r="I209" s="81"/>
      <c r="J209" s="81"/>
      <c r="K209" s="118"/>
      <c r="L209" s="312"/>
      <c r="M209" s="81"/>
      <c r="N209" s="309"/>
      <c r="O209" s="309"/>
      <c r="P209" s="309"/>
      <c r="Q209" s="309"/>
    </row>
    <row r="210" spans="2:17" ht="12.75">
      <c r="B210" s="318"/>
      <c r="C210" s="317"/>
      <c r="D210" s="118"/>
      <c r="E210" s="118"/>
      <c r="F210" s="81"/>
      <c r="G210" s="81"/>
      <c r="H210" s="81"/>
      <c r="I210" s="81"/>
      <c r="J210" s="81"/>
      <c r="K210" s="118"/>
      <c r="L210" s="312"/>
      <c r="M210" s="81"/>
      <c r="N210" s="309"/>
      <c r="O210" s="309"/>
      <c r="P210" s="309"/>
      <c r="Q210" s="309"/>
    </row>
    <row r="211" spans="2:17" ht="12.75">
      <c r="B211" s="318"/>
      <c r="C211" s="317"/>
      <c r="D211" s="118"/>
      <c r="E211" s="118"/>
      <c r="F211" s="81"/>
      <c r="G211" s="81"/>
      <c r="H211" s="81"/>
      <c r="I211" s="81"/>
      <c r="J211" s="81"/>
      <c r="K211" s="118"/>
      <c r="L211" s="312"/>
      <c r="M211" s="81"/>
      <c r="N211" s="309"/>
      <c r="O211" s="309"/>
      <c r="P211" s="309"/>
      <c r="Q211" s="309"/>
    </row>
    <row r="212" spans="2:17" ht="12.75">
      <c r="B212" s="318"/>
      <c r="C212" s="317"/>
      <c r="D212" s="118"/>
      <c r="E212" s="118"/>
      <c r="F212" s="81"/>
      <c r="G212" s="81"/>
      <c r="H212" s="81"/>
      <c r="I212" s="81"/>
      <c r="J212" s="81"/>
      <c r="K212" s="118"/>
      <c r="L212" s="312"/>
      <c r="M212" s="81"/>
      <c r="N212" s="309"/>
      <c r="O212" s="309"/>
      <c r="P212" s="309"/>
      <c r="Q212" s="309"/>
    </row>
    <row r="213" spans="2:17" ht="12.75">
      <c r="B213" s="318"/>
      <c r="C213" s="317"/>
      <c r="D213" s="118"/>
      <c r="E213" s="118"/>
      <c r="F213" s="81"/>
      <c r="G213" s="81"/>
      <c r="H213" s="81"/>
      <c r="I213" s="81"/>
      <c r="J213" s="81"/>
      <c r="K213" s="118"/>
      <c r="L213" s="312"/>
      <c r="M213" s="81"/>
      <c r="N213" s="309"/>
      <c r="O213" s="309"/>
      <c r="P213" s="309"/>
      <c r="Q213" s="309"/>
    </row>
    <row r="214" spans="2:17" ht="12.75">
      <c r="B214" s="318"/>
      <c r="C214" s="317"/>
      <c r="D214" s="118"/>
      <c r="E214" s="118"/>
      <c r="F214" s="81"/>
      <c r="G214" s="81"/>
      <c r="H214" s="81"/>
      <c r="I214" s="81"/>
      <c r="J214" s="81"/>
      <c r="K214" s="118"/>
      <c r="L214" s="312"/>
      <c r="M214" s="81"/>
      <c r="N214" s="309"/>
      <c r="O214" s="309"/>
      <c r="P214" s="309"/>
      <c r="Q214" s="309"/>
    </row>
    <row r="215" spans="2:17" ht="12.75">
      <c r="B215" s="318"/>
      <c r="C215" s="317"/>
      <c r="D215" s="118"/>
      <c r="E215" s="118"/>
      <c r="F215" s="81"/>
      <c r="G215" s="81"/>
      <c r="H215" s="81"/>
      <c r="I215" s="81"/>
      <c r="J215" s="81"/>
      <c r="K215" s="118"/>
      <c r="L215" s="312"/>
      <c r="M215" s="81"/>
      <c r="N215" s="309"/>
      <c r="O215" s="309"/>
      <c r="P215" s="309"/>
      <c r="Q215" s="309"/>
    </row>
    <row r="216" spans="2:17" ht="12.75">
      <c r="B216" s="318"/>
      <c r="C216" s="317"/>
      <c r="D216" s="118"/>
      <c r="E216" s="118"/>
      <c r="F216" s="81"/>
      <c r="G216" s="81"/>
      <c r="H216" s="81"/>
      <c r="I216" s="81"/>
      <c r="J216" s="81"/>
      <c r="K216" s="118"/>
      <c r="L216" s="312"/>
      <c r="M216" s="81"/>
      <c r="N216" s="309"/>
      <c r="O216" s="309"/>
      <c r="P216" s="309"/>
      <c r="Q216" s="309"/>
    </row>
    <row r="217" spans="2:17" ht="12.75">
      <c r="B217" s="318"/>
      <c r="C217" s="317"/>
      <c r="D217" s="118"/>
      <c r="E217" s="118"/>
      <c r="F217" s="81"/>
      <c r="G217" s="81"/>
      <c r="H217" s="81"/>
      <c r="I217" s="81"/>
      <c r="J217" s="81"/>
      <c r="K217" s="118"/>
      <c r="L217" s="312"/>
      <c r="M217" s="81"/>
      <c r="N217" s="309"/>
      <c r="O217" s="309"/>
      <c r="P217" s="309"/>
      <c r="Q217" s="309"/>
    </row>
    <row r="218" spans="2:17" ht="12.75">
      <c r="B218" s="318"/>
      <c r="C218" s="317"/>
      <c r="D218" s="118"/>
      <c r="E218" s="118"/>
      <c r="F218" s="81"/>
      <c r="G218" s="81"/>
      <c r="H218" s="81"/>
      <c r="I218" s="81"/>
      <c r="J218" s="81"/>
      <c r="K218" s="118"/>
      <c r="L218" s="312"/>
      <c r="M218" s="81"/>
      <c r="N218" s="309"/>
      <c r="O218" s="309"/>
      <c r="P218" s="309"/>
      <c r="Q218" s="309"/>
    </row>
    <row r="219" spans="2:17" ht="12.75">
      <c r="B219" s="318"/>
      <c r="C219" s="317"/>
      <c r="D219" s="118"/>
      <c r="E219" s="118"/>
      <c r="F219" s="81"/>
      <c r="G219" s="81"/>
      <c r="H219" s="81"/>
      <c r="I219" s="81"/>
      <c r="J219" s="81"/>
      <c r="K219" s="118"/>
      <c r="L219" s="312"/>
      <c r="M219" s="81"/>
      <c r="N219" s="309"/>
      <c r="O219" s="309"/>
      <c r="P219" s="309"/>
      <c r="Q219" s="309"/>
    </row>
    <row r="220" spans="2:17" ht="12.75">
      <c r="B220" s="318"/>
      <c r="C220" s="317"/>
      <c r="D220" s="118"/>
      <c r="E220" s="118"/>
      <c r="F220" s="81"/>
      <c r="G220" s="81"/>
      <c r="H220" s="81"/>
      <c r="I220" s="81"/>
      <c r="J220" s="81"/>
      <c r="K220" s="118"/>
      <c r="L220" s="312"/>
      <c r="M220" s="81"/>
      <c r="N220" s="309"/>
      <c r="O220" s="309"/>
      <c r="P220" s="309"/>
      <c r="Q220" s="309"/>
    </row>
    <row r="221" spans="2:17" ht="12.75">
      <c r="B221" s="318"/>
      <c r="C221" s="317"/>
      <c r="D221" s="118"/>
      <c r="E221" s="118"/>
      <c r="F221" s="81"/>
      <c r="G221" s="81"/>
      <c r="H221" s="81"/>
      <c r="I221" s="81"/>
      <c r="J221" s="81"/>
      <c r="K221" s="118"/>
      <c r="L221" s="312"/>
      <c r="M221" s="81"/>
      <c r="N221" s="309"/>
      <c r="O221" s="309"/>
      <c r="P221" s="309"/>
      <c r="Q221" s="309"/>
    </row>
    <row r="222" spans="2:17" ht="12.75">
      <c r="B222" s="318"/>
      <c r="C222" s="317"/>
      <c r="D222" s="118"/>
      <c r="E222" s="118"/>
      <c r="F222" s="81"/>
      <c r="G222" s="81"/>
      <c r="H222" s="81"/>
      <c r="I222" s="81"/>
      <c r="J222" s="81"/>
      <c r="K222" s="118"/>
      <c r="L222" s="312"/>
      <c r="M222" s="81"/>
      <c r="N222" s="309"/>
      <c r="O222" s="309"/>
      <c r="P222" s="309"/>
      <c r="Q222" s="309"/>
    </row>
    <row r="223" spans="2:17" ht="12.75">
      <c r="B223" s="318"/>
      <c r="C223" s="317"/>
      <c r="D223" s="118"/>
      <c r="E223" s="118"/>
      <c r="F223" s="81"/>
      <c r="G223" s="81"/>
      <c r="H223" s="81"/>
      <c r="I223" s="81"/>
      <c r="J223" s="81"/>
      <c r="K223" s="118"/>
      <c r="L223" s="312"/>
      <c r="M223" s="81"/>
      <c r="N223" s="309"/>
      <c r="O223" s="309"/>
      <c r="P223" s="309"/>
      <c r="Q223" s="309"/>
    </row>
    <row r="224" spans="2:17" ht="12.75">
      <c r="B224" s="318"/>
      <c r="C224" s="317"/>
      <c r="D224" s="118"/>
      <c r="E224" s="118"/>
      <c r="F224" s="81"/>
      <c r="G224" s="81"/>
      <c r="H224" s="81"/>
      <c r="I224" s="81"/>
      <c r="J224" s="81"/>
      <c r="K224" s="118"/>
      <c r="L224" s="312"/>
      <c r="M224" s="81"/>
      <c r="N224" s="309"/>
      <c r="O224" s="309"/>
      <c r="P224" s="309"/>
      <c r="Q224" s="309"/>
    </row>
    <row r="225" spans="2:17" ht="12.75">
      <c r="B225" s="318"/>
      <c r="C225" s="317"/>
      <c r="D225" s="118"/>
      <c r="E225" s="118"/>
      <c r="F225" s="81"/>
      <c r="G225" s="81"/>
      <c r="H225" s="81"/>
      <c r="I225" s="81"/>
      <c r="J225" s="81"/>
      <c r="K225" s="118"/>
      <c r="L225" s="312"/>
      <c r="M225" s="81"/>
      <c r="N225" s="309"/>
      <c r="O225" s="309"/>
      <c r="P225" s="309"/>
      <c r="Q225" s="309"/>
    </row>
    <row r="226" spans="2:17" ht="12.75">
      <c r="B226" s="318"/>
      <c r="C226" s="317"/>
      <c r="D226" s="118"/>
      <c r="E226" s="118"/>
      <c r="F226" s="81"/>
      <c r="G226" s="81"/>
      <c r="H226" s="81"/>
      <c r="I226" s="81"/>
      <c r="J226" s="81"/>
      <c r="K226" s="118"/>
      <c r="L226" s="312"/>
      <c r="M226" s="81"/>
      <c r="N226" s="309"/>
      <c r="O226" s="309"/>
      <c r="P226" s="309"/>
      <c r="Q226" s="309"/>
    </row>
    <row r="227" spans="2:17" ht="12.75">
      <c r="B227" s="318"/>
      <c r="C227" s="317"/>
      <c r="D227" s="118"/>
      <c r="E227" s="118"/>
      <c r="F227" s="81"/>
      <c r="G227" s="81"/>
      <c r="H227" s="81"/>
      <c r="I227" s="81"/>
      <c r="J227" s="81"/>
      <c r="K227" s="118"/>
      <c r="L227" s="312"/>
      <c r="M227" s="81"/>
      <c r="N227" s="309"/>
      <c r="O227" s="309"/>
      <c r="P227" s="309"/>
      <c r="Q227" s="309"/>
    </row>
    <row r="228" spans="2:17" ht="12.75">
      <c r="B228" s="318"/>
      <c r="C228" s="317"/>
      <c r="D228" s="118"/>
      <c r="E228" s="118"/>
      <c r="F228" s="81"/>
      <c r="G228" s="81"/>
      <c r="H228" s="81"/>
      <c r="I228" s="81"/>
      <c r="J228" s="81"/>
      <c r="K228" s="118"/>
      <c r="L228" s="312"/>
      <c r="M228" s="81"/>
      <c r="N228" s="309"/>
      <c r="O228" s="309"/>
      <c r="P228" s="309"/>
      <c r="Q228" s="309"/>
    </row>
    <row r="229" spans="2:17" ht="12.75">
      <c r="B229" s="318"/>
      <c r="C229" s="317"/>
      <c r="D229" s="118"/>
      <c r="E229" s="118"/>
      <c r="F229" s="81"/>
      <c r="G229" s="81"/>
      <c r="H229" s="81"/>
      <c r="I229" s="81"/>
      <c r="J229" s="81"/>
      <c r="K229" s="118"/>
      <c r="L229" s="312"/>
      <c r="M229" s="81"/>
      <c r="N229" s="309"/>
      <c r="O229" s="309"/>
      <c r="P229" s="309"/>
      <c r="Q229" s="309"/>
    </row>
    <row r="230" spans="2:17" ht="12.75">
      <c r="B230" s="318"/>
      <c r="C230" s="317"/>
      <c r="D230" s="118"/>
      <c r="E230" s="118"/>
      <c r="F230" s="81"/>
      <c r="G230" s="81"/>
      <c r="H230" s="81"/>
      <c r="I230" s="81"/>
      <c r="J230" s="81"/>
      <c r="K230" s="118"/>
      <c r="L230" s="312"/>
      <c r="M230" s="81"/>
      <c r="N230" s="309"/>
      <c r="O230" s="309"/>
      <c r="P230" s="309"/>
      <c r="Q230" s="309"/>
    </row>
    <row r="231" spans="2:17" ht="12.75">
      <c r="B231" s="318"/>
      <c r="C231" s="317"/>
      <c r="D231" s="118"/>
      <c r="E231" s="118"/>
      <c r="F231" s="81"/>
      <c r="G231" s="81"/>
      <c r="H231" s="81"/>
      <c r="I231" s="81"/>
      <c r="J231" s="81"/>
      <c r="K231" s="118"/>
      <c r="L231" s="312"/>
      <c r="M231" s="81"/>
      <c r="N231" s="309"/>
      <c r="O231" s="309"/>
      <c r="P231" s="309"/>
      <c r="Q231" s="309"/>
    </row>
    <row r="232" spans="2:17" ht="12.75">
      <c r="B232" s="318"/>
      <c r="C232" s="317"/>
      <c r="D232" s="118"/>
      <c r="E232" s="118"/>
      <c r="F232" s="81"/>
      <c r="G232" s="81"/>
      <c r="H232" s="81"/>
      <c r="I232" s="81"/>
      <c r="J232" s="81"/>
      <c r="K232" s="118"/>
      <c r="L232" s="312"/>
      <c r="M232" s="81"/>
      <c r="N232" s="309"/>
      <c r="O232" s="309"/>
      <c r="P232" s="309"/>
      <c r="Q232" s="309"/>
    </row>
    <row r="233" spans="2:17" ht="12.75">
      <c r="B233" s="318"/>
      <c r="C233" s="317"/>
      <c r="D233" s="118"/>
      <c r="E233" s="118"/>
      <c r="F233" s="81"/>
      <c r="G233" s="81"/>
      <c r="H233" s="81"/>
      <c r="I233" s="81"/>
      <c r="J233" s="81"/>
      <c r="K233" s="118"/>
      <c r="L233" s="312"/>
      <c r="M233" s="81"/>
      <c r="N233" s="309"/>
      <c r="O233" s="309"/>
      <c r="P233" s="309"/>
      <c r="Q233" s="309"/>
    </row>
    <row r="234" spans="2:17" ht="12.75">
      <c r="B234" s="318"/>
      <c r="C234" s="317"/>
      <c r="D234" s="118"/>
      <c r="E234" s="118"/>
      <c r="F234" s="81"/>
      <c r="G234" s="81"/>
      <c r="H234" s="81"/>
      <c r="I234" s="81"/>
      <c r="J234" s="81"/>
      <c r="K234" s="118"/>
      <c r="L234" s="312"/>
      <c r="M234" s="81"/>
      <c r="N234" s="309"/>
      <c r="O234" s="309"/>
      <c r="P234" s="309"/>
      <c r="Q234" s="309"/>
    </row>
    <row r="235" spans="2:17" ht="12.75">
      <c r="B235" s="320"/>
      <c r="C235" s="321"/>
      <c r="D235" s="262"/>
      <c r="E235" s="262"/>
      <c r="F235" s="92"/>
      <c r="G235" s="92"/>
      <c r="H235" s="92"/>
      <c r="I235" s="92"/>
      <c r="J235" s="92"/>
      <c r="K235" s="262"/>
      <c r="L235" s="322"/>
      <c r="M235" s="92"/>
      <c r="N235" s="309"/>
      <c r="O235" s="309"/>
      <c r="P235" s="309"/>
      <c r="Q235" s="309"/>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workbookViewId="0" topLeftCell="A1">
      <selection activeCell="G75" sqref="G75"/>
    </sheetView>
  </sheetViews>
  <sheetFormatPr defaultColWidth="10.0039062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2.75">
      <c r="B3" s="1" t="s">
        <v>480</v>
      </c>
    </row>
    <row r="4" spans="2:15" ht="12.75">
      <c r="B4" s="323" t="s">
        <v>109</v>
      </c>
      <c r="C4" s="324"/>
      <c r="D4" s="70" t="s">
        <v>110</v>
      </c>
      <c r="E4" s="70" t="s">
        <v>111</v>
      </c>
      <c r="F4" s="70" t="s">
        <v>13</v>
      </c>
      <c r="G4" s="70" t="s">
        <v>112</v>
      </c>
      <c r="H4" s="70" t="s">
        <v>127</v>
      </c>
      <c r="I4" s="325" t="s">
        <v>114</v>
      </c>
      <c r="J4" s="326" t="s">
        <v>481</v>
      </c>
      <c r="K4" s="70" t="s">
        <v>116</v>
      </c>
      <c r="L4" s="326" t="s">
        <v>117</v>
      </c>
      <c r="M4" s="70" t="s">
        <v>32</v>
      </c>
      <c r="N4" s="326" t="s">
        <v>38</v>
      </c>
      <c r="O4" s="152" t="s">
        <v>151</v>
      </c>
    </row>
    <row r="5" spans="2:15" ht="12.75">
      <c r="B5" s="327" t="s">
        <v>131</v>
      </c>
      <c r="C5" s="328"/>
      <c r="D5" s="329">
        <v>0</v>
      </c>
      <c r="E5" s="330">
        <v>0</v>
      </c>
      <c r="F5" s="330">
        <v>0</v>
      </c>
      <c r="G5" s="330">
        <v>0</v>
      </c>
      <c r="H5" s="330">
        <v>0</v>
      </c>
      <c r="I5" s="331">
        <v>0</v>
      </c>
      <c r="J5" s="330">
        <v>0</v>
      </c>
      <c r="K5" s="330">
        <v>0</v>
      </c>
      <c r="L5" s="330">
        <v>0</v>
      </c>
      <c r="M5" s="330">
        <v>0</v>
      </c>
      <c r="N5" s="332">
        <v>0</v>
      </c>
      <c r="O5" s="190"/>
    </row>
    <row r="6" spans="2:15" ht="12.75">
      <c r="B6" s="305" t="s">
        <v>482</v>
      </c>
      <c r="C6" s="333"/>
      <c r="D6" s="250" t="s">
        <v>483</v>
      </c>
      <c r="E6" s="118" t="s">
        <v>484</v>
      </c>
      <c r="F6" s="81">
        <v>1</v>
      </c>
      <c r="G6" s="81">
        <v>3</v>
      </c>
      <c r="H6" s="81">
        <v>0</v>
      </c>
      <c r="I6" s="81">
        <v>0</v>
      </c>
      <c r="J6" s="81">
        <v>0</v>
      </c>
      <c r="K6" s="307">
        <v>0</v>
      </c>
      <c r="L6" s="312">
        <v>30000</v>
      </c>
      <c r="M6" s="81">
        <v>3</v>
      </c>
      <c r="N6" s="137">
        <v>1</v>
      </c>
      <c r="O6" s="192"/>
    </row>
    <row r="7" spans="2:15" ht="12.75">
      <c r="B7" s="305" t="s">
        <v>485</v>
      </c>
      <c r="C7" s="333"/>
      <c r="D7" s="250" t="s">
        <v>486</v>
      </c>
      <c r="E7" s="118" t="s">
        <v>484</v>
      </c>
      <c r="F7" s="81">
        <v>1</v>
      </c>
      <c r="G7" s="81">
        <v>4</v>
      </c>
      <c r="H7" s="81">
        <v>0</v>
      </c>
      <c r="I7" s="81">
        <v>0</v>
      </c>
      <c r="J7" s="81">
        <v>0</v>
      </c>
      <c r="K7" s="307">
        <v>0</v>
      </c>
      <c r="L7" s="312">
        <v>50000</v>
      </c>
      <c r="M7" s="81">
        <v>4</v>
      </c>
      <c r="N7" s="137">
        <v>0</v>
      </c>
      <c r="O7" s="192"/>
    </row>
    <row r="8" spans="2:15" ht="12.75">
      <c r="B8" s="305" t="s">
        <v>487</v>
      </c>
      <c r="C8" s="333"/>
      <c r="D8" s="250" t="s">
        <v>486</v>
      </c>
      <c r="E8" s="118" t="s">
        <v>484</v>
      </c>
      <c r="F8" s="81">
        <v>2</v>
      </c>
      <c r="G8" s="81">
        <v>15</v>
      </c>
      <c r="H8" s="81">
        <v>-8</v>
      </c>
      <c r="I8" s="81">
        <v>0</v>
      </c>
      <c r="J8" s="81">
        <v>0</v>
      </c>
      <c r="K8" s="307">
        <v>0</v>
      </c>
      <c r="L8" s="312">
        <v>200000</v>
      </c>
      <c r="M8" s="81">
        <v>15</v>
      </c>
      <c r="N8" s="137">
        <v>0</v>
      </c>
      <c r="O8" s="192"/>
    </row>
    <row r="9" spans="2:15" ht="12.75">
      <c r="B9" s="305" t="s">
        <v>488</v>
      </c>
      <c r="C9" s="333"/>
      <c r="D9" s="250" t="s">
        <v>486</v>
      </c>
      <c r="E9" s="118" t="s">
        <v>484</v>
      </c>
      <c r="F9" s="81">
        <v>2</v>
      </c>
      <c r="G9" s="81">
        <v>6</v>
      </c>
      <c r="H9" s="81">
        <v>-1</v>
      </c>
      <c r="I9" s="81">
        <v>0</v>
      </c>
      <c r="J9" s="81">
        <v>0</v>
      </c>
      <c r="K9" s="307">
        <v>0</v>
      </c>
      <c r="L9" s="312">
        <v>70000</v>
      </c>
      <c r="M9" s="81">
        <v>6</v>
      </c>
      <c r="N9" s="137">
        <v>0</v>
      </c>
      <c r="O9" s="192"/>
    </row>
    <row r="10" spans="2:15" ht="12.75">
      <c r="B10" s="305" t="s">
        <v>489</v>
      </c>
      <c r="C10" s="333"/>
      <c r="D10" s="250" t="s">
        <v>483</v>
      </c>
      <c r="E10" s="118" t="s">
        <v>484</v>
      </c>
      <c r="F10" s="81">
        <v>2</v>
      </c>
      <c r="G10" s="81">
        <v>2</v>
      </c>
      <c r="H10" s="81">
        <v>0</v>
      </c>
      <c r="I10" s="81">
        <v>0</v>
      </c>
      <c r="J10" s="81">
        <v>0</v>
      </c>
      <c r="K10" s="307">
        <v>0</v>
      </c>
      <c r="L10" s="312">
        <v>90000</v>
      </c>
      <c r="M10" s="81">
        <v>6</v>
      </c>
      <c r="N10" s="137">
        <v>1</v>
      </c>
      <c r="O10" s="192"/>
    </row>
    <row r="11" spans="2:15" ht="12.75">
      <c r="B11" s="305" t="s">
        <v>490</v>
      </c>
      <c r="C11" s="333"/>
      <c r="D11" s="250" t="s">
        <v>486</v>
      </c>
      <c r="E11" s="118" t="s">
        <v>484</v>
      </c>
      <c r="F11" s="81">
        <v>3</v>
      </c>
      <c r="G11" s="81">
        <v>7</v>
      </c>
      <c r="H11" s="81">
        <v>-1</v>
      </c>
      <c r="I11" s="81">
        <v>0</v>
      </c>
      <c r="J11" s="81">
        <v>0</v>
      </c>
      <c r="K11" s="307">
        <v>0</v>
      </c>
      <c r="L11" s="312">
        <v>120000</v>
      </c>
      <c r="M11" s="81">
        <v>8</v>
      </c>
      <c r="N11" s="137">
        <v>0</v>
      </c>
      <c r="O11" s="192"/>
    </row>
    <row r="12" spans="2:15" ht="12.75">
      <c r="B12" s="305" t="s">
        <v>491</v>
      </c>
      <c r="C12" s="333"/>
      <c r="D12" s="250" t="s">
        <v>486</v>
      </c>
      <c r="E12" s="118" t="s">
        <v>484</v>
      </c>
      <c r="F12" s="81">
        <v>4</v>
      </c>
      <c r="G12" s="81">
        <v>10</v>
      </c>
      <c r="H12" s="81">
        <v>-2</v>
      </c>
      <c r="I12" s="81">
        <v>0</v>
      </c>
      <c r="J12" s="81">
        <v>0</v>
      </c>
      <c r="K12" s="307">
        <v>0</v>
      </c>
      <c r="L12" s="312">
        <v>150000</v>
      </c>
      <c r="M12" s="81">
        <v>10</v>
      </c>
      <c r="N12" s="137">
        <v>0</v>
      </c>
      <c r="O12" s="192"/>
    </row>
    <row r="13" spans="2:15" ht="12.75">
      <c r="B13" s="305" t="s">
        <v>129</v>
      </c>
      <c r="C13" s="333"/>
      <c r="D13" s="250" t="s">
        <v>483</v>
      </c>
      <c r="E13" s="118" t="s">
        <v>484</v>
      </c>
      <c r="F13" s="81">
        <v>4</v>
      </c>
      <c r="G13" s="81">
        <v>4</v>
      </c>
      <c r="H13" s="81">
        <v>0</v>
      </c>
      <c r="I13" s="81">
        <v>0</v>
      </c>
      <c r="J13" s="81">
        <v>0</v>
      </c>
      <c r="K13" s="307">
        <v>0</v>
      </c>
      <c r="L13" s="312">
        <v>200000</v>
      </c>
      <c r="M13" s="81">
        <v>8</v>
      </c>
      <c r="N13" s="137">
        <v>2</v>
      </c>
      <c r="O13" s="192"/>
    </row>
    <row r="14" spans="2:15" ht="12.75">
      <c r="B14" s="305" t="s">
        <v>492</v>
      </c>
      <c r="C14" s="333"/>
      <c r="D14" s="250" t="s">
        <v>486</v>
      </c>
      <c r="E14" s="118" t="s">
        <v>484</v>
      </c>
      <c r="F14" s="81">
        <v>5</v>
      </c>
      <c r="G14" s="81">
        <v>11</v>
      </c>
      <c r="H14" s="81">
        <v>-1</v>
      </c>
      <c r="I14" s="81">
        <v>0</v>
      </c>
      <c r="J14" s="81">
        <v>0</v>
      </c>
      <c r="K14" s="334">
        <v>0</v>
      </c>
      <c r="L14" s="312">
        <v>260000</v>
      </c>
      <c r="M14" s="81">
        <v>12</v>
      </c>
      <c r="N14" s="137">
        <v>1</v>
      </c>
      <c r="O14" s="192"/>
    </row>
    <row r="15" spans="2:15" ht="12.75">
      <c r="B15" s="305" t="s">
        <v>493</v>
      </c>
      <c r="C15" s="333"/>
      <c r="D15" s="250" t="s">
        <v>483</v>
      </c>
      <c r="E15" s="118" t="s">
        <v>484</v>
      </c>
      <c r="F15" s="81">
        <v>6</v>
      </c>
      <c r="G15" s="81">
        <v>6</v>
      </c>
      <c r="H15" s="81">
        <v>0</v>
      </c>
      <c r="I15" s="81">
        <v>0</v>
      </c>
      <c r="J15" s="81">
        <v>0</v>
      </c>
      <c r="K15" s="334">
        <v>0</v>
      </c>
      <c r="L15" s="312">
        <v>320000</v>
      </c>
      <c r="M15" s="81">
        <v>10</v>
      </c>
      <c r="N15" s="137">
        <v>3</v>
      </c>
      <c r="O15" s="192"/>
    </row>
    <row r="16" spans="2:15" ht="12.75">
      <c r="B16" s="316" t="s">
        <v>494</v>
      </c>
      <c r="C16" s="335"/>
      <c r="D16" s="336" t="s">
        <v>486</v>
      </c>
      <c r="E16" s="118" t="s">
        <v>484</v>
      </c>
      <c r="F16" s="290">
        <v>3</v>
      </c>
      <c r="G16" s="290">
        <v>4</v>
      </c>
      <c r="H16" s="290">
        <v>0</v>
      </c>
      <c r="I16" s="290">
        <v>0</v>
      </c>
      <c r="J16" s="290">
        <v>0</v>
      </c>
      <c r="K16" s="307">
        <v>0</v>
      </c>
      <c r="L16" s="312">
        <v>320000</v>
      </c>
      <c r="M16" s="290">
        <v>8</v>
      </c>
      <c r="N16" s="291">
        <v>0</v>
      </c>
      <c r="O16" s="192"/>
    </row>
    <row r="17" spans="2:15" ht="12.75">
      <c r="B17" s="316" t="s">
        <v>495</v>
      </c>
      <c r="C17" s="335"/>
      <c r="D17" s="337" t="s">
        <v>486</v>
      </c>
      <c r="E17" s="118" t="s">
        <v>484</v>
      </c>
      <c r="F17" s="338">
        <v>5</v>
      </c>
      <c r="G17" s="338">
        <v>10</v>
      </c>
      <c r="H17" s="314">
        <v>0</v>
      </c>
      <c r="I17" s="314">
        <v>0</v>
      </c>
      <c r="J17" s="338">
        <v>0</v>
      </c>
      <c r="K17" s="307">
        <v>0</v>
      </c>
      <c r="L17" s="315">
        <v>440000</v>
      </c>
      <c r="M17" s="338">
        <v>13</v>
      </c>
      <c r="N17" s="339">
        <v>2</v>
      </c>
      <c r="O17" s="192"/>
    </row>
    <row r="18" spans="2:15" ht="12.75">
      <c r="B18" s="318" t="s">
        <v>496</v>
      </c>
      <c r="C18" s="335"/>
      <c r="D18" s="336" t="s">
        <v>486</v>
      </c>
      <c r="E18" s="118" t="s">
        <v>484</v>
      </c>
      <c r="F18" s="314">
        <v>7</v>
      </c>
      <c r="G18" s="314">
        <v>9</v>
      </c>
      <c r="H18" s="314">
        <v>0</v>
      </c>
      <c r="I18" s="314">
        <v>0</v>
      </c>
      <c r="J18" s="314">
        <v>0</v>
      </c>
      <c r="K18" s="307">
        <v>0</v>
      </c>
      <c r="L18" s="315">
        <v>520000</v>
      </c>
      <c r="M18" s="314">
        <v>12</v>
      </c>
      <c r="N18" s="340">
        <v>4</v>
      </c>
      <c r="O18" s="84"/>
    </row>
    <row r="19" spans="2:15" ht="12.75">
      <c r="B19" s="319" t="s">
        <v>497</v>
      </c>
      <c r="C19" s="335"/>
      <c r="D19" s="336" t="s">
        <v>486</v>
      </c>
      <c r="E19" s="118" t="s">
        <v>484</v>
      </c>
      <c r="F19" s="290">
        <v>7</v>
      </c>
      <c r="G19" s="290">
        <v>9</v>
      </c>
      <c r="H19" s="290">
        <v>-1</v>
      </c>
      <c r="I19" s="290">
        <v>0</v>
      </c>
      <c r="J19" s="290">
        <v>0</v>
      </c>
      <c r="K19" s="307">
        <v>0</v>
      </c>
      <c r="L19" s="312">
        <v>560000</v>
      </c>
      <c r="M19" s="290">
        <v>12</v>
      </c>
      <c r="N19" s="291">
        <v>6</v>
      </c>
      <c r="O19" s="84"/>
    </row>
    <row r="20" spans="2:15" ht="12.75">
      <c r="B20" s="319" t="s">
        <v>498</v>
      </c>
      <c r="C20" s="335"/>
      <c r="D20" s="337" t="s">
        <v>483</v>
      </c>
      <c r="E20" s="118" t="s">
        <v>484</v>
      </c>
      <c r="F20" s="290">
        <v>7</v>
      </c>
      <c r="G20" s="290">
        <v>3</v>
      </c>
      <c r="H20" s="290">
        <v>1</v>
      </c>
      <c r="I20" s="290">
        <v>0</v>
      </c>
      <c r="J20" s="290">
        <v>0</v>
      </c>
      <c r="K20" s="307">
        <v>0</v>
      </c>
      <c r="L20" s="312">
        <v>730000</v>
      </c>
      <c r="M20" s="290">
        <v>4</v>
      </c>
      <c r="N20" s="291">
        <v>5</v>
      </c>
      <c r="O20" s="84"/>
    </row>
    <row r="21" spans="2:15" ht="12.75">
      <c r="B21" s="319" t="s">
        <v>499</v>
      </c>
      <c r="C21" s="335"/>
      <c r="D21" s="336" t="s">
        <v>486</v>
      </c>
      <c r="E21" s="118" t="s">
        <v>484</v>
      </c>
      <c r="F21" s="290">
        <v>8</v>
      </c>
      <c r="G21" s="290">
        <v>12</v>
      </c>
      <c r="H21" s="290">
        <v>0</v>
      </c>
      <c r="I21" s="290">
        <v>0</v>
      </c>
      <c r="J21" s="290">
        <v>0</v>
      </c>
      <c r="K21" s="307">
        <v>0</v>
      </c>
      <c r="L21" s="312">
        <v>750000</v>
      </c>
      <c r="M21" s="290">
        <v>13</v>
      </c>
      <c r="N21" s="291">
        <v>4</v>
      </c>
      <c r="O21" s="84"/>
    </row>
    <row r="22" spans="2:15" ht="12.75">
      <c r="B22" s="319" t="s">
        <v>500</v>
      </c>
      <c r="C22" s="335"/>
      <c r="D22" s="336" t="s">
        <v>486</v>
      </c>
      <c r="E22" s="118" t="s">
        <v>484</v>
      </c>
      <c r="F22" s="290">
        <v>8</v>
      </c>
      <c r="G22" s="290">
        <v>12</v>
      </c>
      <c r="H22" s="290">
        <v>-1</v>
      </c>
      <c r="I22" s="290">
        <v>0</v>
      </c>
      <c r="J22" s="290">
        <v>0</v>
      </c>
      <c r="K22" s="307">
        <v>0</v>
      </c>
      <c r="L22" s="312">
        <v>800000</v>
      </c>
      <c r="M22" s="290">
        <v>13</v>
      </c>
      <c r="N22" s="291">
        <v>5</v>
      </c>
      <c r="O22" s="84"/>
    </row>
    <row r="23" spans="2:15" ht="12.75">
      <c r="B23" s="319" t="s">
        <v>501</v>
      </c>
      <c r="C23" s="335"/>
      <c r="D23" s="336" t="s">
        <v>486</v>
      </c>
      <c r="E23" s="118" t="s">
        <v>484</v>
      </c>
      <c r="F23" s="290">
        <v>9</v>
      </c>
      <c r="G23" s="290">
        <v>18</v>
      </c>
      <c r="H23" s="290">
        <v>-2</v>
      </c>
      <c r="I23" s="290">
        <v>0</v>
      </c>
      <c r="J23" s="290">
        <v>0</v>
      </c>
      <c r="K23" s="307">
        <v>0</v>
      </c>
      <c r="L23" s="312">
        <v>1200000</v>
      </c>
      <c r="M23" s="290">
        <v>22</v>
      </c>
      <c r="N23" s="291">
        <v>0</v>
      </c>
      <c r="O23" s="167"/>
    </row>
    <row r="24" spans="2:15" ht="12.75">
      <c r="B24" s="319" t="s">
        <v>502</v>
      </c>
      <c r="C24" s="335"/>
      <c r="D24" s="336" t="s">
        <v>486</v>
      </c>
      <c r="E24" s="118" t="s">
        <v>484</v>
      </c>
      <c r="F24" s="290">
        <v>9</v>
      </c>
      <c r="G24" s="290">
        <v>14</v>
      </c>
      <c r="H24" s="290">
        <v>-1</v>
      </c>
      <c r="I24" s="81">
        <v>0</v>
      </c>
      <c r="J24" s="81">
        <v>0</v>
      </c>
      <c r="K24" s="334">
        <v>0</v>
      </c>
      <c r="L24" s="312">
        <v>940000</v>
      </c>
      <c r="M24" s="290">
        <v>16</v>
      </c>
      <c r="N24" s="291">
        <v>4</v>
      </c>
      <c r="O24" s="84"/>
    </row>
    <row r="25" spans="2:15" ht="12.75">
      <c r="B25" s="319" t="s">
        <v>503</v>
      </c>
      <c r="C25" s="335"/>
      <c r="D25" s="337" t="s">
        <v>483</v>
      </c>
      <c r="E25" s="118" t="s">
        <v>484</v>
      </c>
      <c r="F25" s="290">
        <v>9</v>
      </c>
      <c r="G25" s="290">
        <v>5</v>
      </c>
      <c r="H25" s="290">
        <v>0</v>
      </c>
      <c r="I25" s="81">
        <v>0</v>
      </c>
      <c r="J25" s="81">
        <v>0</v>
      </c>
      <c r="K25" s="307">
        <v>0</v>
      </c>
      <c r="L25" s="312">
        <v>980000</v>
      </c>
      <c r="M25" s="290">
        <f>2+キャラクターシート!K19</f>
        <v>8</v>
      </c>
      <c r="N25" s="291">
        <f>2+キャラクターシート!K19</f>
        <v>8</v>
      </c>
      <c r="O25" s="84"/>
    </row>
    <row r="26" spans="2:15" ht="12.75">
      <c r="B26" s="319" t="s">
        <v>504</v>
      </c>
      <c r="C26" s="335"/>
      <c r="D26" s="336" t="s">
        <v>486</v>
      </c>
      <c r="E26" s="118" t="s">
        <v>484</v>
      </c>
      <c r="F26" s="290">
        <v>10</v>
      </c>
      <c r="G26" s="290">
        <v>13</v>
      </c>
      <c r="H26" s="290">
        <v>-2</v>
      </c>
      <c r="I26" s="81">
        <v>0</v>
      </c>
      <c r="J26" s="81">
        <v>0</v>
      </c>
      <c r="K26" s="307">
        <v>0</v>
      </c>
      <c r="L26" s="312">
        <v>1280000</v>
      </c>
      <c r="M26" s="290">
        <v>12</v>
      </c>
      <c r="N26" s="291">
        <v>3</v>
      </c>
      <c r="O26" s="84"/>
    </row>
    <row r="27" spans="2:15" ht="12.75">
      <c r="B27" s="319" t="s">
        <v>505</v>
      </c>
      <c r="C27" s="335"/>
      <c r="D27" s="337" t="s">
        <v>483</v>
      </c>
      <c r="E27" s="118" t="s">
        <v>484</v>
      </c>
      <c r="F27" s="290">
        <v>11</v>
      </c>
      <c r="G27" s="290">
        <v>6</v>
      </c>
      <c r="H27" s="290">
        <v>0</v>
      </c>
      <c r="I27" s="81">
        <v>0</v>
      </c>
      <c r="J27" s="81">
        <v>1</v>
      </c>
      <c r="K27" s="307">
        <v>0</v>
      </c>
      <c r="L27" s="312">
        <v>940000</v>
      </c>
      <c r="M27" s="290">
        <v>7</v>
      </c>
      <c r="N27" s="291">
        <v>8</v>
      </c>
      <c r="O27" s="84"/>
    </row>
    <row r="28" spans="2:15" ht="12.75">
      <c r="B28" s="319" t="s">
        <v>506</v>
      </c>
      <c r="C28" s="335"/>
      <c r="D28" s="336" t="s">
        <v>486</v>
      </c>
      <c r="E28" s="118" t="s">
        <v>484</v>
      </c>
      <c r="F28" s="290">
        <v>11</v>
      </c>
      <c r="G28" s="290">
        <v>28</v>
      </c>
      <c r="H28" s="290">
        <v>-6</v>
      </c>
      <c r="I28" s="290">
        <v>0</v>
      </c>
      <c r="J28" s="290">
        <v>0</v>
      </c>
      <c r="K28" s="307">
        <v>0</v>
      </c>
      <c r="L28" s="312">
        <v>1300000</v>
      </c>
      <c r="M28" s="290">
        <v>28</v>
      </c>
      <c r="N28" s="291">
        <v>0</v>
      </c>
      <c r="O28" s="84"/>
    </row>
    <row r="29" spans="2:15" ht="12.75">
      <c r="B29" s="319" t="s">
        <v>507</v>
      </c>
      <c r="C29" s="335"/>
      <c r="D29" s="337" t="s">
        <v>486</v>
      </c>
      <c r="E29" s="118" t="s">
        <v>484</v>
      </c>
      <c r="F29" s="290">
        <v>12</v>
      </c>
      <c r="G29" s="290">
        <v>16</v>
      </c>
      <c r="H29" s="290">
        <v>-1</v>
      </c>
      <c r="I29" s="314">
        <v>0</v>
      </c>
      <c r="J29" s="314">
        <v>0</v>
      </c>
      <c r="K29" s="307">
        <v>0</v>
      </c>
      <c r="L29" s="312">
        <v>1400000</v>
      </c>
      <c r="M29" s="290">
        <v>20</v>
      </c>
      <c r="N29" s="291">
        <v>6</v>
      </c>
      <c r="O29" s="84"/>
    </row>
    <row r="30" spans="2:15" ht="12.75">
      <c r="B30" s="319" t="s">
        <v>508</v>
      </c>
      <c r="C30" s="335"/>
      <c r="D30" s="336" t="s">
        <v>486</v>
      </c>
      <c r="E30" s="118" t="s">
        <v>484</v>
      </c>
      <c r="F30" s="290">
        <v>12</v>
      </c>
      <c r="G30" s="290">
        <v>15</v>
      </c>
      <c r="H30" s="290">
        <v>-1</v>
      </c>
      <c r="I30" s="314">
        <v>0</v>
      </c>
      <c r="J30" s="314">
        <v>0</v>
      </c>
      <c r="K30" s="307">
        <v>0</v>
      </c>
      <c r="L30" s="312">
        <v>1450000</v>
      </c>
      <c r="M30" s="290">
        <v>17</v>
      </c>
      <c r="N30" s="291">
        <v>5</v>
      </c>
      <c r="O30" s="84"/>
    </row>
    <row r="31" spans="2:15" ht="12.75">
      <c r="B31" s="319" t="s">
        <v>509</v>
      </c>
      <c r="C31" s="335"/>
      <c r="D31" s="337" t="s">
        <v>483</v>
      </c>
      <c r="E31" s="118" t="s">
        <v>484</v>
      </c>
      <c r="F31" s="290">
        <v>12</v>
      </c>
      <c r="G31" s="290">
        <v>5</v>
      </c>
      <c r="H31" s="290">
        <v>0</v>
      </c>
      <c r="I31" s="290">
        <v>0</v>
      </c>
      <c r="J31" s="290">
        <v>0</v>
      </c>
      <c r="K31" s="307">
        <v>0</v>
      </c>
      <c r="L31" s="312">
        <v>1400000</v>
      </c>
      <c r="M31" s="290">
        <v>2</v>
      </c>
      <c r="N31" s="291">
        <v>-6</v>
      </c>
      <c r="O31" s="84"/>
    </row>
    <row r="32" spans="2:15" ht="12.75">
      <c r="B32" s="319" t="s">
        <v>510</v>
      </c>
      <c r="C32" s="335"/>
      <c r="D32" s="336" t="s">
        <v>486</v>
      </c>
      <c r="E32" s="118" t="s">
        <v>484</v>
      </c>
      <c r="F32" s="290">
        <v>13</v>
      </c>
      <c r="G32" s="290">
        <v>15</v>
      </c>
      <c r="H32" s="290">
        <v>-2</v>
      </c>
      <c r="I32" s="290">
        <v>0</v>
      </c>
      <c r="J32" s="290">
        <v>0</v>
      </c>
      <c r="K32" s="307">
        <v>0</v>
      </c>
      <c r="L32" s="312">
        <v>1780000</v>
      </c>
      <c r="M32" s="290">
        <v>18</v>
      </c>
      <c r="N32" s="291">
        <v>7</v>
      </c>
      <c r="O32" s="84"/>
    </row>
    <row r="33" spans="2:15" ht="12.75">
      <c r="B33" s="319" t="s">
        <v>511</v>
      </c>
      <c r="C33" s="335"/>
      <c r="D33" s="337" t="s">
        <v>483</v>
      </c>
      <c r="E33" s="118" t="s">
        <v>484</v>
      </c>
      <c r="F33" s="290">
        <v>13</v>
      </c>
      <c r="G33" s="290">
        <v>6</v>
      </c>
      <c r="H33" s="290">
        <v>0</v>
      </c>
      <c r="I33" s="290">
        <v>0</v>
      </c>
      <c r="J33" s="290">
        <v>0</v>
      </c>
      <c r="K33" s="334">
        <v>0</v>
      </c>
      <c r="L33" s="312">
        <v>1550000</v>
      </c>
      <c r="M33" s="290">
        <v>12</v>
      </c>
      <c r="N33" s="291">
        <v>10</v>
      </c>
      <c r="O33" s="84"/>
    </row>
    <row r="34" spans="2:15" ht="12.75">
      <c r="B34" s="319" t="s">
        <v>512</v>
      </c>
      <c r="C34" s="335"/>
      <c r="D34" s="336" t="s">
        <v>486</v>
      </c>
      <c r="E34" s="118" t="s">
        <v>484</v>
      </c>
      <c r="F34" s="290">
        <v>14</v>
      </c>
      <c r="G34" s="290">
        <v>13</v>
      </c>
      <c r="H34" s="290">
        <v>-1</v>
      </c>
      <c r="I34" s="290">
        <v>0</v>
      </c>
      <c r="J34" s="290">
        <v>0</v>
      </c>
      <c r="K34" s="334">
        <v>0</v>
      </c>
      <c r="L34" s="312">
        <v>1900000</v>
      </c>
      <c r="M34" s="290">
        <v>20</v>
      </c>
      <c r="N34" s="291">
        <v>7</v>
      </c>
      <c r="O34" s="84"/>
    </row>
    <row r="35" spans="2:15" ht="12.75">
      <c r="B35" s="319" t="s">
        <v>513</v>
      </c>
      <c r="C35" s="335"/>
      <c r="D35" s="337" t="s">
        <v>483</v>
      </c>
      <c r="E35" s="118" t="s">
        <v>484</v>
      </c>
      <c r="F35" s="290">
        <v>14</v>
      </c>
      <c r="G35" s="290">
        <v>5</v>
      </c>
      <c r="H35" s="290">
        <v>0</v>
      </c>
      <c r="I35" s="290">
        <v>0</v>
      </c>
      <c r="J35" s="290">
        <v>0</v>
      </c>
      <c r="K35" s="307">
        <v>0</v>
      </c>
      <c r="L35" s="312">
        <v>1800000</v>
      </c>
      <c r="M35" s="290">
        <v>6</v>
      </c>
      <c r="N35" s="291">
        <v>12</v>
      </c>
      <c r="O35" s="84"/>
    </row>
    <row r="36" spans="2:15" ht="12.75">
      <c r="B36" s="319"/>
      <c r="C36" s="335"/>
      <c r="D36" s="250"/>
      <c r="E36" s="118"/>
      <c r="F36" s="290"/>
      <c r="G36" s="290"/>
      <c r="H36" s="290"/>
      <c r="I36" s="290"/>
      <c r="J36" s="290"/>
      <c r="K36" s="307">
        <v>0</v>
      </c>
      <c r="L36" s="312">
        <v>0</v>
      </c>
      <c r="M36" s="290">
        <v>0</v>
      </c>
      <c r="N36" s="291"/>
      <c r="O36" s="84"/>
    </row>
    <row r="37" spans="2:15" ht="12.75">
      <c r="B37" s="319"/>
      <c r="C37" s="335"/>
      <c r="D37" s="250"/>
      <c r="E37" s="118"/>
      <c r="F37" s="290"/>
      <c r="G37" s="290"/>
      <c r="H37" s="290"/>
      <c r="I37" s="290"/>
      <c r="J37" s="290"/>
      <c r="K37" s="307">
        <v>0</v>
      </c>
      <c r="L37" s="312">
        <v>0</v>
      </c>
      <c r="M37" s="290">
        <v>0</v>
      </c>
      <c r="N37" s="291"/>
      <c r="O37" s="84"/>
    </row>
    <row r="38" spans="2:15" ht="12.75">
      <c r="B38" s="319"/>
      <c r="C38" s="335"/>
      <c r="D38" s="250"/>
      <c r="E38" s="118"/>
      <c r="F38" s="290"/>
      <c r="G38" s="290"/>
      <c r="H38" s="290"/>
      <c r="I38" s="290"/>
      <c r="J38" s="290"/>
      <c r="K38" s="307">
        <v>0</v>
      </c>
      <c r="L38" s="312">
        <v>0</v>
      </c>
      <c r="M38" s="290">
        <v>0</v>
      </c>
      <c r="N38" s="291"/>
      <c r="O38" s="84"/>
    </row>
    <row r="39" spans="2:15" ht="12.75">
      <c r="B39" s="319"/>
      <c r="C39" s="335"/>
      <c r="D39" s="250"/>
      <c r="E39" s="118"/>
      <c r="F39" s="290"/>
      <c r="G39" s="290"/>
      <c r="H39" s="290"/>
      <c r="I39" s="290"/>
      <c r="J39" s="290"/>
      <c r="K39" s="307">
        <v>0</v>
      </c>
      <c r="L39" s="312">
        <v>0</v>
      </c>
      <c r="M39" s="290">
        <v>0</v>
      </c>
      <c r="N39" s="291"/>
      <c r="O39" s="84"/>
    </row>
    <row r="40" spans="2:15" ht="12.75">
      <c r="B40" s="319"/>
      <c r="C40" s="335"/>
      <c r="D40" s="250"/>
      <c r="E40" s="118"/>
      <c r="F40" s="290"/>
      <c r="G40" s="290"/>
      <c r="H40" s="290"/>
      <c r="I40" s="290"/>
      <c r="J40" s="290"/>
      <c r="K40" s="307">
        <v>0</v>
      </c>
      <c r="L40" s="312">
        <v>0</v>
      </c>
      <c r="M40" s="290">
        <v>0</v>
      </c>
      <c r="N40" s="291"/>
      <c r="O40" s="84"/>
    </row>
    <row r="41" spans="2:15" ht="12.75">
      <c r="B41" s="319"/>
      <c r="C41" s="335"/>
      <c r="D41" s="250"/>
      <c r="E41" s="118"/>
      <c r="F41" s="290"/>
      <c r="G41" s="290"/>
      <c r="H41" s="290"/>
      <c r="I41" s="290"/>
      <c r="J41" s="290"/>
      <c r="K41" s="307">
        <v>0</v>
      </c>
      <c r="L41" s="312">
        <v>0</v>
      </c>
      <c r="M41" s="290">
        <v>0</v>
      </c>
      <c r="N41" s="291"/>
      <c r="O41" s="84"/>
    </row>
    <row r="42" spans="2:15" ht="12.75">
      <c r="B42" s="319"/>
      <c r="C42" s="335"/>
      <c r="D42" s="341"/>
      <c r="E42" s="262"/>
      <c r="F42" s="297"/>
      <c r="G42" s="297"/>
      <c r="H42" s="297"/>
      <c r="I42" s="297"/>
      <c r="J42" s="297"/>
      <c r="K42" s="342">
        <v>0</v>
      </c>
      <c r="L42" s="322">
        <v>0</v>
      </c>
      <c r="M42" s="297">
        <v>0</v>
      </c>
      <c r="N42" s="298"/>
      <c r="O42" s="84"/>
    </row>
    <row r="43" spans="2:15" ht="12.75">
      <c r="B43" s="327" t="s">
        <v>131</v>
      </c>
      <c r="C43" s="328"/>
      <c r="D43" s="329">
        <v>0</v>
      </c>
      <c r="E43" s="330">
        <v>0</v>
      </c>
      <c r="F43" s="330">
        <v>0</v>
      </c>
      <c r="G43" s="330">
        <v>0</v>
      </c>
      <c r="H43" s="330">
        <v>0</v>
      </c>
      <c r="I43" s="331">
        <v>0</v>
      </c>
      <c r="J43" s="330">
        <v>0</v>
      </c>
      <c r="K43" s="307">
        <v>0</v>
      </c>
      <c r="L43" s="330">
        <v>0</v>
      </c>
      <c r="M43" s="330">
        <v>0</v>
      </c>
      <c r="N43" s="332">
        <v>0</v>
      </c>
      <c r="O43" s="190"/>
    </row>
    <row r="44" spans="2:15" ht="12.75">
      <c r="B44" s="305" t="s">
        <v>514</v>
      </c>
      <c r="C44" s="333"/>
      <c r="D44" s="250" t="s">
        <v>515</v>
      </c>
      <c r="E44" s="118" t="s">
        <v>130</v>
      </c>
      <c r="F44" s="81">
        <v>1</v>
      </c>
      <c r="G44" s="81">
        <v>2</v>
      </c>
      <c r="H44" s="81">
        <v>0</v>
      </c>
      <c r="I44" s="81">
        <v>0</v>
      </c>
      <c r="J44" s="81">
        <v>0</v>
      </c>
      <c r="K44" s="307">
        <v>0</v>
      </c>
      <c r="L44" s="312">
        <v>10000</v>
      </c>
      <c r="M44" s="81">
        <v>1</v>
      </c>
      <c r="N44" s="137">
        <v>0</v>
      </c>
      <c r="O44" s="192"/>
    </row>
    <row r="45" spans="2:15" ht="12.75">
      <c r="B45" s="305" t="s">
        <v>516</v>
      </c>
      <c r="C45" s="333"/>
      <c r="D45" s="250" t="s">
        <v>515</v>
      </c>
      <c r="E45" s="118" t="s">
        <v>130</v>
      </c>
      <c r="F45" s="81">
        <v>1</v>
      </c>
      <c r="G45" s="81">
        <v>4</v>
      </c>
      <c r="H45" s="81">
        <v>0</v>
      </c>
      <c r="I45" s="81">
        <v>0</v>
      </c>
      <c r="J45" s="81">
        <v>0</v>
      </c>
      <c r="K45" s="307">
        <v>0</v>
      </c>
      <c r="L45" s="312">
        <v>30000</v>
      </c>
      <c r="M45" s="81">
        <v>2</v>
      </c>
      <c r="N45" s="137">
        <v>0</v>
      </c>
      <c r="O45" s="192"/>
    </row>
    <row r="46" spans="2:15" ht="12.75">
      <c r="B46" s="305" t="s">
        <v>517</v>
      </c>
      <c r="C46" s="333"/>
      <c r="D46" s="250" t="s">
        <v>515</v>
      </c>
      <c r="E46" s="118" t="s">
        <v>130</v>
      </c>
      <c r="F46" s="81">
        <v>3</v>
      </c>
      <c r="G46" s="81">
        <v>5</v>
      </c>
      <c r="H46" s="81">
        <v>-1</v>
      </c>
      <c r="I46" s="81">
        <v>0</v>
      </c>
      <c r="J46" s="81">
        <v>0</v>
      </c>
      <c r="K46" s="307">
        <v>0</v>
      </c>
      <c r="L46" s="312">
        <v>50000</v>
      </c>
      <c r="M46" s="81">
        <v>5</v>
      </c>
      <c r="N46" s="137">
        <v>0</v>
      </c>
      <c r="O46" s="192"/>
    </row>
    <row r="47" spans="2:15" ht="12.75">
      <c r="B47" s="305" t="s">
        <v>518</v>
      </c>
      <c r="C47" s="333"/>
      <c r="D47" s="250" t="s">
        <v>515</v>
      </c>
      <c r="E47" s="118" t="s">
        <v>130</v>
      </c>
      <c r="F47" s="81">
        <v>5</v>
      </c>
      <c r="G47" s="81">
        <v>2</v>
      </c>
      <c r="H47" s="81">
        <v>0</v>
      </c>
      <c r="I47" s="81">
        <v>0</v>
      </c>
      <c r="J47" s="81">
        <v>0</v>
      </c>
      <c r="K47" s="307">
        <v>0</v>
      </c>
      <c r="L47" s="312">
        <v>200000</v>
      </c>
      <c r="M47" s="81">
        <v>2</v>
      </c>
      <c r="N47" s="137">
        <v>3</v>
      </c>
      <c r="O47" s="192"/>
    </row>
    <row r="48" spans="2:15" ht="12.75">
      <c r="B48" s="319" t="s">
        <v>519</v>
      </c>
      <c r="C48" s="335"/>
      <c r="D48" s="250" t="s">
        <v>515</v>
      </c>
      <c r="E48" s="118" t="s">
        <v>130</v>
      </c>
      <c r="F48" s="290">
        <v>4</v>
      </c>
      <c r="G48" s="290">
        <v>3</v>
      </c>
      <c r="H48" s="290">
        <v>-1</v>
      </c>
      <c r="I48" s="290">
        <v>0</v>
      </c>
      <c r="J48" s="290">
        <v>0</v>
      </c>
      <c r="K48" s="307">
        <v>0</v>
      </c>
      <c r="L48" s="312">
        <v>280000</v>
      </c>
      <c r="M48" s="290">
        <v>2</v>
      </c>
      <c r="N48" s="291">
        <v>5</v>
      </c>
      <c r="O48" s="84"/>
    </row>
    <row r="49" spans="2:15" ht="12.75">
      <c r="B49" s="319" t="s">
        <v>520</v>
      </c>
      <c r="C49" s="335"/>
      <c r="D49" s="250" t="s">
        <v>515</v>
      </c>
      <c r="E49" s="118" t="s">
        <v>130</v>
      </c>
      <c r="F49" s="290">
        <v>5</v>
      </c>
      <c r="G49" s="290">
        <v>5</v>
      </c>
      <c r="H49" s="290">
        <v>1</v>
      </c>
      <c r="I49" s="290">
        <v>0</v>
      </c>
      <c r="J49" s="290">
        <v>0</v>
      </c>
      <c r="K49" s="307">
        <v>0</v>
      </c>
      <c r="L49" s="312">
        <v>380000</v>
      </c>
      <c r="M49" s="290">
        <v>0</v>
      </c>
      <c r="N49" s="291">
        <v>1</v>
      </c>
      <c r="O49" s="84"/>
    </row>
    <row r="50" spans="2:15" ht="12.75">
      <c r="B50" s="319" t="s">
        <v>521</v>
      </c>
      <c r="C50" s="335"/>
      <c r="D50" s="250" t="s">
        <v>515</v>
      </c>
      <c r="E50" s="118" t="s">
        <v>130</v>
      </c>
      <c r="F50" s="290">
        <v>6</v>
      </c>
      <c r="G50" s="290">
        <v>5</v>
      </c>
      <c r="H50" s="290">
        <v>-1</v>
      </c>
      <c r="I50" s="290">
        <v>0</v>
      </c>
      <c r="J50" s="290">
        <v>0</v>
      </c>
      <c r="K50" s="307">
        <v>0</v>
      </c>
      <c r="L50" s="312">
        <v>420000</v>
      </c>
      <c r="M50" s="290">
        <v>5</v>
      </c>
      <c r="N50" s="291">
        <v>2</v>
      </c>
      <c r="O50" s="84"/>
    </row>
    <row r="51" spans="2:15" ht="12.75">
      <c r="B51" s="319" t="s">
        <v>522</v>
      </c>
      <c r="C51" s="335"/>
      <c r="D51" s="250" t="s">
        <v>515</v>
      </c>
      <c r="E51" s="118" t="s">
        <v>130</v>
      </c>
      <c r="F51" s="290">
        <v>8</v>
      </c>
      <c r="G51" s="290">
        <v>9</v>
      </c>
      <c r="H51" s="290">
        <v>-2</v>
      </c>
      <c r="I51" s="290">
        <v>0</v>
      </c>
      <c r="J51" s="290">
        <v>0</v>
      </c>
      <c r="K51" s="334">
        <v>0</v>
      </c>
      <c r="L51" s="312">
        <v>640000</v>
      </c>
      <c r="M51" s="290">
        <v>8</v>
      </c>
      <c r="N51" s="291">
        <v>2</v>
      </c>
      <c r="O51" s="84"/>
    </row>
    <row r="52" spans="2:15" ht="12.75">
      <c r="B52" s="319" t="s">
        <v>523</v>
      </c>
      <c r="C52" s="335"/>
      <c r="D52" s="250" t="s">
        <v>515</v>
      </c>
      <c r="E52" s="118" t="s">
        <v>130</v>
      </c>
      <c r="F52" s="290">
        <v>10</v>
      </c>
      <c r="G52" s="290">
        <v>1</v>
      </c>
      <c r="H52" s="290">
        <v>-3</v>
      </c>
      <c r="I52" s="290">
        <v>0</v>
      </c>
      <c r="J52" s="290">
        <v>0</v>
      </c>
      <c r="K52" s="334">
        <v>0</v>
      </c>
      <c r="L52" s="312">
        <v>950000</v>
      </c>
      <c r="M52" s="290">
        <v>6</v>
      </c>
      <c r="N52" s="291">
        <v>4</v>
      </c>
      <c r="O52" s="84"/>
    </row>
    <row r="53" spans="2:15" ht="12.75">
      <c r="B53" s="319" t="s">
        <v>524</v>
      </c>
      <c r="C53" s="335"/>
      <c r="D53" s="250" t="s">
        <v>515</v>
      </c>
      <c r="E53" s="118" t="s">
        <v>130</v>
      </c>
      <c r="F53" s="290">
        <v>12</v>
      </c>
      <c r="G53" s="290">
        <v>6</v>
      </c>
      <c r="H53" s="290">
        <v>-2</v>
      </c>
      <c r="I53" s="290">
        <v>0</v>
      </c>
      <c r="J53" s="290">
        <v>0</v>
      </c>
      <c r="K53" s="343">
        <v>0</v>
      </c>
      <c r="L53" s="312">
        <v>1000000</v>
      </c>
      <c r="M53" s="290">
        <v>0</v>
      </c>
      <c r="N53" s="291">
        <v>8</v>
      </c>
      <c r="O53" s="84"/>
    </row>
    <row r="54" spans="2:15" ht="12.75">
      <c r="B54" s="319"/>
      <c r="C54" s="335"/>
      <c r="D54" s="250"/>
      <c r="E54" s="118"/>
      <c r="F54" s="290"/>
      <c r="G54" s="290"/>
      <c r="H54" s="290"/>
      <c r="I54" s="290"/>
      <c r="J54" s="290"/>
      <c r="K54" s="290"/>
      <c r="L54" s="312">
        <v>0</v>
      </c>
      <c r="M54" s="290">
        <v>0</v>
      </c>
      <c r="N54" s="291"/>
      <c r="O54" s="84"/>
    </row>
    <row r="55" spans="2:15" ht="12.75">
      <c r="B55" s="319"/>
      <c r="C55" s="335"/>
      <c r="D55" s="250"/>
      <c r="E55" s="118"/>
      <c r="F55" s="290"/>
      <c r="G55" s="290"/>
      <c r="H55" s="290"/>
      <c r="I55" s="290"/>
      <c r="J55" s="290"/>
      <c r="K55" s="290"/>
      <c r="L55" s="312">
        <v>0</v>
      </c>
      <c r="M55" s="290">
        <v>0</v>
      </c>
      <c r="N55" s="291"/>
      <c r="O55" s="84"/>
    </row>
    <row r="56" spans="2:15" ht="12.75">
      <c r="B56" s="319"/>
      <c r="C56" s="335"/>
      <c r="D56" s="250"/>
      <c r="E56" s="118"/>
      <c r="F56" s="290"/>
      <c r="G56" s="290"/>
      <c r="H56" s="290"/>
      <c r="I56" s="290"/>
      <c r="J56" s="290"/>
      <c r="K56" s="290"/>
      <c r="L56" s="312">
        <v>0</v>
      </c>
      <c r="M56" s="290">
        <v>0</v>
      </c>
      <c r="N56" s="291"/>
      <c r="O56" s="84"/>
    </row>
    <row r="57" spans="2:15" ht="12.75">
      <c r="B57" s="319"/>
      <c r="C57" s="335"/>
      <c r="D57" s="250"/>
      <c r="E57" s="118"/>
      <c r="F57" s="290"/>
      <c r="G57" s="290"/>
      <c r="H57" s="290"/>
      <c r="I57" s="290"/>
      <c r="J57" s="290"/>
      <c r="K57" s="290"/>
      <c r="L57" s="312">
        <v>0</v>
      </c>
      <c r="M57" s="290">
        <v>0</v>
      </c>
      <c r="N57" s="291"/>
      <c r="O57" s="84"/>
    </row>
    <row r="58" spans="2:15" ht="12.75">
      <c r="B58" s="319"/>
      <c r="C58" s="335"/>
      <c r="D58" s="250"/>
      <c r="E58" s="118"/>
      <c r="F58" s="290"/>
      <c r="G58" s="290"/>
      <c r="H58" s="290"/>
      <c r="I58" s="290"/>
      <c r="J58" s="290"/>
      <c r="K58" s="290"/>
      <c r="L58" s="312">
        <v>0</v>
      </c>
      <c r="M58" s="290">
        <v>0</v>
      </c>
      <c r="N58" s="291"/>
      <c r="O58" s="84"/>
    </row>
    <row r="59" spans="2:15" ht="12.75">
      <c r="B59" s="319"/>
      <c r="C59" s="335"/>
      <c r="D59" s="250"/>
      <c r="E59" s="118"/>
      <c r="F59" s="290"/>
      <c r="G59" s="290"/>
      <c r="H59" s="290"/>
      <c r="I59" s="290"/>
      <c r="J59" s="290"/>
      <c r="K59" s="290"/>
      <c r="L59" s="312">
        <v>0</v>
      </c>
      <c r="M59" s="290">
        <v>0</v>
      </c>
      <c r="N59" s="291"/>
      <c r="O59" s="84"/>
    </row>
    <row r="60" spans="2:15" ht="12.75">
      <c r="B60" s="319"/>
      <c r="C60" s="335"/>
      <c r="D60" s="250"/>
      <c r="E60" s="118"/>
      <c r="F60" s="290"/>
      <c r="G60" s="290"/>
      <c r="H60" s="290"/>
      <c r="I60" s="290"/>
      <c r="J60" s="290"/>
      <c r="K60" s="290"/>
      <c r="L60" s="312">
        <v>0</v>
      </c>
      <c r="M60" s="290">
        <v>0</v>
      </c>
      <c r="N60" s="291"/>
      <c r="O60" s="84"/>
    </row>
    <row r="61" spans="2:15" ht="12.75">
      <c r="B61" s="344"/>
      <c r="C61" s="345"/>
      <c r="D61" s="250"/>
      <c r="E61" s="118"/>
      <c r="F61" s="290"/>
      <c r="G61" s="290"/>
      <c r="H61" s="290"/>
      <c r="I61" s="290"/>
      <c r="J61" s="290"/>
      <c r="K61" s="290"/>
      <c r="L61" s="312">
        <v>0</v>
      </c>
      <c r="M61" s="290">
        <v>0</v>
      </c>
      <c r="N61" s="291"/>
      <c r="O61" s="84"/>
    </row>
    <row r="62" spans="2:15" ht="12.75">
      <c r="B62" s="305" t="s">
        <v>131</v>
      </c>
      <c r="C62" s="333"/>
      <c r="D62" s="329">
        <v>0</v>
      </c>
      <c r="E62" s="330">
        <v>0</v>
      </c>
      <c r="F62" s="330">
        <v>0</v>
      </c>
      <c r="G62" s="330">
        <v>0</v>
      </c>
      <c r="H62" s="330">
        <v>0</v>
      </c>
      <c r="I62" s="331">
        <v>0</v>
      </c>
      <c r="J62" s="330">
        <v>0</v>
      </c>
      <c r="K62" s="346">
        <v>0</v>
      </c>
      <c r="L62" s="330">
        <v>0</v>
      </c>
      <c r="M62" s="330">
        <v>0</v>
      </c>
      <c r="N62" s="332">
        <v>0</v>
      </c>
      <c r="O62" s="190"/>
    </row>
    <row r="63" spans="2:15" ht="12.75">
      <c r="B63" s="305" t="s">
        <v>525</v>
      </c>
      <c r="C63" s="333"/>
      <c r="D63" s="250" t="s">
        <v>526</v>
      </c>
      <c r="E63" s="118" t="s">
        <v>526</v>
      </c>
      <c r="F63" s="81">
        <v>1</v>
      </c>
      <c r="G63" s="81">
        <v>1</v>
      </c>
      <c r="H63" s="81">
        <v>0</v>
      </c>
      <c r="I63" s="81">
        <v>0</v>
      </c>
      <c r="J63" s="81">
        <v>0</v>
      </c>
      <c r="K63" s="307">
        <v>0</v>
      </c>
      <c r="L63" s="312">
        <v>40000</v>
      </c>
      <c r="M63" s="81">
        <v>0</v>
      </c>
      <c r="N63" s="137">
        <v>1</v>
      </c>
      <c r="O63" s="192"/>
    </row>
    <row r="64" spans="2:15" ht="12.75">
      <c r="B64" s="305" t="s">
        <v>527</v>
      </c>
      <c r="C64" s="333"/>
      <c r="D64" s="250" t="s">
        <v>526</v>
      </c>
      <c r="E64" s="118" t="s">
        <v>526</v>
      </c>
      <c r="F64" s="81">
        <v>1</v>
      </c>
      <c r="G64" s="81">
        <v>1</v>
      </c>
      <c r="H64" s="81">
        <v>1</v>
      </c>
      <c r="I64" s="81">
        <v>0</v>
      </c>
      <c r="J64" s="81">
        <v>0</v>
      </c>
      <c r="K64" s="307">
        <v>0</v>
      </c>
      <c r="L64" s="312">
        <v>150000</v>
      </c>
      <c r="M64" s="81">
        <v>1</v>
      </c>
      <c r="N64" s="137">
        <v>0</v>
      </c>
      <c r="O64" s="192"/>
    </row>
    <row r="65" spans="2:15" ht="12.75">
      <c r="B65" s="319" t="s">
        <v>133</v>
      </c>
      <c r="C65" s="335"/>
      <c r="D65" s="250" t="s">
        <v>526</v>
      </c>
      <c r="E65" s="118" t="s">
        <v>526</v>
      </c>
      <c r="F65" s="290">
        <v>1</v>
      </c>
      <c r="G65" s="290">
        <v>1</v>
      </c>
      <c r="H65" s="290">
        <v>0</v>
      </c>
      <c r="I65" s="290">
        <v>0</v>
      </c>
      <c r="J65" s="290">
        <v>0</v>
      </c>
      <c r="K65" s="307">
        <v>0</v>
      </c>
      <c r="L65" s="312">
        <v>150000</v>
      </c>
      <c r="M65" s="290">
        <v>0</v>
      </c>
      <c r="N65" s="291">
        <v>0</v>
      </c>
      <c r="O65" s="84"/>
    </row>
    <row r="66" spans="2:15" ht="12.75">
      <c r="B66" s="319" t="s">
        <v>528</v>
      </c>
      <c r="C66" s="335"/>
      <c r="D66" s="250" t="s">
        <v>526</v>
      </c>
      <c r="E66" s="118" t="s">
        <v>526</v>
      </c>
      <c r="F66" s="290">
        <v>2</v>
      </c>
      <c r="G66" s="290">
        <v>1</v>
      </c>
      <c r="H66" s="290">
        <v>0</v>
      </c>
      <c r="I66" s="290">
        <v>0</v>
      </c>
      <c r="J66" s="290">
        <v>0</v>
      </c>
      <c r="K66" s="307">
        <v>0</v>
      </c>
      <c r="L66" s="312">
        <v>250000</v>
      </c>
      <c r="M66" s="290">
        <v>0</v>
      </c>
      <c r="N66" s="291">
        <v>0</v>
      </c>
      <c r="O66" s="84"/>
    </row>
    <row r="67" spans="2:15" ht="12.75">
      <c r="B67" s="319" t="s">
        <v>529</v>
      </c>
      <c r="C67" s="335"/>
      <c r="D67" s="250" t="s">
        <v>526</v>
      </c>
      <c r="E67" s="118" t="s">
        <v>526</v>
      </c>
      <c r="F67" s="290">
        <v>3</v>
      </c>
      <c r="G67" s="290">
        <v>1</v>
      </c>
      <c r="H67" s="290">
        <v>0</v>
      </c>
      <c r="I67" s="290">
        <v>0</v>
      </c>
      <c r="J67" s="290">
        <v>0</v>
      </c>
      <c r="K67" s="307">
        <v>0</v>
      </c>
      <c r="L67" s="312">
        <v>150000</v>
      </c>
      <c r="M67" s="290">
        <v>0</v>
      </c>
      <c r="N67" s="291">
        <v>0</v>
      </c>
      <c r="O67" s="84"/>
    </row>
    <row r="68" spans="2:15" ht="12.75">
      <c r="B68" s="319" t="s">
        <v>530</v>
      </c>
      <c r="C68" s="335"/>
      <c r="D68" s="250" t="s">
        <v>526</v>
      </c>
      <c r="E68" s="118" t="s">
        <v>526</v>
      </c>
      <c r="F68" s="290">
        <v>4</v>
      </c>
      <c r="G68" s="290">
        <v>1</v>
      </c>
      <c r="H68" s="290">
        <v>0</v>
      </c>
      <c r="I68" s="290">
        <v>0</v>
      </c>
      <c r="J68" s="290">
        <v>0</v>
      </c>
      <c r="K68" s="307">
        <v>0</v>
      </c>
      <c r="L68" s="312">
        <v>300000</v>
      </c>
      <c r="M68" s="290">
        <v>0</v>
      </c>
      <c r="N68" s="291">
        <v>1</v>
      </c>
      <c r="O68" s="84"/>
    </row>
    <row r="69" spans="2:15" ht="12.75">
      <c r="B69" s="319" t="s">
        <v>531</v>
      </c>
      <c r="C69" s="335"/>
      <c r="D69" s="250" t="s">
        <v>526</v>
      </c>
      <c r="E69" s="118" t="s">
        <v>526</v>
      </c>
      <c r="F69" s="290">
        <v>4</v>
      </c>
      <c r="G69" s="290">
        <v>3</v>
      </c>
      <c r="H69" s="290">
        <v>-1</v>
      </c>
      <c r="I69" s="290">
        <v>0</v>
      </c>
      <c r="J69" s="290">
        <v>0</v>
      </c>
      <c r="K69" s="307">
        <v>0</v>
      </c>
      <c r="L69" s="312">
        <v>280000</v>
      </c>
      <c r="M69" s="290">
        <v>2</v>
      </c>
      <c r="N69" s="291">
        <v>0</v>
      </c>
      <c r="O69" s="84"/>
    </row>
    <row r="70" spans="2:15" ht="12.75">
      <c r="B70" s="319" t="s">
        <v>532</v>
      </c>
      <c r="C70" s="335"/>
      <c r="D70" s="250" t="s">
        <v>526</v>
      </c>
      <c r="E70" s="118" t="s">
        <v>526</v>
      </c>
      <c r="F70" s="290">
        <v>5</v>
      </c>
      <c r="G70" s="290">
        <v>1</v>
      </c>
      <c r="H70" s="290">
        <v>0</v>
      </c>
      <c r="I70" s="290">
        <v>0</v>
      </c>
      <c r="J70" s="290">
        <v>0</v>
      </c>
      <c r="K70" s="307">
        <v>0</v>
      </c>
      <c r="L70" s="312">
        <v>500000</v>
      </c>
      <c r="M70" s="290">
        <v>0</v>
      </c>
      <c r="N70" s="291">
        <v>0</v>
      </c>
      <c r="O70" s="167"/>
    </row>
    <row r="71" spans="2:15" ht="12.75">
      <c r="B71" s="319" t="s">
        <v>533</v>
      </c>
      <c r="C71" s="335"/>
      <c r="D71" s="250" t="s">
        <v>526</v>
      </c>
      <c r="E71" s="118" t="s">
        <v>526</v>
      </c>
      <c r="F71" s="290">
        <v>5</v>
      </c>
      <c r="G71" s="290">
        <v>1</v>
      </c>
      <c r="H71" s="290">
        <v>0</v>
      </c>
      <c r="I71" s="290">
        <v>0</v>
      </c>
      <c r="J71" s="290">
        <v>0</v>
      </c>
      <c r="K71" s="334">
        <v>0</v>
      </c>
      <c r="L71" s="312">
        <v>300000</v>
      </c>
      <c r="M71" s="290">
        <v>0</v>
      </c>
      <c r="N71" s="291">
        <v>1</v>
      </c>
      <c r="O71" s="84"/>
    </row>
    <row r="72" spans="2:15" ht="12.75">
      <c r="B72" s="319" t="s">
        <v>534</v>
      </c>
      <c r="C72" s="335"/>
      <c r="D72" s="250" t="s">
        <v>526</v>
      </c>
      <c r="E72" s="118" t="s">
        <v>526</v>
      </c>
      <c r="F72" s="290">
        <v>5</v>
      </c>
      <c r="G72" s="290">
        <v>1</v>
      </c>
      <c r="H72" s="290">
        <v>0</v>
      </c>
      <c r="I72" s="290">
        <v>0</v>
      </c>
      <c r="J72" s="290">
        <v>0</v>
      </c>
      <c r="K72" s="334">
        <v>0</v>
      </c>
      <c r="L72" s="312">
        <v>600000</v>
      </c>
      <c r="M72" s="290">
        <v>-3</v>
      </c>
      <c r="N72" s="291">
        <v>-2</v>
      </c>
      <c r="O72" s="84"/>
    </row>
    <row r="73" spans="2:15" ht="12.75">
      <c r="B73" s="319" t="s">
        <v>535</v>
      </c>
      <c r="C73" s="335"/>
      <c r="D73" s="250" t="s">
        <v>526</v>
      </c>
      <c r="E73" s="118" t="s">
        <v>526</v>
      </c>
      <c r="F73" s="290">
        <v>5</v>
      </c>
      <c r="G73" s="290">
        <v>1</v>
      </c>
      <c r="H73" s="290">
        <v>0</v>
      </c>
      <c r="I73" s="290">
        <v>0</v>
      </c>
      <c r="J73" s="290">
        <v>0</v>
      </c>
      <c r="K73" s="334">
        <v>0</v>
      </c>
      <c r="L73" s="312">
        <v>1200000</v>
      </c>
      <c r="M73" s="290">
        <v>0</v>
      </c>
      <c r="N73" s="291">
        <v>0</v>
      </c>
      <c r="O73" s="84"/>
    </row>
    <row r="74" spans="2:15" ht="12.75">
      <c r="B74" s="319" t="s">
        <v>536</v>
      </c>
      <c r="C74" s="335"/>
      <c r="D74" s="250" t="s">
        <v>526</v>
      </c>
      <c r="E74" s="118" t="s">
        <v>526</v>
      </c>
      <c r="F74" s="290">
        <v>6</v>
      </c>
      <c r="G74" s="290">
        <v>2</v>
      </c>
      <c r="H74" s="290">
        <v>1</v>
      </c>
      <c r="I74" s="290">
        <v>0</v>
      </c>
      <c r="J74" s="290">
        <v>1</v>
      </c>
      <c r="K74" s="334">
        <v>0</v>
      </c>
      <c r="L74" s="312">
        <v>400000</v>
      </c>
      <c r="M74" s="290">
        <v>0</v>
      </c>
      <c r="N74" s="291">
        <v>0</v>
      </c>
      <c r="O74" s="84"/>
    </row>
    <row r="75" spans="2:15" ht="12.75">
      <c r="B75" s="319" t="s">
        <v>537</v>
      </c>
      <c r="C75" s="335"/>
      <c r="D75" s="250" t="s">
        <v>526</v>
      </c>
      <c r="E75" s="118" t="s">
        <v>526</v>
      </c>
      <c r="F75" s="290">
        <v>6</v>
      </c>
      <c r="G75" s="290">
        <v>1</v>
      </c>
      <c r="H75" s="290">
        <v>0</v>
      </c>
      <c r="I75" s="290">
        <v>0</v>
      </c>
      <c r="J75" s="290">
        <v>0</v>
      </c>
      <c r="K75" s="343">
        <v>0</v>
      </c>
      <c r="L75" s="312">
        <v>350000</v>
      </c>
      <c r="M75" s="290">
        <v>2</v>
      </c>
      <c r="N75" s="291">
        <v>0</v>
      </c>
      <c r="O75" s="84"/>
    </row>
    <row r="76" spans="2:15" ht="12.75">
      <c r="B76" s="319" t="s">
        <v>538</v>
      </c>
      <c r="C76" s="335"/>
      <c r="D76" s="250" t="s">
        <v>526</v>
      </c>
      <c r="E76" s="118" t="s">
        <v>526</v>
      </c>
      <c r="F76" s="290">
        <v>8</v>
      </c>
      <c r="G76" s="290">
        <v>1</v>
      </c>
      <c r="H76" s="290">
        <v>0</v>
      </c>
      <c r="I76" s="290">
        <v>0</v>
      </c>
      <c r="J76" s="290">
        <v>0</v>
      </c>
      <c r="K76" s="290">
        <v>0</v>
      </c>
      <c r="L76" s="312">
        <v>1200000</v>
      </c>
      <c r="M76" s="290">
        <v>0</v>
      </c>
      <c r="N76" s="291">
        <v>2</v>
      </c>
      <c r="O76" s="84"/>
    </row>
    <row r="77" spans="2:15" ht="12.75">
      <c r="B77" s="319" t="s">
        <v>539</v>
      </c>
      <c r="C77" s="335"/>
      <c r="D77" s="250" t="s">
        <v>526</v>
      </c>
      <c r="E77" s="118" t="s">
        <v>526</v>
      </c>
      <c r="F77" s="290">
        <v>8</v>
      </c>
      <c r="G77" s="290">
        <v>3</v>
      </c>
      <c r="H77" s="290">
        <v>0</v>
      </c>
      <c r="I77" s="290">
        <v>0</v>
      </c>
      <c r="J77" s="290">
        <v>0</v>
      </c>
      <c r="K77" s="290">
        <v>0</v>
      </c>
      <c r="L77" s="312">
        <v>1000000</v>
      </c>
      <c r="M77" s="290">
        <v>0</v>
      </c>
      <c r="N77" s="291">
        <v>0</v>
      </c>
      <c r="O77" s="84"/>
    </row>
    <row r="78" spans="2:15" ht="12.75">
      <c r="B78" s="319" t="s">
        <v>540</v>
      </c>
      <c r="C78" s="335"/>
      <c r="D78" s="110" t="s">
        <v>526</v>
      </c>
      <c r="E78" s="118" t="s">
        <v>526</v>
      </c>
      <c r="F78" s="290">
        <v>8</v>
      </c>
      <c r="G78" s="290">
        <v>1</v>
      </c>
      <c r="H78" s="290">
        <v>0</v>
      </c>
      <c r="I78" s="290">
        <v>0</v>
      </c>
      <c r="J78" s="290">
        <v>0</v>
      </c>
      <c r="K78" s="290">
        <v>0</v>
      </c>
      <c r="L78" s="312">
        <v>1200000</v>
      </c>
      <c r="M78" s="290">
        <v>0</v>
      </c>
      <c r="N78" s="291">
        <v>1</v>
      </c>
      <c r="O78" s="84"/>
    </row>
    <row r="79" spans="2:15" ht="12.75">
      <c r="B79" s="319" t="s">
        <v>541</v>
      </c>
      <c r="C79" s="335"/>
      <c r="D79" s="110" t="s">
        <v>526</v>
      </c>
      <c r="E79" s="110" t="s">
        <v>526</v>
      </c>
      <c r="F79" s="290">
        <v>8</v>
      </c>
      <c r="G79" s="290">
        <v>2</v>
      </c>
      <c r="H79" s="290">
        <v>0</v>
      </c>
      <c r="I79" s="290">
        <v>0</v>
      </c>
      <c r="J79" s="290">
        <v>0</v>
      </c>
      <c r="K79" s="290">
        <v>0</v>
      </c>
      <c r="L79" s="312">
        <v>1000000</v>
      </c>
      <c r="M79" s="290">
        <v>0</v>
      </c>
      <c r="N79" s="291">
        <v>0</v>
      </c>
      <c r="O79" s="84"/>
    </row>
    <row r="80" spans="2:15" ht="12.75">
      <c r="B80" s="319" t="s">
        <v>542</v>
      </c>
      <c r="C80" s="335"/>
      <c r="D80" s="110" t="s">
        <v>526</v>
      </c>
      <c r="E80" s="110" t="s">
        <v>526</v>
      </c>
      <c r="F80" s="290">
        <v>8</v>
      </c>
      <c r="G80" s="290">
        <v>1</v>
      </c>
      <c r="H80" s="290">
        <v>0</v>
      </c>
      <c r="I80" s="290">
        <v>0</v>
      </c>
      <c r="J80" s="290">
        <v>0</v>
      </c>
      <c r="K80" s="290">
        <v>0</v>
      </c>
      <c r="L80" s="312">
        <v>1100000</v>
      </c>
      <c r="M80" s="290">
        <v>0</v>
      </c>
      <c r="N80" s="291">
        <v>2</v>
      </c>
      <c r="O80" s="84"/>
    </row>
    <row r="81" spans="2:15" ht="12.75">
      <c r="B81" s="319" t="s">
        <v>543</v>
      </c>
      <c r="C81" s="335"/>
      <c r="D81" s="110" t="s">
        <v>526</v>
      </c>
      <c r="E81" s="110" t="s">
        <v>526</v>
      </c>
      <c r="F81" s="290">
        <v>9</v>
      </c>
      <c r="G81" s="290">
        <v>1</v>
      </c>
      <c r="H81" s="290">
        <v>0</v>
      </c>
      <c r="I81" s="290">
        <v>0</v>
      </c>
      <c r="J81" s="290">
        <v>0</v>
      </c>
      <c r="K81" s="290">
        <v>0</v>
      </c>
      <c r="L81" s="312">
        <v>1300000</v>
      </c>
      <c r="M81" s="290">
        <v>1</v>
      </c>
      <c r="N81" s="291">
        <v>2</v>
      </c>
      <c r="O81" s="84"/>
    </row>
    <row r="82" spans="2:15" ht="12.75">
      <c r="B82" s="319" t="s">
        <v>544</v>
      </c>
      <c r="C82" s="335"/>
      <c r="D82" s="110" t="s">
        <v>526</v>
      </c>
      <c r="E82" s="110" t="s">
        <v>526</v>
      </c>
      <c r="F82" s="290">
        <v>9</v>
      </c>
      <c r="G82" s="290">
        <v>1</v>
      </c>
      <c r="H82" s="290">
        <v>0</v>
      </c>
      <c r="I82" s="290">
        <v>0</v>
      </c>
      <c r="J82" s="290">
        <v>0</v>
      </c>
      <c r="K82" s="290">
        <v>0</v>
      </c>
      <c r="L82" s="312">
        <v>1400000</v>
      </c>
      <c r="M82" s="290">
        <v>0</v>
      </c>
      <c r="N82" s="291">
        <v>0</v>
      </c>
      <c r="O82" s="84"/>
    </row>
    <row r="83" spans="2:15" ht="12.75">
      <c r="B83" s="319"/>
      <c r="C83" s="335"/>
      <c r="D83" s="250"/>
      <c r="E83" s="118"/>
      <c r="F83" s="290"/>
      <c r="G83" s="290"/>
      <c r="H83" s="290"/>
      <c r="I83" s="290"/>
      <c r="J83" s="290"/>
      <c r="K83" s="290"/>
      <c r="L83" s="312">
        <v>0</v>
      </c>
      <c r="M83" s="290">
        <v>0</v>
      </c>
      <c r="N83" s="291"/>
      <c r="O83" s="84"/>
    </row>
    <row r="84" spans="2:15" ht="12.75">
      <c r="B84" s="319"/>
      <c r="C84" s="335"/>
      <c r="D84" s="250"/>
      <c r="E84" s="118"/>
      <c r="F84" s="290"/>
      <c r="G84" s="290"/>
      <c r="H84" s="290"/>
      <c r="I84" s="290"/>
      <c r="J84" s="290"/>
      <c r="K84" s="290"/>
      <c r="L84" s="312">
        <v>0</v>
      </c>
      <c r="M84" s="290">
        <v>0</v>
      </c>
      <c r="N84" s="291"/>
      <c r="O84" s="84"/>
    </row>
    <row r="85" spans="2:15" ht="12.75">
      <c r="B85" s="319"/>
      <c r="C85" s="335"/>
      <c r="D85" s="250"/>
      <c r="E85" s="118"/>
      <c r="F85" s="290"/>
      <c r="G85" s="290"/>
      <c r="H85" s="290"/>
      <c r="I85" s="290"/>
      <c r="J85" s="290"/>
      <c r="K85" s="290"/>
      <c r="L85" s="312">
        <v>0</v>
      </c>
      <c r="M85" s="290">
        <v>0</v>
      </c>
      <c r="N85" s="291"/>
      <c r="O85" s="84"/>
    </row>
    <row r="86" spans="2:15" ht="12.75">
      <c r="B86" s="319"/>
      <c r="C86" s="335"/>
      <c r="D86" s="250"/>
      <c r="E86" s="118"/>
      <c r="F86" s="290"/>
      <c r="G86" s="290"/>
      <c r="H86" s="290"/>
      <c r="I86" s="290"/>
      <c r="J86" s="290"/>
      <c r="K86" s="290"/>
      <c r="L86" s="312">
        <v>0</v>
      </c>
      <c r="M86" s="290">
        <v>0</v>
      </c>
      <c r="N86" s="291"/>
      <c r="O86" s="84"/>
    </row>
    <row r="87" spans="2:15" ht="12.75">
      <c r="B87" s="319"/>
      <c r="C87" s="335"/>
      <c r="D87" s="250"/>
      <c r="E87" s="118"/>
      <c r="F87" s="290"/>
      <c r="G87" s="290"/>
      <c r="H87" s="290"/>
      <c r="I87" s="290"/>
      <c r="J87" s="290"/>
      <c r="K87" s="290"/>
      <c r="L87" s="312">
        <v>0</v>
      </c>
      <c r="M87" s="290">
        <v>0</v>
      </c>
      <c r="N87" s="291"/>
      <c r="O87" s="84"/>
    </row>
    <row r="88" spans="2:15" ht="12.75">
      <c r="B88" s="319"/>
      <c r="C88" s="335"/>
      <c r="D88" s="250"/>
      <c r="E88" s="118"/>
      <c r="F88" s="290"/>
      <c r="G88" s="290"/>
      <c r="H88" s="290"/>
      <c r="I88" s="290"/>
      <c r="J88" s="290"/>
      <c r="K88" s="290"/>
      <c r="L88" s="312">
        <v>0</v>
      </c>
      <c r="M88" s="290">
        <v>0</v>
      </c>
      <c r="N88" s="291"/>
      <c r="O88" s="84"/>
    </row>
    <row r="89" spans="2:15" ht="12.75">
      <c r="B89" s="319"/>
      <c r="C89" s="335"/>
      <c r="D89" s="250"/>
      <c r="E89" s="118"/>
      <c r="F89" s="290"/>
      <c r="G89" s="290"/>
      <c r="H89" s="290"/>
      <c r="I89" s="290"/>
      <c r="J89" s="290"/>
      <c r="K89" s="290"/>
      <c r="L89" s="312">
        <v>0</v>
      </c>
      <c r="M89" s="290">
        <v>0</v>
      </c>
      <c r="N89" s="291"/>
      <c r="O89" s="84"/>
    </row>
    <row r="90" spans="2:15" ht="12.75">
      <c r="B90" s="319"/>
      <c r="C90" s="335"/>
      <c r="D90" s="250"/>
      <c r="E90" s="118"/>
      <c r="F90" s="290"/>
      <c r="G90" s="290"/>
      <c r="H90" s="290"/>
      <c r="I90" s="290"/>
      <c r="J90" s="290"/>
      <c r="K90" s="290"/>
      <c r="L90" s="312">
        <v>0</v>
      </c>
      <c r="M90" s="290">
        <v>0</v>
      </c>
      <c r="N90" s="291"/>
      <c r="O90" s="84"/>
    </row>
    <row r="91" spans="2:15" ht="12.75">
      <c r="B91" s="319"/>
      <c r="C91" s="335"/>
      <c r="D91" s="250"/>
      <c r="E91" s="118"/>
      <c r="F91" s="290"/>
      <c r="G91" s="290"/>
      <c r="H91" s="290"/>
      <c r="I91" s="290"/>
      <c r="J91" s="290"/>
      <c r="K91" s="290"/>
      <c r="L91" s="312">
        <v>0</v>
      </c>
      <c r="M91" s="290">
        <v>0</v>
      </c>
      <c r="N91" s="291"/>
      <c r="O91" s="167"/>
    </row>
    <row r="92" spans="2:15" ht="12.75">
      <c r="B92" s="319"/>
      <c r="C92" s="335"/>
      <c r="D92" s="250"/>
      <c r="E92" s="118"/>
      <c r="F92" s="290"/>
      <c r="G92" s="290"/>
      <c r="H92" s="290"/>
      <c r="I92" s="290"/>
      <c r="J92" s="290"/>
      <c r="K92" s="290"/>
      <c r="L92" s="312">
        <v>0</v>
      </c>
      <c r="M92" s="290">
        <v>0</v>
      </c>
      <c r="N92" s="291"/>
      <c r="O92" s="84"/>
    </row>
    <row r="93" spans="2:15" ht="12.75">
      <c r="B93" s="347"/>
      <c r="C93" s="345"/>
      <c r="D93" s="261"/>
      <c r="E93" s="262"/>
      <c r="F93" s="297"/>
      <c r="G93" s="297"/>
      <c r="H93" s="297"/>
      <c r="I93" s="297"/>
      <c r="J93" s="297"/>
      <c r="K93" s="297"/>
      <c r="L93" s="322">
        <v>0</v>
      </c>
      <c r="M93" s="297">
        <v>0</v>
      </c>
      <c r="N93" s="298"/>
      <c r="O93" s="348"/>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workbookViewId="0" topLeftCell="A1">
      <selection activeCell="D4" sqref="D4"/>
    </sheetView>
  </sheetViews>
  <sheetFormatPr defaultColWidth="12.00390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 min="23" max="16384" width="11.625" style="0" customWidth="1"/>
  </cols>
  <sheetData>
    <row r="1" ht="12.75">
      <c r="B1" t="s">
        <v>545</v>
      </c>
    </row>
    <row r="2" spans="2:22" ht="12.75">
      <c r="B2" s="349" t="s">
        <v>546</v>
      </c>
      <c r="C2" s="350">
        <v>1</v>
      </c>
      <c r="D2" s="350">
        <v>2</v>
      </c>
      <c r="E2" s="350">
        <v>3</v>
      </c>
      <c r="F2" s="350">
        <v>4</v>
      </c>
      <c r="G2" s="350">
        <v>5</v>
      </c>
      <c r="H2" s="350">
        <v>6</v>
      </c>
      <c r="I2" s="350">
        <v>7</v>
      </c>
      <c r="J2" s="350">
        <v>8</v>
      </c>
      <c r="K2" s="350">
        <v>9</v>
      </c>
      <c r="L2" s="350">
        <v>10</v>
      </c>
      <c r="M2" s="350">
        <v>11</v>
      </c>
      <c r="N2" s="350">
        <v>12</v>
      </c>
      <c r="O2" s="350">
        <v>13</v>
      </c>
      <c r="P2" s="350">
        <v>14</v>
      </c>
      <c r="Q2" s="350">
        <v>15</v>
      </c>
      <c r="R2" s="350">
        <v>16</v>
      </c>
      <c r="S2" s="350">
        <v>17</v>
      </c>
      <c r="T2" s="350">
        <v>18</v>
      </c>
      <c r="U2" s="350">
        <v>19</v>
      </c>
      <c r="V2" s="350">
        <v>20</v>
      </c>
    </row>
    <row r="3" spans="2:22" ht="12.75">
      <c r="B3" s="351">
        <v>1</v>
      </c>
      <c r="C3" s="352">
        <f>C$2*((ROUNDUP((C$2)/5,0)*5))</f>
        <v>5</v>
      </c>
      <c r="D3" s="352">
        <f>D$2*(5+((ROUNDUP((D$2)/5,0)-1)*3))+C3</f>
        <v>15</v>
      </c>
      <c r="E3" s="352">
        <f>E$2*(5+((ROUNDUP((E$2)/5,0)-1)*3))+D3</f>
        <v>30</v>
      </c>
      <c r="F3" s="352">
        <f>F$2*(5+((ROUNDUP((F$2)/5,0)-1)*3))+E3</f>
        <v>50</v>
      </c>
      <c r="G3" s="352">
        <f>G$2*(5+((ROUNDUP((G$2)/5,0)-1)*3))+F3</f>
        <v>75</v>
      </c>
      <c r="H3" s="352">
        <f>H$2*(5+((ROUNDUP((H$2)/5,0)-1)*3))+G3</f>
        <v>123</v>
      </c>
      <c r="I3" s="352">
        <f>I$2*(5+((ROUNDUP((I$2)/5,0)-1)*3))+H3</f>
        <v>179</v>
      </c>
      <c r="J3" s="352">
        <f>J$2*(5+((ROUNDUP((J$2)/5,0)-1)*3))+I3</f>
        <v>243</v>
      </c>
      <c r="K3" s="352">
        <f>K$2*(5+((ROUNDUP((K$2)/5,0)-1)*3))+J3</f>
        <v>315</v>
      </c>
      <c r="L3" s="352">
        <f>L$2*(5+((ROUNDUP((L$2)/5,0)-1)*3))+K3</f>
        <v>395</v>
      </c>
      <c r="M3" s="352">
        <f>M$2*(5+((ROUNDUP((M$2)/5,0)-1)*3))+L3</f>
        <v>516</v>
      </c>
      <c r="N3" s="352">
        <f>N$2*(5+((ROUNDUP((N$2)/5,0)-1)*3))+M3</f>
        <v>648</v>
      </c>
      <c r="O3" s="352">
        <f>O$2*(5+((ROUNDUP((O$2)/5,0)-1)*3))+N3</f>
        <v>791</v>
      </c>
      <c r="P3" s="352">
        <f>P$2*(5+((ROUNDUP((P$2)/5,0)-1)*3))+O3</f>
        <v>945</v>
      </c>
      <c r="Q3" s="352">
        <f>Q$2*(5+((ROUNDUP((Q$2)/5,0)-1)*3))+P3</f>
        <v>1110</v>
      </c>
      <c r="R3" s="352">
        <f>R$2*(5+((ROUNDUP((R$2)/5,0)-1)*3))+Q3</f>
        <v>1334</v>
      </c>
      <c r="S3" s="352">
        <f>S$2*(5+((ROUNDUP((S$2)/5,0)-1)*3))+R3</f>
        <v>1572</v>
      </c>
      <c r="T3" s="352">
        <f>T$2*(5+((ROUNDUP((T$2)/5,0)-1)*3))+S3</f>
        <v>1824</v>
      </c>
      <c r="U3" s="352">
        <f>U$2*(5+((ROUNDUP((U$2)/5,0)-1)*3))+T3</f>
        <v>2090</v>
      </c>
      <c r="V3" s="352">
        <f>V$2*(5+((ROUNDUP((V$2)/5,0)-1)*3))+U3</f>
        <v>2370</v>
      </c>
    </row>
    <row r="4" spans="2:22" ht="12.75">
      <c r="B4" s="351">
        <v>2</v>
      </c>
      <c r="C4" s="352">
        <v>0</v>
      </c>
      <c r="D4" s="352">
        <f>D$2*(5+((ROUNDUP((D$2)/5,0)-1)*3))+C4</f>
        <v>10</v>
      </c>
      <c r="E4" s="352">
        <f>E$2*(5+((ROUNDUP((E$2)/5,0)-1)*3))+D4</f>
        <v>25</v>
      </c>
      <c r="F4" s="352">
        <f>F$2*(5+((ROUNDUP((F$2)/5,0)-1)*3))+E4</f>
        <v>45</v>
      </c>
      <c r="G4" s="352">
        <f>G$2*(5+((ROUNDUP((G$2)/5,0)-1)*3))+F4</f>
        <v>70</v>
      </c>
      <c r="H4" s="352">
        <f>H$2*(5+((ROUNDUP((H$2)/5,0)-1)*3))+G4</f>
        <v>118</v>
      </c>
      <c r="I4" s="352">
        <f>I$2*(5+((ROUNDUP((I$2)/5,0)-1)*3))+H4</f>
        <v>174</v>
      </c>
      <c r="J4" s="352">
        <f>J$2*(5+((ROUNDUP((J$2)/5,0)-1)*3))+I4</f>
        <v>238</v>
      </c>
      <c r="K4" s="352">
        <f>K$2*(5+((ROUNDUP((K$2)/5,0)-1)*3))+J4</f>
        <v>310</v>
      </c>
      <c r="L4" s="352">
        <f>L$2*(5+((ROUNDUP((L$2)/5,0)-1)*3))+K4</f>
        <v>390</v>
      </c>
      <c r="M4" s="352">
        <f>M$2*(5+((ROUNDUP((M$2)/5,0)-1)*3))+L4</f>
        <v>511</v>
      </c>
      <c r="N4" s="352">
        <f>N$2*(5+((ROUNDUP((N$2)/5,0)-1)*3))+M4</f>
        <v>643</v>
      </c>
      <c r="O4" s="352">
        <f>O$2*(5+((ROUNDUP((O$2)/5,0)-1)*3))+N4</f>
        <v>786</v>
      </c>
      <c r="P4" s="352">
        <f>P$2*(5+((ROUNDUP((P$2)/5,0)-1)*3))+O4</f>
        <v>940</v>
      </c>
      <c r="Q4" s="352">
        <f>Q$2*(5+((ROUNDUP((Q$2)/5,0)-1)*3))+P4</f>
        <v>1105</v>
      </c>
      <c r="R4" s="352">
        <f>R$2*(5+((ROUNDUP((R$2)/5,0)-1)*3))+Q4</f>
        <v>1329</v>
      </c>
      <c r="S4" s="352">
        <f>S$2*(5+((ROUNDUP((S$2)/5,0)-1)*3))+R4</f>
        <v>1567</v>
      </c>
      <c r="T4" s="352">
        <f>T$2*(5+((ROUNDUP((T$2)/5,0)-1)*3))+S4</f>
        <v>1819</v>
      </c>
      <c r="U4" s="352">
        <f>U$2*(5+((ROUNDUP((U$2)/5,0)-1)*3))+T4</f>
        <v>2085</v>
      </c>
      <c r="V4" s="352">
        <f>V$2*(5+((ROUNDUP((V$2)/5,0)-1)*3))+U4</f>
        <v>2365</v>
      </c>
    </row>
    <row r="5" spans="2:22" ht="12.75">
      <c r="B5" s="351">
        <v>3</v>
      </c>
      <c r="C5" s="352">
        <v>0</v>
      </c>
      <c r="D5" s="352">
        <v>0</v>
      </c>
      <c r="E5" s="352">
        <f>E$2*(5+((ROUNDUP((E$2)/5,0)-1)*3))+D5</f>
        <v>15</v>
      </c>
      <c r="F5" s="352">
        <f>F$2*(5+((ROUNDUP((F$2)/5,0)-1)*3))+E5</f>
        <v>35</v>
      </c>
      <c r="G5" s="352">
        <f>G$2*(5+((ROUNDUP((G$2)/5,0)-1)*3))+F5</f>
        <v>60</v>
      </c>
      <c r="H5" s="352">
        <f>H$2*(5+((ROUNDUP((H$2)/5,0)-1)*3))+G5</f>
        <v>108</v>
      </c>
      <c r="I5" s="352">
        <f>I$2*(5+((ROUNDUP((I$2)/5,0)-1)*3))+H5</f>
        <v>164</v>
      </c>
      <c r="J5" s="352">
        <f>J$2*(5+((ROUNDUP((J$2)/5,0)-1)*3))+I5</f>
        <v>228</v>
      </c>
      <c r="K5" s="352">
        <f>K$2*(5+((ROUNDUP((K$2)/5,0)-1)*3))+J5</f>
        <v>300</v>
      </c>
      <c r="L5" s="352">
        <f>L$2*(5+((ROUNDUP((L$2)/5,0)-1)*3))+K5</f>
        <v>380</v>
      </c>
      <c r="M5" s="352">
        <f>M$2*(5+((ROUNDUP((M$2)/5,0)-1)*3))+L5</f>
        <v>501</v>
      </c>
      <c r="N5" s="352">
        <f>N$2*(5+((ROUNDUP((N$2)/5,0)-1)*3))+M5</f>
        <v>633</v>
      </c>
      <c r="O5" s="352">
        <f>O$2*(5+((ROUNDUP((O$2)/5,0)-1)*3))+N5</f>
        <v>776</v>
      </c>
      <c r="P5" s="352">
        <f>P$2*(5+((ROUNDUP((P$2)/5,0)-1)*3))+O5</f>
        <v>930</v>
      </c>
      <c r="Q5" s="352">
        <f>Q$2*(5+((ROUNDUP((Q$2)/5,0)-1)*3))+P5</f>
        <v>1095</v>
      </c>
      <c r="R5" s="352">
        <f>R$2*(5+((ROUNDUP((R$2)/5,0)-1)*3))+Q5</f>
        <v>1319</v>
      </c>
      <c r="S5" s="352">
        <f>S$2*(5+((ROUNDUP((S$2)/5,0)-1)*3))+R5</f>
        <v>1557</v>
      </c>
      <c r="T5" s="352">
        <f>T$2*(5+((ROUNDUP((T$2)/5,0)-1)*3))+S5</f>
        <v>1809</v>
      </c>
      <c r="U5" s="352">
        <f>U$2*(5+((ROUNDUP((U$2)/5,0)-1)*3))+T5</f>
        <v>2075</v>
      </c>
      <c r="V5" s="352">
        <f>V$2*(5+((ROUNDUP((V$2)/5,0)-1)*3))+U5</f>
        <v>2355</v>
      </c>
    </row>
    <row r="6" spans="2:22" ht="12.75">
      <c r="B6" s="351">
        <v>4</v>
      </c>
      <c r="C6" s="352">
        <v>0</v>
      </c>
      <c r="D6" s="352">
        <v>0</v>
      </c>
      <c r="E6" s="352">
        <v>0</v>
      </c>
      <c r="F6" s="352">
        <f>F$2*(5+((ROUNDUP((F$2)/5,0)-1)*3))+E6</f>
        <v>20</v>
      </c>
      <c r="G6" s="352">
        <f>G$2*(5+((ROUNDUP((G$2)/5,0)-1)*3))+F6</f>
        <v>45</v>
      </c>
      <c r="H6" s="352">
        <f>H$2*(5+((ROUNDUP((H$2)/5,0)-1)*3))+G6</f>
        <v>93</v>
      </c>
      <c r="I6" s="352">
        <f>I$2*(5+((ROUNDUP((I$2)/5,0)-1)*3))+H6</f>
        <v>149</v>
      </c>
      <c r="J6" s="352">
        <f>J$2*(5+((ROUNDUP((J$2)/5,0)-1)*3))+I6</f>
        <v>213</v>
      </c>
      <c r="K6" s="352">
        <f>K$2*(5+((ROUNDUP((K$2)/5,0)-1)*3))+J6</f>
        <v>285</v>
      </c>
      <c r="L6" s="352">
        <f>L$2*(5+((ROUNDUP((L$2)/5,0)-1)*3))+K6</f>
        <v>365</v>
      </c>
      <c r="M6" s="352">
        <f>M$2*(5+((ROUNDUP((M$2)/5,0)-1)*3))+L6</f>
        <v>486</v>
      </c>
      <c r="N6" s="352">
        <f>N$2*(5+((ROUNDUP((N$2)/5,0)-1)*3))+M6</f>
        <v>618</v>
      </c>
      <c r="O6" s="352">
        <f>O$2*(5+((ROUNDUP((O$2)/5,0)-1)*3))+N6</f>
        <v>761</v>
      </c>
      <c r="P6" s="352">
        <f>P$2*(5+((ROUNDUP((P$2)/5,0)-1)*3))+O6</f>
        <v>915</v>
      </c>
      <c r="Q6" s="352">
        <f>Q$2*(5+((ROUNDUP((Q$2)/5,0)-1)*3))+P6</f>
        <v>1080</v>
      </c>
      <c r="R6" s="352">
        <f>R$2*(5+((ROUNDUP((R$2)/5,0)-1)*3))+Q6</f>
        <v>1304</v>
      </c>
      <c r="S6" s="352">
        <f>S$2*(5+((ROUNDUP((S$2)/5,0)-1)*3))+R6</f>
        <v>1542</v>
      </c>
      <c r="T6" s="352">
        <f>T$2*(5+((ROUNDUP((T$2)/5,0)-1)*3))+S6</f>
        <v>1794</v>
      </c>
      <c r="U6" s="352">
        <f>U$2*(5+((ROUNDUP((U$2)/5,0)-1)*3))+T6</f>
        <v>2060</v>
      </c>
      <c r="V6" s="352">
        <f>V$2*(5+((ROUNDUP((V$2)/5,0)-1)*3))+U6</f>
        <v>2340</v>
      </c>
    </row>
    <row r="7" spans="2:22" ht="12.75">
      <c r="B7" s="351">
        <v>5</v>
      </c>
      <c r="C7" s="352">
        <v>0</v>
      </c>
      <c r="D7" s="352">
        <v>0</v>
      </c>
      <c r="E7" s="352">
        <v>0</v>
      </c>
      <c r="F7" s="352">
        <v>0</v>
      </c>
      <c r="G7" s="352">
        <f>G$2*(5+((ROUNDUP((G$2)/5,0)-1)*3))+F7</f>
        <v>25</v>
      </c>
      <c r="H7" s="352">
        <f>H$2*(5+((ROUNDUP((H$2)/5,0)-1)*3))+G7</f>
        <v>73</v>
      </c>
      <c r="I7" s="352">
        <f>I$2*(5+((ROUNDUP((I$2)/5,0)-1)*3))+H7</f>
        <v>129</v>
      </c>
      <c r="J7" s="352">
        <f>J$2*(5+((ROUNDUP((J$2)/5,0)-1)*3))+I7</f>
        <v>193</v>
      </c>
      <c r="K7" s="352">
        <f>K$2*(5+((ROUNDUP((K$2)/5,0)-1)*3))+J7</f>
        <v>265</v>
      </c>
      <c r="L7" s="352">
        <f>L$2*(5+((ROUNDUP((L$2)/5,0)-1)*3))+K7</f>
        <v>345</v>
      </c>
      <c r="M7" s="352">
        <f>M$2*(5+((ROUNDUP((M$2)/5,0)-1)*3))+L7</f>
        <v>466</v>
      </c>
      <c r="N7" s="352">
        <f>N$2*(5+((ROUNDUP((N$2)/5,0)-1)*3))+M7</f>
        <v>598</v>
      </c>
      <c r="O7" s="352">
        <f>O$2*(5+((ROUNDUP((O$2)/5,0)-1)*3))+N7</f>
        <v>741</v>
      </c>
      <c r="P7" s="352">
        <f>P$2*(5+((ROUNDUP((P$2)/5,0)-1)*3))+O7</f>
        <v>895</v>
      </c>
      <c r="Q7" s="352">
        <f>Q$2*(5+((ROUNDUP((Q$2)/5,0)-1)*3))+P7</f>
        <v>1060</v>
      </c>
      <c r="R7" s="352">
        <f>R$2*(5+((ROUNDUP((R$2)/5,0)-1)*3))+Q7</f>
        <v>1284</v>
      </c>
      <c r="S7" s="352">
        <f>S$2*(5+((ROUNDUP((S$2)/5,0)-1)*3))+R7</f>
        <v>1522</v>
      </c>
      <c r="T7" s="352">
        <f>T$2*(5+((ROUNDUP((T$2)/5,0)-1)*3))+S7</f>
        <v>1774</v>
      </c>
      <c r="U7" s="352">
        <f>U$2*(5+((ROUNDUP((U$2)/5,0)-1)*3))+T7</f>
        <v>2040</v>
      </c>
      <c r="V7" s="352">
        <f>V$2*(5+((ROUNDUP((V$2)/5,0)-1)*3))+U7</f>
        <v>2320</v>
      </c>
    </row>
    <row r="8" spans="2:22" ht="12.75">
      <c r="B8" s="351">
        <v>6</v>
      </c>
      <c r="C8" s="352">
        <v>0</v>
      </c>
      <c r="D8" s="352">
        <v>0</v>
      </c>
      <c r="E8" s="352">
        <v>0</v>
      </c>
      <c r="F8" s="352">
        <v>0</v>
      </c>
      <c r="G8" s="352">
        <v>0</v>
      </c>
      <c r="H8" s="352">
        <f>H$2*(5+((ROUNDUP((H$2)/5,0)-1)*3))+G8</f>
        <v>48</v>
      </c>
      <c r="I8" s="352">
        <f>I$2*(5+((ROUNDUP((I$2)/5,0)-1)*3))+H8</f>
        <v>104</v>
      </c>
      <c r="J8" s="352">
        <f>J$2*(5+((ROUNDUP((J$2)/5,0)-1)*3))+I8</f>
        <v>168</v>
      </c>
      <c r="K8" s="352">
        <f>K$2*(5+((ROUNDUP((K$2)/5,0)-1)*3))+J8</f>
        <v>240</v>
      </c>
      <c r="L8" s="352">
        <f>L$2*(5+((ROUNDUP((L$2)/5,0)-1)*3))+K8</f>
        <v>320</v>
      </c>
      <c r="M8" s="352">
        <f>M$2*(5+((ROUNDUP((M$2)/5,0)-1)*3))+L8</f>
        <v>441</v>
      </c>
      <c r="N8" s="352">
        <f>N$2*(5+((ROUNDUP((N$2)/5,0)-1)*3))+M8</f>
        <v>573</v>
      </c>
      <c r="O8" s="352">
        <f>O$2*(5+((ROUNDUP((O$2)/5,0)-1)*3))+N8</f>
        <v>716</v>
      </c>
      <c r="P8" s="352">
        <f>P$2*(5+((ROUNDUP((P$2)/5,0)-1)*3))+O8</f>
        <v>870</v>
      </c>
      <c r="Q8" s="352">
        <f>Q$2*(5+((ROUNDUP((Q$2)/5,0)-1)*3))+P8</f>
        <v>1035</v>
      </c>
      <c r="R8" s="352">
        <f>R$2*(5+((ROUNDUP((R$2)/5,0)-1)*3))+Q8</f>
        <v>1259</v>
      </c>
      <c r="S8" s="352">
        <f>S$2*(5+((ROUNDUP((S$2)/5,0)-1)*3))+R8</f>
        <v>1497</v>
      </c>
      <c r="T8" s="352">
        <f>T$2*(5+((ROUNDUP((T$2)/5,0)-1)*3))+S8</f>
        <v>1749</v>
      </c>
      <c r="U8" s="352">
        <f>U$2*(5+((ROUNDUP((U$2)/5,0)-1)*3))+T8</f>
        <v>2015</v>
      </c>
      <c r="V8" s="352">
        <f>V$2*(5+((ROUNDUP((V$2)/5,0)-1)*3))+U8</f>
        <v>2295</v>
      </c>
    </row>
    <row r="9" spans="2:22" ht="12.75">
      <c r="B9" s="351">
        <v>7</v>
      </c>
      <c r="C9" s="352">
        <v>0</v>
      </c>
      <c r="D9" s="352">
        <v>0</v>
      </c>
      <c r="E9" s="352">
        <v>0</v>
      </c>
      <c r="F9" s="352">
        <v>0</v>
      </c>
      <c r="G9" s="352">
        <v>0</v>
      </c>
      <c r="H9" s="352">
        <v>0</v>
      </c>
      <c r="I9" s="352">
        <f>I$2*(5+((ROUNDUP((I$2)/5,0)-1)*3))+H9</f>
        <v>56</v>
      </c>
      <c r="J9" s="352">
        <f>J$2*(5+((ROUNDUP((J$2)/5,0)-1)*3))+I9</f>
        <v>120</v>
      </c>
      <c r="K9" s="352">
        <f>K$2*(5+((ROUNDUP((K$2)/5,0)-1)*3))+J9</f>
        <v>192</v>
      </c>
      <c r="L9" s="352">
        <f>L$2*(5+((ROUNDUP((L$2)/5,0)-1)*3))+K9</f>
        <v>272</v>
      </c>
      <c r="M9" s="352">
        <f>M$2*(5+((ROUNDUP((M$2)/5,0)-1)*3))+L9</f>
        <v>393</v>
      </c>
      <c r="N9" s="352">
        <f>N$2*(5+((ROUNDUP((N$2)/5,0)-1)*3))+M9</f>
        <v>525</v>
      </c>
      <c r="O9" s="352">
        <f>O$2*(5+((ROUNDUP((O$2)/5,0)-1)*3))+N9</f>
        <v>668</v>
      </c>
      <c r="P9" s="352">
        <f>P$2*(5+((ROUNDUP((P$2)/5,0)-1)*3))+O9</f>
        <v>822</v>
      </c>
      <c r="Q9" s="352">
        <f>Q$2*(5+((ROUNDUP((Q$2)/5,0)-1)*3))+P9</f>
        <v>987</v>
      </c>
      <c r="R9" s="352">
        <f>R$2*(5+((ROUNDUP((R$2)/5,0)-1)*3))+Q9</f>
        <v>1211</v>
      </c>
      <c r="S9" s="352">
        <f>S$2*(5+((ROUNDUP((S$2)/5,0)-1)*3))+R9</f>
        <v>1449</v>
      </c>
      <c r="T9" s="352">
        <f>T$2*(5+((ROUNDUP((T$2)/5,0)-1)*3))+S9</f>
        <v>1701</v>
      </c>
      <c r="U9" s="352">
        <f>U$2*(5+((ROUNDUP((U$2)/5,0)-1)*3))+T9</f>
        <v>1967</v>
      </c>
      <c r="V9" s="352">
        <f>V$2*(5+((ROUNDUP((V$2)/5,0)-1)*3))+U9</f>
        <v>2247</v>
      </c>
    </row>
    <row r="10" spans="2:22" ht="12.75">
      <c r="B10" s="351">
        <v>8</v>
      </c>
      <c r="C10" s="352">
        <v>0</v>
      </c>
      <c r="D10" s="352">
        <v>0</v>
      </c>
      <c r="E10" s="352">
        <v>0</v>
      </c>
      <c r="F10" s="352">
        <v>0</v>
      </c>
      <c r="G10" s="352">
        <v>0</v>
      </c>
      <c r="H10" s="352">
        <v>0</v>
      </c>
      <c r="I10" s="352">
        <v>0</v>
      </c>
      <c r="J10" s="352">
        <f>J$2*(5+((ROUNDUP((J$2)/5,0)-1)*3))+I10</f>
        <v>64</v>
      </c>
      <c r="K10" s="352">
        <f>K$2*(5+((ROUNDUP((K$2)/5,0)-1)*3))+J10</f>
        <v>136</v>
      </c>
      <c r="L10" s="352">
        <f>L$2*(5+((ROUNDUP((L$2)/5,0)-1)*3))+K10</f>
        <v>216</v>
      </c>
      <c r="M10" s="352">
        <f>M$2*(5+((ROUNDUP((M$2)/5,0)-1)*3))+L10</f>
        <v>337</v>
      </c>
      <c r="N10" s="352">
        <f>N$2*(5+((ROUNDUP((N$2)/5,0)-1)*3))+M10</f>
        <v>469</v>
      </c>
      <c r="O10" s="352">
        <f>O$2*(5+((ROUNDUP((O$2)/5,0)-1)*3))+N10</f>
        <v>612</v>
      </c>
      <c r="P10" s="352">
        <f>P$2*(5+((ROUNDUP((P$2)/5,0)-1)*3))+O10</f>
        <v>766</v>
      </c>
      <c r="Q10" s="352">
        <f>Q$2*(5+((ROUNDUP((Q$2)/5,0)-1)*3))+P10</f>
        <v>931</v>
      </c>
      <c r="R10" s="352">
        <f>R$2*(5+((ROUNDUP((R$2)/5,0)-1)*3))+Q10</f>
        <v>1155</v>
      </c>
      <c r="S10" s="352">
        <f>S$2*(5+((ROUNDUP((S$2)/5,0)-1)*3))+R10</f>
        <v>1393</v>
      </c>
      <c r="T10" s="352">
        <f>T$2*(5+((ROUNDUP((T$2)/5,0)-1)*3))+S10</f>
        <v>1645</v>
      </c>
      <c r="U10" s="352">
        <f>U$2*(5+((ROUNDUP((U$2)/5,0)-1)*3))+T10</f>
        <v>1911</v>
      </c>
      <c r="V10" s="352">
        <f>V$2*(5+((ROUNDUP((V$2)/5,0)-1)*3))+U10</f>
        <v>2191</v>
      </c>
    </row>
    <row r="11" spans="2:22" ht="12.75">
      <c r="B11" s="351">
        <v>9</v>
      </c>
      <c r="C11" s="352">
        <v>0</v>
      </c>
      <c r="D11" s="352">
        <v>0</v>
      </c>
      <c r="E11" s="352">
        <v>0</v>
      </c>
      <c r="F11" s="352">
        <v>0</v>
      </c>
      <c r="G11" s="352">
        <v>0</v>
      </c>
      <c r="H11" s="352">
        <v>0</v>
      </c>
      <c r="I11" s="352">
        <v>0</v>
      </c>
      <c r="J11" s="352">
        <v>0</v>
      </c>
      <c r="K11" s="352">
        <f>K$2*(5+((ROUNDUP((K$2)/5,0)-1)*3))+J11</f>
        <v>72</v>
      </c>
      <c r="L11" s="352">
        <f>L$2*(5+((ROUNDUP((L$2)/5,0)-1)*3))+K11</f>
        <v>152</v>
      </c>
      <c r="M11" s="352">
        <f>M$2*(5+((ROUNDUP((M$2)/5,0)-1)*3))+L11</f>
        <v>273</v>
      </c>
      <c r="N11" s="352">
        <f>N$2*(5+((ROUNDUP((N$2)/5,0)-1)*3))+M11</f>
        <v>405</v>
      </c>
      <c r="O11" s="352">
        <f>O$2*(5+((ROUNDUP((O$2)/5,0)-1)*3))+N11</f>
        <v>548</v>
      </c>
      <c r="P11" s="352">
        <f>P$2*(5+((ROUNDUP((P$2)/5,0)-1)*3))+O11</f>
        <v>702</v>
      </c>
      <c r="Q11" s="352">
        <f>Q$2*(5+((ROUNDUP((Q$2)/5,0)-1)*3))+P11</f>
        <v>867</v>
      </c>
      <c r="R11" s="352">
        <f>R$2*(5+((ROUNDUP((R$2)/5,0)-1)*3))+Q11</f>
        <v>1091</v>
      </c>
      <c r="S11" s="352">
        <f>S$2*(5+((ROUNDUP((S$2)/5,0)-1)*3))+R11</f>
        <v>1329</v>
      </c>
      <c r="T11" s="352">
        <f>T$2*(5+((ROUNDUP((T$2)/5,0)-1)*3))+S11</f>
        <v>1581</v>
      </c>
      <c r="U11" s="352">
        <f>U$2*(5+((ROUNDUP((U$2)/5,0)-1)*3))+T11</f>
        <v>1847</v>
      </c>
      <c r="V11" s="352">
        <f>V$2*(5+((ROUNDUP((V$2)/5,0)-1)*3))+U11</f>
        <v>2127</v>
      </c>
    </row>
    <row r="13" ht="12.75">
      <c r="B13" t="s">
        <v>547</v>
      </c>
    </row>
    <row r="14" spans="2:22" ht="12.75">
      <c r="B14" s="349" t="s">
        <v>546</v>
      </c>
      <c r="C14" s="350">
        <v>1</v>
      </c>
      <c r="D14" s="350">
        <v>2</v>
      </c>
      <c r="E14" s="350">
        <v>3</v>
      </c>
      <c r="F14" s="350">
        <v>4</v>
      </c>
      <c r="G14" s="350">
        <v>5</v>
      </c>
      <c r="H14" s="350">
        <v>6</v>
      </c>
      <c r="I14" s="350">
        <v>7</v>
      </c>
      <c r="J14" s="350">
        <v>8</v>
      </c>
      <c r="K14" s="350">
        <v>9</v>
      </c>
      <c r="L14" s="350">
        <v>10</v>
      </c>
      <c r="M14" s="350">
        <v>11</v>
      </c>
      <c r="N14" s="350">
        <v>12</v>
      </c>
      <c r="O14" s="350">
        <v>13</v>
      </c>
      <c r="P14" s="350">
        <v>14</v>
      </c>
      <c r="Q14" s="350">
        <v>15</v>
      </c>
      <c r="R14" s="350">
        <v>16</v>
      </c>
      <c r="S14" s="350">
        <v>17</v>
      </c>
      <c r="T14" s="350">
        <v>18</v>
      </c>
      <c r="U14" s="350">
        <v>19</v>
      </c>
      <c r="V14" s="350">
        <v>20</v>
      </c>
    </row>
    <row r="15" spans="2:22" ht="12.75">
      <c r="B15" s="351">
        <v>1</v>
      </c>
      <c r="C15" s="352">
        <f>C$2*((ROUNDUP((C$2)/5,0))*10)</f>
        <v>10</v>
      </c>
      <c r="D15" s="352">
        <f>D$2*(10+((ROUNDUP((D$2)/5,0)-1)*3))+C15</f>
        <v>30</v>
      </c>
      <c r="E15" s="352">
        <f>E$2*(10+((ROUNDUP((E$2)/5,0)-1)*3))+D15</f>
        <v>60</v>
      </c>
      <c r="F15" s="352">
        <f>F$2*(10+((ROUNDUP((F$2)/5,0)-1)*3))+E15</f>
        <v>100</v>
      </c>
      <c r="G15" s="352">
        <f>G$2*(10+((ROUNDUP((G$2)/5,0)-1)*3))+F15</f>
        <v>150</v>
      </c>
      <c r="H15" s="352">
        <f>H$2*(10+((ROUNDUP((H$2)/5,0)-1)*3))+G15</f>
        <v>228</v>
      </c>
      <c r="I15" s="352">
        <f>I$2*(10+((ROUNDUP((I$2)/5,0)-1)*3))+H15</f>
        <v>319</v>
      </c>
      <c r="J15" s="352">
        <f>J$2*(10+((ROUNDUP((J$2)/5,0)-1)*3))+I15</f>
        <v>423</v>
      </c>
      <c r="K15" s="352">
        <f>K$2*(10+((ROUNDUP((K$2)/5,0)-1)*3))+J15</f>
        <v>540</v>
      </c>
      <c r="L15" s="352">
        <f>L$2*(10+((ROUNDUP((L$2)/5,0)-1)*3))+K15</f>
        <v>670</v>
      </c>
      <c r="M15" s="352">
        <f>M$2*(10+((ROUNDUP((M$2)/5,0)-1)*3))+L15</f>
        <v>846</v>
      </c>
      <c r="N15" s="352">
        <f>N$2*(10+((ROUNDUP((N$2)/5,0)-1)*3))+M15</f>
        <v>1038</v>
      </c>
      <c r="O15" s="352">
        <f>O$2*(10+((ROUNDUP((O$2)/5,0)-1)*3))+N15</f>
        <v>1246</v>
      </c>
      <c r="P15" s="352">
        <f>P$2*(10+((ROUNDUP((P$2)/5,0)-1)*3))+O15</f>
        <v>1470</v>
      </c>
      <c r="Q15" s="352">
        <f>Q$2*(10+((ROUNDUP((Q$2)/5,0)-1)*3))+P15</f>
        <v>1710</v>
      </c>
      <c r="R15" s="352">
        <f>R$2*(10+((ROUNDUP((R$2)/5,0)-1)*3))+Q15</f>
        <v>2014</v>
      </c>
      <c r="S15" s="352">
        <f>S$2*(10+((ROUNDUP((S$2)/5,0)-1)*3))+R15</f>
        <v>2337</v>
      </c>
      <c r="T15" s="352">
        <f>T$2*(10+((ROUNDUP((T$2)/5,0)-1)*3))+S15</f>
        <v>2679</v>
      </c>
      <c r="U15" s="352">
        <f>U$2*(10+((ROUNDUP((U$2)/5,0)-1)*3))+T15</f>
        <v>3040</v>
      </c>
      <c r="V15" s="352">
        <f>V$2*(10+((ROUNDUP((V$2)/5,0)-1)*3))+U15</f>
        <v>3420</v>
      </c>
    </row>
    <row r="16" spans="2:22" ht="12.75">
      <c r="B16" s="351">
        <v>2</v>
      </c>
      <c r="C16" s="352">
        <v>0</v>
      </c>
      <c r="D16" s="352">
        <f>D$2*(10+((ROUNDUP((D$2)/5,0)-1)*3))+C16</f>
        <v>20</v>
      </c>
      <c r="E16" s="352">
        <f>E$2*(10+((ROUNDUP((E$2)/5,0)-1)*3))+D16</f>
        <v>50</v>
      </c>
      <c r="F16" s="352">
        <f>F$2*(10+((ROUNDUP((F$2)/5,0)-1)*3))+E16</f>
        <v>90</v>
      </c>
      <c r="G16" s="352">
        <f>G$2*(10+((ROUNDUP((G$2)/5,0)-1)*3))+F16</f>
        <v>140</v>
      </c>
      <c r="H16" s="352">
        <f>H$2*(10+((ROUNDUP((H$2)/5,0)-1)*3))+G16</f>
        <v>218</v>
      </c>
      <c r="I16" s="352">
        <f>I$2*(10+((ROUNDUP((I$2)/5,0)-1)*3))+H16</f>
        <v>309</v>
      </c>
      <c r="J16" s="352">
        <f>J$2*(10+((ROUNDUP((J$2)/5,0)-1)*3))+I16</f>
        <v>413</v>
      </c>
      <c r="K16" s="352">
        <f>K$2*(10+((ROUNDUP((K$2)/5,0)-1)*3))+J16</f>
        <v>530</v>
      </c>
      <c r="L16" s="352">
        <f>L$2*(10+((ROUNDUP((L$2)/5,0)-1)*3))+K16</f>
        <v>660</v>
      </c>
      <c r="M16" s="352">
        <f>M$2*(10+((ROUNDUP((M$2)/5,0)-1)*3))+L16</f>
        <v>836</v>
      </c>
      <c r="N16" s="352">
        <f>N$2*(10+((ROUNDUP((N$2)/5,0)-1)*3))+M16</f>
        <v>1028</v>
      </c>
      <c r="O16" s="352">
        <f>O$2*(10+((ROUNDUP((O$2)/5,0)-1)*3))+N16</f>
        <v>1236</v>
      </c>
      <c r="P16" s="352">
        <f>P$2*(10+((ROUNDUP((P$2)/5,0)-1)*3))+O16</f>
        <v>1460</v>
      </c>
      <c r="Q16" s="352">
        <f>Q$2*(10+((ROUNDUP((Q$2)/5,0)-1)*3))+P16</f>
        <v>1700</v>
      </c>
      <c r="R16" s="352">
        <f>R$2*(10+((ROUNDUP((R$2)/5,0)-1)*3))+Q16</f>
        <v>2004</v>
      </c>
      <c r="S16" s="352">
        <f>S$2*(10+((ROUNDUP((S$2)/5,0)-1)*3))+R16</f>
        <v>2327</v>
      </c>
      <c r="T16" s="352">
        <f>T$2*(10+((ROUNDUP((T$2)/5,0)-1)*3))+S16</f>
        <v>2669</v>
      </c>
      <c r="U16" s="352">
        <f>U$2*(10+((ROUNDUP((U$2)/5,0)-1)*3))+T16</f>
        <v>3030</v>
      </c>
      <c r="V16" s="352">
        <f>V$2*(10+((ROUNDUP((V$2)/5,0)-1)*3))+U16</f>
        <v>3410</v>
      </c>
    </row>
    <row r="17" spans="2:22" ht="12.75">
      <c r="B17" s="351">
        <v>3</v>
      </c>
      <c r="C17" s="352">
        <v>0</v>
      </c>
      <c r="D17" s="352">
        <v>0</v>
      </c>
      <c r="E17" s="352">
        <f>E$2*(10+((ROUNDUP((E$2)/5,0)-1)*3))+D17</f>
        <v>30</v>
      </c>
      <c r="F17" s="352">
        <f>F$2*(10+((ROUNDUP((F$2)/5,0)-1)*3))+E17</f>
        <v>70</v>
      </c>
      <c r="G17" s="352">
        <f>G$2*(10+((ROUNDUP((G$2)/5,0)-1)*3))+F17</f>
        <v>120</v>
      </c>
      <c r="H17" s="352">
        <f>H$2*(10+((ROUNDUP((H$2)/5,0)-1)*3))+G17</f>
        <v>198</v>
      </c>
      <c r="I17" s="352">
        <f>I$2*(10+((ROUNDUP((I$2)/5,0)-1)*3))+H17</f>
        <v>289</v>
      </c>
      <c r="J17" s="352">
        <f>J$2*(10+((ROUNDUP((J$2)/5,0)-1)*3))+I17</f>
        <v>393</v>
      </c>
      <c r="K17" s="352">
        <f>K$2*(10+((ROUNDUP((K$2)/5,0)-1)*3))+J17</f>
        <v>510</v>
      </c>
      <c r="L17" s="352">
        <f>L$2*(10+((ROUNDUP((L$2)/5,0)-1)*3))+K17</f>
        <v>640</v>
      </c>
      <c r="M17" s="352">
        <f>M$2*(10+((ROUNDUP((M$2)/5,0)-1)*3))+L17</f>
        <v>816</v>
      </c>
      <c r="N17" s="352">
        <f>N$2*(10+((ROUNDUP((N$2)/5,0)-1)*3))+M17</f>
        <v>1008</v>
      </c>
      <c r="O17" s="352">
        <f>O$2*(10+((ROUNDUP((O$2)/5,0)-1)*3))+N17</f>
        <v>1216</v>
      </c>
      <c r="P17" s="352">
        <f>P$2*(10+((ROUNDUP((P$2)/5,0)-1)*3))+O17</f>
        <v>1440</v>
      </c>
      <c r="Q17" s="352">
        <f>Q$2*(10+((ROUNDUP((Q$2)/5,0)-1)*3))+P17</f>
        <v>1680</v>
      </c>
      <c r="R17" s="352">
        <f>R$2*(10+((ROUNDUP((R$2)/5,0)-1)*3))+Q17</f>
        <v>1984</v>
      </c>
      <c r="S17" s="352">
        <f>S$2*(10+((ROUNDUP((S$2)/5,0)-1)*3))+R17</f>
        <v>2307</v>
      </c>
      <c r="T17" s="352">
        <f>T$2*(10+((ROUNDUP((T$2)/5,0)-1)*3))+S17</f>
        <v>2649</v>
      </c>
      <c r="U17" s="352">
        <f>U$2*(10+((ROUNDUP((U$2)/5,0)-1)*3))+T17</f>
        <v>3010</v>
      </c>
      <c r="V17" s="352">
        <f>V$2*(10+((ROUNDUP((V$2)/5,0)-1)*3))+U17</f>
        <v>3390</v>
      </c>
    </row>
    <row r="18" spans="2:22" ht="12.75">
      <c r="B18" s="351">
        <v>4</v>
      </c>
      <c r="C18" s="352">
        <v>0</v>
      </c>
      <c r="D18" s="352">
        <v>0</v>
      </c>
      <c r="E18" s="352">
        <v>0</v>
      </c>
      <c r="F18" s="352">
        <f>F$2*(10+((ROUNDUP((F$2)/5,0)-1)*3))+E18</f>
        <v>40</v>
      </c>
      <c r="G18" s="352">
        <f>G$2*(10+((ROUNDUP((G$2)/5,0)-1)*3))+F18</f>
        <v>90</v>
      </c>
      <c r="H18" s="352">
        <f>H$2*(10+((ROUNDUP((H$2)/5,0)-1)*3))+G18</f>
        <v>168</v>
      </c>
      <c r="I18" s="352">
        <f>I$2*(10+((ROUNDUP((I$2)/5,0)-1)*3))+H18</f>
        <v>259</v>
      </c>
      <c r="J18" s="352">
        <f>J$2*(10+((ROUNDUP((J$2)/5,0)-1)*3))+I18</f>
        <v>363</v>
      </c>
      <c r="K18" s="352">
        <f>K$2*(10+((ROUNDUP((K$2)/5,0)-1)*3))+J18</f>
        <v>480</v>
      </c>
      <c r="L18" s="352">
        <f>L$2*(10+((ROUNDUP((L$2)/5,0)-1)*3))+K18</f>
        <v>610</v>
      </c>
      <c r="M18" s="352">
        <f>M$2*(10+((ROUNDUP((M$2)/5,0)-1)*3))+L18</f>
        <v>786</v>
      </c>
      <c r="N18" s="352">
        <f>N$2*(10+((ROUNDUP((N$2)/5,0)-1)*3))+M18</f>
        <v>978</v>
      </c>
      <c r="O18" s="352">
        <f>O$2*(10+((ROUNDUP((O$2)/5,0)-1)*3))+N18</f>
        <v>1186</v>
      </c>
      <c r="P18" s="352">
        <f>P$2*(10+((ROUNDUP((P$2)/5,0)-1)*3))+O18</f>
        <v>1410</v>
      </c>
      <c r="Q18" s="352">
        <f>Q$2*(10+((ROUNDUP((Q$2)/5,0)-1)*3))+P18</f>
        <v>1650</v>
      </c>
      <c r="R18" s="352">
        <f>R$2*(10+((ROUNDUP((R$2)/5,0)-1)*3))+Q18</f>
        <v>1954</v>
      </c>
      <c r="S18" s="352">
        <f>S$2*(10+((ROUNDUP((S$2)/5,0)-1)*3))+R18</f>
        <v>2277</v>
      </c>
      <c r="T18" s="352">
        <f>T$2*(10+((ROUNDUP((T$2)/5,0)-1)*3))+S18</f>
        <v>2619</v>
      </c>
      <c r="U18" s="352">
        <f>U$2*(10+((ROUNDUP((U$2)/5,0)-1)*3))+T18</f>
        <v>2980</v>
      </c>
      <c r="V18" s="352">
        <f>V$2*(10+((ROUNDUP((V$2)/5,0)-1)*3))+U18</f>
        <v>3360</v>
      </c>
    </row>
    <row r="19" spans="2:22" ht="12.75">
      <c r="B19" s="351">
        <v>5</v>
      </c>
      <c r="C19" s="352">
        <v>0</v>
      </c>
      <c r="D19" s="352">
        <v>0</v>
      </c>
      <c r="E19" s="352">
        <v>0</v>
      </c>
      <c r="F19" s="352">
        <v>0</v>
      </c>
      <c r="G19" s="352">
        <f>G$2*(10+((ROUNDUP((G$2)/5,0)-1)*3))+F19</f>
        <v>50</v>
      </c>
      <c r="H19" s="352">
        <f>H$2*(10+((ROUNDUP((H$2)/5,0)-1)*3))+G19</f>
        <v>128</v>
      </c>
      <c r="I19" s="352">
        <f>I$2*(10+((ROUNDUP((I$2)/5,0)-1)*3))+H19</f>
        <v>219</v>
      </c>
      <c r="J19" s="352">
        <f>J$2*(10+((ROUNDUP((J$2)/5,0)-1)*3))+I19</f>
        <v>323</v>
      </c>
      <c r="K19" s="352">
        <f>K$2*(10+((ROUNDUP((K$2)/5,0)-1)*3))+J19</f>
        <v>440</v>
      </c>
      <c r="L19" s="352">
        <f>L$2*(10+((ROUNDUP((L$2)/5,0)-1)*3))+K19</f>
        <v>570</v>
      </c>
      <c r="M19" s="352">
        <f>M$2*(10+((ROUNDUP((M$2)/5,0)-1)*3))+L19</f>
        <v>746</v>
      </c>
      <c r="N19" s="352">
        <f>N$2*(10+((ROUNDUP((N$2)/5,0)-1)*3))+M19</f>
        <v>938</v>
      </c>
      <c r="O19" s="352">
        <f>O$2*(10+((ROUNDUP((O$2)/5,0)-1)*3))+N19</f>
        <v>1146</v>
      </c>
      <c r="P19" s="352">
        <f>P$2*(10+((ROUNDUP((P$2)/5,0)-1)*3))+O19</f>
        <v>1370</v>
      </c>
      <c r="Q19" s="352">
        <f>Q$2*(10+((ROUNDUP((Q$2)/5,0)-1)*3))+P19</f>
        <v>1610</v>
      </c>
      <c r="R19" s="352">
        <f>R$2*(10+((ROUNDUP((R$2)/5,0)-1)*3))+Q19</f>
        <v>1914</v>
      </c>
      <c r="S19" s="352">
        <f>S$2*(10+((ROUNDUP((S$2)/5,0)-1)*3))+R19</f>
        <v>2237</v>
      </c>
      <c r="T19" s="352">
        <f>T$2*(10+((ROUNDUP((T$2)/5,0)-1)*3))+S19</f>
        <v>2579</v>
      </c>
      <c r="U19" s="352">
        <f>U$2*(10+((ROUNDUP((U$2)/5,0)-1)*3))+T19</f>
        <v>2940</v>
      </c>
      <c r="V19" s="352">
        <f>V$2*(10+((ROUNDUP((V$2)/5,0)-1)*3))+U19</f>
        <v>3320</v>
      </c>
    </row>
    <row r="20" spans="2:22" ht="12.75">
      <c r="B20" s="351">
        <v>6</v>
      </c>
      <c r="C20" s="352">
        <v>0</v>
      </c>
      <c r="D20" s="352">
        <v>0</v>
      </c>
      <c r="E20" s="352">
        <v>0</v>
      </c>
      <c r="F20" s="352">
        <v>0</v>
      </c>
      <c r="G20" s="352">
        <v>0</v>
      </c>
      <c r="H20" s="352">
        <f>H$2*(10+((ROUNDUP((H$2)/5,0)-1)*3))+G20</f>
        <v>78</v>
      </c>
      <c r="I20" s="352">
        <f>I$2*(10+((ROUNDUP((I$2)/5,0)-1)*3))+H20</f>
        <v>169</v>
      </c>
      <c r="J20" s="352">
        <f>J$2*(10+((ROUNDUP((J$2)/5,0)-1)*3))+I20</f>
        <v>273</v>
      </c>
      <c r="K20" s="352">
        <f>K$2*(10+((ROUNDUP((K$2)/5,0)-1)*3))+J20</f>
        <v>390</v>
      </c>
      <c r="L20" s="352">
        <f>L$2*(10+((ROUNDUP((L$2)/5,0)-1)*3))+K20</f>
        <v>520</v>
      </c>
      <c r="M20" s="352">
        <f>M$2*(10+((ROUNDUP((M$2)/5,0)-1)*3))+L20</f>
        <v>696</v>
      </c>
      <c r="N20" s="352">
        <f>N$2*(10+((ROUNDUP((N$2)/5,0)-1)*3))+M20</f>
        <v>888</v>
      </c>
      <c r="O20" s="352">
        <f>O$2*(10+((ROUNDUP((O$2)/5,0)-1)*3))+N20</f>
        <v>1096</v>
      </c>
      <c r="P20" s="352">
        <f>P$2*(10+((ROUNDUP((P$2)/5,0)-1)*3))+O20</f>
        <v>1320</v>
      </c>
      <c r="Q20" s="352">
        <f>Q$2*(10+((ROUNDUP((Q$2)/5,0)-1)*3))+P20</f>
        <v>1560</v>
      </c>
      <c r="R20" s="352">
        <f>R$2*(10+((ROUNDUP((R$2)/5,0)-1)*3))+Q20</f>
        <v>1864</v>
      </c>
      <c r="S20" s="352">
        <f>S$2*(10+((ROUNDUP((S$2)/5,0)-1)*3))+R20</f>
        <v>2187</v>
      </c>
      <c r="T20" s="352">
        <f>T$2*(10+((ROUNDUP((T$2)/5,0)-1)*3))+S20</f>
        <v>2529</v>
      </c>
      <c r="U20" s="352">
        <f>U$2*(10+((ROUNDUP((U$2)/5,0)-1)*3))+T20</f>
        <v>2890</v>
      </c>
      <c r="V20" s="352">
        <f>V$2*(10+((ROUNDUP((V$2)/5,0)-1)*3))+U20</f>
        <v>3270</v>
      </c>
    </row>
    <row r="21" spans="2:22" ht="12.75">
      <c r="B21" s="351">
        <v>7</v>
      </c>
      <c r="C21" s="352">
        <v>0</v>
      </c>
      <c r="D21" s="352">
        <v>0</v>
      </c>
      <c r="E21" s="352">
        <v>0</v>
      </c>
      <c r="F21" s="352">
        <v>0</v>
      </c>
      <c r="G21" s="352">
        <v>0</v>
      </c>
      <c r="H21" s="352">
        <v>0</v>
      </c>
      <c r="I21" s="352">
        <f>I$2*(10+((ROUNDUP((I$2)/5,0)-1)*3))+H21</f>
        <v>91</v>
      </c>
      <c r="J21" s="352">
        <f>J$2*(10+((ROUNDUP((J$2)/5,0)-1)*3))+I21</f>
        <v>195</v>
      </c>
      <c r="K21" s="352">
        <f>K$2*(10+((ROUNDUP((K$2)/5,0)-1)*3))+J21</f>
        <v>312</v>
      </c>
      <c r="L21" s="352">
        <f>L$2*(10+((ROUNDUP((L$2)/5,0)-1)*3))+K21</f>
        <v>442</v>
      </c>
      <c r="M21" s="352">
        <f>M$2*(10+((ROUNDUP((M$2)/5,0)-1)*3))+L21</f>
        <v>618</v>
      </c>
      <c r="N21" s="352">
        <f>N$2*(10+((ROUNDUP((N$2)/5,0)-1)*3))+M21</f>
        <v>810</v>
      </c>
      <c r="O21" s="352">
        <f>O$2*(10+((ROUNDUP((O$2)/5,0)-1)*3))+N21</f>
        <v>1018</v>
      </c>
      <c r="P21" s="352">
        <f>P$2*(10+((ROUNDUP((P$2)/5,0)-1)*3))+O21</f>
        <v>1242</v>
      </c>
      <c r="Q21" s="352">
        <f>Q$2*(10+((ROUNDUP((Q$2)/5,0)-1)*3))+P21</f>
        <v>1482</v>
      </c>
      <c r="R21" s="352">
        <f>R$2*(10+((ROUNDUP((R$2)/5,0)-1)*3))+Q21</f>
        <v>1786</v>
      </c>
      <c r="S21" s="352">
        <f>S$2*(10+((ROUNDUP((S$2)/5,0)-1)*3))+R21</f>
        <v>2109</v>
      </c>
      <c r="T21" s="352">
        <f>T$2*(10+((ROUNDUP((T$2)/5,0)-1)*3))+S21</f>
        <v>2451</v>
      </c>
      <c r="U21" s="352">
        <f>U$2*(10+((ROUNDUP((U$2)/5,0)-1)*3))+T21</f>
        <v>2812</v>
      </c>
      <c r="V21" s="352">
        <f>V$2*(10+((ROUNDUP((V$2)/5,0)-1)*3))+U21</f>
        <v>3192</v>
      </c>
    </row>
    <row r="22" spans="2:22" ht="12.75">
      <c r="B22" s="351">
        <v>8</v>
      </c>
      <c r="C22" s="352">
        <v>0</v>
      </c>
      <c r="D22" s="352">
        <v>0</v>
      </c>
      <c r="E22" s="352">
        <v>0</v>
      </c>
      <c r="F22" s="352">
        <v>0</v>
      </c>
      <c r="G22" s="352">
        <v>0</v>
      </c>
      <c r="H22" s="352">
        <v>0</v>
      </c>
      <c r="I22" s="352">
        <v>0</v>
      </c>
      <c r="J22" s="352">
        <f>J$2*(10+((ROUNDUP((J$2)/5,0)-1)*3))+I22</f>
        <v>104</v>
      </c>
      <c r="K22" s="352">
        <f>K$2*(10+((ROUNDUP((K$2)/5,0)-1)*3))+J22</f>
        <v>221</v>
      </c>
      <c r="L22" s="352">
        <f>L$2*(10+((ROUNDUP((L$2)/5,0)-1)*3))+K22</f>
        <v>351</v>
      </c>
      <c r="M22" s="352">
        <f>M$2*(10+((ROUNDUP((M$2)/5,0)-1)*3))+L22</f>
        <v>527</v>
      </c>
      <c r="N22" s="352">
        <f>N$2*(10+((ROUNDUP((N$2)/5,0)-1)*3))+M22</f>
        <v>719</v>
      </c>
      <c r="O22" s="352">
        <f>O$2*(10+((ROUNDUP((O$2)/5,0)-1)*3))+N22</f>
        <v>927</v>
      </c>
      <c r="P22" s="352">
        <f>P$2*(10+((ROUNDUP((P$2)/5,0)-1)*3))+O22</f>
        <v>1151</v>
      </c>
      <c r="Q22" s="352">
        <f>Q$2*(10+((ROUNDUP((Q$2)/5,0)-1)*3))+P22</f>
        <v>1391</v>
      </c>
      <c r="R22" s="352">
        <f>R$2*(10+((ROUNDUP((R$2)/5,0)-1)*3))+Q22</f>
        <v>1695</v>
      </c>
      <c r="S22" s="352">
        <f>S$2*(10+((ROUNDUP((S$2)/5,0)-1)*3))+R22</f>
        <v>2018</v>
      </c>
      <c r="T22" s="352">
        <f>T$2*(10+((ROUNDUP((T$2)/5,0)-1)*3))+S22</f>
        <v>2360</v>
      </c>
      <c r="U22" s="352">
        <f>U$2*(10+((ROUNDUP((U$2)/5,0)-1)*3))+T22</f>
        <v>2721</v>
      </c>
      <c r="V22" s="352">
        <f>V$2*(10+((ROUNDUP((V$2)/5,0)-1)*3))+U22</f>
        <v>3101</v>
      </c>
    </row>
    <row r="23" spans="2:22" ht="12.75">
      <c r="B23" s="351">
        <v>9</v>
      </c>
      <c r="C23" s="352">
        <v>0</v>
      </c>
      <c r="D23" s="352">
        <v>0</v>
      </c>
      <c r="E23" s="352">
        <v>0</v>
      </c>
      <c r="F23" s="352">
        <v>0</v>
      </c>
      <c r="G23" s="352">
        <v>0</v>
      </c>
      <c r="H23" s="352">
        <v>0</v>
      </c>
      <c r="I23" s="352">
        <v>0</v>
      </c>
      <c r="J23" s="352">
        <v>0</v>
      </c>
      <c r="K23" s="352">
        <f>K$2*(10+((ROUNDUP((K$2)/5,0)-1)*3))+J23</f>
        <v>117</v>
      </c>
      <c r="L23" s="352">
        <f>L$2*(10+((ROUNDUP((L$2)/5,0)-1)*3))+K23</f>
        <v>247</v>
      </c>
      <c r="M23" s="352">
        <f>M$2*(10+((ROUNDUP((M$2)/5,0)-1)*3))+L23</f>
        <v>423</v>
      </c>
      <c r="N23" s="352">
        <f>N$2*(10+((ROUNDUP((N$2)/5,0)-1)*3))+M23</f>
        <v>615</v>
      </c>
      <c r="O23" s="352">
        <f>O$2*(10+((ROUNDUP((O$2)/5,0)-1)*3))+N23</f>
        <v>823</v>
      </c>
      <c r="P23" s="352">
        <f>P$2*(10+((ROUNDUP((P$2)/5,0)-1)*3))+O23</f>
        <v>1047</v>
      </c>
      <c r="Q23" s="352">
        <f>Q$2*(10+((ROUNDUP((Q$2)/5,0)-1)*3))+P23</f>
        <v>1287</v>
      </c>
      <c r="R23" s="352">
        <f>R$2*(10+((ROUNDUP((R$2)/5,0)-1)*3))+Q23</f>
        <v>1591</v>
      </c>
      <c r="S23" s="352">
        <f>S$2*(10+((ROUNDUP((S$2)/5,0)-1)*3))+R23</f>
        <v>1914</v>
      </c>
      <c r="T23" s="352">
        <f>T$2*(10+((ROUNDUP((T$2)/5,0)-1)*3))+S23</f>
        <v>2256</v>
      </c>
      <c r="U23" s="352">
        <f>U$2*(10+((ROUNDUP((U$2)/5,0)-1)*3))+T23</f>
        <v>2617</v>
      </c>
      <c r="V23" s="352">
        <f>V$2*(10+((ROUNDUP((V$2)/5,0)-1)*3))+U23</f>
        <v>2997</v>
      </c>
    </row>
    <row r="24" spans="2:22" ht="12.75">
      <c r="B24" s="351">
        <v>10</v>
      </c>
      <c r="C24" s="352">
        <v>0</v>
      </c>
      <c r="D24" s="352">
        <v>0</v>
      </c>
      <c r="E24" s="352">
        <v>0</v>
      </c>
      <c r="F24" s="352">
        <v>0</v>
      </c>
      <c r="G24" s="352">
        <v>0</v>
      </c>
      <c r="H24" s="352">
        <v>0</v>
      </c>
      <c r="I24" s="352">
        <v>0</v>
      </c>
      <c r="J24" s="352">
        <v>0</v>
      </c>
      <c r="K24" s="352">
        <v>0</v>
      </c>
      <c r="L24" s="352">
        <f>L$2*(10+((ROUNDUP((L$2)/5,0)-1)*3))+K24</f>
        <v>130</v>
      </c>
      <c r="M24" s="352">
        <f>M$2*(10+((ROUNDUP((M$2)/5,0)-1)*3))+L24</f>
        <v>306</v>
      </c>
      <c r="N24" s="352">
        <f>N$2*(10+((ROUNDUP((N$2)/5,0)-1)*3))+M24</f>
        <v>498</v>
      </c>
      <c r="O24" s="352">
        <f>O$2*(10+((ROUNDUP((O$2)/5,0)-1)*3))+N24</f>
        <v>706</v>
      </c>
      <c r="P24" s="352">
        <f>P$2*(10+((ROUNDUP((P$2)/5,0)-1)*3))+O24</f>
        <v>930</v>
      </c>
      <c r="Q24" s="352">
        <f>Q$2*(10+((ROUNDUP((Q$2)/5,0)-1)*3))+P24</f>
        <v>1170</v>
      </c>
      <c r="R24" s="352">
        <f>R$2*(10+((ROUNDUP((R$2)/5,0)-1)*3))+Q24</f>
        <v>1474</v>
      </c>
      <c r="S24" s="352">
        <f>S$2*(10+((ROUNDUP((S$2)/5,0)-1)*3))+R24</f>
        <v>1797</v>
      </c>
      <c r="T24" s="352">
        <f>T$2*(10+((ROUNDUP((T$2)/5,0)-1)*3))+S24</f>
        <v>2139</v>
      </c>
      <c r="U24" s="352">
        <f>U$2*(10+((ROUNDUP((U$2)/5,0)-1)*3))+T24</f>
        <v>2500</v>
      </c>
      <c r="V24" s="352">
        <f>V$2*(10+((ROUNDUP((V$2)/5,0)-1)*3))+U24</f>
        <v>2880</v>
      </c>
    </row>
    <row r="25" spans="2:22" ht="12.75">
      <c r="B25" s="351">
        <v>11</v>
      </c>
      <c r="C25" s="352">
        <v>0</v>
      </c>
      <c r="D25" s="352">
        <v>0</v>
      </c>
      <c r="E25" s="352">
        <v>0</v>
      </c>
      <c r="F25" s="352">
        <v>0</v>
      </c>
      <c r="G25" s="352">
        <v>0</v>
      </c>
      <c r="H25" s="352">
        <v>0</v>
      </c>
      <c r="I25" s="352">
        <v>0</v>
      </c>
      <c r="J25" s="352">
        <v>0</v>
      </c>
      <c r="K25" s="352">
        <v>0</v>
      </c>
      <c r="L25" s="352">
        <v>0</v>
      </c>
      <c r="M25" s="352">
        <f>M$2*(10+((ROUNDUP((M$2)/5,0)-1)*3))+L25</f>
        <v>176</v>
      </c>
      <c r="N25" s="352">
        <f>N$2*(10+((ROUNDUP((N$2)/5,0)-1)*3))+M25</f>
        <v>368</v>
      </c>
      <c r="O25" s="352">
        <f>O$2*(10+((ROUNDUP((O$2)/5,0)-1)*3))+N25</f>
        <v>576</v>
      </c>
      <c r="P25" s="352">
        <f>P$2*(10+((ROUNDUP((P$2)/5,0)-1)*3))+O25</f>
        <v>800</v>
      </c>
      <c r="Q25" s="352">
        <f>Q$2*(10+((ROUNDUP((Q$2)/5,0)-1)*3))+P25</f>
        <v>1040</v>
      </c>
      <c r="R25" s="352">
        <f>R$2*(10+((ROUNDUP((R$2)/5,0)-1)*3))+Q25</f>
        <v>1344</v>
      </c>
      <c r="S25" s="352">
        <f>S$2*(10+((ROUNDUP((S$2)/5,0)-1)*3))+R25</f>
        <v>1667</v>
      </c>
      <c r="T25" s="352">
        <f>T$2*(10+((ROUNDUP((T$2)/5,0)-1)*3))+S25</f>
        <v>2009</v>
      </c>
      <c r="U25" s="352">
        <f>U$2*(10+((ROUNDUP((U$2)/5,0)-1)*3))+T25</f>
        <v>2370</v>
      </c>
      <c r="V25" s="352">
        <f>V$2*(10+((ROUNDUP((V$2)/5,0)-1)*3))+U25</f>
        <v>2750</v>
      </c>
    </row>
    <row r="26" spans="2:22" ht="12.75">
      <c r="B26" s="351">
        <v>12</v>
      </c>
      <c r="C26" s="352">
        <v>0</v>
      </c>
      <c r="D26" s="352">
        <v>0</v>
      </c>
      <c r="E26" s="352">
        <v>0</v>
      </c>
      <c r="F26" s="352">
        <v>0</v>
      </c>
      <c r="G26" s="352">
        <v>0</v>
      </c>
      <c r="H26" s="352">
        <v>0</v>
      </c>
      <c r="I26" s="352">
        <v>0</v>
      </c>
      <c r="J26" s="352">
        <v>0</v>
      </c>
      <c r="K26" s="352">
        <v>0</v>
      </c>
      <c r="L26" s="352">
        <v>0</v>
      </c>
      <c r="M26" s="352">
        <v>0</v>
      </c>
      <c r="N26" s="352">
        <f>N$2*(10+((ROUNDUP((N$2)/5,0)-1)*3))+M26</f>
        <v>192</v>
      </c>
      <c r="O26" s="352">
        <f>O$2*(10+((ROUNDUP((O$2)/5,0)-1)*3))+N26</f>
        <v>400</v>
      </c>
      <c r="P26" s="352">
        <f>P$2*(10+((ROUNDUP((P$2)/5,0)-1)*3))+O26</f>
        <v>624</v>
      </c>
      <c r="Q26" s="352">
        <f>Q$2*(10+((ROUNDUP((Q$2)/5,0)-1)*3))+P26</f>
        <v>864</v>
      </c>
      <c r="R26" s="352">
        <f>R$2*(10+((ROUNDUP((R$2)/5,0)-1)*3))+Q26</f>
        <v>1168</v>
      </c>
      <c r="S26" s="352">
        <f>S$2*(10+((ROUNDUP((S$2)/5,0)-1)*3))+R26</f>
        <v>1491</v>
      </c>
      <c r="T26" s="352">
        <f>T$2*(10+((ROUNDUP((T$2)/5,0)-1)*3))+S26</f>
        <v>1833</v>
      </c>
      <c r="U26" s="352">
        <f>U$2*(10+((ROUNDUP((U$2)/5,0)-1)*3))+T26</f>
        <v>2194</v>
      </c>
      <c r="V26" s="352">
        <f>V$2*(10+((ROUNDUP((V$2)/5,0)-1)*3))+U26</f>
        <v>2574</v>
      </c>
    </row>
    <row r="27" spans="2:22" ht="12.75">
      <c r="B27" s="351">
        <v>13</v>
      </c>
      <c r="C27" s="352">
        <v>0</v>
      </c>
      <c r="D27" s="352">
        <v>0</v>
      </c>
      <c r="E27" s="352">
        <v>0</v>
      </c>
      <c r="F27" s="352">
        <v>0</v>
      </c>
      <c r="G27" s="352">
        <v>0</v>
      </c>
      <c r="H27" s="352">
        <v>0</v>
      </c>
      <c r="I27" s="352">
        <v>0</v>
      </c>
      <c r="J27" s="352">
        <v>0</v>
      </c>
      <c r="K27" s="352">
        <v>0</v>
      </c>
      <c r="L27" s="352">
        <v>0</v>
      </c>
      <c r="M27" s="352">
        <v>0</v>
      </c>
      <c r="N27" s="352">
        <v>0</v>
      </c>
      <c r="O27" s="352">
        <f>O$2*(10+((ROUNDUP((O$2)/5,0)-1)*3))+N27</f>
        <v>208</v>
      </c>
      <c r="P27" s="352">
        <f>P$2*(10+((ROUNDUP((P$2)/5,0)-1)*3))+O27</f>
        <v>432</v>
      </c>
      <c r="Q27" s="352">
        <f>Q$2*(10+((ROUNDUP((Q$2)/5,0)-1)*3))+P27</f>
        <v>672</v>
      </c>
      <c r="R27" s="352">
        <f>R$2*(10+((ROUNDUP((R$2)/5,0)-1)*3))+Q27</f>
        <v>976</v>
      </c>
      <c r="S27" s="352">
        <f>S$2*(10+((ROUNDUP((S$2)/5,0)-1)*3))+R27</f>
        <v>1299</v>
      </c>
      <c r="T27" s="352">
        <f>T$2*(10+((ROUNDUP((T$2)/5,0)-1)*3))+S27</f>
        <v>1641</v>
      </c>
      <c r="U27" s="352">
        <f>U$2*(10+((ROUNDUP((U$2)/5,0)-1)*3))+T27</f>
        <v>2002</v>
      </c>
      <c r="V27" s="352">
        <f>V$2*(10+((ROUNDUP((V$2)/5,0)-1)*3))+U27</f>
        <v>2382</v>
      </c>
    </row>
    <row r="80" ht="12.75">
      <c r="E80" t="s">
        <v>548</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temu</dc:creator>
  <cp:keywords/>
  <dc:description/>
  <cp:lastModifiedBy/>
  <dcterms:created xsi:type="dcterms:W3CDTF">2013-02-11T16:25:02Z</dcterms:created>
  <dcterms:modified xsi:type="dcterms:W3CDTF">2014-02-12T16:05:25Z</dcterms:modified>
  <cp:category/>
  <cp:version/>
  <cp:contentType/>
  <cp:contentStatus/>
  <cp:revision>150</cp:revision>
</cp:coreProperties>
</file>