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4" activeTab="5"/>
  </bookViews>
  <sheets>
    <sheet name="Readme" sheetId="1" r:id="rId1"/>
    <sheet name="①コンストラクション" sheetId="2" r:id="rId2"/>
    <sheet name="②成長点記録_ギルドレベル" sheetId="3" r:id="rId3"/>
    <sheet name="③レベルアップ" sheetId="4" r:id="rId4"/>
    <sheet name="④スキル履歴" sheetId="5" r:id="rId5"/>
    <sheet name="キャラクターシート" sheetId="6" r:id="rId6"/>
    <sheet name="キャラクターシート2" sheetId="7" r:id="rId7"/>
    <sheet name="スキル" sheetId="8" r:id="rId8"/>
    <sheet name="アイテム" sheetId="9" r:id="rId9"/>
    <sheet name="リファレンス" sheetId="10" r:id="rId10"/>
    <sheet name="ライフパス" sheetId="11" r:id="rId11"/>
  </sheets>
  <definedNames>
    <definedName name="_xlnm._FilterDatabase" localSheetId="8" hidden="1">'アイテム'!$A$3:$Q$823</definedName>
    <definedName name="_xlnm._FilterDatabase" localSheetId="7" hidden="1">'スキル'!$A$2:$K$1383</definedName>
    <definedName name="AR_SHEET_ギルドスキル">'キャラクターシート'!$X$26:$X$67</definedName>
    <definedName name="AR_SHEET_スキル">'キャラクターシート'!$B$26:$E$67</definedName>
    <definedName name="AR_SHEET_装備">'キャラクターシート'!$C$16:$E$23</definedName>
    <definedName name="AR_アイテム">'アイテム'!$A:$Q</definedName>
    <definedName name="AR_ギルドスキル">'リファレンス'!$BF$79:$BF$157</definedName>
    <definedName name="AR_サブクラス">'リファレンス'!$B$1:$B$11</definedName>
    <definedName name="AR_サポートクラス">'リファレンス'!$B$1:$B$17</definedName>
    <definedName name="AR_サポートクラス初期">'リファレンス'!$B$1:$B$15</definedName>
    <definedName name="AR_スキル">'リファレンス'!$A$78:$BD$78</definedName>
    <definedName name="AR_スキルSL">'キャラクターシート'!$B$26:$H$67</definedName>
    <definedName name="AR_スキル効果">'リファレンス'!$F$45:$F$45</definedName>
    <definedName name="AR_メイン_サポート">'リファレンス'!$F$44:$F$47</definedName>
    <definedName name="AR_メインクラス">'リファレンス'!$A$1:$A$5</definedName>
    <definedName name="AR_運命">'ライフパス'!$A$84:$A$120</definedName>
    <definedName name="AR_各種効果">'キャラクターシート'!$BE$2:$BE$70</definedName>
    <definedName name="AR_獲得済ギルドスキル">'キャラクターシート2'!$B$5:$B$29</definedName>
    <definedName name="AR_境遇">'ライフパス'!$A$46:$A$82</definedName>
    <definedName name="AR_種族">'リファレンス'!$A$35:$A$41</definedName>
    <definedName name="AR_出自">'ライフパス'!$A$3:$A$44</definedName>
    <definedName name="AR_上級クラス">'リファレンス'!$N$2:$N$13</definedName>
    <definedName name="AR_装備レベル選択">'リファレンス'!$C$44:$C$64</definedName>
    <definedName name="AR_能力値選択">'リファレンス'!$A$60:$A$67</definedName>
    <definedName name="AR_武器種別">'リファレンス'!$D$44:$D$58</definedName>
    <definedName name="AR_武器種別2">'キャラクターシート'!$AJ$14:$AJ$27</definedName>
    <definedName name="AR_部族">'リファレンス'!$A$44:$A$52</definedName>
    <definedName name="ヴァーナ">'スキル'!$A$54:$A$62</definedName>
    <definedName name="エネミー専用">'リファレンス'!$BA$79:$BA$133</definedName>
    <definedName name="エルダナーン">'スキル'!$A$24:$A$32</definedName>
    <definedName name="スキルレベル選択">'リファレンス'!$B$60:$B$66</definedName>
    <definedName name="ドゥアン">'スキル'!$A$64:$A$72</definedName>
    <definedName name="ネヴァーフ">'スキル'!$A$34:$A$42</definedName>
    <definedName name="ヒューリン">'スキル'!$A$3:$A$22</definedName>
    <definedName name="フィルボル">'スキル'!$A$44:$A$52</definedName>
    <definedName name="レベル選択">'リファレンス'!$A$56:$A$57</definedName>
    <definedName name="一般スキル">'スキル'!$A$94:$A$166</definedName>
    <definedName name="格闘">'アイテム'!$A$5:$A$36</definedName>
    <definedName name="格闘用コンボ">'リファレンス'!$AO$79:$AO$81</definedName>
    <definedName name="基本能力値選択">'リファレンス'!$A$60:$A$67</definedName>
    <definedName name="弓">'アイテム'!$A$337:$A$371</definedName>
    <definedName name="弓用コンボ">'リファレンス'!$AX$79:$AX$81</definedName>
    <definedName name="呪歌用コンボ">'リファレンス'!$BB$79:$BB$81</definedName>
    <definedName name="銃">'アイテム'!$A$372:$A$386</definedName>
    <definedName name="銃用コンボ">'リファレンス'!$AY$79:$AY$81</definedName>
    <definedName name="盾">'アイテム'!$A$393:$A$431</definedName>
    <definedName name="盾用コンボ">'リファレンス'!$BC$79:$BC$81</definedName>
    <definedName name="所持品">'アイテム'!$A$5:$A$823</definedName>
    <definedName name="成長時選択可能スキル">'リファレンス'!$A$122:$AZ$122</definedName>
    <definedName name="槍">'アイテム'!$A$302:$A$336</definedName>
    <definedName name="槍用コンボ">'リファレンス'!$AW$79:$AW$81</definedName>
    <definedName name="装身">'アイテム'!$A$570:$A$634</definedName>
    <definedName name="他">'アイテム'!$A$391:$A$392</definedName>
    <definedName name="打撃">'アイテム'!$A$249:$A$301</definedName>
    <definedName name="打撃用コンボ">'リファレンス'!$AV$79:$AV$81</definedName>
    <definedName name="短剣">'アイテム'!$A$37:$A$80</definedName>
    <definedName name="短剣用コンボ">'リファレンス'!$AP$79:$AP$81</definedName>
    <definedName name="長剣">'アイテム'!$A$81:$A$134</definedName>
    <definedName name="長剣用コンボ">'リファレンス'!$AQ$79:$AQ$81</definedName>
    <definedName name="転職選択">'リファレンス'!$B$56:$B$58</definedName>
    <definedName name="刀">'アイテム'!$A$172:$A$186</definedName>
    <definedName name="刀用コンボ">'リファレンス'!$AS$79:$AS$81</definedName>
    <definedName name="頭防">'アイテム'!$A$433:$A$481</definedName>
    <definedName name="胴防">'アイテム'!$A$485:$A$569</definedName>
    <definedName name="斧">'アイテム'!$A$213:$A$248</definedName>
    <definedName name="斧用コンボ">'リファレンス'!$AU$79:$AU$81</definedName>
    <definedName name="別記">'アイテム'!$A$390:$A$391</definedName>
    <definedName name="鞭">'アイテム'!$A$187:$A$212</definedName>
    <definedName name="鞭用コンボ">'リファレンス'!$AT$79:$AT$81</definedName>
    <definedName name="魔術用コンボ">'リファレンス'!$BD$79:$BD$87</definedName>
    <definedName name="魔導銃">'アイテム'!$A$388:$A$389</definedName>
    <definedName name="魔導銃用コンボ">'リファレンス'!$AZ$79:$AZ$81</definedName>
    <definedName name="両手剣">'アイテム'!$A$135:$A$171</definedName>
    <definedName name="両手剣用コンボ">'リファレンス'!$AR$79:$AR$81</definedName>
    <definedName name="錬金術用コンボ">'リファレンス'!$BA$79:$BA$81</definedName>
    <definedName name="基アコライト">'スキル'!$A$200:$A$235</definedName>
    <definedName name="補アルケミスト">'スキル'!$A$495:$A$522</definedName>
    <definedName name="上ウィザード">'スキル'!$A$954:$A$982</definedName>
    <definedName name="基ウォーリア">'スキル'!$A$168:$A$198</definedName>
    <definedName name="上ウォーロード">'スキル'!$A$821:$A$858</definedName>
    <definedName name="基メイジ">'スキル'!$A$237:$A$272</definedName>
    <definedName name="補サモナー">'スキル'!$A$395:$A$422</definedName>
    <definedName name="基シーフ">'スキル'!$A$274:$A$335</definedName>
    <definedName name="補サムライ">'スキル'!$A$337:$A$364</definedName>
    <definedName name="補モンク">'スキル'!$A$366:$A$393</definedName>
    <definedName name="補レンジャー">'スキル'!$A$424:$A$464</definedName>
    <definedName name="補バード">'スキル'!$A$466:$A$493</definedName>
    <definedName name="補ガンスリンガー">'スキル'!$A$524:$A$551</definedName>
    <definedName name="補セージ">'スキル'!$A$553:$A$593</definedName>
    <definedName name="補ニンジャ">'スキル'!$A$595:$A$622</definedName>
    <definedName name="補ダンサー">'スキル'!$A$624:$A$651</definedName>
    <definedName name="補ヴァイキング">'スキル'!$A$653:$A$679</definedName>
    <definedName name="補グラディエーター">'スキル'!$A$681:$A$707</definedName>
    <definedName name="補シャーマン">'スキル'!$A$709:$A$735</definedName>
    <definedName name="補ヒーラー">'スキル'!$A$737:$A$763</definedName>
    <definedName name="補防">'アイテム'!$A$636:$A$694</definedName>
    <definedName name="AR_SHEET_装備データ">'キャラクターシート'!$G$16:$P$23</definedName>
    <definedName name="上ナイト">'スキル'!$A$860:$A$896</definedName>
    <definedName name="上プリースト">'スキル'!$A$898:$A$924</definedName>
    <definedName name="上パラディン">'スキル'!$A$926:$A$952</definedName>
    <definedName name="上ソーサラー">'スキル'!$A$984:$A$1010</definedName>
    <definedName name="上エクスプローラー">'スキル'!$A$1012:$A$1038</definedName>
    <definedName name="上スカウト">'スキル'!$A$1040:$A$1066</definedName>
    <definedName name="補フォーキャスター">'スキル'!$A$765:$A$791</definedName>
    <definedName name="補プリーチャー">'スキル'!$A$793:$A$819</definedName>
    <definedName name="補メンター">'スキル'!$A$1167:$A$1193</definedName>
    <definedName name="補テイマー">'スキル'!$A$1111:$A$1137</definedName>
    <definedName name="上補メンター">'スキル'!$A$1167:$A$1193</definedName>
    <definedName name="上補ハイランダー">'スキル'!$A$1139:$A$1165</definedName>
    <definedName name="上補ドラグーン">'スキル'!$A$1068:$A$1109</definedName>
    <definedName name="上補テイマー">'スキル'!$A$1111:$A$1137</definedName>
    <definedName name="AR_SHEET_一般スキル計算">'キャラクターシート'!$H$26:$H$67</definedName>
    <definedName name="AR_SHEET_防具">'キャラクターシート'!$C$20:$C$23</definedName>
    <definedName name="AR_SHEET_手持">'キャラクターシート'!$C$16:$C$17</definedName>
    <definedName name="AR_SHEET_道具">'キャラクターシート'!$AF$18:$AF$66</definedName>
    <definedName name="AR_SHEET_ギルドサポート">'キャラクターシート'!$X$26:$AD$67</definedName>
    <definedName name="AR_ギルドサポート">'スキル'!$A$1300:$A$1389</definedName>
    <definedName name="錬金銃">'アイテム'!$A$373:$A$386</definedName>
    <definedName name="AR_SHEET_無重">'キャラクターシート'!$AF$49:$AF$66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F8" authorId="0">
      <text>
        <r>
          <rPr>
            <b/>
            <sz val="9"/>
            <color indexed="8"/>
            <rFont val="ＭＳ Ｐゴシック"/>
            <family val="3"/>
          </rPr>
          <t>5点のボーナスを割り振ってください。
初期の能力基本値の上限は13です。
ただし、ライフパス等で上限を超えてもかまいません。</t>
        </r>
      </text>
    </comment>
    <comment ref="T8" authorId="0">
      <text>
        <r>
          <rPr>
            <b/>
            <sz val="9"/>
            <color indexed="8"/>
            <rFont val="ＭＳ Ｐゴシック"/>
            <family val="3"/>
          </rPr>
          <t>転職しても、この欄の数値は変更されません。キャラクターシートには反映されます。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M17" authorId="0">
      <text>
        <r>
          <rPr>
            <sz val="9"/>
            <color indexed="8"/>
            <rFont val="ＭＳ Ｐゴシック"/>
            <family val="3"/>
          </rPr>
          <t>上級職への転職を行ったら、この欄に「◎」を記入してください。
上級職へ転職する場合は、サポートクラスへの転職とはと違い、A列の転職欄に★を記入しないで、メインクラス欄のみを変更してください。
（自動獲得スキルがないにもかかわらず、スキル取得数が増えてしまいます）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M5" authorId="0">
      <text>
        <r>
          <rPr>
            <b/>
            <sz val="9"/>
            <color indexed="8"/>
            <rFont val="ＭＳ Ｐゴシック"/>
            <family val="3"/>
          </rPr>
          <t>ギルドメンバー内でもっとも高いレベルのメンバーのキャラクターレベルです。
暫定的に本人のCLを参照しています。
本人以外にもっと高レベルのメンバーが存在する場合、そのキャラクターのレベルを記入してください。</t>
        </r>
      </text>
    </comment>
    <comment ref="B15" authorId="0">
      <text>
        <r>
          <rPr>
            <b/>
            <sz val="9"/>
            <color indexed="8"/>
            <rFont val="ＭＳ Ｐゴシック"/>
            <family val="3"/>
          </rPr>
          <t>●基本的に、武器は右手に装備するものとして計算式を設定しています。
●左利きのキャラクターや、両手を使用する武器を装備する場合も、便宜上右手に武器を装備してください。</t>
        </r>
      </text>
    </comment>
    <comment ref="J24" authorId="0">
      <text>
        <r>
          <rPr>
            <b/>
            <sz val="9"/>
            <color indexed="8"/>
            <rFont val="ＭＳ Ｐゴシック"/>
            <family val="3"/>
          </rPr>
          <t>●右手と頭部・胴部・装身具の[命中修正]を足しています。
●《アンビデクスタリティ》《ツインウェポン》を修得していた場合、左手の装備の[命中修正]も加算します。左手の装備が「盾」の場合や、《アンビデクスタリティ》のみを修得していて「短剣」以外の装備をしている場合にも、左手の[命中修正]が加算されてしまいますのでご注意ください。
●《グラディエイト》「深紅の腕輪」による修正が加算されます。《アンビデクスタリティ》《ツインウェポン》を修得していた場合、左手の装備の[命中修正]にも修正を加算します。</t>
        </r>
      </text>
    </comment>
    <comment ref="K24" authorId="0">
      <text>
        <r>
          <rPr>
            <b/>
            <sz val="9"/>
            <color indexed="8"/>
            <rFont val="ＭＳ Ｐゴシック"/>
            <family val="3"/>
          </rPr>
          <t xml:space="preserve">●右手と頭部・胴部・装身具の[攻撃力]を足しています。
●《アンビデクスタリティ》《ツインウェポン》を修得していた場合、左手の装備の[攻撃力]も加算します。《アンビデクスタリティ》のみを修得していて「短剣」以外の装備をしている場合にも、左手の[攻撃力]が加算されてしまいますのでご注意ください。
</t>
        </r>
      </text>
    </comment>
    <comment ref="P24" authorId="0">
      <text>
        <r>
          <rPr>
            <b/>
            <sz val="9"/>
            <color indexed="8"/>
            <rFont val="ＭＳ Ｐゴシック"/>
            <family val="3"/>
          </rPr>
          <t>●左右の手と頭部・胴部・装身具の[行動修正]を足しています。
●《スピードショット》を修得している場合、右手の装備に修正が加算されます。
射撃武器でない場合にも加算されてしまいますので、ご注意ください。</t>
        </r>
      </text>
    </comment>
    <comment ref="I25" authorId="0">
      <text>
        <r>
          <rPr>
            <sz val="9"/>
            <color indexed="8"/>
            <rFont val="ＭＳ Ｐゴシック"/>
            <family val="3"/>
          </rPr>
          <t>&lt;略語&gt;
DR：ダメージロール
BS：バッドステータス
MA：マイナーアクション
○○R：○○判定
--------------------
&lt;注意&gt;
ｼﾅﾘｵ：ｼﾅﾘｵ開始時のこと</t>
        </r>
      </text>
    </comment>
    <comment ref="P25" authorId="0">
      <text>
        <r>
          <rPr>
            <b/>
            <sz val="9"/>
            <color indexed="8"/>
            <rFont val="ＭＳ Ｐゴシック"/>
            <family val="3"/>
          </rPr>
          <t>スキルの使用回数です。特に記述がない場合は、シナリオ中における使用回数になります。</t>
        </r>
      </text>
    </comment>
    <comment ref="W25" authorId="0">
      <text>
        <r>
          <rPr>
            <b/>
            <sz val="9"/>
            <color indexed="8"/>
            <rFont val="ＭＳ Ｐゴシック"/>
            <family val="3"/>
          </rPr>
          <t>スキル修得数をカウントしています。
《ハーフブラッド》を選択した場合、便宜上修得可能数が1増えますので、そのぶん種族スキルを選んでください。
転職した際もカウントが増えますので、自動取得スキルを選択してください。</t>
        </r>
      </text>
    </comment>
    <comment ref="I49" authorId="0">
      <text>
        <r>
          <rPr>
            <sz val="9"/>
            <color indexed="8"/>
            <rFont val="ＭＳ Ｐゴシック"/>
            <family val="3"/>
          </rPr>
          <t>&lt;略語&gt;
DR：ダメージロール
BS：バッドステータス
MA：マイナーアクション
○○R：○○判定
--------------------
&lt;注意&gt;
ｼﾅﾘｵ：ｼﾅﾘｵ開始時のこと</t>
        </r>
      </text>
    </comment>
    <comment ref="P49" authorId="0">
      <text>
        <r>
          <rPr>
            <b/>
            <sz val="9"/>
            <color indexed="8"/>
            <rFont val="ＭＳ Ｐゴシック"/>
            <family val="3"/>
          </rPr>
          <t>スキルの使用回数です。特に記述がない場合は、シナリオ中における使用回数になります。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68" authorId="0">
      <text>
        <r>
          <rPr>
            <sz val="9"/>
            <color indexed="8"/>
            <rFont val="ＭＳ Ｐゴシック"/>
            <family val="3"/>
          </rPr>
          <t>&lt;略語&gt;
DR：ダメージロール
BS：バッドステータス
MA：マイナーアクション
○○R：○○判定
--------------------
&lt;注意&gt;
ｼﾅﾘｵ：ｼﾅﾘｵ開始時のこと</t>
        </r>
      </text>
    </comment>
  </commentList>
</comments>
</file>

<file path=xl/sharedStrings.xml><?xml version="1.0" encoding="utf-8"?>
<sst xmlns="http://schemas.openxmlformats.org/spreadsheetml/2006/main" count="16762" uniqueCount="2993">
  <si>
    <t>有限会社ファーイースト・アミューズメント・リサーチの著作物に関する同人誌及びウェブサイト（ホームページ）などにおける掲載規約</t>
  </si>
  <si>
    <t>により、著作権を明示します。</t>
  </si>
  <si>
    <t>●以下の書籍は有限会社ファー・イースト・アミューズメント・リサーチの著作物です。</t>
  </si>
  <si>
    <t>□アリアンロッドRPG 2Eルールブック①</t>
  </si>
  <si>
    <t>□アリアンロッドRPG 2Eルールブック②</t>
  </si>
  <si>
    <t>このキャラクターシートは、上記書籍よりデータを引用して制作されています。</t>
  </si>
  <si>
    <t>基本的に、引用したデータは簡略化・省略しており、ルールブックを読まないと理解することは難しい内容になっています。</t>
  </si>
  <si>
    <t>規約により、文面そのままの転載は不可能であり、当方としましてもルールブックの売り上げに影響を与える意図はないため、</t>
  </si>
  <si>
    <t>あえて一見してデータの内容が把握できるようには制作していません。あくまで、ルールブックを所持している方のための補助ツールです。</t>
  </si>
  <si>
    <t>ARIANRHOD CHARACTER CONSTRUCTION SHEET No.1 【 コンストラクション 】</t>
  </si>
  <si>
    <t>① クラスの決定</t>
  </si>
  <si>
    <t>② 種族の決定</t>
  </si>
  <si>
    <t>メインクラス</t>
  </si>
  <si>
    <t>基ウォーリア</t>
  </si>
  <si>
    <t>種族</t>
  </si>
  <si>
    <t>ドゥアン</t>
  </si>
  <si>
    <t>サポートクラス</t>
  </si>
  <si>
    <t>補モンク</t>
  </si>
  <si>
    <t>③ 能力値の決定</t>
  </si>
  <si>
    <t>種族能力</t>
  </si>
  <si>
    <t>ﾎﾞｰﾅｽ</t>
  </si>
  <si>
    <t>ｽｷﾙ</t>
  </si>
  <si>
    <t>初期能力</t>
  </si>
  <si>
    <t>能力</t>
  </si>
  <si>
    <t>Mｸﾗｽ</t>
  </si>
  <si>
    <t>Sｸﾗｽ</t>
  </si>
  <si>
    <t>能力値</t>
  </si>
  <si>
    <t>基本値</t>
  </si>
  <si>
    <t>修正</t>
  </si>
  <si>
    <t>筋力</t>
  </si>
  <si>
    <t>＋</t>
  </si>
  <si>
    <t>＝</t>
  </si>
  <si>
    <t>÷3=</t>
  </si>
  <si>
    <t>器用</t>
  </si>
  <si>
    <t>敏捷</t>
  </si>
  <si>
    <t>知力</t>
  </si>
  <si>
    <t>感知</t>
  </si>
  <si>
    <t>精神</t>
  </si>
  <si>
    <t>幸運</t>
  </si>
  <si>
    <t>※　④ スキルの取得はキャラクターシートに直接記入します。</t>
  </si>
  <si>
    <t>⑤ HPの決定</t>
  </si>
  <si>
    <t>⑥ MPの決定</t>
  </si>
  <si>
    <t>最大HP</t>
  </si>
  <si>
    <t>最大MP</t>
  </si>
  <si>
    <t>⑦ フェイトの決定</t>
  </si>
  <si>
    <t>⑧ ギルドの決定</t>
  </si>
  <si>
    <t>ｽｷﾙ修正</t>
  </si>
  <si>
    <t>ボーナス</t>
  </si>
  <si>
    <t>フェイト</t>
  </si>
  <si>
    <t>ギルド名を決めてください</t>
  </si>
  <si>
    <t>+</t>
  </si>
  <si>
    <t>=</t>
  </si>
  <si>
    <t>ホワイトハニー</t>
  </si>
  <si>
    <t>⑨ アイテムの決定</t>
  </si>
  <si>
    <t>⑩ 行動値の決定</t>
  </si>
  <si>
    <t>初期値</t>
  </si>
  <si>
    <t>GM修正</t>
  </si>
  <si>
    <t>所持金</t>
  </si>
  <si>
    <t>【敏捷】</t>
  </si>
  <si>
    <t>【感知】</t>
  </si>
  <si>
    <t>行動値</t>
  </si>
  <si>
    <t>※装備の購入はキャラクターシートに直接記入します。</t>
  </si>
  <si>
    <t>※最終的には装備修正が加わります。</t>
  </si>
  <si>
    <t>⑪ ライフパスの決定</t>
  </si>
  <si>
    <t>D66 ROC</t>
  </si>
  <si>
    <t>出自</t>
  </si>
  <si>
    <t>放浪者</t>
  </si>
  <si>
    <t>&gt;スキル</t>
  </si>
  <si>
    <t>境遇</t>
  </si>
  <si>
    <t>天涯孤独</t>
  </si>
  <si>
    <t>目的</t>
  </si>
  <si>
    <t>友情</t>
  </si>
  <si>
    <t>⑫ パーソナルデータの決定</t>
  </si>
  <si>
    <t>キャラクターシートに直接記入してください。</t>
  </si>
  <si>
    <t>ARIANRHOD CHARACTER CONSTRUCTION SHEET No.2 【 成長点記録・ギルドレベル 】</t>
  </si>
  <si>
    <t>ｾｯｼｮﾝ</t>
  </si>
  <si>
    <t>日付</t>
  </si>
  <si>
    <t>ギルド獲得成長点</t>
  </si>
  <si>
    <t>PC獲得成長点</t>
  </si>
  <si>
    <t>上納成長点(CL)</t>
  </si>
  <si>
    <t>成長点</t>
  </si>
  <si>
    <t>ギルド成長</t>
  </si>
  <si>
    <t>初期</t>
  </si>
  <si>
    <t>-</t>
  </si>
  <si>
    <t>初期ギルドレベル</t>
  </si>
  <si>
    <t>現在ギルドレベル</t>
  </si>
  <si>
    <t>消費成長点</t>
  </si>
  <si>
    <t>未使用成長点</t>
  </si>
  <si>
    <t>◎</t>
  </si>
  <si>
    <t>成長点合計</t>
  </si>
  <si>
    <t>ギルドが獲得した成長点</t>
  </si>
  <si>
    <t>ギルドへ上納した成長点</t>
  </si>
  <si>
    <t>他のキャラクターが上納した成長点</t>
  </si>
  <si>
    <t>ギルドへ提供した成長点　総計</t>
  </si>
  <si>
    <t>ARIANRHOD CHARACTER CONSTRUCTION SHEET No.3 【 レベルアップ 】</t>
  </si>
  <si>
    <t>レベルアップ･転職</t>
  </si>
  <si>
    <t>基本能力値成長</t>
  </si>
  <si>
    <t>現在Lv</t>
  </si>
  <si>
    <t>Lv</t>
  </si>
  <si>
    <t>メイン</t>
  </si>
  <si>
    <t>HP上昇</t>
  </si>
  <si>
    <t>MP上昇</t>
  </si>
  <si>
    <t>サポート</t>
  </si>
  <si>
    <t>基本能力成長</t>
  </si>
  <si>
    <t>上昇値</t>
  </si>
  <si>
    <t>能力基本値</t>
  </si>
  <si>
    <t>Lv毎</t>
  </si>
  <si>
    <t>合計</t>
  </si>
  <si>
    <t>クラス</t>
  </si>
  <si>
    <t>転職</t>
  </si>
  <si>
    <t>成長履歴</t>
  </si>
  <si>
    <t>CL</t>
  </si>
  <si>
    <t>転職回数</t>
  </si>
  <si>
    <t>上級職への転職</t>
  </si>
  <si>
    <t>フェイト上昇</t>
  </si>
  <si>
    <t>消費済成長点</t>
  </si>
  <si>
    <t>HP上昇値</t>
  </si>
  <si>
    <t>MP上昇値</t>
  </si>
  <si>
    <t>スキル取得数</t>
  </si>
  <si>
    <t>フェイト成長</t>
  </si>
  <si>
    <t>初期フェイト最大値：</t>
  </si>
  <si>
    <t>現在フェイト最大値：</t>
  </si>
  <si>
    <t>ARIANRHOD CHARACTER CONSTRUCTION SHEET No.4 【 スキル履歴 】</t>
  </si>
  <si>
    <t>※スキル履歴シートでスキルを選択しても、「キャラクターシート」には反映されません。改めて「キャラクターシート」へ記入してください。</t>
  </si>
  <si>
    <t>現在CL</t>
  </si>
  <si>
    <t>修得</t>
  </si>
  <si>
    <t>スキル種別</t>
  </si>
  <si>
    <t>種族/クラス等</t>
  </si>
  <si>
    <t>スキル名</t>
  </si>
  <si>
    <t>●</t>
  </si>
  <si>
    <t>種族スキル</t>
  </si>
  <si>
    <t>ナチュラルウェポン</t>
  </si>
  <si>
    <t>プロボック</t>
  </si>
  <si>
    <t>メインクラス(自)</t>
  </si>
  <si>
    <t>バッシュ</t>
  </si>
  <si>
    <t>カバーリング</t>
  </si>
  <si>
    <t>サポートクラス(自)</t>
  </si>
  <si>
    <t>ペネトレイトブロウ</t>
  </si>
  <si>
    <t>アディショナルブロウ</t>
  </si>
  <si>
    <t>一般スキル</t>
  </si>
  <si>
    <t>種族を選択</t>
  </si>
  <si>
    <t>アスレチック</t>
  </si>
  <si>
    <t>アームズマスタリー：格闘</t>
  </si>
  <si>
    <t>アイアンフィスト</t>
  </si>
  <si>
    <t>インデュア</t>
  </si>
  <si>
    <t>マインドアデプト</t>
  </si>
  <si>
    <t>ボルテクスアタック</t>
  </si>
  <si>
    <t>カバームーブ</t>
  </si>
  <si>
    <t>ソウルバスター</t>
  </si>
  <si>
    <t>ウェポンルーラー</t>
  </si>
  <si>
    <t>スマッシュ</t>
  </si>
  <si>
    <t>その他</t>
  </si>
  <si>
    <t>アセティック</t>
  </si>
  <si>
    <t>パーソナルデータ</t>
  </si>
  <si>
    <t>ライフパス</t>
  </si>
  <si>
    <t>戦闘</t>
  </si>
  <si>
    <t>[白兵攻撃]</t>
  </si>
  <si>
    <t>[射撃攻撃]</t>
  </si>
  <si>
    <t>格闘</t>
  </si>
  <si>
    <t>他</t>
  </si>
  <si>
    <t>最終値</t>
  </si>
  <si>
    <t>容貌</t>
  </si>
  <si>
    <t>身体的特徴</t>
  </si>
  <si>
    <t>計算</t>
  </si>
  <si>
    <t>計算式</t>
  </si>
  <si>
    <t>値</t>
  </si>
  <si>
    <t>D6</t>
  </si>
  <si>
    <t>スキル</t>
  </si>
  <si>
    <t>道具</t>
  </si>
  <si>
    <t>小計</t>
  </si>
  <si>
    <t>スキル/装備効果</t>
  </si>
  <si>
    <t>- ARIANRHOD CHARACTER SHEET Version 3.34 -</t>
  </si>
  <si>
    <t>名前</t>
  </si>
  <si>
    <t>荒木　圭介</t>
  </si>
  <si>
    <t>命中</t>
  </si>
  <si>
    <t>髪の色</t>
  </si>
  <si>
    <t>命中判定</t>
  </si>
  <si>
    <t>【器用】+装備</t>
  </si>
  <si>
    <t>白兵攻撃</t>
  </si>
  <si>
    <t>プレイヤー</t>
  </si>
  <si>
    <t>だんがー</t>
  </si>
  <si>
    <t>部族</t>
  </si>
  <si>
    <t>ケイネス(牙爪族)</t>
  </si>
  <si>
    <t>特徴</t>
  </si>
  <si>
    <t>運命</t>
  </si>
  <si>
    <t>判定</t>
  </si>
  <si>
    <t>瞳の色</t>
  </si>
  <si>
    <t>射撃攻撃</t>
  </si>
  <si>
    <t>ﾎﾟｰｼｮﾝ効果</t>
  </si>
  <si>
    <t>ﾒｲﾝｸﾗｽ</t>
  </si>
  <si>
    <t>成長</t>
  </si>
  <si>
    <t>髪/瞳/肌/身</t>
  </si>
  <si>
    <t>物理</t>
  </si>
  <si>
    <t>肌の色</t>
  </si>
  <si>
    <t>物理ﾀﾞﾒｰｼﾞ</t>
  </si>
  <si>
    <t>装備</t>
  </si>
  <si>
    <t>ｸﾞﾚﾈｰﾄﾞﾀﾞﾒｰｼﾞ</t>
  </si>
  <si>
    <t>ｻﾎﾟｰﾄｸﾗｽ</t>
  </si>
  <si>
    <t>性別</t>
  </si>
  <si>
    <t>男</t>
  </si>
  <si>
    <t>年齢</t>
  </si>
  <si>
    <t>ギルド</t>
  </si>
  <si>
    <t>メンバーMAXレベル</t>
  </si>
  <si>
    <t>ﾀﾞﾒｰｼﾞ</t>
  </si>
  <si>
    <t>身長</t>
  </si>
  <si>
    <t>攻撃対象[回避]</t>
  </si>
  <si>
    <t>ギルド名</t>
  </si>
  <si>
    <t>Gﾚﾍﾞﾙ</t>
  </si>
  <si>
    <t>防御力</t>
  </si>
  <si>
    <t>[物理-]</t>
  </si>
  <si>
    <t>[魔法-]</t>
  </si>
  <si>
    <t>通常時</t>
  </si>
  <si>
    <t>騎乗時</t>
  </si>
  <si>
    <t>所持金計算</t>
  </si>
  <si>
    <t>対武器[回避判定]</t>
  </si>
  <si>
    <t>【敏捷】+装備</t>
  </si>
  <si>
    <t>魔術効果</t>
  </si>
  <si>
    <t>ﾒｲﾝ</t>
  </si>
  <si>
    <t>ｻﾎﾟｰﾄ</t>
  </si>
  <si>
    <t>判定修正</t>
  </si>
  <si>
    <t>ｷﾞﾙﾄﾞﾏｽﾀｰ</t>
  </si>
  <si>
    <t>山川シズカ</t>
  </si>
  <si>
    <t>装備品</t>
  </si>
  <si>
    <t>価格</t>
  </si>
  <si>
    <t>数</t>
  </si>
  <si>
    <t>対魔法[回避判定]</t>
  </si>
  <si>
    <t>魔術効果(ｻﾓﾅｰ)</t>
  </si>
  <si>
    <t>HP / MP/ フェイト</t>
  </si>
  <si>
    <t>D軽減</t>
  </si>
  <si>
    <t>移動力</t>
  </si>
  <si>
    <t>[物理防御力]</t>
  </si>
  <si>
    <t>《ﾌﾟﾛﾃｸｼｮﾝ》効果</t>
  </si>
  <si>
    <t>HP</t>
  </si>
  <si>
    <t>回避</t>
  </si>
  <si>
    <t>対武器</t>
  </si>
  <si>
    <t>対魔術</t>
  </si>
  <si>
    <t>[魔法防御力]</t>
  </si>
  <si>
    <t>【精神】+装備</t>
  </si>
  <si>
    <t>《ヒール》効果</t>
  </si>
  <si>
    <t>【敏捷+感知】+装備</t>
  </si>
  <si>
    <t>魔法ﾀﾞﾒｰｼﾞ</t>
  </si>
  <si>
    <t>MP</t>
  </si>
  <si>
    <t>【筋力】+5+装備</t>
  </si>
  <si>
    <t>&lt;無&gt;魔法ﾀﾞﾒｰｼﾞ</t>
  </si>
  <si>
    <t>&lt;地&gt;魔法ﾀﾞﾒｰｼﾞ</t>
  </si>
  <si>
    <t>追加</t>
  </si>
  <si>
    <t>武器別命中修正</t>
  </si>
  <si>
    <t>&lt;水&gt;魔法ﾀﾞﾒｰｼﾞ</t>
  </si>
  <si>
    <t>ﾌｪｲﾄ</t>
  </si>
  <si>
    <t>□□□□□□□□□□□□□□□□</t>
  </si>
  <si>
    <t>武器種別</t>
  </si>
  <si>
    <t>&lt;火&gt;魔法ﾀﾞﾒｰｼﾞ</t>
  </si>
  <si>
    <t>ﾚﾍﾞﾙ</t>
  </si>
  <si>
    <t>種別</t>
  </si>
  <si>
    <t>制限</t>
  </si>
  <si>
    <t>重量</t>
  </si>
  <si>
    <t>攻撃</t>
  </si>
  <si>
    <t>防御</t>
  </si>
  <si>
    <t>魔防</t>
  </si>
  <si>
    <t>行動</t>
  </si>
  <si>
    <t>移動</t>
  </si>
  <si>
    <t>射程</t>
  </si>
  <si>
    <t>備考</t>
  </si>
  <si>
    <t>特殊な判定</t>
  </si>
  <si>
    <t>&lt;風&gt;魔法ﾀﾞﾒｰｼﾞ</t>
  </si>
  <si>
    <t>右手</t>
  </si>
  <si>
    <t>ミスリルナックル</t>
  </si>
  <si>
    <t>【感】ﾄﾗｯﾌﾟ探知※</t>
  </si>
  <si>
    <t>短剣</t>
  </si>
  <si>
    <t>&lt;光&gt;魔法ﾀﾞﾒｰｼﾞ</t>
  </si>
  <si>
    <t>左手</t>
  </si>
  <si>
    <t>【器】ﾄﾗｯﾌﾟ解除</t>
  </si>
  <si>
    <t>所持品</t>
  </si>
  <si>
    <t>長剣</t>
  </si>
  <si>
    <t>&lt;闇&gt;魔法ﾀﾞﾒｰｼﾞ</t>
  </si>
  <si>
    <t>未使用</t>
  </si>
  <si>
    <t>【感】危険感知</t>
  </si>
  <si>
    <t>バックパック</t>
  </si>
  <si>
    <t>両手剣</t>
  </si>
  <si>
    <t>魔法ﾀﾞﾒｰｼﾞ(ｱｺﾗｲﾄ)</t>
  </si>
  <si>
    <t>予備</t>
  </si>
  <si>
    <t>【知】ｴﾈﾐｰ識別</t>
  </si>
  <si>
    <t>冒険者セット</t>
  </si>
  <si>
    <t>刀</t>
  </si>
  <si>
    <t>対抗属性ﾀﾞﾒｰｼﾞ</t>
  </si>
  <si>
    <t>頭部</t>
  </si>
  <si>
    <t>グレートヘルム</t>
  </si>
  <si>
    <t>頭防</t>
  </si>
  <si>
    <t>【知】ｱｲﾃﾑ鑑定</t>
  </si>
  <si>
    <t>鞭</t>
  </si>
  <si>
    <t>対&lt;地&gt;防御力</t>
  </si>
  <si>
    <t>胴部</t>
  </si>
  <si>
    <t>クィルブイリ</t>
  </si>
  <si>
    <t>胴防</t>
  </si>
  <si>
    <t>【知】魔術判定※</t>
  </si>
  <si>
    <t>ベルトポーチ</t>
  </si>
  <si>
    <t>斧</t>
  </si>
  <si>
    <t>対&lt;水&gt;防御力</t>
  </si>
  <si>
    <t>補助</t>
  </si>
  <si>
    <t>ﾌｧｲﾝﾎﾟｲﾝﾄｱｰﾏｰ</t>
  </si>
  <si>
    <t>補防</t>
  </si>
  <si>
    <t>【精】呪歌判定※</t>
  </si>
  <si>
    <t>HPポーション</t>
  </si>
  <si>
    <t>打撃</t>
  </si>
  <si>
    <t>対&lt;火&gt;防御力</t>
  </si>
  <si>
    <t>装身具</t>
  </si>
  <si>
    <t>秘伝書</t>
  </si>
  <si>
    <t>装身</t>
  </si>
  <si>
    <t>【器】錬金判定※</t>
  </si>
  <si>
    <t>MPポーション</t>
  </si>
  <si>
    <t>槍</t>
  </si>
  <si>
    <t>対&lt;風&gt;防御力</t>
  </si>
  <si>
    <t>重量 [</t>
  </si>
  <si>
    <t>]  &gt;&gt;</t>
  </si>
  <si>
    <t>武/盾:</t>
  </si>
  <si>
    <t>防/装:</t>
  </si>
  <si>
    <t>ギルドサポート</t>
  </si>
  <si>
    <t>[選択済:</t>
  </si>
  <si>
    <t>毒消し</t>
  </si>
  <si>
    <t>弓</t>
  </si>
  <si>
    <t>対&lt;光&gt;防御力</t>
  </si>
  <si>
    <t>●　アリアンロッド キャラクターシート　●</t>
  </si>
  <si>
    <t>クラス・種族</t>
  </si>
  <si>
    <t>SL</t>
  </si>
  <si>
    <t>タイミング</t>
  </si>
  <si>
    <t>対象</t>
  </si>
  <si>
    <t>コスト</t>
  </si>
  <si>
    <t>効果</t>
  </si>
  <si>
    <t>[一般</t>
  </si>
  <si>
    <t>ﾀｲﾐﾝｸﾞ</t>
  </si>
  <si>
    <t>重</t>
  </si>
  <si>
    <t>錬金銃</t>
  </si>
  <si>
    <t>対&lt;闇&gt;防御力</t>
  </si>
  <si>
    <t>蘇生</t>
  </si>
  <si>
    <t>錬金術</t>
  </si>
  <si>
    <t>対&lt;地&gt;D軽減</t>
  </si>
  <si>
    <t>祝福</t>
  </si>
  <si>
    <t>魔導銃</t>
  </si>
  <si>
    <t>対&lt;水&gt;D軽減</t>
  </si>
  <si>
    <t>目利き</t>
  </si>
  <si>
    <t>対&lt;火&gt;D軽減</t>
  </si>
  <si>
    <t>武器別ﾀﾞﾒｰｼﾞ修正</t>
  </si>
  <si>
    <t>対&lt;風&gt;D軽減</t>
  </si>
  <si>
    <t>対&lt;光&gt;D軽減</t>
  </si>
  <si>
    <t>対&lt;闇&gt;D軽減</t>
  </si>
  <si>
    <t>命中：植物</t>
  </si>
  <si>
    <t>　</t>
  </si>
  <si>
    <t>命中：動物</t>
  </si>
  <si>
    <t>★</t>
  </si>
  <si>
    <t>命中：人間</t>
  </si>
  <si>
    <t>命中：妖精</t>
  </si>
  <si>
    <t>命中：妖魔</t>
  </si>
  <si>
    <t>命中：ｱﾝﾃﾞｯﾄﾞ</t>
  </si>
  <si>
    <t>命中：精霊</t>
  </si>
  <si>
    <t>命中：人造生物</t>
  </si>
  <si>
    <t>命中：機械</t>
  </si>
  <si>
    <t>命中：魔獣</t>
  </si>
  <si>
    <t>命中：霊獣</t>
  </si>
  <si>
    <t>トレーニング：器用</t>
  </si>
  <si>
    <t>命中：巨人</t>
  </si>
  <si>
    <t>トレーニング：精神</t>
  </si>
  <si>
    <t>命中：竜</t>
  </si>
  <si>
    <t>インサイト</t>
  </si>
  <si>
    <t>命中：魔族</t>
  </si>
  <si>
    <t>対&lt;地&gt;ダメージ</t>
  </si>
  <si>
    <t>対&lt;水&gt;ダメージ</t>
  </si>
  <si>
    <t>スキル(追加欄）</t>
  </si>
  <si>
    <t>ギルドサポート(追加欄)</t>
  </si>
  <si>
    <t>ココから下は重量に含まれません</t>
  </si>
  <si>
    <t>対&lt;火&gt;ダメージ</t>
  </si>
  <si>
    <t>対&lt;風&gt;ダメージ</t>
  </si>
  <si>
    <t>対&lt;光&gt;ダメージ</t>
  </si>
  <si>
    <t>対&lt;闇&gt;ダメージ</t>
  </si>
  <si>
    <t>ﾀﾞﾒｰｼﾞ：植物</t>
  </si>
  <si>
    <t>ﾀﾞﾒｰｼﾞ：動物</t>
  </si>
  <si>
    <t>ﾀﾞﾒｰｼﾞ：人間</t>
  </si>
  <si>
    <t>ﾀﾞﾒｰｼﾞ：妖精</t>
  </si>
  <si>
    <t>ﾀﾞﾒｰｼﾞ：妖魔</t>
  </si>
  <si>
    <t>ﾀﾞﾒｰｼﾞ：ｱﾝﾃﾞｯﾄﾞ</t>
  </si>
  <si>
    <t>ﾀﾞﾒｰｼﾞ：精霊</t>
  </si>
  <si>
    <t>ﾀﾞﾒｰｼﾞ：人造生物</t>
  </si>
  <si>
    <t>ﾀﾞﾒｰｼﾞ：機械</t>
  </si>
  <si>
    <t>ﾀﾞﾒｰｼﾞ：魔獣</t>
  </si>
  <si>
    <t>ﾀﾞﾒｰｼﾞ：霊獣</t>
  </si>
  <si>
    <t>ﾀﾞﾒｰｼﾞ：巨人</t>
  </si>
  <si>
    <t>ﾀﾞﾒｰｼﾞ：竜</t>
  </si>
  <si>
    <t>ﾀﾞﾒｰｼﾞ：魔族</t>
  </si>
  <si>
    <t>識別敵ﾀﾞﾒｰｼﾞ</t>
  </si>
  <si>
    <t>[C]時ダメージ</t>
  </si>
  <si>
    <t>[C]時対象防御力</t>
  </si>
  <si>
    <t>ﾄﾞﾛｯﾌﾟ品ﾛｰﾙ</t>
  </si>
  <si>
    <t>投射ダメージ</t>
  </si>
  <si>
    <t>●　アリアンロッド 追加シート 1　●</t>
  </si>
  <si>
    <t>ギルドシート</t>
  </si>
  <si>
    <t>ギルドレベル</t>
  </si>
  <si>
    <t>成長点総計</t>
  </si>
  <si>
    <t>ギルドマスター</t>
  </si>
  <si>
    <t>ギルドメンバー</t>
  </si>
  <si>
    <t>獲得ギルドサポート</t>
  </si>
  <si>
    <t>重複</t>
  </si>
  <si>
    <t>初</t>
  </si>
  <si>
    <t>選択ギルドサポート</t>
  </si>
  <si>
    <t>[ 選択ｽｷﾙﾚﾍﾞﾙ合計 / ﾒﾝﾊﾞｰMAXﾚﾍﾞﾙ：</t>
  </si>
  <si>
    <t>]</t>
  </si>
  <si>
    <t>●　アリアンロッド 追加シート 2　●</t>
  </si>
  <si>
    <t>スキルシート</t>
  </si>
  <si>
    <t>ARIANRHOD REFERENCE SHEET 【 スキル 】</t>
  </si>
  <si>
    <t>ヒューリン</t>
  </si>
  <si>
    <t>参照</t>
  </si>
  <si>
    <t>コンバットマスタリー</t>
  </si>
  <si>
    <t>パッシヴ</t>
  </si>
  <si>
    <t>自身</t>
  </si>
  <si>
    <t>武器攻撃の命中判定に+2する</t>
  </si>
  <si>
    <t>①P77</t>
  </si>
  <si>
    <t>ハーフブラッド</t>
  </si>
  <si>
    <t>効果参照/メイキング</t>
  </si>
  <si>
    <t>ヒューリン以外のメイキングの種族スキルを一つ得る、幸運基本値-3</t>
  </si>
  <si>
    <t>プロヴィデンス</t>
  </si>
  <si>
    <t>パッシヴ/メイキング</t>
  </si>
  <si>
    <t>フェイトによるダイスの増加数の上限が【幸運】+1になる</t>
  </si>
  <si>
    <t>オールラウンド</t>
  </si>
  <si>
    <t>能力値を3つ選び、基本値に+1、面倒なんでボーナスのところで足してくれ</t>
  </si>
  <si>
    <t>ギフト</t>
  </si>
  <si>
    <t>判定直前</t>
  </si>
  <si>
    <t>自動</t>
  </si>
  <si>
    <t>使用した判定のダイスを+2個する</t>
  </si>
  <si>
    <t>②P58</t>
  </si>
  <si>
    <t>レイザーシャープ</t>
  </si>
  <si>
    <t>武器攻撃のダメージロールに+1D、CL5以上</t>
  </si>
  <si>
    <t>マイスター：トラップ探知</t>
  </si>
  <si>
    <t>対象の判定に+2、CL5以上</t>
  </si>
  <si>
    <t>マイスター：トラップ解除</t>
  </si>
  <si>
    <t>マイスター：危険感知</t>
  </si>
  <si>
    <t>マイスター：エネミー識別</t>
  </si>
  <si>
    <t>マイスター：アイテム鑑定</t>
  </si>
  <si>
    <t>マイスター：魔術判定</t>
  </si>
  <si>
    <t>マイスター：呪歌判定</t>
  </si>
  <si>
    <t>マイスター：錬金術判定</t>
  </si>
  <si>
    <t>プレドミナント</t>
  </si>
  <si>
    <t>エソテリカ</t>
  </si>
  <si>
    <t>エルダナーン</t>
  </si>
  <si>
    <t>イモータリティ</t>
  </si>
  <si>
    <t>キャラクター作成時に≪トリビアリスト≫を取得する</t>
  </si>
  <si>
    <t>①P79</t>
  </si>
  <si>
    <t>フォティテュード</t>
  </si>
  <si>
    <t>最大MP+5</t>
  </si>
  <si>
    <t>マジックセンス</t>
  </si>
  <si>
    <t>知力基本値+3</t>
  </si>
  <si>
    <t>マジックマスタリー</t>
  </si>
  <si>
    <t>魔術判定+2</t>
  </si>
  <si>
    <t>ナチュラルヒストリー</t>
  </si>
  <si>
    <t>エネミー識別判定+2D</t>
  </si>
  <si>
    <t>②P59</t>
  </si>
  <si>
    <t>エルダーマジック</t>
  </si>
  <si>
    <t>魔術判定の達成値+3、CL5以上</t>
  </si>
  <si>
    <t>マジックゲイザー</t>
  </si>
  <si>
    <t>魔術ダメージ+1D、CL5以上</t>
  </si>
  <si>
    <t>オフェンシブセンス</t>
  </si>
  <si>
    <t>リクルート</t>
  </si>
  <si>
    <t>クリナップ</t>
  </si>
  <si>
    <t>ネヴァーフ</t>
  </si>
  <si>
    <t>アダマント</t>
  </si>
  <si>
    <t>[物理防御力]+3</t>
  </si>
  <si>
    <t>①P81</t>
  </si>
  <si>
    <t>アックスマスター</t>
  </si>
  <si>
    <t>種別[斧]による攻撃の命中判定+3</t>
  </si>
  <si>
    <t>マスターハンド</t>
  </si>
  <si>
    <t>キャラクター作成時に≪ガンスミス≫を取得する</t>
  </si>
  <si>
    <t>テクニックマスター</t>
  </si>
  <si>
    <t>器用基本値+3</t>
  </si>
  <si>
    <t>ラーニングポーション</t>
  </si>
  <si>
    <t>種別[ポーション]のダイス効果に+2、ダイスを振る物のみ</t>
  </si>
  <si>
    <t>②P60</t>
  </si>
  <si>
    <t>アックスアデプト</t>
  </si>
  <si>
    <t>種別[斧]のダメージに+5、CL5以上</t>
  </si>
  <si>
    <t>アンチマジック</t>
  </si>
  <si>
    <t>[魔法防御力]+5、CL5以上</t>
  </si>
  <si>
    <t>インフラビジョン</t>
  </si>
  <si>
    <t>ウェポンマスター</t>
  </si>
  <si>
    <t>フィルボル</t>
  </si>
  <si>
    <t>ニンブル</t>
  </si>
  <si>
    <t>行動値+3</t>
  </si>
  <si>
    <t>①P83</t>
  </si>
  <si>
    <t>マジックレジスト</t>
  </si>
  <si>
    <t>[魔法防御力]+3</t>
  </si>
  <si>
    <t>ラッキースター</t>
  </si>
  <si>
    <t>幸運基本値+3</t>
  </si>
  <si>
    <t>トリックスター</t>
  </si>
  <si>
    <t>効果参照</t>
  </si>
  <si>
    <t>視界</t>
  </si>
  <si>
    <t>射程内で発動したトラップを無効化、1シナリオ1回</t>
  </si>
  <si>
    <t>リラックス</t>
  </si>
  <si>
    <t>作動したトラップに対する判定+2</t>
  </si>
  <si>
    <t>②P61</t>
  </si>
  <si>
    <t>スウィフティ</t>
  </si>
  <si>
    <t>ｾｯﾄｱｯﾌﾟ</t>
  </si>
  <si>
    <t>移動する。封鎖されていなければ、離脱可能。CL5以上</t>
  </si>
  <si>
    <t>セルフディフェンス</t>
  </si>
  <si>
    <t>[物理防御力]+5、CL5以上</t>
  </si>
  <si>
    <t>サイズカスタム</t>
  </si>
  <si>
    <t>アイテム</t>
  </si>
  <si>
    <t>ステルスフェイス</t>
  </si>
  <si>
    <t>ヴァーナ</t>
  </si>
  <si>
    <t>アクロバット</t>
  </si>
  <si>
    <t>猫：敏捷基本値に+3</t>
  </si>
  <si>
    <t>オーバーパス</t>
  </si>
  <si>
    <t>狼：行動値+1、移動力+5</t>
  </si>
  <si>
    <t>ハイジャンプ</t>
  </si>
  <si>
    <t>兎：ムーブアクションで離脱してもマイナー行動可能</t>
  </si>
  <si>
    <t>ワイルドセンス</t>
  </si>
  <si>
    <t>[感知]判定+2</t>
  </si>
  <si>
    <t>ハンティングアイ</t>
  </si>
  <si>
    <t>射撃ダメージ+3</t>
  </si>
  <si>
    <t>スプリンター</t>
  </si>
  <si>
    <t>移動力+5、CL5以上</t>
  </si>
  <si>
    <t>ラピディティ</t>
  </si>
  <si>
    <t>[敏捷]判定+2、CL5以上</t>
  </si>
  <si>
    <t>ジャッジメント</t>
  </si>
  <si>
    <t>ハンターショット</t>
  </si>
  <si>
    <t>ウィング</t>
  </si>
  <si>
    <t>ムーブ/メイキング</t>
  </si>
  <si>
    <t>翼：飛行になる。シーン持続。</t>
  </si>
  <si>
    <t>タフネス</t>
  </si>
  <si>
    <t>角：[最大HP]+5</t>
  </si>
  <si>
    <t>牙：素手の[命中]+1、[攻撃力]+3</t>
  </si>
  <si>
    <t>ストロング</t>
  </si>
  <si>
    <t>白兵攻撃のダメージ+3</t>
  </si>
  <si>
    <t>ステッドファスト</t>
  </si>
  <si>
    <t>[スリップ]のバステを受けない</t>
  </si>
  <si>
    <t>[物理防御力]+3、[魔法防御力]+3、CL5以上</t>
  </si>
  <si>
    <t>ハードマインド</t>
  </si>
  <si>
    <t>[精神]判定+2、CL5以上</t>
  </si>
  <si>
    <t>フューリー</t>
  </si>
  <si>
    <t>マッスルウォール</t>
  </si>
  <si>
    <t>エクスマキナ</t>
  </si>
  <si>
    <t>アクセラレーション</t>
  </si>
  <si>
    <t>スキルP067</t>
  </si>
  <si>
    <t>アンプリファイア</t>
  </si>
  <si>
    <t>メイキング</t>
  </si>
  <si>
    <t>チューニング</t>
  </si>
  <si>
    <t>ディフィブリレイター</t>
  </si>
  <si>
    <t>トランプ</t>
  </si>
  <si>
    <t>ランパート</t>
  </si>
  <si>
    <t>アップデート</t>
  </si>
  <si>
    <t>バッテリーバックアップ</t>
  </si>
  <si>
    <t>リンメルコーティング</t>
  </si>
  <si>
    <t>ドラゴネット</t>
  </si>
  <si>
    <t>単体</t>
  </si>
  <si>
    <t>20m</t>
  </si>
  <si>
    <t>スキルP069</t>
  </si>
  <si>
    <t>ドラゴンセントール</t>
  </si>
  <si>
    <t>ドラゴンフォーム</t>
  </si>
  <si>
    <t>ピキュリアースピリット</t>
  </si>
  <si>
    <t>ホバリング</t>
  </si>
  <si>
    <t>ドラゴンアブソリュート</t>
  </si>
  <si>
    <t>ドラゴニックシンボルII</t>
  </si>
  <si>
    <t>ドラゴンセントールII</t>
  </si>
  <si>
    <t>ドラゴンフォームII</t>
  </si>
  <si>
    <t>アイデンティファイ</t>
  </si>
  <si>
    <t>アルケミーノウリッジ</t>
  </si>
  <si>
    <t>イミューンウェイト</t>
  </si>
  <si>
    <t>エンラージリミット</t>
  </si>
  <si>
    <t>オピニオン</t>
  </si>
  <si>
    <t>サーチリスク</t>
  </si>
  <si>
    <t>シックスセンス</t>
  </si>
  <si>
    <t>ストリートワイズ</t>
  </si>
  <si>
    <t>メジャー</t>
  </si>
  <si>
    <t>デストロイヤー</t>
  </si>
  <si>
    <t>トラッキング</t>
  </si>
  <si>
    <t>ビジランテ</t>
  </si>
  <si>
    <t>ヒストリー</t>
  </si>
  <si>
    <t>ファーストエイド</t>
  </si>
  <si>
    <t>至近</t>
  </si>
  <si>
    <t>ファインドトラップ</t>
  </si>
  <si>
    <t>ブラフ</t>
  </si>
  <si>
    <t>ベアアップ</t>
  </si>
  <si>
    <t>マジックノウリッジ</t>
  </si>
  <si>
    <t>ミュトスノウリッジ</t>
  </si>
  <si>
    <t>モンスターロア</t>
  </si>
  <si>
    <t>リサーチ</t>
  </si>
  <si>
    <t>リムーブトラップ</t>
  </si>
  <si>
    <t>アニマルエンパシー</t>
  </si>
  <si>
    <t>インテンション</t>
  </si>
  <si>
    <t>ウェポンチェンジ</t>
  </si>
  <si>
    <t>ムーブ</t>
  </si>
  <si>
    <t>サクセション</t>
  </si>
  <si>
    <t>シニスター</t>
  </si>
  <si>
    <t>スティグマ</t>
  </si>
  <si>
    <t>判定直後</t>
  </si>
  <si>
    <t>センスマジック</t>
  </si>
  <si>
    <t>トレーニング：筋力</t>
  </si>
  <si>
    <t>能力基本値に+3</t>
  </si>
  <si>
    <t>トレーニング：敏捷</t>
  </si>
  <si>
    <t>トレーニング：知力</t>
  </si>
  <si>
    <t>トレーニング：感知</t>
  </si>
  <si>
    <t>トレーニング：幸運</t>
  </si>
  <si>
    <t>バイタリティ</t>
  </si>
  <si>
    <t>ハンティング</t>
  </si>
  <si>
    <t>ファーマシー</t>
  </si>
  <si>
    <t>フィッシング</t>
  </si>
  <si>
    <t>フェイス：アーケンラーヴ</t>
  </si>
  <si>
    <t>フェイス：アエマ</t>
  </si>
  <si>
    <t>フェイス：グランアイン</t>
  </si>
  <si>
    <t>フェイス：ゴヴァノン</t>
  </si>
  <si>
    <t>フェイス：ダグデモア</t>
  </si>
  <si>
    <t>フェイス：ダナン</t>
  </si>
  <si>
    <t>フェイス：ブリガンティア</t>
  </si>
  <si>
    <t>ホースマンシップ</t>
  </si>
  <si>
    <t>ホムンクルス</t>
  </si>
  <si>
    <t>マジカルハーブ</t>
  </si>
  <si>
    <t>レストタイム</t>
  </si>
  <si>
    <t>アイテムマスタリー</t>
  </si>
  <si>
    <t>アナライズエリア</t>
  </si>
  <si>
    <t>魔術</t>
  </si>
  <si>
    <t>アニマルコントロール</t>
  </si>
  <si>
    <t>1/S</t>
  </si>
  <si>
    <t>アンチトラップ</t>
  </si>
  <si>
    <t>イクイップリミット</t>
  </si>
  <si>
    <t>エリアサーチ</t>
  </si>
  <si>
    <t>エンチャントウェポン：無</t>
  </si>
  <si>
    <t>キャンセルマジック</t>
  </si>
  <si>
    <t>クローズオフ</t>
  </si>
  <si>
    <t>スーパーセンス</t>
  </si>
  <si>
    <t>ストライダー</t>
  </si>
  <si>
    <t>フェザー</t>
  </si>
  <si>
    <t>フックダウン</t>
  </si>
  <si>
    <t>ｸﾘﾝﾅｯﾌﾟ</t>
  </si>
  <si>
    <t>マジックキャンドル</t>
  </si>
  <si>
    <t>マシンアーマー</t>
  </si>
  <si>
    <t>マシンリム</t>
  </si>
  <si>
    <t>武器</t>
  </si>
  <si>
    <t>対象に武器攻撃を行う。ダメージロールに+[(SL)D]</t>
  </si>
  <si>
    <t>アームズマスタリー：長剣</t>
  </si>
  <si>
    <t>長剣装備時、命中判定ダイス+1</t>
  </si>
  <si>
    <t>アームズマスタリー：両手剣</t>
  </si>
  <si>
    <t>両手剣装備時、命中判定ダイス+1</t>
  </si>
  <si>
    <t>アームズマスタリー：槍</t>
  </si>
  <si>
    <t>槍装備時、命中判定ダイス+1</t>
  </si>
  <si>
    <t>アームズマスタリー：斧</t>
  </si>
  <si>
    <t>斧装備時、命中判定ダイス+1</t>
  </si>
  <si>
    <t>アイアンクラッド</t>
  </si>
  <si>
    <t>DR直後</t>
  </si>
  <si>
    <t>被物理ダメージ-[(SL)*3]</t>
  </si>
  <si>
    <t>インビジブルアタック</t>
  </si>
  <si>
    <t>マイナー</t>
  </si>
  <si>
    <t>メインプロセスで行う白兵攻撃の命中判定のダイス+1</t>
  </si>
  <si>
    <t>ウェポンガード</t>
  </si>
  <si>
    <t>1/M</t>
  </si>
  <si>
    <t>被武器ダメージ-[武器の攻撃力/2]、両手持ち武器使用時のみ可能、メインプロセスに1回</t>
  </si>
  <si>
    <t>武器攻撃の命中判定に+[SL+1]</t>
  </si>
  <si>
    <t>オートガード</t>
  </si>
  <si>
    <t>[物理防御力]+[(SL)*2]、[魔法防御力]+SL</t>
  </si>
  <si>
    <t>DR直前</t>
  </si>
  <si>
    <t>対象に[他人をかばう]を行う行動済みでも可能、使用しても行動済みにならないメインプロセスに1回</t>
  </si>
  <si>
    <t>ｶﾊﾞｰﾘﾝｸﾞ</t>
  </si>
  <si>
    <t>SL/S</t>
  </si>
  <si>
    <t>カバーリングを射程20ｍにする、1シーンSL回</t>
  </si>
  <si>
    <t>シールドスラム</t>
  </si>
  <si>
    <t>白兵攻撃のダメージに+[装備している盾の重量]、種別：盾限定</t>
  </si>
  <si>
    <t>メインプロセスで行う白兵ダメージに+[筋力]</t>
  </si>
  <si>
    <t>スラッシュブロウ</t>
  </si>
  <si>
    <t>武器攻撃のダメージ+[(SL)*2D]、1シーン1回</t>
  </si>
  <si>
    <t>セイブアタック</t>
  </si>
  <si>
    <t>白兵攻撃を行い命中すると、エンゲージしている単体を離脱させられる、C：ダイスロール増加</t>
  </si>
  <si>
    <t>ディフェンダー</t>
  </si>
  <si>
    <t>[物理防御力]+[SL*3]あなたのダメージロールに-1D。解除するかシーン終了まで持続</t>
  </si>
  <si>
    <t>バーサーク</t>
  </si>
  <si>
    <t>武器攻撃のダメージに+[SL*3]あなあたのリアクション判定-1D。解除するかシーン終了まで持続</t>
  </si>
  <si>
    <t>パリィ</t>
  </si>
  <si>
    <t>伝説の皇帝ベアの魂が身に宿る</t>
  </si>
  <si>
    <t>パンプアップ</t>
  </si>
  <si>
    <t>白兵攻撃のダメージ+[SL*2]、シーン終了まで</t>
  </si>
  <si>
    <t>ブランディッシュ</t>
  </si>
  <si>
    <t>両手武器のみ、[SL*2]体の敵に白兵攻撃、C：ダイスロール増加</t>
  </si>
  <si>
    <t>10m</t>
  </si>
  <si>
    <t>対象の精神と対決、達成値に+[SL*2]、対象に[逆上]</t>
  </si>
  <si>
    <t>武器攻撃を単体にし、ダメージロールに+[(CL)*10]する。1シナリオ1回</t>
  </si>
  <si>
    <t>アームズレンジ</t>
  </si>
  <si>
    <t>シールドストライク</t>
  </si>
  <si>
    <t>ビートダウン</t>
  </si>
  <si>
    <t>フルディフェンス</t>
  </si>
  <si>
    <t>リバウンドバッシュ</t>
  </si>
  <si>
    <t>《バッシュ》</t>
  </si>
  <si>
    <t>クールランニング</t>
  </si>
  <si>
    <t>バイオレントアタック</t>
  </si>
  <si>
    <t>マジックディフェンダー</t>
  </si>
  <si>
    <t>基アコライト</t>
  </si>
  <si>
    <t>プロテクション</t>
  </si>
  <si>
    <t>対象が受ける予定の[HP]ダメージを-[(SL)D]する魔術</t>
  </si>
  <si>
    <t>アームズマスタリー：打撃</t>
  </si>
  <si>
    <t>打撃装備時、命中判定ダイス+1</t>
  </si>
  <si>
    <t>アフェクション</t>
  </si>
  <si>
    <t>対象の受ける予定のダメージを0にする、シナリオ1回</t>
  </si>
  <si>
    <t>アンデッドベイン</t>
  </si>
  <si>
    <t>魔法攻撃、貫通ダメージ2D、アンデット、人造生物、機械にダメージを与えた時ノックバック2</t>
  </si>
  <si>
    <t>インボーク</t>
  </si>
  <si>
    <t>キュア</t>
  </si>
  <si>
    <t>クイックヒール</t>
  </si>
  <si>
    <t>イニシアチブ</t>
  </si>
  <si>
    <t>クルーセフィクション</t>
  </si>
  <si>
    <t>ディバインアーム</t>
  </si>
  <si>
    <t>テレポート</t>
  </si>
  <si>
    <t>範選</t>
  </si>
  <si>
    <t>ハンマーフォージ</t>
  </si>
  <si>
    <t>ヒール</t>
  </si>
  <si>
    <t>ビリーブ</t>
  </si>
  <si>
    <t>ブレッシング</t>
  </si>
  <si>
    <t>ヘイスト</t>
  </si>
  <si>
    <t>ホーリーアーマー</t>
  </si>
  <si>
    <t>ホーリーウェポン</t>
  </si>
  <si>
    <t>ホーリーライト</t>
  </si>
  <si>
    <t>ホーリーワード</t>
  </si>
  <si>
    <t>レイズ</t>
  </si>
  <si>
    <t>グローリー</t>
  </si>
  <si>
    <t>《ブレッシング》</t>
  </si>
  <si>
    <t>スロー</t>
  </si>
  <si>
    <t>ピューリファイ</t>
  </si>
  <si>
    <t>フェイバード</t>
  </si>
  <si>
    <t>場選</t>
  </si>
  <si>
    <t>シーン</t>
  </si>
  <si>
    <t>ブリンク</t>
  </si>
  <si>
    <t>ホーリーグレイス</t>
  </si>
  <si>
    <t>マインドアブソーブ</t>
  </si>
  <si>
    <t>マニフィカート</t>
  </si>
  <si>
    <t>基メイジ</t>
  </si>
  <si>
    <t>マジシャンズマイト</t>
  </si>
  <si>
    <t>アースバレット</t>
  </si>
  <si>
    <t>アースブレイカー</t>
  </si>
  <si>
    <t>ウィンドバリア</t>
  </si>
  <si>
    <t>ウォータースピア</t>
  </si>
  <si>
    <t>ウォーターマスター</t>
  </si>
  <si>
    <t>エアリアルスラッシュ</t>
  </si>
  <si>
    <t>エアリアルセイバー</t>
  </si>
  <si>
    <t>エキスパート</t>
  </si>
  <si>
    <t>エンチャントウェポン</t>
  </si>
  <si>
    <t>コンセントレイション</t>
  </si>
  <si>
    <t>[魔術]判定+1D6</t>
  </si>
  <si>
    <t>ストーンスキン</t>
  </si>
  <si>
    <t>ブーストマジック</t>
  </si>
  <si>
    <t>ファイアボルト</t>
  </si>
  <si>
    <t>ファイアロード</t>
  </si>
  <si>
    <t>フライト</t>
  </si>
  <si>
    <r>
      <t>対象を飛行＋移動力</t>
    </r>
    <r>
      <rPr>
        <sz val="8"/>
        <color indexed="8"/>
        <rFont val="ＭＳ Ｐゴシック"/>
        <family val="3"/>
      </rPr>
      <t>+[SL*5]mにする、1シーン持続</t>
    </r>
  </si>
  <si>
    <t>マジックコート</t>
  </si>
  <si>
    <t>マジックフォージ</t>
  </si>
  <si>
    <t>マジックブラスト</t>
  </si>
  <si>
    <t>リゼントメント</t>
  </si>
  <si>
    <t>魔法攻撃を単体にし、ダメージロールに+[(CL)*10]する。1シナリオ1回</t>
  </si>
  <si>
    <t>ウォーターブリージング</t>
  </si>
  <si>
    <t>フィジカルエンチャント</t>
  </si>
  <si>
    <t>マジックロック</t>
  </si>
  <si>
    <t>マテリアルコンポーネント</t>
  </si>
  <si>
    <t>イフリート・シマー</t>
  </si>
  <si>
    <t>ダオ・グラスプ</t>
  </si>
  <si>
    <t>ディジニ・ブリーズ</t>
  </si>
  <si>
    <t>マリッド・ストリーム</t>
  </si>
  <si>
    <t>基シーフ</t>
  </si>
  <si>
    <t>ワイドアタック</t>
  </si>
  <si>
    <t>アームズマスタリー：短剣</t>
  </si>
  <si>
    <t>短剣装備時、命中判定ダイス+1</t>
  </si>
  <si>
    <t>アームズマスタリー：鞭</t>
  </si>
  <si>
    <t>鞭装備時、命中判定ダイス+1</t>
  </si>
  <si>
    <t>アンビデクスタリティ</t>
  </si>
  <si>
    <t>インタラプト</t>
  </si>
  <si>
    <t>対象が使用したスキルを無効化する。</t>
  </si>
  <si>
    <t>インベナム</t>
  </si>
  <si>
    <t>エンタングル</t>
  </si>
  <si>
    <t>サイドワインダー</t>
  </si>
  <si>
    <t>サプライザル</t>
  </si>
  <si>
    <t>ジャストディフェンス</t>
  </si>
  <si>
    <t>装備防具の[回避修正]が[0]未満の時[0]に変更する</t>
  </si>
  <si>
    <t>シャドウストーク</t>
  </si>
  <si>
    <t>シャドウブレイド</t>
  </si>
  <si>
    <t>スティール</t>
  </si>
  <si>
    <t>スペシャライズ：格闘</t>
  </si>
  <si>
    <t>スペシャライズ：短剣</t>
  </si>
  <si>
    <t>スペシャライズ：長剣</t>
  </si>
  <si>
    <t>スペシャライズ：両手剣</t>
  </si>
  <si>
    <t>スペシャライズ：刀</t>
  </si>
  <si>
    <t>スペシャライズ：鞭</t>
  </si>
  <si>
    <t>スペシャライズ：斧</t>
  </si>
  <si>
    <t>スペシャライズ：打撃</t>
  </si>
  <si>
    <t>スペシャライズ：槍</t>
  </si>
  <si>
    <t>スペシャライズ：弓</t>
  </si>
  <si>
    <t>スペシャライズ：錬金銃</t>
  </si>
  <si>
    <t>スペシャライズ：錬金術</t>
  </si>
  <si>
    <t>スペシャライズ：魔導銃</t>
  </si>
  <si>
    <t>タウント</t>
  </si>
  <si>
    <t>ドッジムーブ</t>
  </si>
  <si>
    <t>ﾘｱｸｼｮﾝ</t>
  </si>
  <si>
    <t>[回避]判定の達成値+[SL+2]、盾装備時不可</t>
  </si>
  <si>
    <t>バタフライダンス</t>
  </si>
  <si>
    <t>[回避]判定のダイス+1</t>
  </si>
  <si>
    <t>ビースティング</t>
  </si>
  <si>
    <t>命中判定のダイス+[(SL+1)D]</t>
  </si>
  <si>
    <t>ピアシングストライク</t>
  </si>
  <si>
    <t>フェイント</t>
  </si>
  <si>
    <t>ランナップ</t>
  </si>
  <si>
    <t>イベイジョン</t>
  </si>
  <si>
    <t>ストライクスロー</t>
  </si>
  <si>
    <t>ディセクトエッジ</t>
  </si>
  <si>
    <t>ナイフパリィ</t>
  </si>
  <si>
    <t>フルスピード</t>
  </si>
  <si>
    <t>ウェポンフォーカス：格闘</t>
  </si>
  <si>
    <t>ウェポンフォーカス：短剣</t>
  </si>
  <si>
    <t>ウェポンフォーカス：長剣</t>
  </si>
  <si>
    <t>ウェポンフォーカス：両手剣</t>
  </si>
  <si>
    <t>ウェポンフォーカス：刀</t>
  </si>
  <si>
    <t>ウェポンフォーカス：鞭</t>
  </si>
  <si>
    <t>ウェポンフォーカス：斧</t>
  </si>
  <si>
    <t>ウェポンフォーカス：打撃</t>
  </si>
  <si>
    <t>ウェポンフォーカス：槍</t>
  </si>
  <si>
    <t>ウェポンフォーカス：弓</t>
  </si>
  <si>
    <t>ウェポンフォーカス：錬金銃</t>
  </si>
  <si>
    <t>ウェポンフォーカス：錬金術</t>
  </si>
  <si>
    <t>ウェポンフォーカス：魔導銃</t>
  </si>
  <si>
    <t>サドンインパクト</t>
  </si>
  <si>
    <t>《サプライザル》</t>
  </si>
  <si>
    <t>ワイドストーム</t>
  </si>
  <si>
    <t>補サムライ</t>
  </si>
  <si>
    <t>アーマーブレイク</t>
  </si>
  <si>
    <t>アームズマスタリー：刀</t>
  </si>
  <si>
    <t>「種別：刀」の[武器攻撃][命中判定]+1D</t>
  </si>
  <si>
    <t>アウトストリップ</t>
  </si>
  <si>
    <t>クリアマインド</t>
  </si>
  <si>
    <t>コンバットセンス</t>
  </si>
  <si>
    <t>ストライクバック</t>
  </si>
  <si>
    <t>スピリット・オブ・サムライ</t>
  </si>
  <si>
    <t>「種別：刀」の武器をSL個入手</t>
  </si>
  <si>
    <t>ソニックブーム</t>
  </si>
  <si>
    <t>[射程:SL*10m]で[白兵攻撃]を行う</t>
  </si>
  <si>
    <t>ディフレクション</t>
  </si>
  <si>
    <t>リフレクション</t>
  </si>
  <si>
    <t>≪ﾃﾞｨﾌﾚｸｼｮﾝ≫</t>
  </si>
  <si>
    <t>トゥーハンドアタック</t>
  </si>
  <si>
    <t>トゥルーアイ</t>
  </si>
  <si>
    <t>トルネードブラスト</t>
  </si>
  <si>
    <t>ナーブブレイク</t>
  </si>
  <si>
    <t>[Hpﾀﾞﾒｰｼﾞ]を与えると対象の[回避判定]の達成値-[SL×2]、対象はマイナーで効果解除可能</t>
  </si>
  <si>
    <t>パワースマイト</t>
  </si>
  <si>
    <t>パワーブレイク</t>
  </si>
  <si>
    <t>フェイタルブロウ</t>
  </si>
  <si>
    <t>フォアストール</t>
  </si>
  <si>
    <t>行動値+[SL*2]</t>
  </si>
  <si>
    <t>プレッシャー</t>
  </si>
  <si>
    <t>レイジ</t>
  </si>
  <si>
    <t>グランスラッシュ</t>
  </si>
  <si>
    <t>ショットバック</t>
  </si>
  <si>
    <t>《ｽﾄﾗｲｸﾊﾞｯｸ》</t>
  </si>
  <si>
    <t>ソニックバースト</t>
  </si>
  <si>
    <t>《ｿﾆｯｸﾌﾞｰﾑ》</t>
  </si>
  <si>
    <t>ハイパーブラスト</t>
  </si>
  <si>
    <t>《ﾄﾙﾈｰﾄﾞﾌﾞﾗｽﾄ》</t>
  </si>
  <si>
    <t>ファーストストライク</t>
  </si>
  <si>
    <t>インサイトブレイド</t>
  </si>
  <si>
    <t>トゥルーブレイク</t>
  </si>
  <si>
    <t>《ｱｰﾏｰﾌﾞﾚｲｸ》</t>
  </si>
  <si>
    <t>レイディアントエッジ</t>
  </si>
  <si>
    <r>
      <t>「種別：格闘」の白兵攻撃の命中に</t>
    </r>
    <r>
      <rPr>
        <sz val="8"/>
        <color indexed="8"/>
        <rFont val="ＭＳ Ｐゴシック"/>
        <family val="3"/>
      </rPr>
      <t>+1Ｄ</t>
    </r>
  </si>
  <si>
    <r>
      <t>「種別：格闘」の白兵攻撃のダメージに</t>
    </r>
    <r>
      <rPr>
        <sz val="8"/>
        <color indexed="8"/>
        <rFont val="ＭＳ Ｐゴシック"/>
        <family val="3"/>
      </rPr>
      <t>+[精神]</t>
    </r>
  </si>
  <si>
    <r>
      <t>「種別：格闘」の白兵攻撃の対象がバッドステータスを受けていた場合ダメージロールに</t>
    </r>
    <r>
      <rPr>
        <sz val="8"/>
        <color indexed="8"/>
        <rFont val="ＭＳ Ｐゴシック"/>
        <family val="3"/>
      </rPr>
      <t>+[SL×2D]</t>
    </r>
  </si>
  <si>
    <r>
      <t>バッドステータスを受けた直後に使用する。受けたバッドステータスを全て回復する。</t>
    </r>
    <r>
      <rPr>
        <sz val="8"/>
        <color indexed="8"/>
        <rFont val="ＭＳ Ｐゴシック"/>
        <family val="3"/>
      </rPr>
      <t>1メインプロセスに1回使用可能</t>
    </r>
  </si>
  <si>
    <t>バイタルフォース</t>
  </si>
  <si>
    <t>エナジーバースト</t>
  </si>
  <si>
    <t>エナジーフロウ</t>
  </si>
  <si>
    <t>コンバットスロー</t>
  </si>
  <si>
    <t>スタンアタック</t>
  </si>
  <si>
    <t>ストロングスタイル</t>
  </si>
  <si>
    <t>セルフヒーリング</t>
  </si>
  <si>
    <r>
      <t>ダメージを受けた直後に使用する。受けた</t>
    </r>
    <r>
      <rPr>
        <sz val="8"/>
        <color indexed="8"/>
        <rFont val="ＭＳ Ｐゴシック"/>
        <family val="3"/>
      </rPr>
      <t>HPダメージと同じ値だけ、対象にHPロスを与える。最大、自分の最大HP</t>
    </r>
  </si>
  <si>
    <t>ソウルフィスト</t>
  </si>
  <si>
    <t>別記</t>
  </si>
  <si>
    <t>ハードマッスル</t>
  </si>
  <si>
    <t>ハリケーンブロウ</t>
  </si>
  <si>
    <r>
      <t>「種別：格闘」の白兵攻撃のダメージロールは対象の</t>
    </r>
    <r>
      <rPr>
        <sz val="8"/>
        <color indexed="8"/>
        <rFont val="ＭＳ Ｐゴシック"/>
        <family val="3"/>
      </rPr>
      <t>[物理防御力][魔法防御力]を0として与える</t>
    </r>
  </si>
  <si>
    <t>[精神]+2</t>
  </si>
  <si>
    <t>マインドクラッシュ</t>
  </si>
  <si>
    <t>モアタフネス</t>
  </si>
  <si>
    <t>レジストエレメンタル</t>
  </si>
  <si>
    <t>エナジースクイーズ</t>
  </si>
  <si>
    <t>《ｴﾅｼﾞｰﾌﾛｳ》</t>
  </si>
  <si>
    <t>コールアウト</t>
  </si>
  <si>
    <t>メイスファイティング</t>
  </si>
  <si>
    <t>ワンツーブロウ</t>
  </si>
  <si>
    <t>カウンタースロー</t>
  </si>
  <si>
    <t>トリプルブロウ</t>
  </si>
  <si>
    <t>メタルマッスル</t>
  </si>
  <si>
    <t>レジストコンプリート</t>
  </si>
  <si>
    <t>補サモナー</t>
  </si>
  <si>
    <t>アニマルパクト</t>
  </si>
  <si>
    <t>ガーディアン</t>
  </si>
  <si>
    <t>クウェリイ</t>
  </si>
  <si>
    <t>サモン・アラクネ</t>
  </si>
  <si>
    <t>「Hpダメージ」を-[(SL)D]</t>
  </si>
  <si>
    <t>サモン・カトブレパス</t>
  </si>
  <si>
    <t>2D無属性[魔法攻撃]、ﾀﾞﾒｰｼﾞを与えると[放心]</t>
  </si>
  <si>
    <t>サモン・シームルグ</t>
  </si>
  <si>
    <t>サモン・ファーヴニル</t>
  </si>
  <si>
    <t>2D+5無属性[魔法攻撃]</t>
  </si>
  <si>
    <t>サモン・フェンリル</t>
  </si>
  <si>
    <t>2D無属性[魔法攻撃]、ﾀﾞﾒｰｼﾞを与えると[威圧]</t>
  </si>
  <si>
    <t>サモン・ヨルムンガンド</t>
  </si>
  <si>
    <t>2D無属性[魔法攻撃]、ﾀﾞﾒｰｼﾞを与えると[毒(1)]</t>
  </si>
  <si>
    <t>サモン・リヴァイアサン</t>
  </si>
  <si>
    <t>2D無属性[魔法攻撃]、ﾀﾞﾒｰｼﾞを与えると[スリップ]</t>
  </si>
  <si>
    <t>ディシプリン</t>
  </si>
  <si>
    <t>サモナースキル判定の達成値に+[SL+1]</t>
  </si>
  <si>
    <t>テリトリー</t>
  </si>
  <si>
    <t>サモナースキルの[射程]+[SL*5m]、至近は効果なし</t>
  </si>
  <si>
    <t>ハイサモナー</t>
  </si>
  <si>
    <t>ビーストベイン</t>
  </si>
  <si>
    <t>2D+10無属性[魔法攻撃]、[魔獣][動物][霊獣]は魔防0</t>
  </si>
  <si>
    <t>ファミリア</t>
  </si>
  <si>
    <t>ファミリアアタック</t>
  </si>
  <si>
    <t>フォースブリンガー</t>
  </si>
  <si>
    <t>無属性[魔術]のダメージに+[SL*4]する</t>
  </si>
  <si>
    <t>ブラッドパクト</t>
  </si>
  <si>
    <t>[サモナー]スキルのコストを-[SL]する</t>
  </si>
  <si>
    <t>マジックサークル</t>
  </si>
  <si>
    <t>[メインプロセス]に使用する[魔術]の効果+[(SL)D]</t>
  </si>
  <si>
    <t>リラグゼーション</t>
  </si>
  <si>
    <t>コンストリクション</t>
  </si>
  <si>
    <t>ビーストハンター</t>
  </si>
  <si>
    <t>《ﾋﾞｰｽﾄﾍﾞｲﾝ》</t>
  </si>
  <si>
    <t>ファミリアマスタリー</t>
  </si>
  <si>
    <t>ファミリアレンド</t>
  </si>
  <si>
    <t>グレートサモナー</t>
  </si>
  <si>
    <t>アブソリュートフォース</t>
  </si>
  <si>
    <t>アンタッチャブル</t>
  </si>
  <si>
    <t>ファミリアコンビネーション</t>
  </si>
  <si>
    <t>補レンジャー</t>
  </si>
  <si>
    <t>アームズマスタリー：弓</t>
  </si>
  <si>
    <t>アローシャワー</t>
  </si>
  <si>
    <t>イーグルアイ</t>
  </si>
  <si>
    <t>クイックアクション</t>
  </si>
  <si>
    <t>クイックエイド</t>
  </si>
  <si>
    <t>クローズショット</t>
  </si>
  <si>
    <t>シャドウショット</t>
  </si>
  <si>
    <t>シュアショット</t>
  </si>
  <si>
    <t>シュートアウト</t>
  </si>
  <si>
    <t>スピードショット</t>
  </si>
  <si>
    <t>スレイヤー：植物</t>
  </si>
  <si>
    <t>スレイヤー：動物</t>
  </si>
  <si>
    <t>スレイヤー：人間</t>
  </si>
  <si>
    <t>スレイヤー：妖精</t>
  </si>
  <si>
    <t>スレイヤー：妖魔</t>
  </si>
  <si>
    <t>スレイヤー：アンデット</t>
  </si>
  <si>
    <t>スレイヤー：精霊</t>
  </si>
  <si>
    <t>スレイヤー：人造生物</t>
  </si>
  <si>
    <t>スレイヤー：機械</t>
  </si>
  <si>
    <t>スレイヤー：魔獣</t>
  </si>
  <si>
    <t>スレイヤー：霊獣</t>
  </si>
  <si>
    <t>スレイヤー：巨人</t>
  </si>
  <si>
    <t>スレイヤー：竜</t>
  </si>
  <si>
    <t>スレイヤー：魔族</t>
  </si>
  <si>
    <t>ダイレクトヒット</t>
  </si>
  <si>
    <t>デュアルアロー</t>
  </si>
  <si>
    <t>ディスアピア</t>
  </si>
  <si>
    <t>フェイドアウェイ</t>
  </si>
  <si>
    <t>ブラインドサイド</t>
  </si>
  <si>
    <t>ブルズアイ</t>
  </si>
  <si>
    <t>ホークアイ</t>
  </si>
  <si>
    <t>リサイクル</t>
  </si>
  <si>
    <t>ロングレンジショット</t>
  </si>
  <si>
    <t>アデプト</t>
  </si>
  <si>
    <t>アローレイン</t>
  </si>
  <si>
    <t>《ｱﾛｰｼｬﾜｰ》</t>
  </si>
  <si>
    <t>ウェポントリック</t>
  </si>
  <si>
    <t>バインドショット</t>
  </si>
  <si>
    <t>ブービートラップ</t>
  </si>
  <si>
    <t>ガルーダアイ</t>
  </si>
  <si>
    <t>《ﾎｰｸｱｲ》</t>
  </si>
  <si>
    <t>シャドウアイ</t>
  </si>
  <si>
    <t>トリックショット</t>
  </si>
  <si>
    <t>補バード</t>
  </si>
  <si>
    <t>アクセサリーチェンジ</t>
  </si>
  <si>
    <t>アレグロ</t>
  </si>
  <si>
    <t>アンセム</t>
  </si>
  <si>
    <t>呪歌</t>
  </si>
  <si>
    <t>範囲</t>
  </si>
  <si>
    <t>エチュード</t>
  </si>
  <si>
    <t>カノン</t>
  </si>
  <si>
    <t>カプリチオ</t>
  </si>
  <si>
    <t>ガルドル</t>
  </si>
  <si>
    <t>ララバイ</t>
  </si>
  <si>
    <t>グレープバイン</t>
  </si>
  <si>
    <t>ジョイフル・ジョイフル</t>
  </si>
  <si>
    <t>単※</t>
  </si>
  <si>
    <t>シルバリィソング</t>
  </si>
  <si>
    <t>スレノディ</t>
  </si>
  <si>
    <t>ディスコード</t>
  </si>
  <si>
    <t>1/R</t>
  </si>
  <si>
    <t>バスカー</t>
  </si>
  <si>
    <t>バラード</t>
  </si>
  <si>
    <t>ファイトソング</t>
  </si>
  <si>
    <t>フォルテ</t>
  </si>
  <si>
    <t>マーチ</t>
  </si>
  <si>
    <t>マドリガーレ</t>
  </si>
  <si>
    <t>レクイエム</t>
  </si>
  <si>
    <t>アンプロンプチュ</t>
  </si>
  <si>
    <t>オラトリオ</t>
  </si>
  <si>
    <t>ラストソング</t>
  </si>
  <si>
    <t>ラウドボイス</t>
  </si>
  <si>
    <t>アカンパニー</t>
  </si>
  <si>
    <t>カロル</t>
  </si>
  <si>
    <t>クイックソング</t>
  </si>
  <si>
    <t>マズルカ</t>
  </si>
  <si>
    <t>補アルケミスト</t>
  </si>
  <si>
    <t>アーマーフォージ</t>
  </si>
  <si>
    <t>練金</t>
  </si>
  <si>
    <t>アームズマスタリー：錬金銃</t>
  </si>
  <si>
    <t>アルケミカルサークル</t>
  </si>
  <si>
    <t>ウェポンクリエイト</t>
  </si>
  <si>
    <t>ウェポンフォージ</t>
  </si>
  <si>
    <t>エリクサー</t>
  </si>
  <si>
    <t>ガンスミス</t>
  </si>
  <si>
    <t>コンバージョン：ショットガン</t>
  </si>
  <si>
    <t>コンバージョン：ライフル</t>
  </si>
  <si>
    <t>コンバージョン：レールガン</t>
  </si>
  <si>
    <t>シンセサイゼーション</t>
  </si>
  <si>
    <t>スタングレネード</t>
  </si>
  <si>
    <t>ダイレクトグレネード</t>
  </si>
  <si>
    <t>バーストグレネード</t>
  </si>
  <si>
    <t>ハンドグレネード</t>
  </si>
  <si>
    <t>ポイズングレネード</t>
  </si>
  <si>
    <t>ポーションピッチ</t>
  </si>
  <si>
    <t>錬金</t>
  </si>
  <si>
    <t>マイクログレネード</t>
  </si>
  <si>
    <t>マグニフィケーション</t>
  </si>
  <si>
    <t>ラピス・フィロソフォルム</t>
  </si>
  <si>
    <t>オプションパーツ</t>
  </si>
  <si>
    <t>オルタナティブウェポン</t>
  </si>
  <si>
    <t>グレネードマテリアル</t>
  </si>
  <si>
    <t>コンバージョン：ブラスター</t>
  </si>
  <si>
    <t>ファイナルストライク</t>
  </si>
  <si>
    <t>クイッククリエイト</t>
  </si>
  <si>
    <t>クイックフォージ</t>
  </si>
  <si>
    <t>コンプレックス</t>
  </si>
  <si>
    <t>補ガンスリンガー</t>
  </si>
  <si>
    <t>アームズマスタリー：魔導銃</t>
  </si>
  <si>
    <t>インターセプト</t>
  </si>
  <si>
    <t>エクシードショット</t>
  </si>
  <si>
    <t>カウンターショット</t>
  </si>
  <si>
    <t>カリキュレイト</t>
  </si>
  <si>
    <t>ｲﾆｼｱﾁﾌﾞ</t>
  </si>
  <si>
    <t>ガンプレイ</t>
  </si>
  <si>
    <t>キャプチャーショット</t>
  </si>
  <si>
    <t>キャリバー</t>
  </si>
  <si>
    <t>ガンパード</t>
  </si>
  <si>
    <t>クイックドロウ</t>
  </si>
  <si>
    <t>スナイピング</t>
  </si>
  <si>
    <t>デスターゲット</t>
  </si>
  <si>
    <t>テンポラリリペア</t>
  </si>
  <si>
    <t>ファイトバック</t>
  </si>
  <si>
    <t>ファニング</t>
  </si>
  <si>
    <t>フォールダウン</t>
  </si>
  <si>
    <t>ブレットレイブ</t>
  </si>
  <si>
    <t>マジックブレット</t>
  </si>
  <si>
    <t>ラストリゾート</t>
  </si>
  <si>
    <t>ワンコインショット</t>
  </si>
  <si>
    <t>サイティングデバイス</t>
  </si>
  <si>
    <t>スペルバレット</t>
  </si>
  <si>
    <t>ディフュージョンショット</t>
  </si>
  <si>
    <t>《ファニング》</t>
  </si>
  <si>
    <t>ラストアクション</t>
  </si>
  <si>
    <t>戦闘不能</t>
  </si>
  <si>
    <t>ロングバレル</t>
  </si>
  <si>
    <t>カスタムガン</t>
  </si>
  <si>
    <t>クイックスナイプ</t>
  </si>
  <si>
    <t>《スナイピング》</t>
  </si>
  <si>
    <t>バレットマーク</t>
  </si>
  <si>
    <t>《ﾜﾝｺｲﾝｼｮｯﾄ》</t>
  </si>
  <si>
    <t>補セージ</t>
  </si>
  <si>
    <t>アドバイス</t>
  </si>
  <si>
    <t>アトリビュート</t>
  </si>
  <si>
    <t>ウィークポイント</t>
  </si>
  <si>
    <t>エグザマイン</t>
  </si>
  <si>
    <t>エクステンドレンジ</t>
  </si>
  <si>
    <t>エフィシエント</t>
  </si>
  <si>
    <t>エルディダイト</t>
  </si>
  <si>
    <t>エンサイクロペディア</t>
  </si>
  <si>
    <t>コンコーダンス</t>
  </si>
  <si>
    <t>タクティクス</t>
  </si>
  <si>
    <t>トゥルースサイト</t>
  </si>
  <si>
    <t>トリビアリスト</t>
  </si>
  <si>
    <t>トレジャーマニア</t>
  </si>
  <si>
    <t>ハイウィズダム</t>
  </si>
  <si>
    <t>バイオロジー：植物</t>
  </si>
  <si>
    <t>バイオロジー：動物</t>
  </si>
  <si>
    <t>バイオロジー：人間</t>
  </si>
  <si>
    <t>バイオロジー：妖精</t>
  </si>
  <si>
    <t>バイオロジー：妖魔</t>
  </si>
  <si>
    <t>バイオロジー：アンデット</t>
  </si>
  <si>
    <t>バイオロジー：精霊</t>
  </si>
  <si>
    <t>バイオロジー：人造生物</t>
  </si>
  <si>
    <t>バイオロジー：機械</t>
  </si>
  <si>
    <t>バイオロジー：魔獣</t>
  </si>
  <si>
    <t>バイオロジー：霊獣</t>
  </si>
  <si>
    <t>バイオロジー：巨人</t>
  </si>
  <si>
    <t>バイオロジー：竜</t>
  </si>
  <si>
    <t>バイオロジー：魔族</t>
  </si>
  <si>
    <t>ファインドアウト</t>
  </si>
  <si>
    <t>フォローアップ</t>
  </si>
  <si>
    <t>マジックオペレーション</t>
  </si>
  <si>
    <t>メモリコンプリート</t>
  </si>
  <si>
    <t>リバーサル</t>
  </si>
  <si>
    <t>ディスマントル</t>
  </si>
  <si>
    <t>ブックマーク</t>
  </si>
  <si>
    <t>ブラッドスペル</t>
  </si>
  <si>
    <t>ブレイクアトリビュート</t>
  </si>
  <si>
    <t>ラーニング</t>
  </si>
  <si>
    <t>ハイアトリビュート</t>
  </si>
  <si>
    <t>プレディクション</t>
  </si>
  <si>
    <t>マジックブレイン</t>
  </si>
  <si>
    <t>補ニンジャ</t>
  </si>
  <si>
    <t>イメージボディ</t>
  </si>
  <si>
    <t>インプロージョン</t>
  </si>
  <si>
    <t>バイオレントウィンド</t>
  </si>
  <si>
    <t>エンハンススペル</t>
  </si>
  <si>
    <t>クイックライディング</t>
  </si>
  <si>
    <t>コンシールアタック</t>
  </si>
  <si>
    <t>シークレットアーツ</t>
  </si>
  <si>
    <t>シャドウスナップ</t>
  </si>
  <si>
    <t>スタントフライング</t>
  </si>
  <si>
    <t>スニークアップ</t>
  </si>
  <si>
    <t>ソアスポット</t>
  </si>
  <si>
    <t>ダイ・アナザーデイ</t>
  </si>
  <si>
    <t>トラブルセンス</t>
  </si>
  <si>
    <t>バーストブレイク</t>
  </si>
  <si>
    <t>ファイアクラップ</t>
  </si>
  <si>
    <t>ブラッディフィート</t>
  </si>
  <si>
    <t>ポイゾネスミスト</t>
  </si>
  <si>
    <t>ホーミングヒット</t>
  </si>
  <si>
    <t>マーダースキル</t>
  </si>
  <si>
    <t>ランドフィッシャー</t>
  </si>
  <si>
    <t>ウェポンシュート</t>
  </si>
  <si>
    <t>デスブロウ</t>
  </si>
  <si>
    <t>ブロウアップ</t>
  </si>
  <si>
    <t>ネバーギブアップ</t>
  </si>
  <si>
    <t>ビッグバン</t>
  </si>
  <si>
    <t>ジェノサイダースキル</t>
  </si>
  <si>
    <t>ダブルアーツ</t>
  </si>
  <si>
    <t>ハンドシンボル</t>
  </si>
  <si>
    <t>補ダンサー</t>
  </si>
  <si>
    <t>アースステップ</t>
  </si>
  <si>
    <t>アーマーチェンジ</t>
  </si>
  <si>
    <t>アボイドダンス</t>
  </si>
  <si>
    <t>アプリケイション</t>
  </si>
  <si>
    <t>ウォーターステップ</t>
  </si>
  <si>
    <t>エアリアルステップ</t>
  </si>
  <si>
    <t>エアリアルレイブ</t>
  </si>
  <si>
    <t>エフェクトスキップ</t>
  </si>
  <si>
    <t>エンカレッジ</t>
  </si>
  <si>
    <t>イニシアチブプロセスでメインプロセスを行う</t>
  </si>
  <si>
    <t>ソードダンス</t>
  </si>
  <si>
    <t>メインプロセスで行う白兵ダメージに+[敏捷]</t>
  </si>
  <si>
    <t>ダークステップ</t>
  </si>
  <si>
    <t>ダンシングヒーロー</t>
  </si>
  <si>
    <t>判定のダイス+1</t>
  </si>
  <si>
    <t>ダンスマカブル</t>
  </si>
  <si>
    <t>トリックステップ</t>
  </si>
  <si>
    <t>パフォーマンス</t>
  </si>
  <si>
    <t>ファイアステップ</t>
  </si>
  <si>
    <t>フェザータップ</t>
  </si>
  <si>
    <t>ブライトステップ</t>
  </si>
  <si>
    <t>マタドール</t>
  </si>
  <si>
    <t>ミステリアスダンス</t>
  </si>
  <si>
    <t>クイックステップ</t>
  </si>
  <si>
    <t>サマーソルト</t>
  </si>
  <si>
    <t>《ﾌｪｻﾞｰﾀｯﾌﾟ》</t>
  </si>
  <si>
    <t>ハードビート</t>
  </si>
  <si>
    <t>バックアップダンス</t>
  </si>
  <si>
    <t>リジェネレーション</t>
  </si>
  <si>
    <t>エントリーマカブル</t>
  </si>
  <si>
    <t>タッチアンドゴー</t>
  </si>
  <si>
    <t>バニシングステップ</t>
  </si>
  <si>
    <t>補ヴァイキング</t>
  </si>
  <si>
    <t>セルフプライド</t>
  </si>
  <si>
    <t>自動取得/ラウンド終了まで物理ダメージ+[CL*2]</t>
  </si>
  <si>
    <t>スキルP189</t>
  </si>
  <si>
    <t>アウトセル</t>
  </si>
  <si>
    <t>アクアスタンス</t>
  </si>
  <si>
    <t>水の中に居る気がする</t>
  </si>
  <si>
    <t>アックスブーメラン</t>
  </si>
  <si>
    <t>15m</t>
  </si>
  <si>
    <t>アルフィオレソング</t>
  </si>
  <si>
    <t>イートザミート</t>
  </si>
  <si>
    <t>インヴァートアタック</t>
  </si>
  <si>
    <t>ウェーブライド</t>
  </si>
  <si>
    <t>キャプテン</t>
  </si>
  <si>
    <t>クッキング</t>
  </si>
  <si>
    <t>スキルP190</t>
  </si>
  <si>
    <t>ゴーサイン</t>
  </si>
  <si>
    <t>シンクロナイズ</t>
  </si>
  <si>
    <t>スイミング</t>
  </si>
  <si>
    <t>スキップジャック</t>
  </si>
  <si>
    <t>ダイビング</t>
  </si>
  <si>
    <t>ファインディング</t>
  </si>
  <si>
    <t>フィンジアスソング</t>
  </si>
  <si>
    <t>フックアップ</t>
  </si>
  <si>
    <t>フレンドシップ</t>
  </si>
  <si>
    <t>スキルP191</t>
  </si>
  <si>
    <t>メイルシュトローム</t>
  </si>
  <si>
    <t>リリーヴ</t>
  </si>
  <si>
    <t>ディープダイブ</t>
  </si>
  <si>
    <t>ドロウニング</t>
  </si>
  <si>
    <t>ボーディング</t>
  </si>
  <si>
    <t>アドミラル</t>
  </si>
  <si>
    <t>シャークバイト</t>
  </si>
  <si>
    <t>セイラーソウル</t>
  </si>
  <si>
    <t>補グラディエーター</t>
  </si>
  <si>
    <t>サヴァイブ</t>
  </si>
  <si>
    <t>自動取得/物理防御+[CL+5]魔法防御+[CL]/頭と胴無し</t>
  </si>
  <si>
    <t>スキルP193</t>
  </si>
  <si>
    <t>アップリフト</t>
  </si>
  <si>
    <t>エキサイトバトル</t>
  </si>
  <si>
    <t>クラン＝ベル・スタイル</t>
  </si>
  <si>
    <t>ターゲットオン</t>
  </si>
  <si>
    <t>ダーティファイト</t>
  </si>
  <si>
    <t>チャンピオン</t>
  </si>
  <si>
    <t>デュエルファイト</t>
  </si>
  <si>
    <t>ナローシェイブ</t>
  </si>
  <si>
    <t>スキルP194</t>
  </si>
  <si>
    <t>パシスタンス</t>
  </si>
  <si>
    <t>バトルセンス</t>
  </si>
  <si>
    <t>ビーストロアー</t>
  </si>
  <si>
    <t>ファイトアピール</t>
  </si>
  <si>
    <t>フットワーク</t>
  </si>
  <si>
    <t>フューリィブラッド</t>
  </si>
  <si>
    <t>ブロッキング</t>
  </si>
  <si>
    <t>ヘルインセル</t>
  </si>
  <si>
    <t>メイクステージ</t>
  </si>
  <si>
    <t>スキルP195</t>
  </si>
  <si>
    <t>ラストブロウ</t>
  </si>
  <si>
    <t>ワンオンワン</t>
  </si>
  <si>
    <t>ターゲットトレース</t>
  </si>
  <si>
    <t>フェイスダウン</t>
  </si>
  <si>
    <t>ライオンハウル</t>
  </si>
  <si>
    <t>アンブレイカブルボディ</t>
  </si>
  <si>
    <t>アンリミテッドマインド</t>
  </si>
  <si>
    <t>ラストスタンド</t>
  </si>
  <si>
    <t>補シャーマン</t>
  </si>
  <si>
    <t>ディビレテイト</t>
  </si>
  <si>
    <t>スキルP197</t>
  </si>
  <si>
    <t>アニスゼティク</t>
  </si>
  <si>
    <t>アブソーブ</t>
  </si>
  <si>
    <t>オブストラクション</t>
  </si>
  <si>
    <t>サンドクラウド</t>
  </si>
  <si>
    <t>シックネス</t>
  </si>
  <si>
    <t>スタンブル</t>
  </si>
  <si>
    <t>ダラード</t>
  </si>
  <si>
    <t>タングル</t>
  </si>
  <si>
    <t>ディストラント</t>
  </si>
  <si>
    <t>スキルP198</t>
  </si>
  <si>
    <t>デイメア</t>
  </si>
  <si>
    <t>ハーミット</t>
  </si>
  <si>
    <t>ピアシングペイン</t>
  </si>
  <si>
    <t>フォーチュネイト</t>
  </si>
  <si>
    <t>フォッグミラージュ</t>
  </si>
  <si>
    <t>フラザイル</t>
  </si>
  <si>
    <t>プリセプト：アンアーム</t>
  </si>
  <si>
    <t>プリセプト：デヴァウト</t>
  </si>
  <si>
    <t>プリセプト：テンパランス</t>
  </si>
  <si>
    <t>スキルP199</t>
  </si>
  <si>
    <t>プリセプト：ネイキッド</t>
  </si>
  <si>
    <t>ラスティ</t>
  </si>
  <si>
    <t>ファストチャネル</t>
  </si>
  <si>
    <t>フォビドゥンカース</t>
  </si>
  <si>
    <t>リジッドプリセプト</t>
  </si>
  <si>
    <t>シリアスディジーズ</t>
  </si>
  <si>
    <t>ソウルブレイカー</t>
  </si>
  <si>
    <t>リチュアルカース</t>
  </si>
  <si>
    <t>補ヒーラー</t>
  </si>
  <si>
    <t>ハーバルロア</t>
  </si>
  <si>
    <t>スキルP201</t>
  </si>
  <si>
    <t>アイアンソルト</t>
  </si>
  <si>
    <t>アロマフラッド</t>
  </si>
  <si>
    <t>ヴァシネイション</t>
  </si>
  <si>
    <t>オイントメント</t>
  </si>
  <si>
    <t>サプリメント</t>
  </si>
  <si>
    <t>シロップ</t>
  </si>
  <si>
    <t>トードオイル</t>
  </si>
  <si>
    <t>トランキライザー</t>
  </si>
  <si>
    <t>パーチ</t>
  </si>
  <si>
    <t>スキルP202</t>
  </si>
  <si>
    <t>ハーブティー</t>
  </si>
  <si>
    <t>パヒューム</t>
  </si>
  <si>
    <t>ファラウェイ</t>
  </si>
  <si>
    <t>ブーストハーブ</t>
  </si>
  <si>
    <t>ペスティサイド</t>
  </si>
  <si>
    <t>ポイズンアップル</t>
  </si>
  <si>
    <t>マージナルハーブ</t>
  </si>
  <si>
    <t>マイトレーション</t>
  </si>
  <si>
    <t>ルネスエッグ</t>
  </si>
  <si>
    <t>スキルP203</t>
  </si>
  <si>
    <t>ルネスドリンク</t>
  </si>
  <si>
    <t>レギュラー</t>
  </si>
  <si>
    <t>スティミュラント</t>
  </si>
  <si>
    <t>スピードエイド</t>
  </si>
  <si>
    <t>ニュートラライズ</t>
  </si>
  <si>
    <t>エキサイトトリュフ</t>
  </si>
  <si>
    <t>プライムオイル</t>
  </si>
  <si>
    <t>プレザーベイション</t>
  </si>
  <si>
    <t>補フォーキャスター</t>
  </si>
  <si>
    <t>スタンドバイ</t>
  </si>
  <si>
    <t>スキルP205</t>
  </si>
  <si>
    <t>アウトポスト</t>
  </si>
  <si>
    <t>アンパッサン</t>
  </si>
  <si>
    <t>エックスレイ</t>
  </si>
  <si>
    <t>キャスリング</t>
  </si>
  <si>
    <t>ギャンビット</t>
  </si>
  <si>
    <t>グランドマスター</t>
  </si>
  <si>
    <t>ストラテジウム</t>
  </si>
  <si>
    <t>タクティカルプレイ</t>
  </si>
  <si>
    <t>チェックメイト</t>
  </si>
  <si>
    <t>スキルP206</t>
  </si>
  <si>
    <t>ディスカバードアタック</t>
  </si>
  <si>
    <t>ディスカバードガード</t>
  </si>
  <si>
    <t>ディスカバードマジック</t>
  </si>
  <si>
    <t>トランスポジション</t>
  </si>
  <si>
    <t>パーペチュアルチェック</t>
  </si>
  <si>
    <t>パスドポーン</t>
  </si>
  <si>
    <t>バッドムーブ</t>
  </si>
  <si>
    <t>フォースドムーブ</t>
  </si>
  <si>
    <t>ブランダームーブ</t>
  </si>
  <si>
    <t>スキルP207</t>
  </si>
  <si>
    <t>ブリッツセンス</t>
  </si>
  <si>
    <t>プロフィラキシス</t>
  </si>
  <si>
    <t>プロモーション</t>
  </si>
  <si>
    <t>ポジショナルプレイ</t>
  </si>
  <si>
    <t>ルアーリング</t>
  </si>
  <si>
    <t>アウトプレイ</t>
  </si>
  <si>
    <t>スペシャルディスカバード</t>
  </si>
  <si>
    <t>デコイルアー</t>
  </si>
  <si>
    <t>補プリーチャー</t>
  </si>
  <si>
    <t>ガードオーラ</t>
  </si>
  <si>
    <t>スキルP209</t>
  </si>
  <si>
    <t>イミュニティ</t>
  </si>
  <si>
    <t>ウィルパワー</t>
  </si>
  <si>
    <t>エレメンタルブリード</t>
  </si>
  <si>
    <t>エンデュランス</t>
  </si>
  <si>
    <t>コネクトアイ</t>
  </si>
  <si>
    <t>コネクトフォース</t>
  </si>
  <si>
    <t>サーモンスピーチ</t>
  </si>
  <si>
    <t>スピーチミーティング</t>
  </si>
  <si>
    <t>ソウルコンバート</t>
  </si>
  <si>
    <t>スキルP210</t>
  </si>
  <si>
    <t>ディスタントマジック</t>
  </si>
  <si>
    <t>ドラゴンカース</t>
  </si>
  <si>
    <t>ドラゴングロウ</t>
  </si>
  <si>
    <t>ドラゴンストライク</t>
  </si>
  <si>
    <t>ドラゴンルアー</t>
  </si>
  <si>
    <t>フェイス：セフィロス</t>
  </si>
  <si>
    <t>フォースストライク</t>
  </si>
  <si>
    <t>フォーチュンガード</t>
  </si>
  <si>
    <t>マイティアーム</t>
  </si>
  <si>
    <t>スキルP211</t>
  </si>
  <si>
    <t>マジックフォース</t>
  </si>
  <si>
    <t>マジックブレス</t>
  </si>
  <si>
    <t>マスターラック</t>
  </si>
  <si>
    <t>メンタルトリートメント</t>
  </si>
  <si>
    <t>ライフブースト</t>
  </si>
  <si>
    <t>グレートコネクト</t>
  </si>
  <si>
    <t>マジックコントロール</t>
  </si>
  <si>
    <t>メンタルマスター</t>
  </si>
  <si>
    <t>SL+1</t>
  </si>
  <si>
    <t>上ウォーロード</t>
  </si>
  <si>
    <t>アームズロジック：格闘</t>
  </si>
  <si>
    <t>スキルP137</t>
  </si>
  <si>
    <t>アームズロジック：短剣</t>
  </si>
  <si>
    <t>アームズロジック：長剣</t>
  </si>
  <si>
    <t>アームズロジック：両手剣</t>
  </si>
  <si>
    <t>アームズロジック：刀</t>
  </si>
  <si>
    <t>アームズロジック：鞭</t>
  </si>
  <si>
    <t>アームズロジック：斧</t>
  </si>
  <si>
    <t>アームズロジック：打撃</t>
  </si>
  <si>
    <t>アームズロジック：槍</t>
  </si>
  <si>
    <t>アームズロジック：弓</t>
  </si>
  <si>
    <t>アームズロジック：銃</t>
  </si>
  <si>
    <t>アームズロジック：魔導銃</t>
  </si>
  <si>
    <t>ウォークライ</t>
  </si>
  <si>
    <t>グレートバースト</t>
  </si>
  <si>
    <t>クロススラッシュ</t>
  </si>
  <si>
    <t>ストームアタック</t>
  </si>
  <si>
    <t>ストラグルクラッシュ</t>
  </si>
  <si>
    <t>ツインウェポン</t>
  </si>
  <si>
    <t>デスペラード</t>
  </si>
  <si>
    <t>バーストスラッシュ</t>
  </si>
  <si>
    <t>バトルコンプリート</t>
  </si>
  <si>
    <t>スキルP138</t>
  </si>
  <si>
    <t>ビルドアップフォース</t>
  </si>
  <si>
    <t>ファイティングロウ</t>
  </si>
  <si>
    <t>ファストセット</t>
  </si>
  <si>
    <t>ブラッドヒート</t>
  </si>
  <si>
    <t>フルスイング</t>
  </si>
  <si>
    <t>ブレイクダウン</t>
  </si>
  <si>
    <t>メルトダウン</t>
  </si>
  <si>
    <t>オーヴァドライブ</t>
  </si>
  <si>
    <t>ツインアーツ</t>
  </si>
  <si>
    <t>スキルP139</t>
  </si>
  <si>
    <t>ディフェンスライン</t>
  </si>
  <si>
    <t>パーフェクトボディ</t>
  </si>
  <si>
    <t>ハイパーゲイン</t>
  </si>
  <si>
    <t>ハイボルテージ</t>
  </si>
  <si>
    <t>アルティメットボディ</t>
  </si>
  <si>
    <t>ヴァイオレントヒット</t>
  </si>
  <si>
    <t>クロックアップフォース</t>
  </si>
  <si>
    <t>オンスロート</t>
  </si>
  <si>
    <t>上ナイト</t>
  </si>
  <si>
    <t>アタックチャージ</t>
  </si>
  <si>
    <t>スキルP141</t>
  </si>
  <si>
    <t>インヴァルネラブル</t>
  </si>
  <si>
    <t>ウェポンエキスパート：格闘</t>
  </si>
  <si>
    <t>ウェポンエキスパート：短剣</t>
  </si>
  <si>
    <t>ウェポンエキスパート：長剣</t>
  </si>
  <si>
    <t>ウェポンエキスパート：両手剣</t>
  </si>
  <si>
    <t>ウェポンエキスパート：刀</t>
  </si>
  <si>
    <t>ウェポンエキスパート：鞭</t>
  </si>
  <si>
    <t>ウェポンエキスパート：斧</t>
  </si>
  <si>
    <t>ウェポンエキスパート：打撃</t>
  </si>
  <si>
    <t>ウェポンエキスパート：槍</t>
  </si>
  <si>
    <t>ウェポンエキスパート：弓</t>
  </si>
  <si>
    <t>ウェポンエキスパート：銃</t>
  </si>
  <si>
    <t>ウェポンエキスパート：魔導銃</t>
  </si>
  <si>
    <t>グラディエイト</t>
  </si>
  <si>
    <t>グランディア</t>
  </si>
  <si>
    <t>パーフェクトシールド</t>
  </si>
  <si>
    <t>アイテムデータに直接反映されるように変更</t>
  </si>
  <si>
    <t>ハイパーシールド</t>
  </si>
  <si>
    <t>同上</t>
  </si>
  <si>
    <t>パワーアーム</t>
  </si>
  <si>
    <t>フィールドバトラー</t>
  </si>
  <si>
    <t>ブーストダッシュ</t>
  </si>
  <si>
    <t>移動直前</t>
  </si>
  <si>
    <t>スキルP142</t>
  </si>
  <si>
    <t>フォートレス</t>
  </si>
  <si>
    <t>ブレイクスラッシュ</t>
  </si>
  <si>
    <t>フロンタルアサルト</t>
  </si>
  <si>
    <t>1/ｼｰﾝ</t>
  </si>
  <si>
    <t>ヘヴィアタック</t>
  </si>
  <si>
    <t>マイティスラッシュ</t>
  </si>
  <si>
    <t>ライディング</t>
  </si>
  <si>
    <t>ラッシュ</t>
  </si>
  <si>
    <t>アラウンドカバー</t>
  </si>
  <si>
    <t>スキルP143</t>
  </si>
  <si>
    <t>スティールクラッド</t>
  </si>
  <si>
    <t>スペシャルカバー</t>
  </si>
  <si>
    <t>ファイナルガード</t>
  </si>
  <si>
    <t>レッドラグ</t>
  </si>
  <si>
    <t>アグランダイズ</t>
  </si>
  <si>
    <t>インプラグナブル</t>
  </si>
  <si>
    <t>サジタリウス</t>
  </si>
  <si>
    <t>アサルトダッシュ</t>
  </si>
  <si>
    <t>上プリースト</t>
  </si>
  <si>
    <t>イレイスマジック</t>
  </si>
  <si>
    <t>スキルP145</t>
  </si>
  <si>
    <t>ヴィジテイション</t>
  </si>
  <si>
    <t>グッドラック</t>
  </si>
  <si>
    <t>シーリィ</t>
  </si>
  <si>
    <t>スピリチュアルウェポン</t>
  </si>
  <si>
    <t>ディヴァインライト</t>
  </si>
  <si>
    <t>デヴォディジョン</t>
  </si>
  <si>
    <t>トランセンド</t>
  </si>
  <si>
    <t>SL+1/S</t>
  </si>
  <si>
    <t>パトロナイズ</t>
  </si>
  <si>
    <t>バリア</t>
  </si>
  <si>
    <t>スキルP146</t>
  </si>
  <si>
    <t>パリペイティア</t>
  </si>
  <si>
    <t>ヒールプラス</t>
  </si>
  <si>
    <t>フリップフロップ</t>
  </si>
  <si>
    <t>マンテレット</t>
  </si>
  <si>
    <t>メンタルリンク</t>
  </si>
  <si>
    <t>リデュース</t>
  </si>
  <si>
    <t>キャストフォース</t>
  </si>
  <si>
    <t>キュアオール</t>
  </si>
  <si>
    <t>セイントブレッシング</t>
  </si>
  <si>
    <t>スキルP147</t>
  </si>
  <si>
    <t>ハイプロテクション</t>
  </si>
  <si>
    <t>ポストヘイスト</t>
  </si>
  <si>
    <t>ライトバースト</t>
  </si>
  <si>
    <t>リヴァイヴァ</t>
  </si>
  <si>
    <t>プリペアード</t>
  </si>
  <si>
    <t>ホロウライト</t>
  </si>
  <si>
    <t>ラース</t>
  </si>
  <si>
    <t>サンクチュアリ</t>
  </si>
  <si>
    <t>上パラディン</t>
  </si>
  <si>
    <t>インペレイティブ</t>
  </si>
  <si>
    <t>スキルP149</t>
  </si>
  <si>
    <t>ウィッシュ</t>
  </si>
  <si>
    <t>エクソシズム</t>
  </si>
  <si>
    <t>クラッシュインパクト</t>
  </si>
  <si>
    <t>グレイスフォース</t>
  </si>
  <si>
    <t>コマンドスタイル</t>
  </si>
  <si>
    <t>サンクション</t>
  </si>
  <si>
    <t>シャインストライク</t>
  </si>
  <si>
    <t>ジャッジアタック</t>
  </si>
  <si>
    <t>セルフサクリファイス</t>
  </si>
  <si>
    <t>スキルP150</t>
  </si>
  <si>
    <t>ターンアンデッド</t>
  </si>
  <si>
    <t>ディグニティ</t>
  </si>
  <si>
    <t>パニッシャー</t>
  </si>
  <si>
    <t>ブルヒット</t>
  </si>
  <si>
    <t>ホーリーフィールド</t>
  </si>
  <si>
    <t>レギリアス</t>
  </si>
  <si>
    <t>イビルバニッシュ</t>
  </si>
  <si>
    <t>ゴースロー</t>
  </si>
  <si>
    <t>フラッシュブリンク</t>
  </si>
  <si>
    <t>スキルP151</t>
  </si>
  <si>
    <t>ホーリーアタック</t>
  </si>
  <si>
    <t>ホーリーヒット</t>
  </si>
  <si>
    <t>レストレイション</t>
  </si>
  <si>
    <t>ワイドプロテクション</t>
  </si>
  <si>
    <t>ヴァニッシュパワー</t>
  </si>
  <si>
    <t>あらゆるﾀﾞﾒｰｼﾞに効果があるとの記述があるので、武器・魔術・ｸﾞﾚﾈｰﾄﾞのﾀﾞﾒｰｼﾞ欄に効果を反映させています。</t>
  </si>
  <si>
    <t>ディヴァイト</t>
  </si>
  <si>
    <t>ハイパニッシャー</t>
  </si>
  <si>
    <t>ネメシス</t>
  </si>
  <si>
    <t>上ウィザード</t>
  </si>
  <si>
    <t>アーマーダウン</t>
  </si>
  <si>
    <t>スキルP153</t>
  </si>
  <si>
    <t>アヴェンジ</t>
  </si>
  <si>
    <t>インクリーズデバイス</t>
  </si>
  <si>
    <t>エンチャントウェポン：光</t>
  </si>
  <si>
    <t>エンチャントウェポン：魔</t>
  </si>
  <si>
    <t>エンチャントウェポン：闇</t>
  </si>
  <si>
    <t>カーススペル</t>
  </si>
  <si>
    <t>カウンタースペル</t>
  </si>
  <si>
    <t>クエイク</t>
  </si>
  <si>
    <t>コキュートス</t>
  </si>
  <si>
    <t>シャドウスフィア</t>
  </si>
  <si>
    <t>スナッチ</t>
  </si>
  <si>
    <t>スキルP154</t>
  </si>
  <si>
    <t>セレスチャルスター</t>
  </si>
  <si>
    <t>チャージマジック</t>
  </si>
  <si>
    <t>デュアルエフェクト</t>
  </si>
  <si>
    <t>ブラインドフォールド</t>
  </si>
  <si>
    <t>マジックエッジ</t>
  </si>
  <si>
    <t>マスターマジック</t>
  </si>
  <si>
    <t>ミッドナイトサン</t>
  </si>
  <si>
    <t>スウィフトウェポン</t>
  </si>
  <si>
    <t>スキルP155</t>
  </si>
  <si>
    <t>インフェルノ</t>
  </si>
  <si>
    <t>テンペスト</t>
  </si>
  <si>
    <t>フレイムクラック</t>
  </si>
  <si>
    <t>30m</t>
  </si>
  <si>
    <t>フロストプリズム</t>
  </si>
  <si>
    <t>ルインストーム</t>
  </si>
  <si>
    <t>ホロコースト</t>
  </si>
  <si>
    <t>上ソーサラー</t>
  </si>
  <si>
    <t>クラッシュバリア</t>
  </si>
  <si>
    <t>スキルP157</t>
  </si>
  <si>
    <t>コンデンス</t>
  </si>
  <si>
    <t>コンバート</t>
  </si>
  <si>
    <t>シフトエナジー</t>
  </si>
  <si>
    <t>ソウルスティール</t>
  </si>
  <si>
    <t>ダブルキャスト</t>
  </si>
  <si>
    <t>チートマジック</t>
  </si>
  <si>
    <t>ディスペル</t>
  </si>
  <si>
    <t>デモンズウェブ</t>
  </si>
  <si>
    <t>ニゲイト</t>
  </si>
  <si>
    <t>スキルP158</t>
  </si>
  <si>
    <t>パラライズチェイン</t>
  </si>
  <si>
    <t>ファストドロウ</t>
  </si>
  <si>
    <t>ブーストフォース</t>
  </si>
  <si>
    <t>マテリアルアタック</t>
  </si>
  <si>
    <t>ランニングセット</t>
  </si>
  <si>
    <t>リポストベイン</t>
  </si>
  <si>
    <t>リミットブレイク</t>
  </si>
  <si>
    <t>レインボーカラー</t>
  </si>
  <si>
    <t>アンプリフィケイション</t>
  </si>
  <si>
    <t>スキルP159</t>
  </si>
  <si>
    <t>ヴォイドマジック</t>
  </si>
  <si>
    <t>エインミングフォージ</t>
  </si>
  <si>
    <t>オールウェポン</t>
  </si>
  <si>
    <t>ハイエキスパート</t>
  </si>
  <si>
    <t>アグレッシブマジック</t>
  </si>
  <si>
    <t>セットオフガード</t>
  </si>
  <si>
    <t>ファインアート</t>
  </si>
  <si>
    <t>ストームソーサリィ</t>
  </si>
  <si>
    <t>上エクスプローラー</t>
  </si>
  <si>
    <t>スキルP161</t>
  </si>
  <si>
    <t>インテュイション</t>
  </si>
  <si>
    <t>ヴォーパルアーツ</t>
  </si>
  <si>
    <t>クイックムーブ</t>
  </si>
  <si>
    <t>ゲイルスラッシュ</t>
  </si>
  <si>
    <t>ゴーストアタック</t>
  </si>
  <si>
    <t>コンストレイン</t>
  </si>
  <si>
    <t>サポートストライク</t>
  </si>
  <si>
    <t>ジャグリングアタック</t>
  </si>
  <si>
    <t>シャドウハイド</t>
  </si>
  <si>
    <t>スキルP162</t>
  </si>
  <si>
    <t>ストップトラップ</t>
  </si>
  <si>
    <t>タイムマジック</t>
  </si>
  <si>
    <t>ダッシュアタック</t>
  </si>
  <si>
    <t>ディテクト</t>
  </si>
  <si>
    <t>デスゲイル</t>
  </si>
  <si>
    <t>デスブレイド</t>
  </si>
  <si>
    <t>トップスピード</t>
  </si>
  <si>
    <t>ピンポイントアタック</t>
  </si>
  <si>
    <t>ブーメランショット</t>
  </si>
  <si>
    <t>スキルP163</t>
  </si>
  <si>
    <t>アフターイメージ</t>
  </si>
  <si>
    <t>ツインフェンサー</t>
  </si>
  <si>
    <t>ブラインドスポット</t>
  </si>
  <si>
    <t>マジクッカット</t>
  </si>
  <si>
    <t>アクセルヒット</t>
  </si>
  <si>
    <t>トップギア</t>
  </si>
  <si>
    <t>ブラッドエッジ</t>
  </si>
  <si>
    <t>フリッカースラッシュ</t>
  </si>
  <si>
    <t>上スカウト</t>
  </si>
  <si>
    <t>アキュレイト</t>
  </si>
  <si>
    <t>スキルP165</t>
  </si>
  <si>
    <t>アデンダム</t>
  </si>
  <si>
    <t>インターフィアレンス</t>
  </si>
  <si>
    <t>エイミングショット</t>
  </si>
  <si>
    <t>ストレイトショット</t>
  </si>
  <si>
    <t>スピリットブレイク</t>
  </si>
  <si>
    <t>スリップ</t>
  </si>
  <si>
    <t>ゼロイン</t>
  </si>
  <si>
    <t>ディフェンストリック</t>
  </si>
  <si>
    <t>スキルP166</t>
  </si>
  <si>
    <t>トリックアタック</t>
  </si>
  <si>
    <t>ハードラック</t>
  </si>
  <si>
    <t>フォーチュンヒット</t>
  </si>
  <si>
    <t>フラッシュショット</t>
  </si>
  <si>
    <t>ホロウショット</t>
  </si>
  <si>
    <t>マークスマン</t>
  </si>
  <si>
    <t>ラストラック</t>
  </si>
  <si>
    <t>インセンサブル</t>
  </si>
  <si>
    <t>カッティングプラン</t>
  </si>
  <si>
    <t>スキルP167</t>
  </si>
  <si>
    <t>デッドリーポイズン</t>
  </si>
  <si>
    <t>ニンブルスティール</t>
  </si>
  <si>
    <t>フィールドワーク</t>
  </si>
  <si>
    <t>レストリクトアタック</t>
  </si>
  <si>
    <t>スーパートリック</t>
  </si>
  <si>
    <t>デッドショット</t>
  </si>
  <si>
    <t>ブロブポイズン</t>
  </si>
  <si>
    <t>ライトニングショット</t>
  </si>
  <si>
    <t>補ドラグーン</t>
  </si>
  <si>
    <t>イモータルブラッド</t>
  </si>
  <si>
    <t>フェイト3点使用</t>
  </si>
  <si>
    <t>スキルP173</t>
  </si>
  <si>
    <t>アーティラリィマジック</t>
  </si>
  <si>
    <t>スキルP174</t>
  </si>
  <si>
    <t>エイルフォーム</t>
  </si>
  <si>
    <t>エレメンタルパワー：地</t>
  </si>
  <si>
    <t>エレメンタルパワー：水</t>
  </si>
  <si>
    <t>エレメンタルパワー：火</t>
  </si>
  <si>
    <t>エレメンタルパワー：風</t>
  </si>
  <si>
    <t>エレメンタルパワー：光</t>
  </si>
  <si>
    <t>エレメンタルパワー：闇</t>
  </si>
  <si>
    <t>エンハンスブレス：地</t>
  </si>
  <si>
    <t>エンハンスブレス：水</t>
  </si>
  <si>
    <t>エンハンスブレス：火</t>
  </si>
  <si>
    <t>エンハンスブレス：風</t>
  </si>
  <si>
    <t>エンハンスブレス：光</t>
  </si>
  <si>
    <t>エンハンスブレス：闇</t>
  </si>
  <si>
    <t>グラスホップ</t>
  </si>
  <si>
    <t>グランドバスター</t>
  </si>
  <si>
    <t>グレートスケイル</t>
  </si>
  <si>
    <t>グレートファング</t>
  </si>
  <si>
    <t>ジュエルスキン：地</t>
  </si>
  <si>
    <t>ジュエルスキン：水</t>
  </si>
  <si>
    <t>ジュエルスキン：火</t>
  </si>
  <si>
    <t>ジュエルスキン：風</t>
  </si>
  <si>
    <t>ジュエルスキン：光</t>
  </si>
  <si>
    <t>ジュエルスキン：闇</t>
  </si>
  <si>
    <t>スピリットリンク</t>
  </si>
  <si>
    <t>チェンジスケイル</t>
  </si>
  <si>
    <t>チェンジファング</t>
  </si>
  <si>
    <t>ドラゴンスペル</t>
  </si>
  <si>
    <t>ドラゴンソウル</t>
  </si>
  <si>
    <t>ドラゴンチェンジ</t>
  </si>
  <si>
    <t>スキルP175</t>
  </si>
  <si>
    <t>ドラゴンバスター</t>
  </si>
  <si>
    <t>ドラゴンファクター</t>
  </si>
  <si>
    <t>ドラゴンブレイズ</t>
  </si>
  <si>
    <t>バトルブレイン</t>
  </si>
  <si>
    <t>ライドスケイル</t>
  </si>
  <si>
    <t>ライドファング</t>
  </si>
  <si>
    <t>レジェンド</t>
  </si>
  <si>
    <t>レジェンドプラス</t>
  </si>
  <si>
    <t>エンシェントソウル</t>
  </si>
  <si>
    <t>エンシェントレジェンド</t>
  </si>
  <si>
    <t>フェイタルバスター</t>
  </si>
  <si>
    <t>補テイマー</t>
  </si>
  <si>
    <t>イリュージョンウィップ</t>
  </si>
  <si>
    <t>スキルP169</t>
  </si>
  <si>
    <t>ウィップアロー</t>
  </si>
  <si>
    <t>ウィップスラップ</t>
  </si>
  <si>
    <t>ウィップマスタリー</t>
  </si>
  <si>
    <t>コールサーヴァント</t>
  </si>
  <si>
    <t>スネイクビート</t>
  </si>
  <si>
    <t>トライヒット</t>
  </si>
  <si>
    <t>ビーストキラー</t>
  </si>
  <si>
    <t>マニピュレイト</t>
  </si>
  <si>
    <t>スキルP170</t>
  </si>
  <si>
    <t>オーバーリーチ</t>
  </si>
  <si>
    <t>サーヴァントウェイブ</t>
  </si>
  <si>
    <t>サーヴァントブラスト</t>
  </si>
  <si>
    <t>サポートサーヴァント</t>
  </si>
  <si>
    <t>シールドサーヴァント</t>
  </si>
  <si>
    <t>シミュラクラム</t>
  </si>
  <si>
    <t>ドッジサーヴァント</t>
  </si>
  <si>
    <t>ヒーリングサーヴァント</t>
  </si>
  <si>
    <t>フライハイ</t>
  </si>
  <si>
    <t>スキルP171</t>
  </si>
  <si>
    <t>マジックサーヴァント</t>
  </si>
  <si>
    <t>マリオネット</t>
  </si>
  <si>
    <t>ライドオン</t>
  </si>
  <si>
    <t>ロングワイヤー</t>
  </si>
  <si>
    <t>ウィップクラッシュ</t>
  </si>
  <si>
    <t>パペットショウ</t>
  </si>
  <si>
    <t>マスターテイマー</t>
  </si>
  <si>
    <t>トリプルヘッド</t>
  </si>
  <si>
    <t>補ハイランダー</t>
  </si>
  <si>
    <t>アブストラクター</t>
  </si>
  <si>
    <t>スキルP177</t>
  </si>
  <si>
    <t>アブストラクターマスタリー</t>
  </si>
  <si>
    <t>インビジブルエッジ</t>
  </si>
  <si>
    <t>シャープエッジ</t>
  </si>
  <si>
    <t>ストライクダウン</t>
  </si>
  <si>
    <t>ソウルブレイド</t>
  </si>
  <si>
    <t>ソニックスピード</t>
  </si>
  <si>
    <t>ハイスピード</t>
  </si>
  <si>
    <t>フェイタルバースト</t>
  </si>
  <si>
    <t>ホースマンズエッジ</t>
  </si>
  <si>
    <t>スキルP178</t>
  </si>
  <si>
    <t>マジシャンズエッジ</t>
  </si>
  <si>
    <t>マジックブレイド</t>
  </si>
  <si>
    <t>ユニット：カースド</t>
  </si>
  <si>
    <t>ユニット：キーン</t>
  </si>
  <si>
    <t>ユニット：フォース</t>
  </si>
  <si>
    <t>アソートウェポン</t>
  </si>
  <si>
    <t>インテリジェンス</t>
  </si>
  <si>
    <t>チェンジアーム</t>
  </si>
  <si>
    <t>チェンジショット</t>
  </si>
  <si>
    <t>スキルP179</t>
  </si>
  <si>
    <t>チェンジガード</t>
  </si>
  <si>
    <t>ツインギミック</t>
  </si>
  <si>
    <t>ヒュージエッジ</t>
  </si>
  <si>
    <t>ブレイクバースト</t>
  </si>
  <si>
    <t>モードバスター</t>
  </si>
  <si>
    <t>モードフェザー</t>
  </si>
  <si>
    <t>モードメイガス</t>
  </si>
  <si>
    <t>ギガンティックブロウ</t>
  </si>
  <si>
    <t>補メンター</t>
  </si>
  <si>
    <t>コーデックス</t>
  </si>
  <si>
    <t>スキルP181</t>
  </si>
  <si>
    <t>メンターアーツ</t>
  </si>
  <si>
    <t>メンタークラフト</t>
  </si>
  <si>
    <t>メンターワイズ</t>
  </si>
  <si>
    <t>アヴォイドブレイク</t>
  </si>
  <si>
    <t>アウトダンス</t>
  </si>
  <si>
    <t>エレメンタルマスター</t>
  </si>
  <si>
    <t>グレネードランチャー</t>
  </si>
  <si>
    <t>サイレントアサシン</t>
  </si>
  <si>
    <t>サモンマスター</t>
  </si>
  <si>
    <t>スキルP182</t>
  </si>
  <si>
    <t>セイントアーム</t>
  </si>
  <si>
    <t>ダガーアーツ</t>
  </si>
  <si>
    <t>トゥーハンドバッシュ</t>
  </si>
  <si>
    <t>トルバドール</t>
  </si>
  <si>
    <t>パワーダウン</t>
  </si>
  <si>
    <t>ヒーリングマスター</t>
  </si>
  <si>
    <t>ベノムストライク</t>
  </si>
  <si>
    <t>ホーリーアシスト</t>
  </si>
  <si>
    <t>スキルP183</t>
  </si>
  <si>
    <t>マイティファイター</t>
  </si>
  <si>
    <t>マインドマスター</t>
  </si>
  <si>
    <t>マジックケイジ</t>
  </si>
  <si>
    <t>モータルマジック</t>
  </si>
  <si>
    <t>シフトアウト</t>
  </si>
  <si>
    <t>フェイタルアーツ</t>
  </si>
  <si>
    <t>ワイズトランス</t>
  </si>
  <si>
    <t>格闘用コンボ</t>
  </si>
  <si>
    <t>シャドウブロウ</t>
  </si>
  <si>
    <t>RF-P040</t>
  </si>
  <si>
    <t>ロッククラッシュ</t>
  </si>
  <si>
    <t>短剣用コンボ</t>
  </si>
  <si>
    <t>シャイニングスラッシュ</t>
  </si>
  <si>
    <t>ダーククロス</t>
  </si>
  <si>
    <t>長剣用コンボ</t>
  </si>
  <si>
    <t>シャインブレイド</t>
  </si>
  <si>
    <t>ホワイトアウト</t>
  </si>
  <si>
    <t>両手剣用コンボ</t>
  </si>
  <si>
    <t>アースラヴェイジ</t>
  </si>
  <si>
    <t>RF-P041</t>
  </si>
  <si>
    <t>フレイムバースト</t>
  </si>
  <si>
    <t>刀用コンボ</t>
  </si>
  <si>
    <t>アースブレイク</t>
  </si>
  <si>
    <t>ブレイズドレイン</t>
  </si>
  <si>
    <t>鞭用コンボ</t>
  </si>
  <si>
    <t>シャドウプレッシャー</t>
  </si>
  <si>
    <t>スピニングツイスト</t>
  </si>
  <si>
    <t>斧用コンボ</t>
  </si>
  <si>
    <t>ブラックハウリング</t>
  </si>
  <si>
    <t>RF-P042</t>
  </si>
  <si>
    <t>ローリングファイア</t>
  </si>
  <si>
    <t>打撃用コンボ</t>
  </si>
  <si>
    <t>ダイダルウェイブ</t>
  </si>
  <si>
    <t>ハリケーンブラスト</t>
  </si>
  <si>
    <t>槍用コンボ</t>
  </si>
  <si>
    <t>スプラッシュスピア</t>
  </si>
  <si>
    <t>ミラージュピアッシング</t>
  </si>
  <si>
    <t>弓用コンボ</t>
  </si>
  <si>
    <t>トルネードアロー</t>
  </si>
  <si>
    <t>RF-P043</t>
  </si>
  <si>
    <t>ヴェナムブラスト</t>
  </si>
  <si>
    <t>銃用コンボ</t>
  </si>
  <si>
    <t>シャイニングショット</t>
  </si>
  <si>
    <t>スネイクバイト</t>
  </si>
  <si>
    <t>魔導銃用コンボ</t>
  </si>
  <si>
    <t>ウィンドブラスト</t>
  </si>
  <si>
    <t>スターライトブリット</t>
  </si>
  <si>
    <t>錬金術用コンボ</t>
  </si>
  <si>
    <t>バーニングゲイザー</t>
  </si>
  <si>
    <t>RF-P044</t>
  </si>
  <si>
    <t>スプラッシュウェイブ</t>
  </si>
  <si>
    <t>呪歌用コンボ</t>
  </si>
  <si>
    <t>マジックフルート</t>
  </si>
  <si>
    <t>カーニバル</t>
  </si>
  <si>
    <t>盾用コンボ</t>
  </si>
  <si>
    <t>シールドブーメラン</t>
  </si>
  <si>
    <t>シールドラッシュ</t>
  </si>
  <si>
    <t>魔術用コンボ</t>
  </si>
  <si>
    <t>アーススパイク</t>
  </si>
  <si>
    <t>RF-P045</t>
  </si>
  <si>
    <t>ファイアピラー</t>
  </si>
  <si>
    <t>エアリアルブレイド</t>
  </si>
  <si>
    <t>ウォーターボール</t>
  </si>
  <si>
    <t>セレスチャルシャワー</t>
  </si>
  <si>
    <t>シャドウファング</t>
  </si>
  <si>
    <t>マジックストライク</t>
  </si>
  <si>
    <t>ソウルドレイン</t>
  </si>
  <si>
    <t>エネミー専用</t>
  </si>
  <si>
    <t>脚止め</t>
  </si>
  <si>
    <t>ウィルブレス</t>
  </si>
  <si>
    <t>苦痛耐性</t>
  </si>
  <si>
    <t>豪腕</t>
  </si>
  <si>
    <t>再生能力</t>
  </si>
  <si>
    <t>邪神の力</t>
  </si>
  <si>
    <t>集団統率</t>
  </si>
  <si>
    <t>精神攻撃</t>
  </si>
  <si>
    <t>超絶魔力</t>
  </si>
  <si>
    <t>バッドステータス無効</t>
  </si>
  <si>
    <t>範囲攻撃</t>
  </si>
  <si>
    <t>飛行能力</t>
  </si>
  <si>
    <t>ブレス</t>
  </si>
  <si>
    <t>保護色</t>
  </si>
  <si>
    <t>魅了</t>
  </si>
  <si>
    <t>無限の力</t>
  </si>
  <si>
    <t>連続攻撃</t>
  </si>
  <si>
    <t>暗視</t>
  </si>
  <si>
    <t>遠隔攻撃</t>
  </si>
  <si>
    <t>完全隠密</t>
  </si>
  <si>
    <t>看破能力</t>
  </si>
  <si>
    <t>グレートブレス</t>
  </si>
  <si>
    <t>幻惑の霧</t>
  </si>
  <si>
    <t>識別不能</t>
  </si>
  <si>
    <t>条件無視</t>
  </si>
  <si>
    <t>水陸両用</t>
  </si>
  <si>
    <t>石化の魔眼</t>
  </si>
  <si>
    <t>抵抗性</t>
  </si>
  <si>
    <t>トラップ無効</t>
  </si>
  <si>
    <t>引き寄せ</t>
  </si>
  <si>
    <t>変身能力</t>
  </si>
  <si>
    <t>崩壊</t>
  </si>
  <si>
    <t>間合い</t>
  </si>
  <si>
    <t>猛毒</t>
  </si>
  <si>
    <t>援護</t>
  </si>
  <si>
    <t>RF-P071</t>
  </si>
  <si>
    <t>完全耐性</t>
  </si>
  <si>
    <t>司令塔</t>
  </si>
  <si>
    <t>属性攻撃</t>
  </si>
  <si>
    <t>ドレインパワー</t>
  </si>
  <si>
    <t>二回行動</t>
  </si>
  <si>
    <t>フェイス：インディマ</t>
  </si>
  <si>
    <t>フェイス：トリアラク</t>
  </si>
  <si>
    <t>フェイス：ブレーグ</t>
  </si>
  <si>
    <t>フェイス：マハディルグ</t>
  </si>
  <si>
    <t>フェイス：ミーヴァル</t>
  </si>
  <si>
    <t>フェイス：モーリアン</t>
  </si>
  <si>
    <t>武器耐性</t>
  </si>
  <si>
    <t>吹き飛ばし</t>
  </si>
  <si>
    <t>妨害</t>
  </si>
  <si>
    <t>融合</t>
  </si>
  <si>
    <t>命の滴</t>
  </si>
  <si>
    <t>全員1回HP/MP(GL+2)D回復</t>
  </si>
  <si>
    <t>1シナリオ1回</t>
  </si>
  <si>
    <t>運命の手</t>
  </si>
  <si>
    <t>[幸運]無視でフェイト使用可能</t>
  </si>
  <si>
    <t>援助金</t>
  </si>
  <si>
    <t>プリプレイに各自GL*50Gを得る</t>
  </si>
  <si>
    <t>加護</t>
  </si>
  <si>
    <t>[HPﾀﾞﾒｰｼﾞ]-2</t>
  </si>
  <si>
    <t>鑑定屋</t>
  </si>
  <si>
    <t>100Gで1個鑑定</t>
  </si>
  <si>
    <t>限界突破</t>
  </si>
  <si>
    <t>セットアップ</t>
  </si>
  <si>
    <t>ﾗｳﾝﾄﾞ中判定+1D/ダメージロール+2D</t>
  </si>
  <si>
    <t>研究資料</t>
  </si>
  <si>
    <t>魔術、呪歌、錬金判定+2</t>
  </si>
  <si>
    <t>1回/いつでも/全員【MP】全快</t>
  </si>
  <si>
    <t>陣形</t>
  </si>
  <si>
    <t>3回/各自1度ずつ[戦闘移動]</t>
  </si>
  <si>
    <t>1回/いつでも/全員【HP】全快</t>
  </si>
  <si>
    <t>値引き</t>
  </si>
  <si>
    <t>アイテム価格10%引き</t>
  </si>
  <si>
    <t>端数切り上げ</t>
  </si>
  <si>
    <t>ドロップ品ロール+1D</t>
  </si>
  <si>
    <t>火の紋章</t>
  </si>
  <si>
    <t>水属性への命中+2/ダメージ+1D</t>
  </si>
  <si>
    <t>水の紋章</t>
  </si>
  <si>
    <t>火属性への命中+2/ダメージ+1D</t>
  </si>
  <si>
    <t>風の紋章</t>
  </si>
  <si>
    <t>地属性への命中+2/ダメージ+1D</t>
  </si>
  <si>
    <t>地の紋章</t>
  </si>
  <si>
    <t>風属性への命中+2/ダメージ+1D</t>
  </si>
  <si>
    <t>光の紋章</t>
  </si>
  <si>
    <t>闇属性への命中+2/ダメージ+1D</t>
  </si>
  <si>
    <t>闇の紋章</t>
  </si>
  <si>
    <t>光属性への命中+2/ダメージ+1D</t>
  </si>
  <si>
    <t>容量拡大</t>
  </si>
  <si>
    <t>[所持品]可能[重量]+5</t>
  </si>
  <si>
    <t>結束</t>
  </si>
  <si>
    <t>フェイト使用時他メンバーが1点出せる</t>
  </si>
  <si>
    <t>フェイトによるダイス増加時</t>
  </si>
  <si>
    <t>精鋭部隊</t>
  </si>
  <si>
    <t>最大[HP][MP]+5</t>
  </si>
  <si>
    <t>偵察部隊</t>
  </si>
  <si>
    <t>危険感知、ﾄﾗｯﾌﾟ探知、ｴﾈﾐｰ識別+2</t>
  </si>
  <si>
    <t>突撃部隊</t>
  </si>
  <si>
    <t>武器、魔法ダメージ+3</t>
  </si>
  <si>
    <t>防衛部隊</t>
  </si>
  <si>
    <t>[物防][魔防]+4</t>
  </si>
  <si>
    <t>緊急招集</t>
  </si>
  <si>
    <t>1回/未登場メンバーを登場させる</t>
  </si>
  <si>
    <t>登場メンバーが使用、未行動で登場する</t>
  </si>
  <si>
    <t>最後の力</t>
  </si>
  <si>
    <t>1回/全員のフェイト[GL/5+1]点回復</t>
  </si>
  <si>
    <t>宿敵：植物</t>
  </si>
  <si>
    <t>対象へ[命中]+2/ダメージ+3</t>
  </si>
  <si>
    <t>宿敵：動物</t>
  </si>
  <si>
    <t>宿敵：人間</t>
  </si>
  <si>
    <t>宿敵：妖精</t>
  </si>
  <si>
    <t>宿敵：妖魔</t>
  </si>
  <si>
    <t>宿敵：ｱﾝﾃﾞｯﾄﾞ</t>
  </si>
  <si>
    <t>宿敵：精霊</t>
  </si>
  <si>
    <t>宿敵：人造生物</t>
  </si>
  <si>
    <t>宿敵：機械</t>
  </si>
  <si>
    <t>宿敵：魔獣</t>
  </si>
  <si>
    <t>宿敵：霊獣</t>
  </si>
  <si>
    <t>宿敵：巨人</t>
  </si>
  <si>
    <t>宿敵：竜</t>
  </si>
  <si>
    <t>情報網</t>
  </si>
  <si>
    <t>任意の能力値で情報収集/30Gで+1</t>
  </si>
  <si>
    <t>150Gまで</t>
  </si>
  <si>
    <t>天啓</t>
  </si>
  <si>
    <t>1回/GMへ質問</t>
  </si>
  <si>
    <t>派遣販売</t>
  </si>
  <si>
    <t>1回/アイテムの売買</t>
  </si>
  <si>
    <t>武器商人</t>
  </si>
  <si>
    <t>登場メンバー矢弾購入可/シーン1回</t>
  </si>
  <si>
    <t>名声</t>
  </si>
  <si>
    <t>報酬+10％</t>
  </si>
  <si>
    <t>端数切り捨て</t>
  </si>
  <si>
    <t>薬剤師</t>
  </si>
  <si>
    <t>ポーション効果+3</t>
  </si>
  <si>
    <t>料理人</t>
  </si>
  <si>
    <t>[食料][料理]効果+3</t>
  </si>
  <si>
    <t>神々の戒め</t>
  </si>
  <si>
    <t>1回/シーン選択に1個バステ</t>
  </si>
  <si>
    <t>強化</t>
  </si>
  <si>
    <t>攻撃力、物防、魔防どれかに+3</t>
  </si>
  <si>
    <t>各自の装備1つ、武器なら攻撃力、防具なら物防か魔防</t>
  </si>
  <si>
    <t>調教師</t>
  </si>
  <si>
    <t>各自の[乗物]1つ移動力+5m</t>
  </si>
  <si>
    <t>ギルドシンボル</t>
  </si>
  <si>
    <t>シンボル登場で全員ダメージ+2D</t>
  </si>
  <si>
    <t>シンボルは重量0、所持者未登場か死亡でダメージ-1D（最低1D）</t>
  </si>
  <si>
    <t>高機動部隊</t>
  </si>
  <si>
    <t>行動値+5</t>
  </si>
  <si>
    <t>耐性：威圧</t>
  </si>
  <si>
    <t>全員該当バステ無効</t>
  </si>
  <si>
    <t>耐性：逆上</t>
  </si>
  <si>
    <t>耐性：スタン</t>
  </si>
  <si>
    <t>耐性：スリップ</t>
  </si>
  <si>
    <t>耐性：毒</t>
  </si>
  <si>
    <t>耐性：ノックバック</t>
  </si>
  <si>
    <t>耐性：放心</t>
  </si>
  <si>
    <t>再行動</t>
  </si>
  <si>
    <t>1回/全員行動後使用/全員未行動</t>
  </si>
  <si>
    <t>疾風怒濤</t>
  </si>
  <si>
    <t>1回/セットアップにメインプロセス</t>
  </si>
  <si>
    <t>修練：筋力</t>
  </si>
  <si>
    <t>【筋力】を使用する判定+1D</t>
  </si>
  <si>
    <t>修練：器用</t>
  </si>
  <si>
    <t>【器用】を使用する判定+1D</t>
  </si>
  <si>
    <t>修練：敏捷</t>
  </si>
  <si>
    <t>【敏捷】を使用する判定+1D</t>
  </si>
  <si>
    <t>修練：知力</t>
  </si>
  <si>
    <t>【知力】を使用する判定+1D</t>
  </si>
  <si>
    <t>修練：感知</t>
  </si>
  <si>
    <t>【感知】を使用する判定+1D</t>
  </si>
  <si>
    <t>修練：精神</t>
  </si>
  <si>
    <t>【精神】を使用する判定+1D</t>
  </si>
  <si>
    <t>修練：幸運</t>
  </si>
  <si>
    <t>【幸運】を使用する判定+1D</t>
  </si>
  <si>
    <t>守護の光</t>
  </si>
  <si>
    <t>1回/シーン終了まで/HPダメージ-20</t>
  </si>
  <si>
    <t>精霊王の導き</t>
  </si>
  <si>
    <t>1回/ﾗｳﾝﾄﾞ終了まで/1属性ﾀﾞﾒ+[GL*2]</t>
  </si>
  <si>
    <t>全員の攻撃が魔法ダメージになる</t>
  </si>
  <si>
    <t>力の泉</t>
  </si>
  <si>
    <t>各自1つのスキルコスト1/2</t>
  </si>
  <si>
    <t>手探り</t>
  </si>
  <si>
    <t>ドロップ品チャート1段階上下</t>
  </si>
  <si>
    <t>結果を聞いた後で操作可、操作結果は先に聞けない</t>
  </si>
  <si>
    <t>ギルドハウス</t>
  </si>
  <si>
    <t>3回/任意のアイテム売却可</t>
  </si>
  <si>
    <t>ラウンド進行中でなければ使用可</t>
  </si>
  <si>
    <t>GH：緊急脱出</t>
  </si>
  <si>
    <t>1回/全員退場</t>
  </si>
  <si>
    <t>GH：クアハウス</t>
  </si>
  <si>
    <t>全員の最大[HP]+10</t>
  </si>
  <si>
    <t>GH：サルーン</t>
  </si>
  <si>
    <t>全員の最大[MP]+10</t>
  </si>
  <si>
    <t>GH：宿屋</t>
  </si>
  <si>
    <t>HP回復効果+1D/ダイス使用時のみ</t>
  </si>
  <si>
    <t>GH：ライブラリー</t>
  </si>
  <si>
    <t>全員の情報収集判定+1D</t>
  </si>
  <si>
    <t>GH：レンジ</t>
  </si>
  <si>
    <t>ﾚｽﾄﾀｲﾑ/ﾊﾝﾃｨﾝｸﾞ/ﾌｨｯｼﾝｸﾞ+2D</t>
  </si>
  <si>
    <t>GH：ギルドキャラバン</t>
  </si>
  <si>
    <t>1回/好きな場所へ転送</t>
  </si>
  <si>
    <t>エリンディエル大陸西方限定、ラウンド進行中以外</t>
  </si>
  <si>
    <t>GH：クローゼット</t>
  </si>
  <si>
    <t>3回/任意の装備品変更</t>
  </si>
  <si>
    <t>GH：工房</t>
  </si>
  <si>
    <t>ポーション効果+2D</t>
  </si>
  <si>
    <t>GH：バイヤー</t>
  </si>
  <si>
    <t>アイテム売却価格+10％</t>
  </si>
  <si>
    <t>GH：アリーナ</t>
  </si>
  <si>
    <t>攻撃ダメージロール+2D</t>
  </si>
  <si>
    <t>GH：ガーデン</t>
  </si>
  <si>
    <t>全員の最大[MP]+20</t>
  </si>
  <si>
    <t>GH：ギルドマンション</t>
  </si>
  <si>
    <t>全員の最大[HP]+20</t>
  </si>
  <si>
    <t>GH：テンプル</t>
  </si>
  <si>
    <t>回復効果+[GL+3]</t>
  </si>
  <si>
    <t>ダイスロールなくても効果あり</t>
  </si>
  <si>
    <t>GH：ギルドカテドラル</t>
  </si>
  <si>
    <t>全員の[魔防]+20</t>
  </si>
  <si>
    <t>GH：ギルドタワー</t>
  </si>
  <si>
    <t>ダイス使用魔術効果+5</t>
  </si>
  <si>
    <t>GH：ギルドフォートレス</t>
  </si>
  <si>
    <t>全員の[物防]+20</t>
  </si>
  <si>
    <t>GH：ギルドキャッスル</t>
  </si>
  <si>
    <t>全員スキル一つのSL+1</t>
  </si>
  <si>
    <t>上限超えてもよい</t>
  </si>
  <si>
    <t>カジノ</t>
  </si>
  <si>
    <t>偽装情報</t>
  </si>
  <si>
    <t>救出</t>
  </si>
  <si>
    <t>蹂躙作戦</t>
  </si>
  <si>
    <t>限界突破Ⅱ</t>
  </si>
  <si>
    <t>背水の陣</t>
  </si>
  <si>
    <t>命の泉</t>
  </si>
  <si>
    <t>カジノⅡ</t>
  </si>
  <si>
    <t>鍛冶屋</t>
  </si>
  <si>
    <t>限界突破Ⅲ</t>
  </si>
  <si>
    <t>俊足部隊</t>
  </si>
  <si>
    <t>武器職人</t>
  </si>
  <si>
    <t>防具職人</t>
  </si>
  <si>
    <t>ギルドシンボルⅡ</t>
  </si>
  <si>
    <t>限界突破Ⅳ</t>
  </si>
  <si>
    <t>御免状</t>
  </si>
  <si>
    <t>士気高揚</t>
  </si>
  <si>
    <t>自己犠牲</t>
  </si>
  <si>
    <t>メジャ－</t>
  </si>
  <si>
    <t>破壊の光</t>
  </si>
  <si>
    <t>破砕突破</t>
  </si>
  <si>
    <t>祝福Ⅱ</t>
  </si>
  <si>
    <t>潜在能力</t>
  </si>
  <si>
    <t>蘇生Ⅱ</t>
  </si>
  <si>
    <t>力の泉Ⅱ</t>
  </si>
  <si>
    <t>魂の再臨</t>
  </si>
  <si>
    <t>復活</t>
  </si>
  <si>
    <t>エクセル管理用</t>
  </si>
  <si>
    <t>※編集しないでください</t>
  </si>
  <si>
    <t>ARIANRHOD REFERENCE SHEET 【 アイテム 】</t>
  </si>
  <si>
    <t>装備品／武器</t>
  </si>
  <si>
    <t>鑑定値</t>
  </si>
  <si>
    <t>参考</t>
  </si>
  <si>
    <t>終了</t>
  </si>
  <si>
    <t>素手</t>
  </si>
  <si>
    <t>双手</t>
  </si>
  <si>
    <t>アイアンナックル</t>
  </si>
  <si>
    <t>バグナウ</t>
  </si>
  <si>
    <t>ナックルガード</t>
  </si>
  <si>
    <t>アイアンクロー</t>
  </si>
  <si>
    <t>フック</t>
  </si>
  <si>
    <t>ミスリルバグナウ</t>
  </si>
  <si>
    <t>ミスリルクロー</t>
  </si>
  <si>
    <t>パタ</t>
  </si>
  <si>
    <t>ｱﾀﾞﾏﾝﾁｳﾑﾊﾞｸﾞﾅｳ</t>
  </si>
  <si>
    <t>ｱﾀﾞﾏﾝﾁｳﾑﾅｯｸﾙ</t>
  </si>
  <si>
    <t>ｱﾀﾞﾏﾝﾁｳﾑｸﾛｰ</t>
  </si>
  <si>
    <t>ダイヤナックル</t>
  </si>
  <si>
    <t>クラッチクロー</t>
  </si>
  <si>
    <t>対象の回避ダイス-1</t>
  </si>
  <si>
    <t>怪力の籠手</t>
  </si>
  <si>
    <t>【筋力】+2</t>
  </si>
  <si>
    <t>覚醒の爪</t>
  </si>
  <si>
    <t>命中+1D6</t>
  </si>
  <si>
    <t>フレイムクロー</t>
  </si>
  <si>
    <t>マイナーMP8/シーン中火魔ダメで+3/</t>
  </si>
  <si>
    <t>神魔の手甲</t>
  </si>
  <si>
    <t>対象が光か闇ならダメージ+3D</t>
  </si>
  <si>
    <t>クンフーマスター</t>
  </si>
  <si>
    <t>クリティカル時ダメージ+2D</t>
  </si>
  <si>
    <t>竜巻の篭手</t>
  </si>
  <si>
    <t>ナイフ</t>
  </si>
  <si>
    <t>片手</t>
  </si>
  <si>
    <t>投射可</t>
  </si>
  <si>
    <t>ダガー</t>
  </si>
  <si>
    <t>クナイ</t>
  </si>
  <si>
    <t>投射可/忍者専用</t>
  </si>
  <si>
    <t>バゼラード</t>
  </si>
  <si>
    <t>カタール</t>
  </si>
  <si>
    <t>ファインダガー</t>
  </si>
  <si>
    <t>ダーク</t>
  </si>
  <si>
    <t>シュリケン</t>
  </si>
  <si>
    <t>ソードブレイカー</t>
  </si>
  <si>
    <t>スティレット</t>
  </si>
  <si>
    <t>ミスリルダガー</t>
  </si>
  <si>
    <t>ククリ</t>
  </si>
  <si>
    <t>ギドニーダガー</t>
  </si>
  <si>
    <t>ミスリルククリ</t>
  </si>
  <si>
    <t>ウェポンブレイカー</t>
  </si>
  <si>
    <t>ジェミニナイフ(一刀)</t>
  </si>
  <si>
    <t>ジェミニナイフ(二刀)</t>
  </si>
  <si>
    <t>スターシャイン</t>
  </si>
  <si>
    <t>DR直前ダメージ+10、メインプロセス後破壊</t>
  </si>
  <si>
    <t>ダンシングナイフ</t>
  </si>
  <si>
    <t>精霊のナイフ</t>
  </si>
  <si>
    <t>この武器で魔法ダメージの時ダメ+1D</t>
  </si>
  <si>
    <t>ガードダガー</t>
  </si>
  <si>
    <t>モノブレイド</t>
  </si>
  <si>
    <t>シーフ専用、C時敵防御-10シーン1回</t>
  </si>
  <si>
    <t>三徳包丁</t>
  </si>
  <si>
    <t>ショートソード</t>
  </si>
  <si>
    <t>ロングソード</t>
  </si>
  <si>
    <t>バスタードソード/片</t>
  </si>
  <si>
    <t>バスタードソード/両</t>
  </si>
  <si>
    <t>両手</t>
  </si>
  <si>
    <t>忍者刀</t>
  </si>
  <si>
    <t>忍者専用</t>
  </si>
  <si>
    <t>レイピア</t>
  </si>
  <si>
    <t>ブロードソード</t>
  </si>
  <si>
    <t>フィランギ</t>
  </si>
  <si>
    <t>フラムベルク</t>
  </si>
  <si>
    <t>ファインソード</t>
  </si>
  <si>
    <t>ﾌｧｲﾝﾊﾞｽﾀｰﾄﾞｿｰﾄﾞ/片</t>
  </si>
  <si>
    <t>片手持ちと両手持ちを切り替え可能</t>
  </si>
  <si>
    <t>ﾌｧｲﾝﾊﾞｽﾀｰﾄﾞｿｰﾄﾞ/両</t>
  </si>
  <si>
    <t>シミター</t>
  </si>
  <si>
    <t>ファルシオン</t>
  </si>
  <si>
    <t>ﾍﾋﾞｰﾊﾞｽﾀｰﾄﾞｿｰﾄﾞ/片</t>
  </si>
  <si>
    <t>ﾍﾋﾞｰﾊﾞｽﾀｰﾄﾞｿｰﾄﾞ/両</t>
  </si>
  <si>
    <t>カットラス</t>
  </si>
  <si>
    <t>ミスリルソード</t>
  </si>
  <si>
    <t>グラディウス</t>
  </si>
  <si>
    <t>ミスリルファルシオン</t>
  </si>
  <si>
    <t>ミスリルシミター</t>
  </si>
  <si>
    <t>黄金剣</t>
  </si>
  <si>
    <t>ﾐｽﾘﾙﾊﾞｽﾀｰﾄﾞｿｰﾄﾞ/片</t>
  </si>
  <si>
    <t>ﾐｽﾘﾙﾊﾞｽﾀｰﾄﾞｿｰﾄﾞ/両</t>
  </si>
  <si>
    <t>ヒートソード</t>
  </si>
  <si>
    <t>取得時に選択した属性の魔法ダメージ</t>
  </si>
  <si>
    <t>赤き斜陽の剣</t>
  </si>
  <si>
    <t>メイジ専用/魔術ダメージ+2</t>
  </si>
  <si>
    <t>餓狼の剣</t>
  </si>
  <si>
    <t>W専用/命中判定したメインプロセス終了時HP-5</t>
  </si>
  <si>
    <t>風霊の剣</t>
  </si>
  <si>
    <t>攻撃対象決定直前に使用/射程を5mの白兵に変更/[MP]-3</t>
  </si>
  <si>
    <t>ステップレイピア</t>
  </si>
  <si>
    <t>ダンサー専用/ダンス中/この武器のダメージ+2D</t>
  </si>
  <si>
    <t>怨念の剣</t>
  </si>
  <si>
    <t>命中判定ダイス-1（最低1）/この武器でHPダメージを与えた時威圧付与</t>
  </si>
  <si>
    <t>鏡の剣</t>
  </si>
  <si>
    <t>この武器の命中判定に対するリアクション-1D/1シナリオ1回</t>
  </si>
  <si>
    <t>紫水晶の剣</t>
  </si>
  <si>
    <t>装備者が毒でない時/クリナップに[HP]+5/非戦闘時はシーン終了時[HP]+8</t>
  </si>
  <si>
    <t>ブレイズエッジ</t>
  </si>
  <si>
    <t>ﾌﾘｰｱｸｼｮﾝ/シーン中この武器は無属性魔法ダメージ/1シナリオ3回</t>
  </si>
  <si>
    <t>スレイヤーソード</t>
  </si>
  <si>
    <t>ツヴァイハンダー</t>
  </si>
  <si>
    <t>グレートソード</t>
  </si>
  <si>
    <t>クレイモア</t>
  </si>
  <si>
    <t>ファルクス</t>
  </si>
  <si>
    <t>エストック</t>
  </si>
  <si>
    <t>ロンパイア</t>
  </si>
  <si>
    <t>ファインクレイモア</t>
  </si>
  <si>
    <t>フランベルジュ</t>
  </si>
  <si>
    <t>ヘヴィクレイモア</t>
  </si>
  <si>
    <t>ヘヴィエストック</t>
  </si>
  <si>
    <t>アウトレイジ</t>
  </si>
  <si>
    <t>ミスリルファルクス</t>
  </si>
  <si>
    <t>ミスリルクレイモア</t>
  </si>
  <si>
    <t>ミスリルフランベルジュ</t>
  </si>
  <si>
    <t>パワーソード</t>
  </si>
  <si>
    <t>スマッシュ中/効果+3</t>
  </si>
  <si>
    <t>護りの剣</t>
  </si>
  <si>
    <t>ファントムレイ</t>
  </si>
  <si>
    <t>マイナー/シーン中[MP]-2毎に攻撃力+1/最大+5</t>
  </si>
  <si>
    <t>怪力乱心剣</t>
  </si>
  <si>
    <t>ﾌﾘｰｱｸｼｮﾝ/メインプロセス終了までダメージ+2D/1シナリオ1回</t>
  </si>
  <si>
    <t>アルトエッジ</t>
  </si>
  <si>
    <t>W専用/この武器でクリティカルした時ダメージ+3D</t>
  </si>
  <si>
    <t>アサルトソード</t>
  </si>
  <si>
    <t>W専用/バッシュ使用時効果+1D</t>
  </si>
  <si>
    <t>クリスタルブレイド</t>
  </si>
  <si>
    <t>虎徹</t>
  </si>
  <si>
    <t>トゥーハンドアタックで性能変化</t>
  </si>
  <si>
    <t>菊一文字</t>
  </si>
  <si>
    <t>正宗</t>
  </si>
  <si>
    <t>村正</t>
  </si>
  <si>
    <t>村雨</t>
  </si>
  <si>
    <t>千両兼定</t>
  </si>
  <si>
    <t>小烏丸</t>
  </si>
  <si>
    <t>髭切</t>
  </si>
  <si>
    <t>ウィップ</t>
  </si>
  <si>
    <t>チェインウィップ</t>
  </si>
  <si>
    <t>ヘビーウィップ</t>
  </si>
  <si>
    <t>ファインウィップ</t>
  </si>
  <si>
    <t>チェインダガー</t>
  </si>
  <si>
    <t>鞭/短剣</t>
  </si>
  <si>
    <t>ワイヤーウィップ</t>
  </si>
  <si>
    <t>チェインブレイド</t>
  </si>
  <si>
    <t>鞭/長剣</t>
  </si>
  <si>
    <t>ミスリルウィップ</t>
  </si>
  <si>
    <t>チェインカッター</t>
  </si>
  <si>
    <t>ｱﾀﾞﾏﾝﾁｳﾑｳｨｯﾌﾟ</t>
  </si>
  <si>
    <t>アラクネウィップ</t>
  </si>
  <si>
    <t>バイパーファング</t>
  </si>
  <si>
    <t>シックルチェイン（鞭）</t>
  </si>
  <si>
    <t>鞭/斧</t>
  </si>
  <si>
    <t>この武器でダメージを受けるとスリップ</t>
  </si>
  <si>
    <t>マルチヘッド</t>
  </si>
  <si>
    <t>アレストウィップ</t>
  </si>
  <si>
    <t>スタンウィップ</t>
  </si>
  <si>
    <t>ハンドアックス</t>
  </si>
  <si>
    <t>グレートアックス</t>
  </si>
  <si>
    <t>ハルバード</t>
  </si>
  <si>
    <t>バトルアックス</t>
  </si>
  <si>
    <t>ヴォウジェ</t>
  </si>
  <si>
    <t>ライトアックス</t>
  </si>
  <si>
    <t>ポールアックス</t>
  </si>
  <si>
    <t>トマホーク</t>
  </si>
  <si>
    <t>ヘヴィハルバード</t>
  </si>
  <si>
    <t>バルディッシュ</t>
  </si>
  <si>
    <t>タンギ</t>
  </si>
  <si>
    <t>ブージ</t>
  </si>
  <si>
    <t>ミスリルアックス</t>
  </si>
  <si>
    <t>ネヴァーフアックス</t>
  </si>
  <si>
    <t>タバール</t>
  </si>
  <si>
    <t>クレセントアクス</t>
  </si>
  <si>
    <t>ミスリルハルバード</t>
  </si>
  <si>
    <t>フォーリントマホーク</t>
  </si>
  <si>
    <t>投射可/帰ってくる/射撃時命中すると対象スリップ</t>
  </si>
  <si>
    <t>狂戦士の斧</t>
  </si>
  <si>
    <t>[バーサーク]中/ダメージ+2D/装備者物防0</t>
  </si>
  <si>
    <t>酔いどれの斧</t>
  </si>
  <si>
    <t>戦闘中/[ポーション]のダイスロール結果+2</t>
  </si>
  <si>
    <t>金剛の斧</t>
  </si>
  <si>
    <t>W専用/命中時/対象の物理防御-5（最低0）扱い</t>
  </si>
  <si>
    <t>ツインアックス</t>
  </si>
  <si>
    <t>ｾｯﾄｱｯﾌﾟ/装備者の行動値+10/シーン1回</t>
  </si>
  <si>
    <t>マイナー/攻撃対象2体</t>
  </si>
  <si>
    <t>オンセットアックス</t>
  </si>
  <si>
    <t>マイナーで使用/シーン中命中+2</t>
  </si>
  <si>
    <t>クラブ</t>
  </si>
  <si>
    <t>スタッフ</t>
  </si>
  <si>
    <t>ライトメイス</t>
  </si>
  <si>
    <t>フレイル</t>
  </si>
  <si>
    <t>ヘビーメイス</t>
  </si>
  <si>
    <t>ピック</t>
  </si>
  <si>
    <t>ウォーハンマー</t>
  </si>
  <si>
    <t>モーニングスター</t>
  </si>
  <si>
    <t>ファインメイス</t>
  </si>
  <si>
    <t>ヘビーフレイル</t>
  </si>
  <si>
    <t>ホーリークロス</t>
  </si>
  <si>
    <t>ウォーピック</t>
  </si>
  <si>
    <t>ミスリルハンマー</t>
  </si>
  <si>
    <t>ミスリルピック</t>
  </si>
  <si>
    <t>ダイアメイス</t>
  </si>
  <si>
    <t>ミスリルフレイル</t>
  </si>
  <si>
    <t>マジックスタッフ</t>
  </si>
  <si>
    <t>[魔術判定]+1</t>
  </si>
  <si>
    <t>ビギナーズロッド</t>
  </si>
  <si>
    <t>[魔術判定]+1/最大MP+5</t>
  </si>
  <si>
    <t>レイジハンマー</t>
  </si>
  <si>
    <t>永氷柱</t>
  </si>
  <si>
    <t>水属性魔法ダメージ</t>
  </si>
  <si>
    <t>アークスタッフ</t>
  </si>
  <si>
    <t>[魔術判定]+2</t>
  </si>
  <si>
    <t>レッドコメット</t>
  </si>
  <si>
    <t>対象決定前/射程10ｍ/MP-3</t>
  </si>
  <si>
    <t>フォースワンド</t>
  </si>
  <si>
    <t>魔法攻撃ダメージ+8/魔術使用時HP-3</t>
  </si>
  <si>
    <t>ホースクラッシャー</t>
  </si>
  <si>
    <t>対象が騎乗時/ダメージ+10/ダメージ時スリップ付与</t>
  </si>
  <si>
    <t>エレメントトーチ</t>
  </si>
  <si>
    <t>ショートスピア</t>
  </si>
  <si>
    <t>ロングスピア</t>
  </si>
  <si>
    <t>ランス</t>
  </si>
  <si>
    <t>騎乗状態でのみ使用可</t>
  </si>
  <si>
    <t>トライデント</t>
  </si>
  <si>
    <t>ジャベリン</t>
  </si>
  <si>
    <t>ヘヴィスピア</t>
  </si>
  <si>
    <t>ランシア</t>
  </si>
  <si>
    <t>ミスリルランス</t>
  </si>
  <si>
    <t>パルチザン</t>
  </si>
  <si>
    <t>パイク</t>
  </si>
  <si>
    <t>騎乗状態の敵に対してダメージ+5</t>
  </si>
  <si>
    <t>ミスリルスピア</t>
  </si>
  <si>
    <t>ピルム</t>
  </si>
  <si>
    <t>ヘビーランス</t>
  </si>
  <si>
    <t>フットマンズパイク</t>
  </si>
  <si>
    <t>十字槍</t>
  </si>
  <si>
    <t>ミスリルジャベリン</t>
  </si>
  <si>
    <t>ダイアランス</t>
  </si>
  <si>
    <t>ミスリルランシア</t>
  </si>
  <si>
    <t>シューティングスター</t>
  </si>
  <si>
    <t>戦闘移動後ダメージ+1D/ラウンド終了まで</t>
  </si>
  <si>
    <t>轟乱戟</t>
  </si>
  <si>
    <t>騎乗時/ダメージ+1D</t>
  </si>
  <si>
    <t>オーラスピア</t>
  </si>
  <si>
    <t>戦僧専用/DR直前/ダメージ+[精神]</t>
  </si>
  <si>
    <t>ギムネスピア</t>
  </si>
  <si>
    <t>光の槍</t>
  </si>
  <si>
    <t>ウィングランシア</t>
  </si>
  <si>
    <t>投射可/帰って来る/投射時命中+1D</t>
  </si>
  <si>
    <t>ドライビングランス</t>
  </si>
  <si>
    <t>ショートボウ</t>
  </si>
  <si>
    <t>ライトクロスボウ</t>
  </si>
  <si>
    <t>アームボウ</t>
  </si>
  <si>
    <t>1シーン1回</t>
  </si>
  <si>
    <t>ロングボウ</t>
  </si>
  <si>
    <t>ヘビークロスボウ</t>
  </si>
  <si>
    <t>セルフボウ</t>
  </si>
  <si>
    <t>ファインクロスボウ</t>
  </si>
  <si>
    <t>コンポジットボウ</t>
  </si>
  <si>
    <t>バードキラー</t>
  </si>
  <si>
    <t>リピーター</t>
  </si>
  <si>
    <t>ラピッドボウ</t>
  </si>
  <si>
    <t>アーバレスト</t>
  </si>
  <si>
    <t>ヘビーコンポジットボウ</t>
  </si>
  <si>
    <t>グレートボウ</t>
  </si>
  <si>
    <t>バリスタ</t>
  </si>
  <si>
    <t>ベンドクロスボウ</t>
  </si>
  <si>
    <t>雷鳴の弓</t>
  </si>
  <si>
    <t>プリベントクロスボウ</t>
  </si>
  <si>
    <t>レンジャー専用</t>
  </si>
  <si>
    <t>ラシールの魔弓</t>
  </si>
  <si>
    <t>フレイムシューター</t>
  </si>
  <si>
    <t>乾坤一擲</t>
  </si>
  <si>
    <t>マスケット</t>
  </si>
  <si>
    <t>ショットガン</t>
  </si>
  <si>
    <t>対象：範選</t>
  </si>
  <si>
    <t>ライフル</t>
  </si>
  <si>
    <t>レールガン</t>
  </si>
  <si>
    <t>ブラスター</t>
  </si>
  <si>
    <t>カスタム</t>
  </si>
  <si>
    <t>コンプレックス用、自分で数値書いてけれ</t>
  </si>
  <si>
    <t>キャリバーI</t>
  </si>
  <si>
    <t>至近攻撃可</t>
  </si>
  <si>
    <t>攻撃力がCLによって可変します。</t>
  </si>
  <si>
    <t>ｶｽﾀﾑ命中</t>
  </si>
  <si>
    <t>ｶｽﾀﾑ攻撃</t>
  </si>
  <si>
    <t>ｶｽﾀﾑ合計</t>
  </si>
  <si>
    <t>キャリバーII</t>
  </si>
  <si>
    <t>攻撃力がCLと《ｶﾞﾝﾊﾟｰﾄﾞ》によって可変します。</t>
  </si>
  <si>
    <t>グレネード</t>
  </si>
  <si>
    <t>投射のみ</t>
  </si>
  <si>
    <t>手提げバッグ</t>
  </si>
  <si>
    <t>装備品／盾</t>
  </si>
  <si>
    <t>ラウンドシールド</t>
  </si>
  <si>
    <t>盾</t>
  </si>
  <si>
    <t>戦僧盗</t>
  </si>
  <si>
    <t>カイトシールド</t>
  </si>
  <si>
    <t>戦僧</t>
  </si>
  <si>
    <t>ハイクオリティシールド</t>
  </si>
  <si>
    <t>ファインシールド</t>
  </si>
  <si>
    <t>ハードシールド</t>
  </si>
  <si>
    <t>戦</t>
  </si>
  <si>
    <t>ホーリーシールド</t>
  </si>
  <si>
    <t>僧</t>
  </si>
  <si>
    <t>バイキングシールド</t>
  </si>
  <si>
    <t>戦盗</t>
  </si>
  <si>
    <t>ミスリルシールド</t>
  </si>
  <si>
    <t>クリスタルシールド</t>
  </si>
  <si>
    <t>リフレクトシールド</t>
  </si>
  <si>
    <t>ターンシールド</t>
  </si>
  <si>
    <t>射撃に対する回避判定ダイス+1</t>
  </si>
  <si>
    <t>軽銀の盾</t>
  </si>
  <si>
    <t>アルミ製</t>
  </si>
  <si>
    <t>エレメンタルシールド</t>
  </si>
  <si>
    <t>おしゃれの盾</t>
  </si>
  <si>
    <t>全</t>
  </si>
  <si>
    <t>重量1の装身具を１つ追加装備可能</t>
  </si>
  <si>
    <t>ボーンシールド</t>
  </si>
  <si>
    <t>武器ダメージ+1D</t>
  </si>
  <si>
    <t>セイントシールド</t>
  </si>
  <si>
    <t>ブーストシールド</t>
  </si>
  <si>
    <t>取得時に選んだ僧、魔のスキル一つのコスト-1/最低1</t>
  </si>
  <si>
    <t>装備品／頭部防具</t>
  </si>
  <si>
    <t>ハット</t>
  </si>
  <si>
    <t>サークレット</t>
  </si>
  <si>
    <t>ヘルム</t>
  </si>
  <si>
    <t>黒頭巾</t>
  </si>
  <si>
    <t>忍</t>
  </si>
  <si>
    <t>鉢金</t>
  </si>
  <si>
    <t>侍</t>
  </si>
  <si>
    <t>ドミノ</t>
  </si>
  <si>
    <t>盗</t>
  </si>
  <si>
    <t>ビレッタ</t>
  </si>
  <si>
    <t>メイジハット</t>
  </si>
  <si>
    <t>魔</t>
  </si>
  <si>
    <t>クロスヘルム</t>
  </si>
  <si>
    <t>幸せのサークレット</t>
  </si>
  <si>
    <t>僧魔</t>
  </si>
  <si>
    <t>グリーンベレー</t>
  </si>
  <si>
    <t>命中+1</t>
  </si>
  <si>
    <t>マジカルハット</t>
  </si>
  <si>
    <t>ゴールドヘルム</t>
  </si>
  <si>
    <t>バトルマスク</t>
  </si>
  <si>
    <t>月光のサークレット</t>
  </si>
  <si>
    <t>ガラスの王冠</t>
  </si>
  <si>
    <t>クリスタルヘルム</t>
  </si>
  <si>
    <t>ホーリーサークレット</t>
  </si>
  <si>
    <t>ルーンバンド</t>
  </si>
  <si>
    <t>ジルコニアヘルム</t>
  </si>
  <si>
    <t>魔性面</t>
  </si>
  <si>
    <t>[精神]-1</t>
  </si>
  <si>
    <t>闇夜の帽子</t>
  </si>
  <si>
    <t>[威圧]無効</t>
  </si>
  <si>
    <t>オリハルコンの髪飾り</t>
  </si>
  <si>
    <t>[魔術]判定+1</t>
  </si>
  <si>
    <t>闘士のバンダナ</t>
  </si>
  <si>
    <t>天魔の兜</t>
  </si>
  <si>
    <t>装備者の居るエンゲージは封鎖になる/任意にON/OFF可能</t>
  </si>
  <si>
    <t>フレンドベレー</t>
  </si>
  <si>
    <t>召</t>
  </si>
  <si>
    <t>サモナー魔術のダイス効果+5</t>
  </si>
  <si>
    <t>不沈の冠</t>
  </si>
  <si>
    <t>[放心]無効</t>
  </si>
  <si>
    <t>蝶の帽子</t>
  </si>
  <si>
    <t>バタフライダンス取得時回避修正+2</t>
  </si>
  <si>
    <t>アミュレットハット</t>
  </si>
  <si>
    <t>[魔術]判定+1/魔法ダメージ+3</t>
  </si>
  <si>
    <t>魔骨の兜</t>
  </si>
  <si>
    <t>ダメージ+1D/[幸運]-1</t>
  </si>
  <si>
    <t>メディテーションマスク</t>
  </si>
  <si>
    <t>装備品／胴部防具</t>
  </si>
  <si>
    <t>ローブ</t>
  </si>
  <si>
    <t>クロスアーマー</t>
  </si>
  <si>
    <t>レザージャケット</t>
  </si>
  <si>
    <t>チェインメイル</t>
  </si>
  <si>
    <t>踊り子の衣装</t>
  </si>
  <si>
    <t>踊</t>
  </si>
  <si>
    <t>レザーアーマー</t>
  </si>
  <si>
    <t>スタデッドメイル</t>
  </si>
  <si>
    <t>アイアンサイド</t>
  </si>
  <si>
    <t>メイジローブ</t>
  </si>
  <si>
    <t>ダルマティカ</t>
  </si>
  <si>
    <t>スケイルアーマー</t>
  </si>
  <si>
    <t>シルバーチェイン</t>
  </si>
  <si>
    <t>黒装束</t>
  </si>
  <si>
    <t>パッデッドアーマー</t>
  </si>
  <si>
    <t>ブレストプレート</t>
  </si>
  <si>
    <t>胴着</t>
  </si>
  <si>
    <t>侍忍</t>
  </si>
  <si>
    <t>黒のローブ</t>
  </si>
  <si>
    <t>[知力]+1</t>
  </si>
  <si>
    <t>スニーキングスーツ</t>
  </si>
  <si>
    <t>アークィバスアーマー</t>
  </si>
  <si>
    <t>白のローブ</t>
  </si>
  <si>
    <t>[精神]+1</t>
  </si>
  <si>
    <t>忍衣</t>
  </si>
  <si>
    <t>ブリガンダイン</t>
  </si>
  <si>
    <t>プレートメイル</t>
  </si>
  <si>
    <t>ミスリルクローク</t>
  </si>
  <si>
    <t>僧魔盗</t>
  </si>
  <si>
    <t>大地のローブ</t>
  </si>
  <si>
    <t>ミスリルベスト</t>
  </si>
  <si>
    <t>胴丸</t>
  </si>
  <si>
    <t>キュイラス</t>
  </si>
  <si>
    <t>ミスリルレオタード</t>
  </si>
  <si>
    <t>ホーリーブレスト</t>
  </si>
  <si>
    <t>ミスリルアーマー</t>
  </si>
  <si>
    <t>身かわしの服</t>
  </si>
  <si>
    <t>霊銀の胴丸</t>
  </si>
  <si>
    <t>クリスタルアーマー</t>
  </si>
  <si>
    <t>ルーンローブ</t>
  </si>
  <si>
    <t>ミラージュコート</t>
  </si>
  <si>
    <t>達人胴着</t>
  </si>
  <si>
    <t>リフレクトアーマー</t>
  </si>
  <si>
    <t>ダイヤアーマー</t>
  </si>
  <si>
    <t>イレイションローブ</t>
  </si>
  <si>
    <t>魔術ダメージ+5</t>
  </si>
  <si>
    <t>妖精のチェインメイル</t>
  </si>
  <si>
    <t>レビテートローブ</t>
  </si>
  <si>
    <t>常時飛行/ムーブアクションでON/OFF</t>
  </si>
  <si>
    <t>癒しの衣</t>
  </si>
  <si>
    <t>ヒール効果+3</t>
  </si>
  <si>
    <t>歪みの衣</t>
  </si>
  <si>
    <t>リアクション判定+1</t>
  </si>
  <si>
    <t>フェザーアーマー</t>
  </si>
  <si>
    <t>[幸運]判定+1</t>
  </si>
  <si>
    <t>テーゲベックの鎧</t>
  </si>
  <si>
    <t>スラッシュブロウ使用時+2D</t>
  </si>
  <si>
    <t>ガードローブ</t>
  </si>
  <si>
    <t>シャドウブレーカー</t>
  </si>
  <si>
    <t>隠密時あらゆる判定のダイス+1/頭防具装備不可</t>
  </si>
  <si>
    <t>マジカルチェイン</t>
  </si>
  <si>
    <t>盾装備時回避+2</t>
  </si>
  <si>
    <t>バニッシュローブ</t>
  </si>
  <si>
    <t>魔術ダメージ+10</t>
  </si>
  <si>
    <t>祝福の鎧</t>
  </si>
  <si>
    <t>ｸﾘﾅｯﾌﾟﾌﾟﾛｾｽに[MP]+2/否戦闘時シーン終了時[MP]+5</t>
  </si>
  <si>
    <t>アボイドクローク</t>
  </si>
  <si>
    <t>装備品／装身具</t>
  </si>
  <si>
    <t>楽器</t>
  </si>
  <si>
    <t>歌</t>
  </si>
  <si>
    <t>呪歌コスト-1</t>
  </si>
  <si>
    <t>シーブズツール</t>
  </si>
  <si>
    <t>トラップ解除+1</t>
  </si>
  <si>
    <t>研究道具</t>
  </si>
  <si>
    <t>錬金術、錬金銃ダメージ+1</t>
  </si>
  <si>
    <t>聖印</t>
  </si>
  <si>
    <t>ヒールの効果+1D</t>
  </si>
  <si>
    <t>グリモア</t>
  </si>
  <si>
    <t>魔術ダメージ+1</t>
  </si>
  <si>
    <t>手入れ道具</t>
  </si>
  <si>
    <t>武器ダメージ+1</t>
  </si>
  <si>
    <t>知識の書</t>
  </si>
  <si>
    <t>識</t>
  </si>
  <si>
    <t>[知力]判定+1</t>
  </si>
  <si>
    <t>修</t>
  </si>
  <si>
    <t>[格闘]武器のみ効果発揮</t>
  </si>
  <si>
    <t>勝守</t>
  </si>
  <si>
    <t>トルネードブラスト変更/CL+SL+1以下のモブ</t>
  </si>
  <si>
    <t>忍具</t>
  </si>
  <si>
    <t>忍者のスキルを使用したダメージ+2</t>
  </si>
  <si>
    <t>金剛の鞘</t>
  </si>
  <si>
    <t>刀装備時のみ効果発揮</t>
  </si>
  <si>
    <t>タリスマン</t>
  </si>
  <si>
    <t>魔術判定+1</t>
  </si>
  <si>
    <t>高級研究道具</t>
  </si>
  <si>
    <t>錬金術判定+2</t>
  </si>
  <si>
    <t>茶帯</t>
  </si>
  <si>
    <t>高級忍具</t>
  </si>
  <si>
    <t>忍者のスキルを使用したダメージ+4</t>
  </si>
  <si>
    <t>古代竜の牙</t>
  </si>
  <si>
    <t>クウェリィSL+1</t>
  </si>
  <si>
    <t>高位聖印</t>
  </si>
  <si>
    <t>ヒールの効果+2D</t>
  </si>
  <si>
    <t>セブン・ダブ</t>
  </si>
  <si>
    <t>トラップ解除+2</t>
  </si>
  <si>
    <t>高級楽器</t>
  </si>
  <si>
    <t>呪歌コスト-2</t>
  </si>
  <si>
    <t>奥義書</t>
  </si>
  <si>
    <t>修羅の鞘</t>
  </si>
  <si>
    <t>迅雷の鞘</t>
  </si>
  <si>
    <t>羅刹の鞘</t>
  </si>
  <si>
    <t>黒帯</t>
  </si>
  <si>
    <t>究極忍具</t>
  </si>
  <si>
    <t>忍者のスキルを使用したダメージ+7</t>
  </si>
  <si>
    <t>勝守・弐式</t>
  </si>
  <si>
    <t>トルネードブラスト変更/CL+SL+3以下のモブ</t>
  </si>
  <si>
    <t>大きな目</t>
  </si>
  <si>
    <t>アイテム鑑定+3</t>
  </si>
  <si>
    <t>鷹の目</t>
  </si>
  <si>
    <t>射撃武器使用時のみダメージ+3</t>
  </si>
  <si>
    <t>碧星のカチューシャ</t>
  </si>
  <si>
    <t>ﾌﾘｰｱｸｼｮﾝ/[MP]1D点回復/1シナリオ1回</t>
  </si>
  <si>
    <t>地精霊のオーブ</t>
  </si>
  <si>
    <t>&lt;地&gt;ﾀﾞﾒｰｼﾞ魔法の消費MP-2(最低1)</t>
  </si>
  <si>
    <t>水精霊のオーブ</t>
  </si>
  <si>
    <t>&lt;水&gt;ﾀﾞﾒｰｼﾞ魔法の消費MP-2(最低1)</t>
  </si>
  <si>
    <t>火精霊のオーブ</t>
  </si>
  <si>
    <t>&lt;火&gt;ﾀﾞﾒｰｼﾞ魔法の消費MP-2(最低1)</t>
  </si>
  <si>
    <t>風精霊のオーブ</t>
  </si>
  <si>
    <t>&lt;風&gt;ﾀﾞﾒｰｼﾞ魔法の消費MP-2(最低1)</t>
  </si>
  <si>
    <t>光精霊のオーブ</t>
  </si>
  <si>
    <t>&lt;光&gt;ﾀﾞﾒｰｼﾞ魔法の消費MP-2(最低1)</t>
  </si>
  <si>
    <t>闇精霊のオーブ</t>
  </si>
  <si>
    <t>&lt;闇&gt;ﾀﾞﾒｰｼﾞ魔法の消費MP-2(最低1)</t>
  </si>
  <si>
    <t>幸運のペンダント</t>
  </si>
  <si>
    <t>振ったダイスのうち出目1を2にする/1シナリオ1回</t>
  </si>
  <si>
    <t>理知の宝玉</t>
  </si>
  <si>
    <t>ｾｯﾄｱｯﾌﾟで使用/ラウンド中装備者の[行動値]に+5する/MP-3</t>
  </si>
  <si>
    <t>女神のネックレス</t>
  </si>
  <si>
    <t>豊穣の花冠</t>
  </si>
  <si>
    <t>長い棒</t>
  </si>
  <si>
    <t>見渡す目</t>
  </si>
  <si>
    <t>見破る目</t>
  </si>
  <si>
    <t>栽培セット</t>
  </si>
  <si>
    <t>暗視ゴーグル</t>
  </si>
  <si>
    <t>バスターグリップ</t>
  </si>
  <si>
    <t>バトルグリップ</t>
  </si>
  <si>
    <t>警告の青水晶</t>
  </si>
  <si>
    <t>専心のアミュレット</t>
  </si>
  <si>
    <t>豪傑の証</t>
  </si>
  <si>
    <t>ファイターズジュエル</t>
  </si>
  <si>
    <t>装備品／補助防具</t>
  </si>
  <si>
    <t>マント</t>
  </si>
  <si>
    <t>バックラー</t>
  </si>
  <si>
    <t>ポイントアーマー</t>
  </si>
  <si>
    <t>虹色の指輪</t>
  </si>
  <si>
    <t>トラベラーズマント</t>
  </si>
  <si>
    <t>ガントレット</t>
  </si>
  <si>
    <t>ファインバックラー</t>
  </si>
  <si>
    <t>ソリッドブーツ</t>
  </si>
  <si>
    <t>サーコート</t>
  </si>
  <si>
    <t>クイックバンド</t>
  </si>
  <si>
    <t>水晶の指輪</t>
  </si>
  <si>
    <t>ｱﾀﾞﾏﾝﾁｳﾑﾊﾞｯｸﾗｰ</t>
  </si>
  <si>
    <t>ﾐｽﾘﾙﾎﾟｲﾝﾄｱｰﾏｰ</t>
  </si>
  <si>
    <t>竜鱗の首飾り</t>
  </si>
  <si>
    <t>ローグマント</t>
  </si>
  <si>
    <t>ミスリルガントレット</t>
  </si>
  <si>
    <t>ﾀﾞｲｱﾎﾟｲﾝﾄｱｰﾏｰ</t>
  </si>
  <si>
    <t>ミスリルの腕輪</t>
  </si>
  <si>
    <t>マジックマント</t>
  </si>
  <si>
    <t>ダイアガントレット</t>
  </si>
  <si>
    <t>ウィングブーツ</t>
  </si>
  <si>
    <t>ミスリルマント</t>
  </si>
  <si>
    <t>ルーンリング</t>
  </si>
  <si>
    <t>ﾙｰﾝﾎﾟｲﾝﾄｱｰﾏｰ</t>
  </si>
  <si>
    <t>護りの指輪</t>
  </si>
  <si>
    <t>精霊のタリスマン</t>
  </si>
  <si>
    <t>選択した属性のダメージに対して魔防+10</t>
  </si>
  <si>
    <t>パワーリスト</t>
  </si>
  <si>
    <t>[筋力]+1</t>
  </si>
  <si>
    <t>俊足のブーツ</t>
  </si>
  <si>
    <t>キックブーツ</t>
  </si>
  <si>
    <t>[格闘]武器の白兵ダメージ+3</t>
  </si>
  <si>
    <t>深紅の腕輪</t>
  </si>
  <si>
    <t>盗賊の篭手</t>
  </si>
  <si>
    <t>トラップ解除判定+2</t>
  </si>
  <si>
    <t>トリックマント</t>
  </si>
  <si>
    <t>シーフのメジャースキルダメージ+[2D]</t>
  </si>
  <si>
    <t>叡智の指輪</t>
  </si>
  <si>
    <t>15点のMPを持っている/アフタープレイで回復</t>
  </si>
  <si>
    <t>センチネルガード</t>
  </si>
  <si>
    <t>ジュエルリング</t>
  </si>
  <si>
    <t>チョーク</t>
  </si>
  <si>
    <t>火打ち石/金</t>
  </si>
  <si>
    <t>筆記用具</t>
  </si>
  <si>
    <t>くさび</t>
  </si>
  <si>
    <t>ロープ</t>
  </si>
  <si>
    <t>ランタン</t>
  </si>
  <si>
    <t>転送石</t>
  </si>
  <si>
    <t>野営道具</t>
  </si>
  <si>
    <t>小型ハンマー</t>
  </si>
  <si>
    <t>ﾎﾟｰｼｮﾝ</t>
  </si>
  <si>
    <t>ハイHPポーション</t>
  </si>
  <si>
    <t>ハイMPポーション</t>
  </si>
  <si>
    <t>万能薬</t>
  </si>
  <si>
    <t>にく</t>
  </si>
  <si>
    <t>食料</t>
  </si>
  <si>
    <t>野菜</t>
  </si>
  <si>
    <t>果実</t>
  </si>
  <si>
    <t>収納</t>
  </si>
  <si>
    <t>所持重量+2</t>
  </si>
  <si>
    <t>所持重量+5</t>
  </si>
  <si>
    <t>ファインアロー</t>
  </si>
  <si>
    <t>矢弾</t>
  </si>
  <si>
    <t>弓攻撃の対象決定時使用/ダメージ+2/使い捨て</t>
  </si>
  <si>
    <t>アクセサリー</t>
  </si>
  <si>
    <t>衣装</t>
  </si>
  <si>
    <t>上等な衣服</t>
  </si>
  <si>
    <t>仮面</t>
  </si>
  <si>
    <t>香水</t>
  </si>
  <si>
    <t>ドレス／礼服</t>
  </si>
  <si>
    <t>神殿での宿泊</t>
  </si>
  <si>
    <t>ｻｰﾋﾞｽ</t>
  </si>
  <si>
    <t>神殿での食事</t>
  </si>
  <si>
    <t>普通の食事</t>
  </si>
  <si>
    <t>豪華な食事</t>
  </si>
  <si>
    <t>乗り合い馬車</t>
  </si>
  <si>
    <t>普通の宿</t>
  </si>
  <si>
    <t>豪華な宿</t>
  </si>
  <si>
    <t>個室/2食付</t>
  </si>
  <si>
    <t>早馬</t>
  </si>
  <si>
    <t>折りたたみ梯子</t>
  </si>
  <si>
    <t>強酸瓶</t>
  </si>
  <si>
    <t>粘着瓶</t>
  </si>
  <si>
    <t>死者払いの水</t>
  </si>
  <si>
    <t>使い魔：筋力</t>
  </si>
  <si>
    <t>使い魔：器用</t>
  </si>
  <si>
    <t>使い魔：敏捷</t>
  </si>
  <si>
    <t>使い魔：知力</t>
  </si>
  <si>
    <t>使い魔：感知</t>
  </si>
  <si>
    <t>使い魔：精神</t>
  </si>
  <si>
    <t>使い魔：幸運</t>
  </si>
  <si>
    <t>マジカルキー</t>
  </si>
  <si>
    <t>バーストルビー</t>
  </si>
  <si>
    <t>ドレスブック</t>
  </si>
  <si>
    <t>釣り竿</t>
  </si>
  <si>
    <t>枕</t>
  </si>
  <si>
    <t>猟犬</t>
  </si>
  <si>
    <t>錠前</t>
  </si>
  <si>
    <t>囮餌</t>
  </si>
  <si>
    <t>調理用具</t>
  </si>
  <si>
    <t>滑剤瓶</t>
  </si>
  <si>
    <t>結界紋</t>
  </si>
  <si>
    <t>魔導酒</t>
  </si>
  <si>
    <t>メジャー使用シーン中魔術判定+2</t>
  </si>
  <si>
    <t>デスポーション</t>
  </si>
  <si>
    <t>小道具入れ</t>
  </si>
  <si>
    <t>重量1アイテムを5個入れられる</t>
  </si>
  <si>
    <t>矢筒</t>
  </si>
  <si>
    <t>ポーションホルダー</t>
  </si>
  <si>
    <t>ウェポンケース</t>
  </si>
  <si>
    <t>武器を一つ重量0として所持可能</t>
  </si>
  <si>
    <t>異次元バッグ</t>
  </si>
  <si>
    <t>クイックケース</t>
  </si>
  <si>
    <t>火酒</t>
  </si>
  <si>
    <t>強心丹</t>
  </si>
  <si>
    <t>アンチポーション</t>
  </si>
  <si>
    <t>風のエキス</t>
  </si>
  <si>
    <t>聖水</t>
  </si>
  <si>
    <t>蘇生薬</t>
  </si>
  <si>
    <t>退魔軟膏</t>
  </si>
  <si>
    <t>EXHPポーション</t>
  </si>
  <si>
    <t>薬</t>
  </si>
  <si>
    <t>EXMPポーション</t>
  </si>
  <si>
    <t>霊水</t>
  </si>
  <si>
    <t>メジャー使用シーン中魔術ダメージ+2</t>
  </si>
  <si>
    <t>錬魔弾</t>
  </si>
  <si>
    <t>祝福の矢</t>
  </si>
  <si>
    <t>ミスリルの矢</t>
  </si>
  <si>
    <t>強化弾</t>
  </si>
  <si>
    <t>エレメンタルアロー</t>
  </si>
  <si>
    <t>轟魔弾</t>
  </si>
  <si>
    <t>キャリバーブースター</t>
  </si>
  <si>
    <t>乗用馬</t>
  </si>
  <si>
    <t>乗物</t>
  </si>
  <si>
    <t>ラクダ</t>
  </si>
  <si>
    <t>馬車</t>
  </si>
  <si>
    <t>軍馬</t>
  </si>
  <si>
    <t>戦車</t>
  </si>
  <si>
    <t>名馬</t>
  </si>
  <si>
    <t>ウィンドホーク</t>
  </si>
  <si>
    <t>ライドニッパー</t>
  </si>
  <si>
    <t>錬金馬</t>
  </si>
  <si>
    <t>騎竜</t>
  </si>
  <si>
    <t>ガンストック</t>
  </si>
  <si>
    <t>銃部品</t>
  </si>
  <si>
    <t>パウダーチャージ</t>
  </si>
  <si>
    <t>パワーブースター</t>
  </si>
  <si>
    <t>ガンスコープ</t>
  </si>
  <si>
    <t>スーパーマグネット</t>
  </si>
  <si>
    <t>パウダーチャージⅡ</t>
  </si>
  <si>
    <t>パウダーチャージⅢ</t>
  </si>
  <si>
    <t>パウダーチャージⅣ</t>
  </si>
  <si>
    <t>キャップライト</t>
  </si>
  <si>
    <t>カートリッジ：風</t>
  </si>
  <si>
    <t>カートリッジ：地</t>
  </si>
  <si>
    <t>カートリッジ：火</t>
  </si>
  <si>
    <t>カートリッジ：光</t>
  </si>
  <si>
    <t>カートリッジ：水</t>
  </si>
  <si>
    <t>カートリッジ：闇</t>
  </si>
  <si>
    <t>リムブースト・メタル</t>
  </si>
  <si>
    <t>リムブースト・リフレクス</t>
  </si>
  <si>
    <t>GM設定アイテム</t>
  </si>
  <si>
    <t>クラスを選択</t>
  </si>
  <si>
    <t>初期HP</t>
  </si>
  <si>
    <t>初期MP</t>
  </si>
  <si>
    <t>キャラクターシート反映のための参照データ</t>
  </si>
  <si>
    <t>ウォーリア系</t>
  </si>
  <si>
    <t>CL/自動取得スキル関連</t>
  </si>
  <si>
    <t>…CL10以上のキャラのCL参照</t>
  </si>
  <si>
    <t>…ギルドサポート《クローゼット》の有無</t>
  </si>
  <si>
    <t>クラス重複とスキル修得数</t>
  </si>
  <si>
    <t>…初期状態でクラスが重複しているかどうか</t>
  </si>
  <si>
    <t>アコライト系</t>
  </si>
  <si>
    <t>右手武器[行動修正]</t>
  </si>
  <si>
    <t>…右手装備品[行動修正]+《スピードショット》</t>
  </si>
  <si>
    <t>…《スピードショット》修正後、1以上の場合修正</t>
  </si>
  <si>
    <t>メイジ系</t>
  </si>
  <si>
    <t>右手武器[命中修正]</t>
  </si>
  <si>
    <t>…右手装備品[命中修正]+《グラディエイト》「深紅の腕輪」</t>
  </si>
  <si>
    <t>…《グラディエイト》「深紅の腕輪」修正後、1以上の場合修正</t>
  </si>
  <si>
    <t>シーフ系</t>
  </si>
  <si>
    <t>[命中修正][攻撃力]左手加算</t>
  </si>
  <si>
    <t>…《アンビデクスタリティ》《ツインウェポン》の有無</t>
  </si>
  <si>
    <t>左手武器[命中修正]</t>
  </si>
  <si>
    <t>…左手装備品[命中修正]+《グラディエイト》「深紅の腕輪」</t>
  </si>
  <si>
    <t>「盾」[物防]を[魔防]に加算</t>
  </si>
  <si>
    <t>…《ハイパーシールド》有無</t>
  </si>
  <si>
    <t>…《ハイパーシールド》適用時の[魔法防御力]修正</t>
  </si>
  <si>
    <t>上補ドラグーン</t>
  </si>
  <si>
    <t>上補テイマー</t>
  </si>
  <si>
    <t>上補ハイランダー</t>
  </si>
  <si>
    <t>上補メンター</t>
  </si>
  <si>
    <t>装備レベル選択</t>
  </si>
  <si>
    <t>武器＆盾種別</t>
  </si>
  <si>
    <t>メイン・サポート</t>
  </si>
  <si>
    <t>種ヴァーナ部族</t>
  </si>
  <si>
    <t>アウリル(狼族)</t>
  </si>
  <si>
    <t>アルリク(猫族)</t>
  </si>
  <si>
    <t>アウリラ(兎族)</t>
  </si>
  <si>
    <t>種ドゥアン部族</t>
  </si>
  <si>
    <t>セラトス(有角族)</t>
  </si>
  <si>
    <t>オルニス(天翼族)</t>
  </si>
  <si>
    <t>レベル選択</t>
  </si>
  <si>
    <t>転職選択</t>
  </si>
  <si>
    <t>能力値選択</t>
  </si>
  <si>
    <t>スキルレベル選択</t>
  </si>
  <si>
    <t>アックスマスタリー</t>
  </si>
  <si>
    <t>ヴァイオレントアタック</t>
  </si>
  <si>
    <t>アースシェイカー</t>
  </si>
  <si>
    <t>アドヴァイス</t>
  </si>
  <si>
    <t>グランススラッシュ</t>
  </si>
  <si>
    <t>インヴォーク</t>
  </si>
  <si>
    <t>アースブレット</t>
  </si>
  <si>
    <t>オールラウンド：筋力</t>
  </si>
  <si>
    <t>コンボアタック：ウェポン</t>
  </si>
  <si>
    <t>インヴィジブルアタック</t>
  </si>
  <si>
    <t>アクアマスター</t>
  </si>
  <si>
    <t>カタナマスタリー</t>
  </si>
  <si>
    <t>アイデンティファイア</t>
  </si>
  <si>
    <t>ヴァイオレントウィンド</t>
  </si>
  <si>
    <t>アヴォイドダンス</t>
  </si>
  <si>
    <t>オールラウンド：器用</t>
  </si>
  <si>
    <t>コンボアタック：マジック</t>
  </si>
  <si>
    <t>ヴィジランテ</t>
  </si>
  <si>
    <t>ヴァイタルフォース</t>
  </si>
  <si>
    <t>オールラウンド：敏捷</t>
  </si>
  <si>
    <t>ウィンドセイバー</t>
  </si>
  <si>
    <t>オールラウンド：知力</t>
  </si>
  <si>
    <t>アクロバット2</t>
  </si>
  <si>
    <t>ウィング2</t>
  </si>
  <si>
    <t>キャリバーマスタリー</t>
  </si>
  <si>
    <t>オールラウンド：感知</t>
  </si>
  <si>
    <t>オーバーパス2</t>
  </si>
  <si>
    <t>タフネス2</t>
  </si>
  <si>
    <t>ディヴァインアーム</t>
  </si>
  <si>
    <t>オールラウンド：精神</t>
  </si>
  <si>
    <t>ハイジャンプ2</t>
  </si>
  <si>
    <t>ナチュラルウェポン2</t>
  </si>
  <si>
    <t>コンフロントマスタリー</t>
  </si>
  <si>
    <t>エンチャンター</t>
  </si>
  <si>
    <t>オールラウンド：幸運</t>
  </si>
  <si>
    <t>グレープヴァイン</t>
  </si>
  <si>
    <t>スペルブレット</t>
  </si>
  <si>
    <t>スピアマスタリー</t>
  </si>
  <si>
    <t>ダークウェポン</t>
  </si>
  <si>
    <t>コンビネーション</t>
  </si>
  <si>
    <t>シルヴァリィソング</t>
  </si>
  <si>
    <t>ソードマスタリー</t>
  </si>
  <si>
    <t>ナーヴブレイク</t>
  </si>
  <si>
    <t>スペシャライズ</t>
  </si>
  <si>
    <t>ブライトウェポン</t>
  </si>
  <si>
    <t>トゥーハンドソードマスタリー</t>
  </si>
  <si>
    <t>ダガーマスタリー</t>
  </si>
  <si>
    <t>ホーリーオーダー</t>
  </si>
  <si>
    <t>マジックウェポン</t>
  </si>
  <si>
    <t>プロヴォック</t>
  </si>
  <si>
    <t>フレイムロード</t>
  </si>
  <si>
    <t>ガンマスタリー</t>
  </si>
  <si>
    <t>リムーヴトラップ</t>
  </si>
  <si>
    <t>クアハウス</t>
  </si>
  <si>
    <t>サルーン</t>
  </si>
  <si>
    <t>アレンジ</t>
  </si>
  <si>
    <t>ウェポンフォーカス</t>
  </si>
  <si>
    <t>ダブルショット</t>
  </si>
  <si>
    <t>メイスマスタリー</t>
  </si>
  <si>
    <t>ブーストエンチャント</t>
  </si>
  <si>
    <t>トレーダー</t>
  </si>
  <si>
    <t>マテリアルコンポーネント2</t>
  </si>
  <si>
    <t>ボウマスタリー</t>
  </si>
  <si>
    <t>ビリーヴ</t>
  </si>
  <si>
    <t>ヴァイタリティ</t>
  </si>
  <si>
    <t>フェイヴァード</t>
  </si>
  <si>
    <t>ガーデン</t>
  </si>
  <si>
    <t>合体攻撃</t>
  </si>
  <si>
    <t>強化：攻撃</t>
  </si>
  <si>
    <t>強化：物防</t>
  </si>
  <si>
    <t>成長時選択可能スキル</t>
  </si>
  <si>
    <t>強化：魔防</t>
  </si>
  <si>
    <t>耐性：重圧</t>
  </si>
  <si>
    <t>耐性：転倒</t>
  </si>
  <si>
    <t>耐性：マヒ</t>
  </si>
  <si>
    <t>連係攻撃</t>
  </si>
  <si>
    <t>テンプル</t>
  </si>
  <si>
    <t>バイヤー</t>
  </si>
  <si>
    <t>ライブラリー</t>
  </si>
  <si>
    <t>クローゼット</t>
  </si>
  <si>
    <t>精霊王の導き：地</t>
  </si>
  <si>
    <t>精霊王の導き：水</t>
  </si>
  <si>
    <t>精霊王の導き：火</t>
  </si>
  <si>
    <t>精霊王の導き：風</t>
  </si>
  <si>
    <t>精霊王の導き：光</t>
  </si>
  <si>
    <t>精霊王の導き：闇</t>
  </si>
  <si>
    <t>祝福2</t>
  </si>
  <si>
    <t>蘇生2</t>
  </si>
  <si>
    <t>ARIANRHOD REFERENCE SHEET 【 ライフパス 】</t>
  </si>
  <si>
    <t>ROC</t>
  </si>
  <si>
    <t>長所と短所</t>
  </si>
  <si>
    <t>任意</t>
  </si>
  <si>
    <t>好きにしろ</t>
  </si>
  <si>
    <t>英雄</t>
  </si>
  <si>
    <t>11～12</t>
  </si>
  <si>
    <t>王侯貴族</t>
  </si>
  <si>
    <t>13～14</t>
  </si>
  <si>
    <t>騎士</t>
  </si>
  <si>
    <t>15～16</t>
  </si>
  <si>
    <t>ｴﾝﾗｰｼﾞﾘﾐｯﾄ</t>
  </si>
  <si>
    <t>冒険者</t>
  </si>
  <si>
    <t>21～22</t>
  </si>
  <si>
    <t>ﾘﾑｰﾌﾞﾄﾗｯﾌﾟ</t>
  </si>
  <si>
    <t>傭兵</t>
  </si>
  <si>
    <t>23～24</t>
  </si>
  <si>
    <t>闇の一族</t>
  </si>
  <si>
    <t>25～26</t>
  </si>
  <si>
    <t>神官</t>
  </si>
  <si>
    <t>31～32</t>
  </si>
  <si>
    <t>ﾐｭﾄｽﾉｳﾘｯｼﾞ</t>
  </si>
  <si>
    <t>魔術師</t>
  </si>
  <si>
    <t>33～34</t>
  </si>
  <si>
    <t>ﾏｼﾞｯｸﾉｳﾘｯｼﾞ</t>
  </si>
  <si>
    <t>錬金術師</t>
  </si>
  <si>
    <t>35～36</t>
  </si>
  <si>
    <t>ｱﾙｹﾐｰﾉｳﾘｯｼﾞ</t>
  </si>
  <si>
    <t>学者</t>
  </si>
  <si>
    <t>41～42</t>
  </si>
  <si>
    <t>ｱｲﾃﾞﾝﾃｨﾌｧｲ</t>
  </si>
  <si>
    <t>商人</t>
  </si>
  <si>
    <t>43～44</t>
  </si>
  <si>
    <t>狩人</t>
  </si>
  <si>
    <t>45～46</t>
  </si>
  <si>
    <t>51～52</t>
  </si>
  <si>
    <t>闘士</t>
  </si>
  <si>
    <t>53～54</t>
  </si>
  <si>
    <t>犯罪組織</t>
  </si>
  <si>
    <t>55～56</t>
  </si>
  <si>
    <t>前科者</t>
  </si>
  <si>
    <t>61～62</t>
  </si>
  <si>
    <t>秘密結社</t>
  </si>
  <si>
    <t>63～64</t>
  </si>
  <si>
    <t>一般人</t>
  </si>
  <si>
    <t>65～66</t>
  </si>
  <si>
    <t>解説</t>
  </si>
  <si>
    <t>師匠</t>
  </si>
  <si>
    <t>解説が入ります。(未実装)</t>
  </si>
  <si>
    <t>傷病</t>
  </si>
  <si>
    <t>義理の親</t>
  </si>
  <si>
    <t>掠奪</t>
  </si>
  <si>
    <t>没落</t>
  </si>
  <si>
    <t>紛失</t>
  </si>
  <si>
    <t>渡来</t>
  </si>
  <si>
    <t>正体</t>
  </si>
  <si>
    <t>記憶喪失</t>
  </si>
  <si>
    <t>大成功</t>
  </si>
  <si>
    <t>出世</t>
  </si>
  <si>
    <t>親友</t>
  </si>
  <si>
    <t>放浪</t>
  </si>
  <si>
    <t>裏切り</t>
  </si>
  <si>
    <t>平凡</t>
  </si>
  <si>
    <t>秘密</t>
  </si>
  <si>
    <t>金銭</t>
  </si>
  <si>
    <t>修行</t>
  </si>
  <si>
    <t>命令</t>
  </si>
  <si>
    <t>好奇心</t>
  </si>
  <si>
    <t>復讐</t>
  </si>
  <si>
    <t>戦い好き</t>
  </si>
  <si>
    <t>人探し</t>
  </si>
  <si>
    <t>扶養</t>
  </si>
  <si>
    <t>強制</t>
  </si>
  <si>
    <t>逃亡</t>
  </si>
  <si>
    <t>正義</t>
  </si>
  <si>
    <t>奪還</t>
  </si>
  <si>
    <t>探索</t>
  </si>
  <si>
    <t>憧憬</t>
  </si>
  <si>
    <t>名誉</t>
  </si>
  <si>
    <t>無目的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</si>
</sst>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&quot;《 &quot;@&quot; 》&quot;"/>
    <numFmt numFmtId="166" formatCode="YYYY/M/D"/>
    <numFmt numFmtId="167" formatCode="&quot;ギルドレベル &quot;0"/>
    <numFmt numFmtId="168" formatCode="\[@\]"/>
    <numFmt numFmtId="169" formatCode="0&quot; G&quot;"/>
    <numFmt numFmtId="170" formatCode="\(0&quot;D)&quot;"/>
    <numFmt numFmtId="171" formatCode="&quot;( &quot;0&quot;D )&quot;"/>
    <numFmt numFmtId="172" formatCode="0&quot;cm&quot;"/>
    <numFmt numFmtId="173" formatCode="0\m"/>
    <numFmt numFmtId="174" formatCode="&quot;ｽｷﾙ：&quot;0\]"/>
    <numFmt numFmtId="175" formatCode="&quot;[他スキル取得数：&quot;0"/>
    <numFmt numFmtId="176" formatCode="&quot;/ &quot;0&quot; ]&quot;"/>
    <numFmt numFmtId="177" formatCode="&quot;[ &quot;0&quot; ]&quot;"/>
  </numFmts>
  <fonts count="27">
    <font>
      <sz val="11"/>
      <name val="ＭＳ Ｐゴシック"/>
      <family val="3"/>
    </font>
    <font>
      <sz val="10"/>
      <name val="Arial"/>
      <family val="0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54"/>
      <name val="ＭＳ Ｐゴシック"/>
      <family val="2"/>
    </font>
    <font>
      <sz val="8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color indexed="48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8"/>
      <color indexed="48"/>
      <name val="ＭＳ Ｐゴシック"/>
      <family val="3"/>
    </font>
    <font>
      <sz val="9"/>
      <color indexed="12"/>
      <name val="ＭＳ Ｐゴシック"/>
      <family val="3"/>
    </font>
    <font>
      <sz val="9"/>
      <color indexed="53"/>
      <name val="ＭＳ Ｐゴシック"/>
      <family val="3"/>
    </font>
    <font>
      <b/>
      <sz val="8"/>
      <name val="ＭＳ Ｐゴシック"/>
      <family val="2"/>
    </font>
  </fonts>
  <fills count="1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6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9"/>
      </right>
      <top style="medium">
        <color indexed="8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9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3" fillId="0" borderId="0" xfId="0" applyFont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3" fillId="0" borderId="0" xfId="0" applyFont="1" applyAlignment="1">
      <alignment horizontal="left" vertical="center"/>
    </xf>
    <xf numFmtId="164" fontId="6" fillId="3" borderId="9" xfId="0" applyFont="1" applyFill="1" applyBorder="1" applyAlignment="1">
      <alignment horizontal="center" vertical="center"/>
    </xf>
    <xf numFmtId="164" fontId="3" fillId="4" borderId="10" xfId="0" applyFont="1" applyFill="1" applyBorder="1" applyAlignment="1">
      <alignment horizontal="center" vertical="center"/>
    </xf>
    <xf numFmtId="164" fontId="6" fillId="3" borderId="11" xfId="0" applyFont="1" applyFill="1" applyBorder="1" applyAlignment="1">
      <alignment horizontal="center" vertical="center"/>
    </xf>
    <xf numFmtId="164" fontId="3" fillId="4" borderId="12" xfId="0" applyFont="1" applyFill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6" fillId="3" borderId="13" xfId="0" applyFont="1" applyFill="1" applyBorder="1" applyAlignment="1">
      <alignment horizontal="center" vertical="center"/>
    </xf>
    <xf numFmtId="164" fontId="3" fillId="4" borderId="14" xfId="0" applyFont="1" applyFill="1" applyBorder="1" applyAlignment="1">
      <alignment horizontal="center" vertical="center"/>
    </xf>
    <xf numFmtId="164" fontId="7" fillId="0" borderId="0" xfId="0" applyFont="1" applyAlignment="1">
      <alignment horizontal="left" vertical="center"/>
    </xf>
    <xf numFmtId="164" fontId="3" fillId="5" borderId="15" xfId="0" applyFont="1" applyFill="1" applyBorder="1" applyAlignment="1">
      <alignment horizontal="center" vertical="center"/>
    </xf>
    <xf numFmtId="164" fontId="3" fillId="5" borderId="16" xfId="0" applyFont="1" applyFill="1" applyBorder="1" applyAlignment="1">
      <alignment horizontal="center" vertical="center"/>
    </xf>
    <xf numFmtId="164" fontId="6" fillId="3" borderId="16" xfId="0" applyFont="1" applyFill="1" applyBorder="1" applyAlignment="1">
      <alignment horizontal="center" vertical="center"/>
    </xf>
    <xf numFmtId="164" fontId="6" fillId="3" borderId="10" xfId="0" applyFont="1" applyFill="1" applyBorder="1" applyAlignment="1">
      <alignment horizontal="center" vertical="center"/>
    </xf>
    <xf numFmtId="164" fontId="3" fillId="5" borderId="17" xfId="0" applyFont="1" applyFill="1" applyBorder="1" applyAlignment="1">
      <alignment horizontal="center" vertical="center"/>
    </xf>
    <xf numFmtId="164" fontId="3" fillId="5" borderId="18" xfId="0" applyFont="1" applyFill="1" applyBorder="1" applyAlignment="1">
      <alignment horizontal="center" vertical="center"/>
    </xf>
    <xf numFmtId="164" fontId="6" fillId="3" borderId="18" xfId="0" applyFont="1" applyFill="1" applyBorder="1" applyAlignment="1">
      <alignment horizontal="center" vertical="center"/>
    </xf>
    <xf numFmtId="164" fontId="6" fillId="3" borderId="19" xfId="0" applyFont="1" applyFill="1" applyBorder="1" applyAlignment="1">
      <alignment horizontal="center" vertical="center"/>
    </xf>
    <xf numFmtId="164" fontId="3" fillId="0" borderId="20" xfId="0" applyFont="1" applyBorder="1" applyAlignment="1">
      <alignment horizontal="center" vertical="center"/>
    </xf>
    <xf numFmtId="164" fontId="3" fillId="6" borderId="20" xfId="0" applyFont="1" applyFill="1" applyBorder="1" applyAlignment="1">
      <alignment horizontal="center" vertical="center"/>
    </xf>
    <xf numFmtId="164" fontId="3" fillId="0" borderId="20" xfId="0" applyFont="1" applyFill="1" applyBorder="1" applyAlignment="1">
      <alignment horizontal="center" vertical="center"/>
    </xf>
    <xf numFmtId="164" fontId="9" fillId="0" borderId="20" xfId="0" applyFont="1" applyBorder="1" applyAlignment="1">
      <alignment horizontal="center" vertical="center"/>
    </xf>
    <xf numFmtId="164" fontId="3" fillId="0" borderId="21" xfId="0" applyFont="1" applyFill="1" applyBorder="1" applyAlignment="1">
      <alignment horizontal="center" vertical="center"/>
    </xf>
    <xf numFmtId="164" fontId="3" fillId="0" borderId="22" xfId="0" applyFont="1" applyBorder="1" applyAlignment="1">
      <alignment horizontal="center" vertical="center"/>
    </xf>
    <xf numFmtId="164" fontId="3" fillId="6" borderId="22" xfId="0" applyFont="1" applyFill="1" applyBorder="1" applyAlignment="1">
      <alignment horizontal="center" vertical="center"/>
    </xf>
    <xf numFmtId="164" fontId="3" fillId="0" borderId="22" xfId="0" applyFont="1" applyFill="1" applyBorder="1" applyAlignment="1">
      <alignment horizontal="center" vertical="center"/>
    </xf>
    <xf numFmtId="164" fontId="9" fillId="0" borderId="22" xfId="0" applyFont="1" applyBorder="1" applyAlignment="1">
      <alignment horizontal="center" vertical="center"/>
    </xf>
    <xf numFmtId="164" fontId="3" fillId="0" borderId="14" xfId="0" applyFont="1" applyFill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6" fillId="3" borderId="15" xfId="0" applyFont="1" applyFill="1" applyBorder="1" applyAlignment="1">
      <alignment horizontal="center" vertical="center"/>
    </xf>
    <xf numFmtId="164" fontId="6" fillId="3" borderId="23" xfId="0" applyFont="1" applyFill="1" applyBorder="1" applyAlignment="1">
      <alignment horizontal="center" vertical="center"/>
    </xf>
    <xf numFmtId="164" fontId="6" fillId="3" borderId="24" xfId="0" applyFont="1" applyFill="1" applyBorder="1" applyAlignment="1">
      <alignment horizontal="center" vertical="center"/>
    </xf>
    <xf numFmtId="164" fontId="3" fillId="5" borderId="0" xfId="0" applyFont="1" applyFill="1" applyBorder="1" applyAlignment="1">
      <alignment horizontal="center" vertical="center"/>
    </xf>
    <xf numFmtId="164" fontId="6" fillId="3" borderId="0" xfId="0" applyFont="1" applyFill="1" applyBorder="1" applyAlignment="1">
      <alignment horizontal="center" vertical="center"/>
    </xf>
    <xf numFmtId="164" fontId="3" fillId="0" borderId="25" xfId="0" applyFont="1" applyBorder="1" applyAlignment="1">
      <alignment horizontal="center" vertical="center"/>
    </xf>
    <xf numFmtId="164" fontId="3" fillId="0" borderId="26" xfId="0" applyFont="1" applyBorder="1" applyAlignment="1">
      <alignment horizontal="center" vertical="center"/>
    </xf>
    <xf numFmtId="164" fontId="3" fillId="0" borderId="27" xfId="0" applyFont="1" applyFill="1" applyBorder="1" applyAlignment="1">
      <alignment horizontal="center" vertical="center"/>
    </xf>
    <xf numFmtId="164" fontId="6" fillId="3" borderId="28" xfId="0" applyFont="1" applyFill="1" applyBorder="1" applyAlignment="1">
      <alignment horizontal="center" vertical="center"/>
    </xf>
    <xf numFmtId="164" fontId="3" fillId="6" borderId="28" xfId="0" applyFont="1" applyFill="1" applyBorder="1" applyAlignment="1">
      <alignment horizontal="center" vertical="center"/>
    </xf>
    <xf numFmtId="164" fontId="3" fillId="6" borderId="26" xfId="0" applyFont="1" applyFill="1" applyBorder="1" applyAlignment="1">
      <alignment horizontal="center" vertical="center"/>
    </xf>
    <xf numFmtId="164" fontId="6" fillId="3" borderId="29" xfId="0" applyFont="1" applyFill="1" applyBorder="1" applyAlignment="1">
      <alignment horizontal="center" vertical="center"/>
    </xf>
    <xf numFmtId="164" fontId="6" fillId="3" borderId="29" xfId="0" applyFont="1" applyFill="1" applyBorder="1" applyAlignment="1">
      <alignment vertical="center"/>
    </xf>
    <xf numFmtId="164" fontId="6" fillId="3" borderId="10" xfId="0" applyFont="1" applyFill="1" applyBorder="1" applyAlignment="1">
      <alignment vertical="center"/>
    </xf>
    <xf numFmtId="164" fontId="3" fillId="4" borderId="30" xfId="0" applyFont="1" applyFill="1" applyBorder="1" applyAlignment="1">
      <alignment horizontal="center" vertical="center"/>
    </xf>
    <xf numFmtId="164" fontId="3" fillId="0" borderId="31" xfId="0" applyFont="1" applyBorder="1" applyAlignment="1">
      <alignment horizontal="center" vertical="center"/>
    </xf>
    <xf numFmtId="164" fontId="3" fillId="0" borderId="32" xfId="0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164" fontId="3" fillId="0" borderId="34" xfId="0" applyFont="1" applyBorder="1" applyAlignment="1">
      <alignment horizontal="center" vertical="center"/>
    </xf>
    <xf numFmtId="164" fontId="3" fillId="0" borderId="35" xfId="0" applyFont="1" applyBorder="1" applyAlignment="1">
      <alignment horizontal="center" vertical="center"/>
    </xf>
    <xf numFmtId="164" fontId="3" fillId="4" borderId="36" xfId="0" applyFont="1" applyFill="1" applyBorder="1" applyAlignment="1">
      <alignment horizontal="center" vertical="center"/>
    </xf>
    <xf numFmtId="164" fontId="3" fillId="0" borderId="37" xfId="0" applyFont="1" applyBorder="1" applyAlignment="1">
      <alignment horizontal="center" vertical="center"/>
    </xf>
    <xf numFmtId="164" fontId="3" fillId="0" borderId="38" xfId="0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10" fillId="2" borderId="0" xfId="0" applyFont="1" applyFill="1" applyBorder="1" applyAlignment="1">
      <alignment horizontal="center"/>
    </xf>
    <xf numFmtId="164" fontId="6" fillId="3" borderId="39" xfId="0" applyFont="1" applyFill="1" applyBorder="1" applyAlignment="1">
      <alignment horizontal="center"/>
    </xf>
    <xf numFmtId="164" fontId="6" fillId="3" borderId="40" xfId="0" applyFont="1" applyFill="1" applyBorder="1" applyAlignment="1">
      <alignment horizontal="center"/>
    </xf>
    <xf numFmtId="164" fontId="6" fillId="3" borderId="41" xfId="0" applyFont="1" applyFill="1" applyBorder="1" applyAlignment="1">
      <alignment horizontal="center"/>
    </xf>
    <xf numFmtId="164" fontId="6" fillId="3" borderId="42" xfId="0" applyFont="1" applyFill="1" applyBorder="1" applyAlignment="1">
      <alignment horizontal="center"/>
    </xf>
    <xf numFmtId="164" fontId="6" fillId="3" borderId="43" xfId="0" applyFont="1" applyFill="1" applyBorder="1" applyAlignment="1">
      <alignment horizontal="center"/>
    </xf>
    <xf numFmtId="164" fontId="6" fillId="3" borderId="44" xfId="0" applyFont="1" applyFill="1" applyBorder="1" applyAlignment="1">
      <alignment horizontal="center" vertical="center"/>
    </xf>
    <xf numFmtId="164" fontId="3" fillId="0" borderId="45" xfId="0" applyFont="1" applyBorder="1" applyAlignment="1">
      <alignment horizontal="center"/>
    </xf>
    <xf numFmtId="166" fontId="3" fillId="6" borderId="31" xfId="0" applyNumberFormat="1" applyFont="1" applyFill="1" applyBorder="1" applyAlignment="1">
      <alignment horizontal="center"/>
    </xf>
    <xf numFmtId="164" fontId="3" fillId="6" borderId="33" xfId="0" applyFont="1" applyFill="1" applyBorder="1" applyAlignment="1">
      <alignment horizontal="center"/>
    </xf>
    <xf numFmtId="164" fontId="3" fillId="0" borderId="46" xfId="0" applyFont="1" applyBorder="1" applyAlignment="1">
      <alignment horizontal="center"/>
    </xf>
    <xf numFmtId="164" fontId="3" fillId="6" borderId="46" xfId="0" applyFont="1" applyFill="1" applyBorder="1" applyAlignment="1">
      <alignment horizontal="center"/>
    </xf>
    <xf numFmtId="164" fontId="3" fillId="0" borderId="47" xfId="0" applyFont="1" applyBorder="1" applyAlignment="1">
      <alignment horizontal="center"/>
    </xf>
    <xf numFmtId="164" fontId="6" fillId="7" borderId="48" xfId="0" applyFont="1" applyFill="1" applyBorder="1" applyAlignment="1">
      <alignment horizontal="center" vertical="center"/>
    </xf>
    <xf numFmtId="164" fontId="3" fillId="0" borderId="49" xfId="0" applyFont="1" applyFill="1" applyBorder="1" applyAlignment="1">
      <alignment horizontal="center" vertical="center"/>
    </xf>
    <xf numFmtId="164" fontId="6" fillId="7" borderId="50" xfId="0" applyFont="1" applyFill="1" applyBorder="1" applyAlignment="1">
      <alignment horizontal="center" vertical="center"/>
    </xf>
    <xf numFmtId="164" fontId="3" fillId="0" borderId="51" xfId="0" applyFont="1" applyBorder="1" applyAlignment="1">
      <alignment horizontal="center" vertical="center"/>
    </xf>
    <xf numFmtId="164" fontId="6" fillId="7" borderId="52" xfId="0" applyFont="1" applyFill="1" applyBorder="1" applyAlignment="1">
      <alignment horizontal="center" vertical="center"/>
    </xf>
    <xf numFmtId="164" fontId="3" fillId="0" borderId="53" xfId="0" applyFont="1" applyBorder="1" applyAlignment="1">
      <alignment horizontal="center" vertical="center"/>
    </xf>
    <xf numFmtId="164" fontId="6" fillId="7" borderId="54" xfId="0" applyFont="1" applyFill="1" applyBorder="1" applyAlignment="1">
      <alignment horizontal="center" vertical="center"/>
    </xf>
    <xf numFmtId="164" fontId="6" fillId="7" borderId="55" xfId="0" applyFont="1" applyFill="1" applyBorder="1" applyAlignment="1">
      <alignment horizontal="center" vertical="center"/>
    </xf>
    <xf numFmtId="164" fontId="3" fillId="4" borderId="50" xfId="0" applyFont="1" applyFill="1" applyBorder="1" applyAlignment="1">
      <alignment horizontal="center" vertical="center"/>
    </xf>
    <xf numFmtId="167" fontId="3" fillId="0" borderId="31" xfId="0" applyNumberFormat="1" applyFont="1" applyBorder="1" applyAlignment="1">
      <alignment horizontal="center" vertical="center"/>
    </xf>
    <xf numFmtId="164" fontId="3" fillId="6" borderId="56" xfId="0" applyFont="1" applyFill="1" applyBorder="1" applyAlignment="1">
      <alignment horizontal="center"/>
    </xf>
    <xf numFmtId="164" fontId="3" fillId="0" borderId="57" xfId="0" applyFont="1" applyBorder="1" applyAlignment="1">
      <alignment horizontal="center"/>
    </xf>
    <xf numFmtId="164" fontId="3" fillId="6" borderId="57" xfId="0" applyFont="1" applyFill="1" applyBorder="1" applyAlignment="1">
      <alignment horizontal="center"/>
    </xf>
    <xf numFmtId="164" fontId="3" fillId="0" borderId="58" xfId="0" applyFont="1" applyBorder="1" applyAlignment="1">
      <alignment horizontal="center"/>
    </xf>
    <xf numFmtId="164" fontId="6" fillId="7" borderId="59" xfId="0" applyFont="1" applyFill="1" applyBorder="1" applyAlignment="1">
      <alignment horizontal="center"/>
    </xf>
    <xf numFmtId="164" fontId="3" fillId="0" borderId="60" xfId="0" applyFont="1" applyBorder="1" applyAlignment="1">
      <alignment horizontal="center"/>
    </xf>
    <xf numFmtId="164" fontId="3" fillId="4" borderId="52" xfId="0" applyFont="1" applyFill="1" applyBorder="1" applyAlignment="1">
      <alignment horizontal="center" vertical="center"/>
    </xf>
    <xf numFmtId="167" fontId="3" fillId="0" borderId="61" xfId="0" applyNumberFormat="1" applyFont="1" applyBorder="1" applyAlignment="1">
      <alignment horizontal="center" vertical="center"/>
    </xf>
    <xf numFmtId="164" fontId="6" fillId="7" borderId="62" xfId="0" applyFont="1" applyFill="1" applyBorder="1" applyAlignment="1">
      <alignment/>
    </xf>
    <xf numFmtId="164" fontId="3" fillId="0" borderId="63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6" fillId="7" borderId="39" xfId="0" applyFont="1" applyFill="1" applyBorder="1" applyAlignment="1">
      <alignment/>
    </xf>
    <xf numFmtId="164" fontId="3" fillId="0" borderId="64" xfId="0" applyFont="1" applyBorder="1" applyAlignment="1">
      <alignment horizontal="center"/>
    </xf>
    <xf numFmtId="164" fontId="3" fillId="0" borderId="65" xfId="0" applyFont="1" applyBorder="1" applyAlignment="1">
      <alignment horizontal="center"/>
    </xf>
    <xf numFmtId="164" fontId="6" fillId="7" borderId="45" xfId="0" applyFont="1" applyFill="1" applyBorder="1" applyAlignment="1">
      <alignment/>
    </xf>
    <xf numFmtId="164" fontId="3" fillId="6" borderId="66" xfId="0" applyFont="1" applyFill="1" applyBorder="1" applyAlignment="1">
      <alignment horizontal="center"/>
    </xf>
    <xf numFmtId="164" fontId="6" fillId="7" borderId="67" xfId="0" applyFont="1" applyFill="1" applyBorder="1" applyAlignment="1">
      <alignment/>
    </xf>
    <xf numFmtId="164" fontId="3" fillId="0" borderId="68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0" fillId="0" borderId="0" xfId="0" applyFont="1" applyAlignment="1">
      <alignment horizontal="right" vertical="center"/>
    </xf>
    <xf numFmtId="164" fontId="6" fillId="7" borderId="69" xfId="0" applyFont="1" applyFill="1" applyBorder="1" applyAlignment="1">
      <alignment horizontal="center" vertical="center"/>
    </xf>
    <xf numFmtId="164" fontId="6" fillId="7" borderId="40" xfId="0" applyFont="1" applyFill="1" applyBorder="1" applyAlignment="1">
      <alignment horizontal="center" vertical="center"/>
    </xf>
    <xf numFmtId="164" fontId="6" fillId="7" borderId="70" xfId="0" applyFont="1" applyFill="1" applyBorder="1" applyAlignment="1">
      <alignment horizontal="center" vertical="center"/>
    </xf>
    <xf numFmtId="164" fontId="6" fillId="7" borderId="71" xfId="0" applyFont="1" applyFill="1" applyBorder="1" applyAlignment="1">
      <alignment horizontal="center" vertical="center"/>
    </xf>
    <xf numFmtId="164" fontId="6" fillId="7" borderId="72" xfId="0" applyFont="1" applyFill="1" applyBorder="1" applyAlignment="1">
      <alignment horizontal="center" vertical="center"/>
    </xf>
    <xf numFmtId="164" fontId="6" fillId="7" borderId="42" xfId="0" applyFont="1" applyFill="1" applyBorder="1" applyAlignment="1">
      <alignment horizontal="center" vertical="center"/>
    </xf>
    <xf numFmtId="164" fontId="6" fillId="7" borderId="43" xfId="0" applyFont="1" applyFill="1" applyBorder="1" applyAlignment="1">
      <alignment horizontal="center" vertical="center"/>
    </xf>
    <xf numFmtId="164" fontId="6" fillId="7" borderId="73" xfId="0" applyFont="1" applyFill="1" applyBorder="1" applyAlignment="1">
      <alignment horizontal="center" vertical="center"/>
    </xf>
    <xf numFmtId="164" fontId="6" fillId="7" borderId="74" xfId="0" applyFont="1" applyFill="1" applyBorder="1" applyAlignment="1">
      <alignment horizontal="center" vertical="center"/>
    </xf>
    <xf numFmtId="164" fontId="3" fillId="0" borderId="46" xfId="0" applyFont="1" applyFill="1" applyBorder="1" applyAlignment="1">
      <alignment horizontal="center" vertical="center"/>
    </xf>
    <xf numFmtId="164" fontId="3" fillId="0" borderId="47" xfId="0" applyFont="1" applyFill="1" applyBorder="1" applyAlignment="1">
      <alignment horizontal="center" vertical="center"/>
    </xf>
    <xf numFmtId="164" fontId="6" fillId="8" borderId="73" xfId="0" applyFont="1" applyFill="1" applyBorder="1" applyAlignment="1">
      <alignment horizontal="center" vertical="center"/>
    </xf>
    <xf numFmtId="164" fontId="6" fillId="8" borderId="31" xfId="0" applyFont="1" applyFill="1" applyBorder="1" applyAlignment="1">
      <alignment horizontal="center" vertical="center"/>
    </xf>
    <xf numFmtId="164" fontId="6" fillId="8" borderId="75" xfId="0" applyFont="1" applyFill="1" applyBorder="1" applyAlignment="1">
      <alignment horizontal="center" vertical="center"/>
    </xf>
    <xf numFmtId="164" fontId="3" fillId="0" borderId="31" xfId="0" applyFont="1" applyFill="1" applyBorder="1" applyAlignment="1">
      <alignment horizontal="center" vertical="center"/>
    </xf>
    <xf numFmtId="164" fontId="3" fillId="4" borderId="76" xfId="0" applyFont="1" applyFill="1" applyBorder="1" applyAlignment="1">
      <alignment horizontal="center" vertical="center"/>
    </xf>
    <xf numFmtId="164" fontId="3" fillId="4" borderId="77" xfId="0" applyFont="1" applyFill="1" applyBorder="1" applyAlignment="1">
      <alignment horizontal="center" vertical="center"/>
    </xf>
    <xf numFmtId="164" fontId="3" fillId="4" borderId="78" xfId="0" applyFont="1" applyFill="1" applyBorder="1" applyAlignment="1">
      <alignment horizontal="center" vertical="center"/>
    </xf>
    <xf numFmtId="164" fontId="3" fillId="8" borderId="31" xfId="0" applyFont="1" applyFill="1" applyBorder="1" applyAlignment="1">
      <alignment horizontal="center" vertical="center"/>
    </xf>
    <xf numFmtId="164" fontId="3" fillId="4" borderId="31" xfId="0" applyFont="1" applyFill="1" applyBorder="1" applyAlignment="1">
      <alignment horizontal="center" vertical="center"/>
    </xf>
    <xf numFmtId="164" fontId="3" fillId="8" borderId="75" xfId="0" applyFont="1" applyFill="1" applyBorder="1" applyAlignment="1">
      <alignment horizontal="center" vertical="center"/>
    </xf>
    <xf numFmtId="164" fontId="6" fillId="7" borderId="79" xfId="0" applyFont="1" applyFill="1" applyBorder="1" applyAlignment="1">
      <alignment horizontal="center" vertical="center"/>
    </xf>
    <xf numFmtId="164" fontId="3" fillId="0" borderId="57" xfId="0" applyFont="1" applyFill="1" applyBorder="1" applyAlignment="1">
      <alignment horizontal="center" vertical="center"/>
    </xf>
    <xf numFmtId="164" fontId="3" fillId="0" borderId="58" xfId="0" applyFont="1" applyFill="1" applyBorder="1" applyAlignment="1">
      <alignment horizontal="center" vertical="center"/>
    </xf>
    <xf numFmtId="164" fontId="3" fillId="0" borderId="80" xfId="0" applyFont="1" applyFill="1" applyBorder="1" applyAlignment="1">
      <alignment horizontal="center" vertical="center"/>
    </xf>
    <xf numFmtId="164" fontId="3" fillId="0" borderId="43" xfId="0" applyFont="1" applyBorder="1" applyAlignment="1">
      <alignment horizontal="center" vertical="center"/>
    </xf>
    <xf numFmtId="164" fontId="3" fillId="0" borderId="47" xfId="0" applyFont="1" applyBorder="1" applyAlignment="1">
      <alignment horizontal="center" vertical="center"/>
    </xf>
    <xf numFmtId="164" fontId="6" fillId="7" borderId="45" xfId="0" applyFont="1" applyFill="1" applyBorder="1" applyAlignment="1">
      <alignment horizontal="center" vertical="center"/>
    </xf>
    <xf numFmtId="164" fontId="3" fillId="4" borderId="47" xfId="0" applyFont="1" applyFill="1" applyBorder="1" applyAlignment="1">
      <alignment horizontal="center" vertical="center"/>
    </xf>
    <xf numFmtId="164" fontId="3" fillId="0" borderId="58" xfId="0" applyFont="1" applyBorder="1" applyAlignment="1">
      <alignment horizontal="center" vertical="center"/>
    </xf>
    <xf numFmtId="164" fontId="3" fillId="4" borderId="81" xfId="0" applyFont="1" applyFill="1" applyBorder="1" applyAlignment="1">
      <alignment horizontal="center" vertical="center"/>
    </xf>
    <xf numFmtId="164" fontId="3" fillId="8" borderId="81" xfId="0" applyFont="1" applyFill="1" applyBorder="1" applyAlignment="1">
      <alignment vertical="center"/>
    </xf>
    <xf numFmtId="164" fontId="3" fillId="8" borderId="30" xfId="0" applyFont="1" applyFill="1" applyBorder="1" applyAlignment="1">
      <alignment vertical="center"/>
    </xf>
    <xf numFmtId="164" fontId="3" fillId="0" borderId="81" xfId="0" applyFont="1" applyFill="1" applyBorder="1" applyAlignment="1">
      <alignment horizontal="center" vertical="center"/>
    </xf>
    <xf numFmtId="164" fontId="6" fillId="7" borderId="82" xfId="0" applyFont="1" applyFill="1" applyBorder="1" applyAlignment="1">
      <alignment horizontal="center" vertical="center"/>
    </xf>
    <xf numFmtId="164" fontId="3" fillId="0" borderId="83" xfId="0" applyFont="1" applyFill="1" applyBorder="1" applyAlignment="1">
      <alignment horizontal="center" vertical="center"/>
    </xf>
    <xf numFmtId="164" fontId="3" fillId="0" borderId="83" xfId="0" applyFont="1" applyBorder="1" applyAlignment="1">
      <alignment horizontal="center" vertical="center"/>
    </xf>
    <xf numFmtId="164" fontId="3" fillId="4" borderId="84" xfId="0" applyFont="1" applyFill="1" applyBorder="1" applyAlignment="1">
      <alignment horizontal="center" vertical="center"/>
    </xf>
    <xf numFmtId="164" fontId="3" fillId="0" borderId="85" xfId="0" applyFont="1" applyBorder="1" applyAlignment="1">
      <alignment horizontal="center" vertical="center"/>
    </xf>
    <xf numFmtId="164" fontId="3" fillId="0" borderId="86" xfId="0" applyFont="1" applyFill="1" applyBorder="1" applyAlignment="1">
      <alignment horizontal="center" vertical="center"/>
    </xf>
    <xf numFmtId="164" fontId="3" fillId="0" borderId="85" xfId="0" applyFont="1" applyFill="1" applyBorder="1" applyAlignment="1">
      <alignment horizontal="center" vertical="center"/>
    </xf>
    <xf numFmtId="164" fontId="3" fillId="0" borderId="61" xfId="0" applyFont="1" applyBorder="1" applyAlignment="1">
      <alignment horizontal="center" vertical="center"/>
    </xf>
    <xf numFmtId="164" fontId="3" fillId="0" borderId="87" xfId="0" applyFont="1" applyFill="1" applyBorder="1" applyAlignment="1">
      <alignment horizontal="center" vertical="center"/>
    </xf>
    <xf numFmtId="164" fontId="3" fillId="0" borderId="61" xfId="0" applyFont="1" applyFill="1" applyBorder="1" applyAlignment="1">
      <alignment horizontal="center" vertical="center"/>
    </xf>
    <xf numFmtId="164" fontId="3" fillId="4" borderId="79" xfId="0" applyFont="1" applyFill="1" applyBorder="1" applyAlignment="1">
      <alignment horizontal="center" vertical="center"/>
    </xf>
    <xf numFmtId="164" fontId="3" fillId="4" borderId="57" xfId="0" applyFont="1" applyFill="1" applyBorder="1" applyAlignment="1">
      <alignment horizontal="center" vertical="center"/>
    </xf>
    <xf numFmtId="164" fontId="3" fillId="4" borderId="58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12" fillId="0" borderId="0" xfId="0" applyFont="1" applyFill="1" applyAlignment="1">
      <alignment vertical="center"/>
    </xf>
    <xf numFmtId="164" fontId="12" fillId="0" borderId="0" xfId="0" applyFont="1" applyFill="1" applyAlignment="1">
      <alignment horizontal="center" vertical="center"/>
    </xf>
    <xf numFmtId="164" fontId="13" fillId="0" borderId="0" xfId="0" applyFont="1" applyAlignment="1">
      <alignment horizontal="left" vertical="center"/>
    </xf>
    <xf numFmtId="164" fontId="14" fillId="3" borderId="59" xfId="0" applyFont="1" applyFill="1" applyBorder="1" applyAlignment="1">
      <alignment horizontal="center" vertical="center"/>
    </xf>
    <xf numFmtId="164" fontId="14" fillId="3" borderId="80" xfId="0" applyFont="1" applyFill="1" applyBorder="1" applyAlignment="1">
      <alignment horizontal="center" vertical="center"/>
    </xf>
    <xf numFmtId="164" fontId="14" fillId="3" borderId="60" xfId="0" applyNumberFormat="1" applyFont="1" applyFill="1" applyBorder="1" applyAlignment="1">
      <alignment horizontal="center" vertical="center"/>
    </xf>
    <xf numFmtId="164" fontId="3" fillId="0" borderId="82" xfId="0" applyFont="1" applyFill="1" applyBorder="1" applyAlignment="1">
      <alignment horizontal="center" vertical="center"/>
    </xf>
    <xf numFmtId="164" fontId="3" fillId="0" borderId="88" xfId="0" applyFont="1" applyFill="1" applyBorder="1" applyAlignment="1">
      <alignment horizontal="center" vertical="center"/>
    </xf>
    <xf numFmtId="164" fontId="3" fillId="0" borderId="89" xfId="0" applyFont="1" applyBorder="1" applyAlignment="1">
      <alignment horizontal="center" vertical="center"/>
    </xf>
    <xf numFmtId="164" fontId="3" fillId="0" borderId="42" xfId="0" applyFont="1" applyBorder="1" applyAlignment="1">
      <alignment horizontal="center" vertical="center"/>
    </xf>
    <xf numFmtId="164" fontId="3" fillId="9" borderId="42" xfId="0" applyFont="1" applyFill="1" applyBorder="1" applyAlignment="1">
      <alignment horizontal="center" vertical="center"/>
    </xf>
    <xf numFmtId="164" fontId="3" fillId="4" borderId="90" xfId="0" applyNumberFormat="1" applyFont="1" applyFill="1" applyBorder="1" applyAlignment="1">
      <alignment horizontal="center" vertical="center"/>
    </xf>
    <xf numFmtId="164" fontId="3" fillId="4" borderId="43" xfId="0" applyNumberFormat="1" applyFont="1" applyFill="1" applyBorder="1" applyAlignment="1">
      <alignment horizontal="center" vertical="center"/>
    </xf>
    <xf numFmtId="164" fontId="3" fillId="0" borderId="81" xfId="0" applyFont="1" applyBorder="1" applyAlignment="1">
      <alignment horizontal="center" vertical="center"/>
    </xf>
    <xf numFmtId="164" fontId="3" fillId="0" borderId="46" xfId="0" applyFont="1" applyBorder="1" applyAlignment="1">
      <alignment horizontal="center" vertical="center"/>
    </xf>
    <xf numFmtId="164" fontId="3" fillId="9" borderId="46" xfId="0" applyFont="1" applyFill="1" applyBorder="1" applyAlignment="1">
      <alignment horizontal="center" vertical="center"/>
    </xf>
    <xf numFmtId="164" fontId="3" fillId="9" borderId="20" xfId="0" applyNumberFormat="1" applyFont="1" applyFill="1" applyBorder="1" applyAlignment="1">
      <alignment horizontal="center" vertical="center"/>
    </xf>
    <xf numFmtId="164" fontId="3" fillId="4" borderId="47" xfId="0" applyNumberFormat="1" applyFont="1" applyFill="1" applyBorder="1" applyAlignment="1">
      <alignment horizontal="center" vertical="center"/>
    </xf>
    <xf numFmtId="164" fontId="3" fillId="0" borderId="86" xfId="0" applyFont="1" applyBorder="1" applyAlignment="1">
      <alignment horizontal="center" vertical="center"/>
    </xf>
    <xf numFmtId="164" fontId="3" fillId="0" borderId="77" xfId="0" applyFont="1" applyBorder="1" applyAlignment="1">
      <alignment horizontal="center" vertical="center"/>
    </xf>
    <xf numFmtId="164" fontId="3" fillId="9" borderId="77" xfId="0" applyFont="1" applyFill="1" applyBorder="1" applyAlignment="1">
      <alignment horizontal="center" vertical="center"/>
    </xf>
    <xf numFmtId="164" fontId="3" fillId="4" borderId="78" xfId="0" applyNumberFormat="1" applyFont="1" applyFill="1" applyBorder="1" applyAlignment="1">
      <alignment horizontal="center" vertical="center"/>
    </xf>
    <xf numFmtId="164" fontId="3" fillId="4" borderId="91" xfId="0" applyNumberFormat="1" applyFont="1" applyFill="1" applyBorder="1" applyAlignment="1">
      <alignment horizontal="center" vertical="center"/>
    </xf>
    <xf numFmtId="164" fontId="3" fillId="0" borderId="92" xfId="0" applyFont="1" applyBorder="1" applyAlignment="1">
      <alignment horizontal="center" vertical="center"/>
    </xf>
    <xf numFmtId="164" fontId="3" fillId="0" borderId="93" xfId="0" applyFont="1" applyBorder="1" applyAlignment="1">
      <alignment horizontal="center" vertical="center"/>
    </xf>
    <xf numFmtId="164" fontId="3" fillId="4" borderId="93" xfId="0" applyFont="1" applyFill="1" applyBorder="1" applyAlignment="1">
      <alignment horizontal="center" vertical="center"/>
    </xf>
    <xf numFmtId="164" fontId="3" fillId="4" borderId="94" xfId="0" applyNumberFormat="1" applyFont="1" applyFill="1" applyBorder="1" applyAlignment="1">
      <alignment horizontal="center" vertical="center"/>
    </xf>
    <xf numFmtId="164" fontId="3" fillId="0" borderId="87" xfId="0" applyFont="1" applyBorder="1" applyAlignment="1">
      <alignment horizontal="center" vertical="center"/>
    </xf>
    <xf numFmtId="164" fontId="3" fillId="0" borderId="57" xfId="0" applyFont="1" applyBorder="1" applyAlignment="1">
      <alignment horizontal="center" vertical="center"/>
    </xf>
    <xf numFmtId="164" fontId="3" fillId="4" borderId="58" xfId="0" applyNumberFormat="1" applyFont="1" applyFill="1" applyBorder="1" applyAlignment="1">
      <alignment horizontal="center" vertical="center"/>
    </xf>
    <xf numFmtId="164" fontId="3" fillId="0" borderId="48" xfId="0" applyFont="1" applyFill="1" applyBorder="1" applyAlignment="1">
      <alignment horizontal="center" vertical="center"/>
    </xf>
    <xf numFmtId="164" fontId="3" fillId="0" borderId="70" xfId="0" applyFont="1" applyFill="1" applyBorder="1" applyAlignment="1">
      <alignment horizontal="center" vertical="center"/>
    </xf>
    <xf numFmtId="164" fontId="3" fillId="0" borderId="95" xfId="0" applyFont="1" applyBorder="1" applyAlignment="1">
      <alignment horizontal="center" vertical="center"/>
    </xf>
    <xf numFmtId="164" fontId="3" fillId="4" borderId="63" xfId="0" applyFont="1" applyFill="1" applyBorder="1" applyAlignment="1">
      <alignment horizontal="center" vertical="center"/>
    </xf>
    <xf numFmtId="164" fontId="3" fillId="0" borderId="96" xfId="0" applyNumberFormat="1" applyFont="1" applyFill="1" applyBorder="1" applyAlignment="1">
      <alignment horizontal="center" vertical="center"/>
    </xf>
    <xf numFmtId="164" fontId="3" fillId="4" borderId="97" xfId="0" applyFont="1" applyFill="1" applyBorder="1" applyAlignment="1">
      <alignment horizontal="center" vertical="center"/>
    </xf>
    <xf numFmtId="164" fontId="3" fillId="4" borderId="98" xfId="0" applyNumberFormat="1" applyFont="1" applyFill="1" applyBorder="1" applyAlignment="1">
      <alignment horizontal="center" vertical="center"/>
    </xf>
    <xf numFmtId="164" fontId="3" fillId="0" borderId="99" xfId="0" applyFont="1" applyFill="1" applyBorder="1" applyAlignment="1">
      <alignment horizontal="center" vertical="center"/>
    </xf>
    <xf numFmtId="164" fontId="3" fillId="0" borderId="96" xfId="0" applyFont="1" applyBorder="1" applyAlignment="1">
      <alignment horizontal="center" vertical="center"/>
    </xf>
    <xf numFmtId="164" fontId="3" fillId="5" borderId="96" xfId="0" applyNumberFormat="1" applyFont="1" applyFill="1" applyBorder="1" applyAlignment="1">
      <alignment horizontal="center" vertical="center"/>
    </xf>
    <xf numFmtId="164" fontId="3" fillId="5" borderId="80" xfId="0" applyFont="1" applyFill="1" applyBorder="1" applyAlignment="1">
      <alignment horizontal="center" vertical="center"/>
    </xf>
    <xf numFmtId="164" fontId="3" fillId="5" borderId="60" xfId="0" applyFont="1" applyFill="1" applyBorder="1" applyAlignment="1">
      <alignment horizontal="center" vertical="center"/>
    </xf>
    <xf numFmtId="164" fontId="3" fillId="4" borderId="80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4" fontId="14" fillId="3" borderId="100" xfId="0" applyFont="1" applyFill="1" applyBorder="1" applyAlignment="1">
      <alignment horizontal="center" vertical="center"/>
    </xf>
    <xf numFmtId="164" fontId="14" fillId="3" borderId="101" xfId="0" applyFont="1" applyFill="1" applyBorder="1" applyAlignment="1">
      <alignment horizontal="center" vertical="center"/>
    </xf>
    <xf numFmtId="164" fontId="14" fillId="3" borderId="102" xfId="0" applyFont="1" applyFill="1" applyBorder="1" applyAlignment="1">
      <alignment horizontal="center" vertical="center"/>
    </xf>
    <xf numFmtId="164" fontId="6" fillId="7" borderId="103" xfId="0" applyFont="1" applyFill="1" applyBorder="1" applyAlignment="1">
      <alignment horizontal="center" vertical="center"/>
    </xf>
    <xf numFmtId="164" fontId="6" fillId="7" borderId="104" xfId="0" applyFont="1" applyFill="1" applyBorder="1" applyAlignment="1">
      <alignment horizontal="center" vertical="center"/>
    </xf>
    <xf numFmtId="168" fontId="3" fillId="4" borderId="70" xfId="0" applyNumberFormat="1" applyFont="1" applyFill="1" applyBorder="1" applyAlignment="1">
      <alignment horizontal="center" vertical="center"/>
    </xf>
    <xf numFmtId="164" fontId="6" fillId="7" borderId="3" xfId="0" applyFont="1" applyFill="1" applyBorder="1" applyAlignment="1">
      <alignment horizontal="center" vertical="center"/>
    </xf>
    <xf numFmtId="164" fontId="14" fillId="3" borderId="105" xfId="0" applyFont="1" applyFill="1" applyBorder="1" applyAlignment="1">
      <alignment horizontal="center" vertical="center"/>
    </xf>
    <xf numFmtId="164" fontId="3" fillId="0" borderId="106" xfId="0" applyFont="1" applyBorder="1" applyAlignment="1">
      <alignment horizontal="center" vertical="center"/>
    </xf>
    <xf numFmtId="164" fontId="14" fillId="3" borderId="71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14" fillId="3" borderId="69" xfId="0" applyFont="1" applyFill="1" applyBorder="1" applyAlignment="1">
      <alignment horizontal="center" vertical="center"/>
    </xf>
    <xf numFmtId="164" fontId="6" fillId="7" borderId="40" xfId="0" applyNumberFormat="1" applyFont="1" applyFill="1" applyBorder="1" applyAlignment="1">
      <alignment horizontal="center" vertical="center"/>
    </xf>
    <xf numFmtId="164" fontId="6" fillId="7" borderId="89" xfId="0" applyFont="1" applyFill="1" applyBorder="1" applyAlignment="1">
      <alignment horizontal="center" vertical="center"/>
    </xf>
    <xf numFmtId="164" fontId="6" fillId="7" borderId="107" xfId="0" applyNumberFormat="1" applyFont="1" applyFill="1" applyBorder="1" applyAlignment="1">
      <alignment horizontal="center" vertical="center"/>
    </xf>
    <xf numFmtId="164" fontId="6" fillId="7" borderId="108" xfId="0" applyFont="1" applyFill="1" applyBorder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9" fontId="14" fillId="3" borderId="71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4" fontId="15" fillId="3" borderId="106" xfId="0" applyFont="1" applyFill="1" applyBorder="1" applyAlignment="1">
      <alignment horizontal="center" vertical="center" textRotation="90"/>
    </xf>
    <xf numFmtId="164" fontId="3" fillId="6" borderId="30" xfId="0" applyFont="1" applyFill="1" applyBorder="1" applyAlignment="1">
      <alignment horizontal="center" vertical="center"/>
    </xf>
    <xf numFmtId="164" fontId="6" fillId="7" borderId="20" xfId="0" applyFont="1" applyFill="1" applyBorder="1" applyAlignment="1">
      <alignment horizontal="center" vertical="center"/>
    </xf>
    <xf numFmtId="164" fontId="3" fillId="0" borderId="30" xfId="0" applyFont="1" applyBorder="1" applyAlignment="1">
      <alignment horizontal="center" vertical="center"/>
    </xf>
    <xf numFmtId="164" fontId="6" fillId="7" borderId="32" xfId="0" applyFont="1" applyFill="1" applyBorder="1" applyAlignment="1">
      <alignment horizontal="center" vertical="center"/>
    </xf>
    <xf numFmtId="164" fontId="6" fillId="7" borderId="76" xfId="0" applyFont="1" applyFill="1" applyBorder="1" applyAlignment="1">
      <alignment horizontal="center" vertical="center"/>
    </xf>
    <xf numFmtId="164" fontId="3" fillId="0" borderId="109" xfId="0" applyFont="1" applyFill="1" applyBorder="1" applyAlignment="1">
      <alignment horizontal="center" vertical="center"/>
    </xf>
    <xf numFmtId="164" fontId="3" fillId="0" borderId="110" xfId="0" applyFont="1" applyFill="1" applyBorder="1" applyAlignment="1">
      <alignment horizontal="center" vertical="center"/>
    </xf>
    <xf numFmtId="164" fontId="3" fillId="0" borderId="111" xfId="0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170" fontId="3" fillId="0" borderId="30" xfId="0" applyNumberFormat="1" applyFont="1" applyFill="1" applyBorder="1" applyAlignment="1">
      <alignment horizontal="center" vertical="center"/>
    </xf>
    <xf numFmtId="164" fontId="3" fillId="0" borderId="81" xfId="0" applyNumberFormat="1" applyFont="1" applyFill="1" applyBorder="1" applyAlignment="1">
      <alignment horizontal="center" vertical="center"/>
    </xf>
    <xf numFmtId="171" fontId="3" fillId="0" borderId="31" xfId="0" applyNumberFormat="1" applyFont="1" applyFill="1" applyBorder="1" applyAlignment="1">
      <alignment horizontal="center" vertical="center"/>
    </xf>
    <xf numFmtId="170" fontId="3" fillId="0" borderId="66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170" fontId="3" fillId="0" borderId="30" xfId="0" applyNumberFormat="1" applyFont="1" applyBorder="1" applyAlignment="1">
      <alignment horizontal="center" vertical="center"/>
    </xf>
    <xf numFmtId="170" fontId="3" fillId="0" borderId="20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9" fontId="3" fillId="0" borderId="84" xfId="0" applyNumberFormat="1" applyFont="1" applyFill="1" applyBorder="1" applyAlignment="1">
      <alignment horizontal="center" vertical="center"/>
    </xf>
    <xf numFmtId="164" fontId="3" fillId="0" borderId="112" xfId="0" applyNumberFormat="1" applyFont="1" applyFill="1" applyBorder="1" applyAlignment="1">
      <alignment horizontal="center" vertical="center"/>
    </xf>
    <xf numFmtId="164" fontId="6" fillId="7" borderId="81" xfId="0" applyFont="1" applyFill="1" applyBorder="1" applyAlignment="1">
      <alignment horizontal="center" vertical="center"/>
    </xf>
    <xf numFmtId="164" fontId="3" fillId="4" borderId="113" xfId="0" applyFont="1" applyFill="1" applyBorder="1" applyAlignment="1">
      <alignment horizontal="center" vertical="center"/>
    </xf>
    <xf numFmtId="164" fontId="9" fillId="0" borderId="30" xfId="0" applyFont="1" applyBorder="1" applyAlignment="1">
      <alignment horizontal="center" vertical="center"/>
    </xf>
    <xf numFmtId="164" fontId="6" fillId="7" borderId="114" xfId="0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left" vertical="center"/>
    </xf>
    <xf numFmtId="164" fontId="6" fillId="7" borderId="115" xfId="0" applyFont="1" applyFill="1" applyBorder="1" applyAlignment="1">
      <alignment horizontal="center" vertical="center"/>
    </xf>
    <xf numFmtId="164" fontId="3" fillId="0" borderId="116" xfId="0" applyFont="1" applyBorder="1" applyAlignment="1">
      <alignment horizontal="center" vertical="center"/>
    </xf>
    <xf numFmtId="164" fontId="3" fillId="0" borderId="18" xfId="0" applyFont="1" applyBorder="1" applyAlignment="1">
      <alignment horizontal="center" vertical="center"/>
    </xf>
    <xf numFmtId="164" fontId="6" fillId="7" borderId="81" xfId="0" applyNumberFormat="1" applyFont="1" applyFill="1" applyBorder="1" applyAlignment="1">
      <alignment vertical="center"/>
    </xf>
    <xf numFmtId="164" fontId="3" fillId="0" borderId="117" xfId="0" applyNumberFormat="1" applyFont="1" applyFill="1" applyBorder="1" applyAlignment="1">
      <alignment horizontal="center" vertical="center"/>
    </xf>
    <xf numFmtId="164" fontId="9" fillId="0" borderId="117" xfId="0" applyFont="1" applyBorder="1" applyAlignment="1">
      <alignment horizontal="center" vertical="center" wrapText="1"/>
    </xf>
    <xf numFmtId="164" fontId="6" fillId="7" borderId="118" xfId="0" applyFont="1" applyFill="1" applyBorder="1" applyAlignment="1">
      <alignment horizontal="center" vertical="center"/>
    </xf>
    <xf numFmtId="164" fontId="3" fillId="0" borderId="119" xfId="0" applyFont="1" applyFill="1" applyBorder="1" applyAlignment="1">
      <alignment horizontal="center" vertical="center"/>
    </xf>
    <xf numFmtId="164" fontId="3" fillId="0" borderId="120" xfId="0" applyFont="1" applyFill="1" applyBorder="1" applyAlignment="1">
      <alignment horizontal="center" vertical="center"/>
    </xf>
    <xf numFmtId="164" fontId="6" fillId="10" borderId="82" xfId="0" applyFont="1" applyFill="1" applyBorder="1" applyAlignment="1">
      <alignment horizontal="center" vertical="center"/>
    </xf>
    <xf numFmtId="164" fontId="3" fillId="0" borderId="121" xfId="0" applyFont="1" applyFill="1" applyBorder="1" applyAlignment="1">
      <alignment horizontal="center" vertical="center"/>
    </xf>
    <xf numFmtId="164" fontId="6" fillId="7" borderId="109" xfId="0" applyFont="1" applyFill="1" applyBorder="1" applyAlignment="1">
      <alignment horizontal="center" vertical="center"/>
    </xf>
    <xf numFmtId="164" fontId="3" fillId="6" borderId="122" xfId="0" applyFont="1" applyFill="1" applyBorder="1" applyAlignment="1">
      <alignment horizontal="center" vertical="center"/>
    </xf>
    <xf numFmtId="164" fontId="6" fillId="7" borderId="109" xfId="0" applyNumberFormat="1" applyFont="1" applyFill="1" applyBorder="1" applyAlignment="1">
      <alignment horizontal="center" vertical="center"/>
    </xf>
    <xf numFmtId="164" fontId="3" fillId="6" borderId="123" xfId="0" applyNumberFormat="1" applyFont="1" applyFill="1" applyBorder="1" applyAlignment="1">
      <alignment horizontal="center" vertical="center"/>
    </xf>
    <xf numFmtId="164" fontId="14" fillId="3" borderId="39" xfId="0" applyNumberFormat="1" applyFont="1" applyFill="1" applyBorder="1" applyAlignment="1">
      <alignment horizontal="center" vertical="center"/>
    </xf>
    <xf numFmtId="164" fontId="6" fillId="7" borderId="41" xfId="0" applyNumberFormat="1" applyFont="1" applyFill="1" applyBorder="1" applyAlignment="1">
      <alignment horizontal="center" vertical="center"/>
    </xf>
    <xf numFmtId="164" fontId="3" fillId="6" borderId="43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0" fontId="3" fillId="0" borderId="121" xfId="0" applyNumberFormat="1" applyFont="1" applyBorder="1" applyAlignment="1">
      <alignment horizontal="center" vertical="center"/>
    </xf>
    <xf numFmtId="170" fontId="3" fillId="0" borderId="122" xfId="0" applyNumberFormat="1" applyFont="1" applyBorder="1" applyAlignment="1">
      <alignment horizontal="center" vertical="center"/>
    </xf>
    <xf numFmtId="164" fontId="6" fillId="7" borderId="124" xfId="0" applyFont="1" applyFill="1" applyBorder="1" applyAlignment="1">
      <alignment horizontal="center" vertical="center"/>
    </xf>
    <xf numFmtId="164" fontId="3" fillId="0" borderId="125" xfId="0" applyFont="1" applyBorder="1" applyAlignment="1">
      <alignment horizontal="center" vertical="center"/>
    </xf>
    <xf numFmtId="164" fontId="14" fillId="3" borderId="1" xfId="0" applyFont="1" applyFill="1" applyBorder="1" applyAlignment="1">
      <alignment horizontal="center" vertical="center"/>
    </xf>
    <xf numFmtId="164" fontId="3" fillId="0" borderId="126" xfId="0" applyFont="1" applyFill="1" applyBorder="1" applyAlignment="1">
      <alignment horizontal="center" vertical="center"/>
    </xf>
    <xf numFmtId="164" fontId="16" fillId="7" borderId="33" xfId="0" applyFont="1" applyFill="1" applyBorder="1" applyAlignment="1">
      <alignment horizontal="center" vertical="center"/>
    </xf>
    <xf numFmtId="164" fontId="3" fillId="0" borderId="66" xfId="0" applyFont="1" applyBorder="1" applyAlignment="1">
      <alignment horizontal="center" vertical="center"/>
    </xf>
    <xf numFmtId="164" fontId="6" fillId="7" borderId="127" xfId="0" applyFont="1" applyFill="1" applyBorder="1" applyAlignment="1">
      <alignment horizontal="center" vertical="center"/>
    </xf>
    <xf numFmtId="164" fontId="6" fillId="7" borderId="128" xfId="0" applyFont="1" applyFill="1" applyBorder="1" applyAlignment="1">
      <alignment horizontal="center" vertical="center"/>
    </xf>
    <xf numFmtId="164" fontId="6" fillId="7" borderId="129" xfId="0" applyFont="1" applyFill="1" applyBorder="1" applyAlignment="1">
      <alignment horizontal="center" vertical="center"/>
    </xf>
    <xf numFmtId="164" fontId="6" fillId="7" borderId="130" xfId="0" applyFont="1" applyFill="1" applyBorder="1" applyAlignment="1">
      <alignment horizontal="center" vertical="center"/>
    </xf>
    <xf numFmtId="164" fontId="6" fillId="7" borderId="131" xfId="0" applyFont="1" applyFill="1" applyBorder="1" applyAlignment="1">
      <alignment horizontal="center" vertical="center"/>
    </xf>
    <xf numFmtId="164" fontId="6" fillId="10" borderId="69" xfId="0" applyFont="1" applyFill="1" applyBorder="1" applyAlignment="1">
      <alignment horizontal="center" vertical="center"/>
    </xf>
    <xf numFmtId="164" fontId="3" fillId="0" borderId="108" xfId="0" applyFont="1" applyFill="1" applyBorder="1" applyAlignment="1">
      <alignment horizontal="center" vertical="center"/>
    </xf>
    <xf numFmtId="164" fontId="3" fillId="7" borderId="54" xfId="0" applyFont="1" applyFill="1" applyBorder="1" applyAlignment="1">
      <alignment horizontal="center" vertical="center"/>
    </xf>
    <xf numFmtId="164" fontId="6" fillId="7" borderId="132" xfId="0" applyFont="1" applyFill="1" applyBorder="1" applyAlignment="1">
      <alignment horizontal="right" vertical="center"/>
    </xf>
    <xf numFmtId="164" fontId="6" fillId="7" borderId="133" xfId="0" applyFont="1" applyFill="1" applyBorder="1" applyAlignment="1">
      <alignment horizontal="center" vertical="center"/>
    </xf>
    <xf numFmtId="164" fontId="6" fillId="7" borderId="47" xfId="0" applyFont="1" applyFill="1" applyBorder="1" applyAlignment="1">
      <alignment horizontal="center" vertical="center"/>
    </xf>
    <xf numFmtId="164" fontId="6" fillId="7" borderId="18" xfId="0" applyFont="1" applyFill="1" applyBorder="1" applyAlignment="1">
      <alignment horizontal="center" vertical="center"/>
    </xf>
    <xf numFmtId="164" fontId="6" fillId="7" borderId="134" xfId="0" applyFont="1" applyFill="1" applyBorder="1" applyAlignment="1">
      <alignment horizontal="center" vertical="center"/>
    </xf>
    <xf numFmtId="164" fontId="3" fillId="6" borderId="110" xfId="0" applyFont="1" applyFill="1" applyBorder="1" applyAlignment="1">
      <alignment horizontal="center" vertical="center"/>
    </xf>
    <xf numFmtId="164" fontId="16" fillId="7" borderId="56" xfId="0" applyFont="1" applyFill="1" applyBorder="1" applyAlignment="1">
      <alignment horizontal="center" vertical="center"/>
    </xf>
    <xf numFmtId="164" fontId="3" fillId="0" borderId="135" xfId="0" applyFont="1" applyBorder="1" applyAlignment="1">
      <alignment horizontal="center" vertical="center"/>
    </xf>
    <xf numFmtId="164" fontId="3" fillId="0" borderId="136" xfId="0" applyFont="1" applyFill="1" applyBorder="1" applyAlignment="1">
      <alignment horizontal="center" vertical="center"/>
    </xf>
    <xf numFmtId="164" fontId="3" fillId="0" borderId="137" xfId="0" applyNumberFormat="1" applyFont="1" applyFill="1" applyBorder="1" applyAlignment="1">
      <alignment horizontal="center" vertical="center"/>
    </xf>
    <xf numFmtId="164" fontId="3" fillId="0" borderId="138" xfId="0" applyFont="1" applyFill="1" applyBorder="1" applyAlignment="1">
      <alignment horizontal="center" vertical="center"/>
    </xf>
    <xf numFmtId="164" fontId="3" fillId="0" borderId="139" xfId="0" applyFont="1" applyFill="1" applyBorder="1" applyAlignment="1">
      <alignment horizontal="center" vertical="center"/>
    </xf>
    <xf numFmtId="169" fontId="6" fillId="7" borderId="51" xfId="0" applyNumberFormat="1" applyFont="1" applyFill="1" applyBorder="1" applyAlignment="1">
      <alignment horizontal="center" vertical="center"/>
    </xf>
    <xf numFmtId="172" fontId="3" fillId="0" borderId="31" xfId="0" applyNumberFormat="1" applyFont="1" applyFill="1" applyBorder="1" applyAlignment="1">
      <alignment horizontal="center" vertical="center"/>
    </xf>
    <xf numFmtId="164" fontId="6" fillId="10" borderId="84" xfId="0" applyFont="1" applyFill="1" applyBorder="1" applyAlignment="1">
      <alignment horizontal="center" vertical="center"/>
    </xf>
    <xf numFmtId="164" fontId="3" fillId="0" borderId="112" xfId="0" applyFont="1" applyFill="1" applyBorder="1" applyAlignment="1">
      <alignment horizontal="center" vertical="center"/>
    </xf>
    <xf numFmtId="164" fontId="3" fillId="0" borderId="0" xfId="0" applyFont="1" applyFill="1" applyAlignment="1">
      <alignment horizontal="left" vertical="center"/>
    </xf>
    <xf numFmtId="164" fontId="3" fillId="0" borderId="74" xfId="0" applyFont="1" applyBorder="1" applyAlignment="1">
      <alignment horizontal="center" vertical="center"/>
    </xf>
    <xf numFmtId="164" fontId="3" fillId="0" borderId="140" xfId="0" applyFont="1" applyBorder="1" applyAlignment="1">
      <alignment horizontal="center" vertical="center"/>
    </xf>
    <xf numFmtId="170" fontId="3" fillId="0" borderId="66" xfId="0" applyNumberFormat="1" applyFont="1" applyBorder="1" applyAlignment="1">
      <alignment horizontal="center" vertical="center"/>
    </xf>
    <xf numFmtId="164" fontId="6" fillId="7" borderId="141" xfId="0" applyFont="1" applyFill="1" applyBorder="1" applyAlignment="1">
      <alignment horizontal="center" vertical="center"/>
    </xf>
    <xf numFmtId="164" fontId="3" fillId="0" borderId="142" xfId="0" applyFont="1" applyBorder="1" applyAlignment="1">
      <alignment horizontal="center" vertical="center"/>
    </xf>
    <xf numFmtId="164" fontId="3" fillId="0" borderId="143" xfId="0" applyFont="1" applyBorder="1" applyAlignment="1">
      <alignment horizontal="center" vertical="center"/>
    </xf>
    <xf numFmtId="173" fontId="3" fillId="0" borderId="144" xfId="0" applyNumberFormat="1" applyFont="1" applyFill="1" applyBorder="1" applyAlignment="1">
      <alignment horizontal="center" vertical="center"/>
    </xf>
    <xf numFmtId="173" fontId="3" fillId="0" borderId="145" xfId="0" applyNumberFormat="1" applyFont="1" applyFill="1" applyBorder="1" applyAlignment="1">
      <alignment horizontal="center" vertical="center"/>
    </xf>
    <xf numFmtId="164" fontId="3" fillId="0" borderId="50" xfId="0" applyFont="1" applyBorder="1" applyAlignment="1">
      <alignment horizontal="center" vertical="center"/>
    </xf>
    <xf numFmtId="169" fontId="3" fillId="0" borderId="51" xfId="0" applyNumberFormat="1" applyFont="1" applyBorder="1" applyAlignment="1">
      <alignment horizontal="center" vertical="center"/>
    </xf>
    <xf numFmtId="164" fontId="17" fillId="0" borderId="31" xfId="0" applyNumberFormat="1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6" fillId="7" borderId="59" xfId="0" applyFont="1" applyFill="1" applyBorder="1" applyAlignment="1">
      <alignment horizontal="center" vertical="center"/>
    </xf>
    <xf numFmtId="164" fontId="3" fillId="0" borderId="97" xfId="0" applyFont="1" applyBorder="1" applyAlignment="1">
      <alignment horizontal="center" vertical="center"/>
    </xf>
    <xf numFmtId="164" fontId="3" fillId="0" borderId="3" xfId="0" applyFont="1" applyBorder="1" applyAlignment="1">
      <alignment horizontal="left" vertical="center"/>
    </xf>
    <xf numFmtId="169" fontId="6" fillId="7" borderId="50" xfId="0" applyNumberFormat="1" applyFont="1" applyFill="1" applyBorder="1" applyAlignment="1">
      <alignment horizontal="center" vertical="center"/>
    </xf>
    <xf numFmtId="164" fontId="3" fillId="0" borderId="53" xfId="0" applyFont="1" applyFill="1" applyBorder="1" applyAlignment="1">
      <alignment horizontal="center" vertical="center"/>
    </xf>
    <xf numFmtId="164" fontId="3" fillId="0" borderId="146" xfId="0" applyFont="1" applyBorder="1" applyAlignment="1">
      <alignment horizontal="left" vertical="center"/>
    </xf>
    <xf numFmtId="164" fontId="3" fillId="4" borderId="74" xfId="0" applyFont="1" applyFill="1" applyBorder="1" applyAlignment="1">
      <alignment horizontal="center" vertical="center"/>
    </xf>
    <xf numFmtId="164" fontId="3" fillId="0" borderId="66" xfId="0" applyFont="1" applyFill="1" applyBorder="1" applyAlignment="1">
      <alignment horizontal="center" vertical="center"/>
    </xf>
    <xf numFmtId="164" fontId="3" fillId="0" borderId="144" xfId="0" applyFont="1" applyFill="1" applyBorder="1" applyAlignment="1">
      <alignment horizontal="center" vertical="center"/>
    </xf>
    <xf numFmtId="164" fontId="3" fillId="0" borderId="145" xfId="0" applyFont="1" applyFill="1" applyBorder="1" applyAlignment="1">
      <alignment horizontal="center" vertical="center"/>
    </xf>
    <xf numFmtId="164" fontId="6" fillId="7" borderId="1" xfId="0" applyFont="1" applyFill="1" applyBorder="1" applyAlignment="1">
      <alignment horizontal="center" vertical="center"/>
    </xf>
    <xf numFmtId="164" fontId="3" fillId="0" borderId="147" xfId="0" applyFont="1" applyBorder="1" applyAlignment="1">
      <alignment horizontal="left" vertical="center"/>
    </xf>
    <xf numFmtId="164" fontId="3" fillId="4" borderId="115" xfId="0" applyFont="1" applyFill="1" applyBorder="1" applyAlignment="1">
      <alignment horizontal="center" vertical="center"/>
    </xf>
    <xf numFmtId="164" fontId="3" fillId="4" borderId="148" xfId="0" applyFont="1" applyFill="1" applyBorder="1" applyAlignment="1">
      <alignment horizontal="center" vertical="center"/>
    </xf>
    <xf numFmtId="164" fontId="3" fillId="0" borderId="43" xfId="0" applyFont="1" applyFill="1" applyBorder="1" applyAlignment="1">
      <alignment vertical="center"/>
    </xf>
    <xf numFmtId="169" fontId="6" fillId="7" borderId="52" xfId="0" applyNumberFormat="1" applyFont="1" applyFill="1" applyBorder="1" applyAlignment="1">
      <alignment horizontal="center" vertical="center"/>
    </xf>
    <xf numFmtId="164" fontId="3" fillId="0" borderId="61" xfId="0" applyNumberFormat="1" applyFont="1" applyFill="1" applyBorder="1" applyAlignment="1">
      <alignment horizontal="center" vertical="center"/>
    </xf>
    <xf numFmtId="164" fontId="3" fillId="0" borderId="53" xfId="0" applyNumberFormat="1" applyFont="1" applyFill="1" applyBorder="1" applyAlignment="1">
      <alignment horizontal="center" vertical="center"/>
    </xf>
    <xf numFmtId="164" fontId="3" fillId="0" borderId="5" xfId="0" applyFont="1" applyBorder="1" applyAlignment="1">
      <alignment horizontal="left" vertical="center"/>
    </xf>
    <xf numFmtId="164" fontId="3" fillId="4" borderId="32" xfId="0" applyFont="1" applyFill="1" applyBorder="1" applyAlignment="1">
      <alignment horizontal="center" vertical="center"/>
    </xf>
    <xf numFmtId="164" fontId="3" fillId="0" borderId="47" xfId="0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center" vertical="center"/>
    </xf>
    <xf numFmtId="164" fontId="6" fillId="10" borderId="50" xfId="0" applyFont="1" applyFill="1" applyBorder="1" applyAlignment="1">
      <alignment horizontal="center" vertical="center"/>
    </xf>
    <xf numFmtId="164" fontId="3" fillId="0" borderId="51" xfId="0" applyFont="1" applyFill="1" applyBorder="1" applyAlignment="1">
      <alignment horizontal="center" vertical="center"/>
    </xf>
    <xf numFmtId="164" fontId="6" fillId="7" borderId="67" xfId="0" applyFont="1" applyFill="1" applyBorder="1" applyAlignment="1">
      <alignment horizontal="center" vertical="center"/>
    </xf>
    <xf numFmtId="164" fontId="3" fillId="0" borderId="135" xfId="0" applyFont="1" applyBorder="1" applyAlignment="1">
      <alignment horizontal="left" vertical="center"/>
    </xf>
    <xf numFmtId="164" fontId="5" fillId="3" borderId="111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64" fontId="3" fillId="0" borderId="79" xfId="0" applyFont="1" applyBorder="1" applyAlignment="1">
      <alignment horizontal="center" vertical="center"/>
    </xf>
    <xf numFmtId="164" fontId="3" fillId="0" borderId="122" xfId="0" applyFont="1" applyFill="1" applyBorder="1" applyAlignment="1">
      <alignment horizontal="center" vertical="center"/>
    </xf>
    <xf numFmtId="164" fontId="3" fillId="0" borderId="123" xfId="0" applyFont="1" applyBorder="1" applyAlignment="1">
      <alignment horizontal="center" vertical="center"/>
    </xf>
    <xf numFmtId="170" fontId="3" fillId="0" borderId="135" xfId="0" applyNumberFormat="1" applyFont="1" applyBorder="1" applyAlignment="1">
      <alignment horizontal="center" vertical="center"/>
    </xf>
    <xf numFmtId="164" fontId="6" fillId="7" borderId="6" xfId="0" applyFont="1" applyFill="1" applyBorder="1" applyAlignment="1">
      <alignment horizontal="center" vertical="center"/>
    </xf>
    <xf numFmtId="164" fontId="3" fillId="0" borderId="68" xfId="0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/>
    </xf>
    <xf numFmtId="164" fontId="3" fillId="4" borderId="109" xfId="0" applyFont="1" applyFill="1" applyBorder="1" applyAlignment="1">
      <alignment horizontal="center" vertical="center"/>
    </xf>
    <xf numFmtId="164" fontId="3" fillId="0" borderId="58" xfId="0" applyFont="1" applyFill="1" applyBorder="1" applyAlignment="1">
      <alignment vertical="center"/>
    </xf>
    <xf numFmtId="164" fontId="6" fillId="7" borderId="107" xfId="0" applyFont="1" applyFill="1" applyBorder="1" applyAlignment="1">
      <alignment horizontal="center" vertical="center"/>
    </xf>
    <xf numFmtId="164" fontId="6" fillId="7" borderId="50" xfId="0" applyFont="1" applyFill="1" applyBorder="1" applyAlignment="1">
      <alignment horizontal="center"/>
    </xf>
    <xf numFmtId="173" fontId="3" fillId="0" borderId="31" xfId="0" applyNumberFormat="1" applyFont="1" applyBorder="1" applyAlignment="1">
      <alignment horizontal="center" vertical="center"/>
    </xf>
    <xf numFmtId="164" fontId="3" fillId="0" borderId="51" xfId="0" applyFont="1" applyBorder="1" applyAlignment="1">
      <alignment horizontal="left" vertical="center"/>
    </xf>
    <xf numFmtId="164" fontId="6" fillId="7" borderId="50" xfId="0" applyFont="1" applyFill="1" applyBorder="1" applyAlignment="1">
      <alignment horizontal="left" vertical="center"/>
    </xf>
    <xf numFmtId="164" fontId="3" fillId="0" borderId="81" xfId="0" applyNumberFormat="1" applyFont="1" applyBorder="1" applyAlignment="1">
      <alignment horizontal="center" vertical="center"/>
    </xf>
    <xf numFmtId="170" fontId="3" fillId="0" borderId="149" xfId="0" applyNumberFormat="1" applyFont="1" applyFill="1" applyBorder="1" applyAlignment="1">
      <alignment horizontal="center" vertical="center"/>
    </xf>
    <xf numFmtId="169" fontId="3" fillId="0" borderId="83" xfId="0" applyNumberFormat="1" applyFont="1" applyBorder="1" applyAlignment="1">
      <alignment horizontal="center" vertical="center"/>
    </xf>
    <xf numFmtId="164" fontId="3" fillId="4" borderId="45" xfId="0" applyFont="1" applyFill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6" fillId="10" borderId="52" xfId="0" applyFont="1" applyFill="1" applyBorder="1" applyAlignment="1">
      <alignment horizontal="center" vertical="center"/>
    </xf>
    <xf numFmtId="164" fontId="3" fillId="0" borderId="55" xfId="0" applyFont="1" applyBorder="1" applyAlignment="1">
      <alignment horizontal="center" vertical="center"/>
    </xf>
    <xf numFmtId="164" fontId="15" fillId="3" borderId="150" xfId="0" applyFont="1" applyFill="1" applyBorder="1" applyAlignment="1">
      <alignment horizontal="center" vertical="center" textRotation="90"/>
    </xf>
    <xf numFmtId="164" fontId="6" fillId="7" borderId="84" xfId="0" applyFont="1" applyFill="1" applyBorder="1" applyAlignment="1">
      <alignment horizontal="center" vertical="center"/>
    </xf>
    <xf numFmtId="164" fontId="3" fillId="4" borderId="85" xfId="0" applyFont="1" applyFill="1" applyBorder="1" applyAlignment="1">
      <alignment horizontal="center" vertical="center"/>
    </xf>
    <xf numFmtId="164" fontId="3" fillId="0" borderId="112" xfId="0" applyFont="1" applyBorder="1" applyAlignment="1">
      <alignment horizontal="center" vertical="center"/>
    </xf>
    <xf numFmtId="164" fontId="3" fillId="0" borderId="84" xfId="0" applyFont="1" applyBorder="1" applyAlignment="1">
      <alignment horizontal="center" vertical="center"/>
    </xf>
    <xf numFmtId="164" fontId="10" fillId="3" borderId="151" xfId="0" applyFont="1" applyFill="1" applyBorder="1" applyAlignment="1">
      <alignment/>
    </xf>
    <xf numFmtId="164" fontId="3" fillId="0" borderId="87" xfId="0" applyNumberFormat="1" applyFont="1" applyBorder="1" applyAlignment="1">
      <alignment horizontal="center" vertical="center"/>
    </xf>
    <xf numFmtId="164" fontId="3" fillId="0" borderId="121" xfId="0" applyFont="1" applyBorder="1" applyAlignment="1">
      <alignment horizontal="center" vertical="center"/>
    </xf>
    <xf numFmtId="170" fontId="3" fillId="0" borderId="135" xfId="0" applyNumberFormat="1" applyFont="1" applyFill="1" applyBorder="1" applyAlignment="1">
      <alignment horizontal="center" vertical="center"/>
    </xf>
    <xf numFmtId="164" fontId="14" fillId="3" borderId="106" xfId="0" applyFont="1" applyFill="1" applyBorder="1" applyAlignment="1">
      <alignment horizontal="center" vertical="center" textRotation="90"/>
    </xf>
    <xf numFmtId="164" fontId="6" fillId="7" borderId="152" xfId="0" applyFont="1" applyFill="1" applyBorder="1" applyAlignment="1">
      <alignment horizontal="center" vertical="center"/>
    </xf>
    <xf numFmtId="164" fontId="6" fillId="7" borderId="153" xfId="0" applyFont="1" applyFill="1" applyBorder="1" applyAlignment="1">
      <alignment horizontal="right" vertical="center"/>
    </xf>
    <xf numFmtId="164" fontId="6" fillId="7" borderId="154" xfId="0" applyFont="1" applyFill="1" applyBorder="1" applyAlignment="1">
      <alignment horizontal="center" vertical="center"/>
    </xf>
    <xf numFmtId="164" fontId="6" fillId="7" borderId="154" xfId="0" applyFont="1" applyFill="1" applyBorder="1" applyAlignment="1">
      <alignment vertical="center"/>
    </xf>
    <xf numFmtId="164" fontId="6" fillId="7" borderId="154" xfId="0" applyNumberFormat="1" applyFont="1" applyFill="1" applyBorder="1" applyAlignment="1">
      <alignment horizontal="center" vertical="center"/>
    </xf>
    <xf numFmtId="164" fontId="6" fillId="7" borderId="155" xfId="0" applyFont="1" applyFill="1" applyBorder="1" applyAlignment="1">
      <alignment horizontal="center" vertical="center"/>
    </xf>
    <xf numFmtId="164" fontId="3" fillId="0" borderId="156" xfId="0" applyFont="1" applyBorder="1" applyAlignment="1">
      <alignment horizontal="center" vertical="center"/>
    </xf>
    <xf numFmtId="164" fontId="3" fillId="0" borderId="156" xfId="0" applyFont="1" applyFill="1" applyBorder="1" applyAlignment="1">
      <alignment horizontal="center" vertical="center"/>
    </xf>
    <xf numFmtId="164" fontId="3" fillId="0" borderId="157" xfId="0" applyFont="1" applyBorder="1" applyAlignment="1">
      <alignment horizontal="center" vertical="center"/>
    </xf>
    <xf numFmtId="164" fontId="14" fillId="3" borderId="72" xfId="0" applyFont="1" applyFill="1" applyBorder="1" applyAlignment="1">
      <alignment horizontal="center" vertical="center"/>
    </xf>
    <xf numFmtId="164" fontId="6" fillId="7" borderId="89" xfId="0" applyFont="1" applyFill="1" applyBorder="1" applyAlignment="1">
      <alignment horizontal="right" vertical="center"/>
    </xf>
    <xf numFmtId="174" fontId="6" fillId="7" borderId="138" xfId="0" applyNumberFormat="1" applyFont="1" applyFill="1" applyBorder="1" applyAlignment="1">
      <alignment horizontal="left" vertical="center"/>
    </xf>
    <xf numFmtId="175" fontId="6" fillId="7" borderId="138" xfId="0" applyNumberFormat="1" applyFont="1" applyFill="1" applyBorder="1" applyAlignment="1">
      <alignment horizontal="right" vertical="center"/>
    </xf>
    <xf numFmtId="176" fontId="6" fillId="7" borderId="158" xfId="0" applyNumberFormat="1" applyFont="1" applyFill="1" applyBorder="1" applyAlignment="1">
      <alignment horizontal="left" vertical="center"/>
    </xf>
    <xf numFmtId="164" fontId="6" fillId="7" borderId="31" xfId="0" applyFont="1" applyFill="1" applyBorder="1" applyAlignment="1">
      <alignment horizontal="center" vertical="center"/>
    </xf>
    <xf numFmtId="165" fontId="3" fillId="4" borderId="50" xfId="0" applyNumberFormat="1" applyFont="1" applyFill="1" applyBorder="1" applyAlignment="1">
      <alignment horizontal="center" vertical="center"/>
    </xf>
    <xf numFmtId="164" fontId="9" fillId="0" borderId="51" xfId="0" applyFont="1" applyBorder="1" applyAlignment="1">
      <alignment horizontal="left" vertical="center"/>
    </xf>
    <xf numFmtId="164" fontId="3" fillId="0" borderId="0" xfId="0" applyFont="1" applyFill="1" applyAlignment="1">
      <alignment horizontal="center"/>
    </xf>
    <xf numFmtId="164" fontId="6" fillId="7" borderId="52" xfId="0" applyFont="1" applyFill="1" applyBorder="1" applyAlignment="1">
      <alignment horizontal="center"/>
    </xf>
    <xf numFmtId="164" fontId="14" fillId="3" borderId="71" xfId="0" applyFont="1" applyFill="1" applyBorder="1" applyAlignment="1">
      <alignment horizontal="center"/>
    </xf>
    <xf numFmtId="164" fontId="3" fillId="4" borderId="159" xfId="0" applyFont="1" applyFill="1" applyBorder="1" applyAlignment="1">
      <alignment horizontal="center" vertical="center"/>
    </xf>
    <xf numFmtId="164" fontId="3" fillId="0" borderId="160" xfId="0" applyFont="1" applyFill="1" applyBorder="1" applyAlignment="1">
      <alignment horizontal="center" vertical="center"/>
    </xf>
    <xf numFmtId="164" fontId="3" fillId="0" borderId="161" xfId="0" applyFont="1" applyFill="1" applyBorder="1" applyAlignment="1">
      <alignment horizontal="center" vertical="center"/>
    </xf>
    <xf numFmtId="164" fontId="6" fillId="10" borderId="69" xfId="0" applyFont="1" applyFill="1" applyBorder="1" applyAlignment="1">
      <alignment horizontal="center"/>
    </xf>
    <xf numFmtId="164" fontId="3" fillId="0" borderId="108" xfId="0" applyFont="1" applyBorder="1" applyAlignment="1">
      <alignment horizontal="center" vertical="center"/>
    </xf>
    <xf numFmtId="164" fontId="6" fillId="10" borderId="5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 vertical="center"/>
    </xf>
    <xf numFmtId="164" fontId="6" fillId="10" borderId="52" xfId="0" applyFont="1" applyFill="1" applyBorder="1" applyAlignment="1">
      <alignment horizontal="center"/>
    </xf>
    <xf numFmtId="165" fontId="3" fillId="4" borderId="52" xfId="0" applyNumberFormat="1" applyFont="1" applyFill="1" applyBorder="1" applyAlignment="1">
      <alignment horizontal="center" vertical="center"/>
    </xf>
    <xf numFmtId="164" fontId="3" fillId="4" borderId="61" xfId="0" applyFont="1" applyFill="1" applyBorder="1" applyAlignment="1">
      <alignment horizontal="center" vertical="center"/>
    </xf>
    <xf numFmtId="164" fontId="9" fillId="0" borderId="53" xfId="0" applyFont="1" applyBorder="1" applyAlignment="1">
      <alignment horizontal="left" vertical="center"/>
    </xf>
    <xf numFmtId="164" fontId="14" fillId="3" borderId="162" xfId="0" applyFont="1" applyFill="1" applyBorder="1" applyAlignment="1">
      <alignment horizontal="center" vertical="center"/>
    </xf>
    <xf numFmtId="164" fontId="14" fillId="3" borderId="158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left" vertical="center"/>
    </xf>
    <xf numFmtId="164" fontId="3" fillId="3" borderId="45" xfId="0" applyFont="1" applyFill="1" applyBorder="1" applyAlignment="1">
      <alignment horizontal="center" vertical="center"/>
    </xf>
    <xf numFmtId="164" fontId="6" fillId="7" borderId="90" xfId="0" applyFont="1" applyFill="1" applyBorder="1" applyAlignment="1">
      <alignment horizontal="right" vertical="center"/>
    </xf>
    <xf numFmtId="164" fontId="6" fillId="7" borderId="90" xfId="0" applyFont="1" applyFill="1" applyBorder="1" applyAlignment="1">
      <alignment horizontal="center" vertical="center"/>
    </xf>
    <xf numFmtId="164" fontId="6" fillId="7" borderId="158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Font="1" applyFill="1" applyAlignment="1">
      <alignment vertical="center"/>
    </xf>
    <xf numFmtId="165" fontId="3" fillId="4" borderId="84" xfId="0" applyNumberFormat="1" applyFont="1" applyFill="1" applyBorder="1" applyAlignment="1">
      <alignment horizontal="center" vertical="center"/>
    </xf>
    <xf numFmtId="164" fontId="9" fillId="0" borderId="112" xfId="0" applyFont="1" applyBorder="1" applyAlignment="1">
      <alignment horizontal="left" vertical="center"/>
    </xf>
    <xf numFmtId="164" fontId="6" fillId="7" borderId="82" xfId="0" applyNumberFormat="1" applyFont="1" applyFill="1" applyBorder="1" applyAlignment="1">
      <alignment horizontal="center" vertical="center"/>
    </xf>
    <xf numFmtId="164" fontId="6" fillId="7" borderId="60" xfId="0" applyNumberFormat="1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horizontal="center" vertical="center"/>
    </xf>
    <xf numFmtId="164" fontId="10" fillId="3" borderId="3" xfId="0" applyFont="1" applyFill="1" applyBorder="1" applyAlignment="1">
      <alignment horizontal="center" vertical="center"/>
    </xf>
    <xf numFmtId="164" fontId="3" fillId="0" borderId="73" xfId="0" applyFont="1" applyBorder="1" applyAlignment="1">
      <alignment horizontal="center" vertical="center"/>
    </xf>
    <xf numFmtId="164" fontId="6" fillId="7" borderId="61" xfId="0" applyFont="1" applyFill="1" applyBorder="1" applyAlignment="1">
      <alignment horizontal="center" vertical="center"/>
    </xf>
    <xf numFmtId="164" fontId="3" fillId="6" borderId="53" xfId="0" applyFont="1" applyFill="1" applyBorder="1" applyAlignment="1">
      <alignment horizontal="center" vertical="center"/>
    </xf>
    <xf numFmtId="164" fontId="14" fillId="3" borderId="39" xfId="0" applyFont="1" applyFill="1" applyBorder="1" applyAlignment="1">
      <alignment horizontal="center" vertical="center"/>
    </xf>
    <xf numFmtId="164" fontId="14" fillId="7" borderId="90" xfId="0" applyFont="1" applyFill="1" applyBorder="1" applyAlignment="1">
      <alignment horizontal="center" vertical="center"/>
    </xf>
    <xf numFmtId="177" fontId="6" fillId="7" borderId="158" xfId="0" applyNumberFormat="1" applyFont="1" applyFill="1" applyBorder="1" applyAlignment="1">
      <alignment horizontal="center" vertical="center"/>
    </xf>
    <xf numFmtId="164" fontId="3" fillId="0" borderId="73" xfId="0" applyFont="1" applyFill="1" applyBorder="1" applyAlignment="1">
      <alignment horizontal="center" vertical="center"/>
    </xf>
    <xf numFmtId="164" fontId="3" fillId="0" borderId="163" xfId="0" applyFont="1" applyFill="1" applyBorder="1" applyAlignment="1">
      <alignment horizontal="center" vertical="center"/>
    </xf>
    <xf numFmtId="164" fontId="3" fillId="0" borderId="163" xfId="0" applyFont="1" applyBorder="1" applyAlignment="1">
      <alignment horizontal="center" vertical="center"/>
    </xf>
    <xf numFmtId="164" fontId="3" fillId="0" borderId="112" xfId="0" applyFont="1" applyBorder="1" applyAlignment="1">
      <alignment horizontal="left" vertical="center"/>
    </xf>
    <xf numFmtId="164" fontId="3" fillId="0" borderId="40" xfId="0" applyFont="1" applyFill="1" applyBorder="1" applyAlignment="1">
      <alignment horizontal="center" vertical="center"/>
    </xf>
    <xf numFmtId="164" fontId="3" fillId="0" borderId="40" xfId="0" applyFont="1" applyBorder="1" applyAlignment="1">
      <alignment horizontal="center" vertical="center"/>
    </xf>
    <xf numFmtId="164" fontId="3" fillId="0" borderId="108" xfId="0" applyFont="1" applyBorder="1" applyAlignment="1">
      <alignment horizontal="left" vertical="center"/>
    </xf>
    <xf numFmtId="164" fontId="3" fillId="0" borderId="53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3" fillId="0" borderId="50" xfId="0" applyNumberFormat="1" applyFont="1" applyFill="1" applyBorder="1" applyAlignment="1">
      <alignment horizontal="center" vertical="center"/>
    </xf>
    <xf numFmtId="164" fontId="3" fillId="0" borderId="84" xfId="0" applyNumberFormat="1" applyFont="1" applyFill="1" applyBorder="1" applyAlignment="1">
      <alignment horizontal="center" vertical="center"/>
    </xf>
    <xf numFmtId="164" fontId="3" fillId="0" borderId="69" xfId="0" applyNumberFormat="1" applyFont="1" applyFill="1" applyBorder="1" applyAlignment="1">
      <alignment horizontal="center" vertical="center"/>
    </xf>
    <xf numFmtId="164" fontId="9" fillId="0" borderId="108" xfId="0" applyFont="1" applyBorder="1" applyAlignment="1">
      <alignment horizontal="left" vertical="center"/>
    </xf>
    <xf numFmtId="164" fontId="3" fillId="0" borderId="54" xfId="0" applyNumberFormat="1" applyFont="1" applyFill="1" applyBorder="1" applyAlignment="1">
      <alignment horizontal="center" vertical="center"/>
    </xf>
    <xf numFmtId="164" fontId="9" fillId="0" borderId="55" xfId="0" applyFont="1" applyBorder="1" applyAlignment="1">
      <alignment horizontal="left" vertical="center"/>
    </xf>
    <xf numFmtId="164" fontId="3" fillId="0" borderId="52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4" fillId="7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 horizontal="left" vertical="center"/>
    </xf>
    <xf numFmtId="164" fontId="0" fillId="0" borderId="0" xfId="0" applyFont="1" applyFill="1" applyAlignment="1">
      <alignment vertical="center"/>
    </xf>
    <xf numFmtId="164" fontId="6" fillId="3" borderId="0" xfId="0" applyFont="1" applyFill="1" applyAlignment="1">
      <alignment horizontal="center"/>
    </xf>
    <xf numFmtId="164" fontId="6" fillId="8" borderId="0" xfId="0" applyFont="1" applyFill="1" applyAlignment="1">
      <alignment horizontal="center" vertical="center"/>
    </xf>
    <xf numFmtId="164" fontId="6" fillId="8" borderId="0" xfId="0" applyFont="1" applyFill="1" applyAlignment="1">
      <alignment horizontal="center"/>
    </xf>
    <xf numFmtId="164" fontId="11" fillId="0" borderId="0" xfId="0" applyFont="1" applyFill="1" applyAlignment="1">
      <alignment horizontal="center"/>
    </xf>
    <xf numFmtId="164" fontId="18" fillId="0" borderId="0" xfId="0" applyFont="1" applyFill="1" applyAlignment="1">
      <alignment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 horizontal="center"/>
    </xf>
    <xf numFmtId="164" fontId="11" fillId="0" borderId="0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vertical="center"/>
    </xf>
    <xf numFmtId="164" fontId="11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Font="1" applyAlignment="1">
      <alignment horizontal="left"/>
    </xf>
    <xf numFmtId="164" fontId="7" fillId="0" borderId="0" xfId="0" applyFont="1" applyAlignment="1">
      <alignment horizontal="center"/>
    </xf>
    <xf numFmtId="164" fontId="16" fillId="8" borderId="0" xfId="0" applyFont="1" applyFill="1" applyAlignment="1">
      <alignment horizontal="center"/>
    </xf>
    <xf numFmtId="164" fontId="19" fillId="0" borderId="0" xfId="0" applyFont="1" applyAlignment="1">
      <alignment/>
    </xf>
    <xf numFmtId="164" fontId="3" fillId="0" borderId="0" xfId="0" applyFont="1" applyFill="1" applyAlignment="1">
      <alignment horizontal="left"/>
    </xf>
    <xf numFmtId="164" fontId="20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Fill="1" applyAlignment="1">
      <alignment/>
    </xf>
    <xf numFmtId="164" fontId="9" fillId="0" borderId="0" xfId="0" applyFont="1" applyAlignment="1">
      <alignment/>
    </xf>
    <xf numFmtId="164" fontId="22" fillId="0" borderId="0" xfId="0" applyFont="1" applyAlignment="1">
      <alignment/>
    </xf>
    <xf numFmtId="164" fontId="18" fillId="0" borderId="0" xfId="0" applyFont="1" applyAlignment="1">
      <alignment/>
    </xf>
    <xf numFmtId="164" fontId="9" fillId="0" borderId="0" xfId="0" applyFont="1" applyFill="1" applyAlignment="1">
      <alignment/>
    </xf>
    <xf numFmtId="164" fontId="0" fillId="0" borderId="0" xfId="0" applyFont="1" applyAlignment="1">
      <alignment/>
    </xf>
    <xf numFmtId="164" fontId="18" fillId="0" borderId="0" xfId="0" applyFont="1" applyFill="1" applyAlignment="1">
      <alignment/>
    </xf>
    <xf numFmtId="164" fontId="11" fillId="11" borderId="0" xfId="0" applyFont="1" applyFill="1" applyAlignment="1">
      <alignment horizontal="center"/>
    </xf>
    <xf numFmtId="164" fontId="1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Fill="1" applyAlignment="1">
      <alignment horizontal="center" vertical="center"/>
    </xf>
    <xf numFmtId="164" fontId="20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0" fillId="0" borderId="0" xfId="0" applyFont="1" applyAlignment="1">
      <alignment horizontal="left"/>
    </xf>
    <xf numFmtId="164" fontId="24" fillId="0" borderId="0" xfId="0" applyFont="1" applyAlignment="1">
      <alignment horizontal="center"/>
    </xf>
    <xf numFmtId="164" fontId="6" fillId="8" borderId="0" xfId="0" applyFont="1" applyFill="1" applyBorder="1" applyAlignment="1">
      <alignment horizontal="center"/>
    </xf>
    <xf numFmtId="164" fontId="11" fillId="0" borderId="0" xfId="0" applyFont="1" applyBorder="1" applyAlignment="1">
      <alignment horizontal="left"/>
    </xf>
    <xf numFmtId="164" fontId="11" fillId="0" borderId="0" xfId="0" applyFont="1" applyFill="1" applyBorder="1" applyAlignment="1">
      <alignment horizontal="left"/>
    </xf>
    <xf numFmtId="164" fontId="6" fillId="8" borderId="0" xfId="0" applyFont="1" applyFill="1" applyAlignment="1">
      <alignment horizontal="left"/>
    </xf>
    <xf numFmtId="164" fontId="6" fillId="8" borderId="0" xfId="0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right"/>
    </xf>
    <xf numFmtId="164" fontId="12" fillId="0" borderId="0" xfId="0" applyFont="1" applyFill="1" applyAlignment="1">
      <alignment horizontal="left" vertical="center"/>
    </xf>
    <xf numFmtId="164" fontId="6" fillId="12" borderId="0" xfId="0" applyFont="1" applyFill="1" applyBorder="1" applyAlignment="1">
      <alignment horizontal="center" vertical="center"/>
    </xf>
    <xf numFmtId="164" fontId="6" fillId="12" borderId="0" xfId="0" applyNumberFormat="1" applyFont="1" applyFill="1" applyBorder="1" applyAlignment="1">
      <alignment horizontal="center" vertical="center"/>
    </xf>
    <xf numFmtId="173" fontId="6" fillId="12" borderId="0" xfId="0" applyNumberFormat="1" applyFont="1" applyFill="1" applyBorder="1" applyAlignment="1">
      <alignment horizontal="center" vertical="center"/>
    </xf>
    <xf numFmtId="169" fontId="6" fillId="12" borderId="0" xfId="0" applyNumberFormat="1" applyFont="1" applyFill="1" applyBorder="1" applyAlignment="1">
      <alignment horizontal="center" vertical="center"/>
    </xf>
    <xf numFmtId="164" fontId="6" fillId="12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vertical="center"/>
    </xf>
    <xf numFmtId="164" fontId="5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right"/>
    </xf>
    <xf numFmtId="164" fontId="7" fillId="0" borderId="0" xfId="0" applyFont="1" applyAlignment="1">
      <alignment wrapText="1"/>
    </xf>
    <xf numFmtId="164" fontId="11" fillId="0" borderId="0" xfId="0" applyNumberFormat="1" applyFont="1" applyFill="1" applyAlignment="1">
      <alignment horizontal="center"/>
    </xf>
    <xf numFmtId="173" fontId="11" fillId="0" borderId="0" xfId="0" applyNumberFormat="1" applyFont="1" applyFill="1" applyAlignment="1">
      <alignment horizontal="center"/>
    </xf>
    <xf numFmtId="164" fontId="11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right"/>
    </xf>
    <xf numFmtId="164" fontId="3" fillId="0" borderId="0" xfId="0" applyFont="1" applyFill="1" applyAlignment="1">
      <alignment/>
    </xf>
    <xf numFmtId="164" fontId="7" fillId="0" borderId="0" xfId="0" applyFont="1" applyAlignment="1">
      <alignment/>
    </xf>
    <xf numFmtId="164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4" fontId="6" fillId="0" borderId="0" xfId="0" applyFont="1" applyFill="1" applyAlignment="1">
      <alignment horizontal="center"/>
    </xf>
    <xf numFmtId="164" fontId="9" fillId="0" borderId="0" xfId="0" applyFont="1" applyFill="1" applyAlignment="1">
      <alignment horizontal="left"/>
    </xf>
    <xf numFmtId="164" fontId="18" fillId="0" borderId="0" xfId="0" applyFont="1" applyFill="1" applyAlignment="1">
      <alignment horizontal="left"/>
    </xf>
    <xf numFmtId="164" fontId="21" fillId="0" borderId="0" xfId="0" applyFont="1" applyFill="1" applyAlignment="1">
      <alignment horizontal="left"/>
    </xf>
    <xf numFmtId="164" fontId="6" fillId="3" borderId="0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6" fillId="3" borderId="0" xfId="0" applyFont="1" applyFill="1" applyAlignment="1">
      <alignment/>
    </xf>
    <xf numFmtId="164" fontId="3" fillId="3" borderId="0" xfId="0" applyFont="1" applyFill="1" applyAlignment="1">
      <alignment horizontal="center"/>
    </xf>
    <xf numFmtId="164" fontId="3" fillId="13" borderId="0" xfId="0" applyFont="1" applyFill="1" applyAlignment="1">
      <alignment horizontal="center"/>
    </xf>
    <xf numFmtId="164" fontId="3" fillId="4" borderId="0" xfId="0" applyFont="1" applyFill="1" applyAlignment="1">
      <alignment horizontal="center"/>
    </xf>
    <xf numFmtId="164" fontId="3" fillId="14" borderId="0" xfId="0" applyFont="1" applyFill="1" applyAlignment="1">
      <alignment horizontal="center"/>
    </xf>
    <xf numFmtId="164" fontId="3" fillId="15" borderId="0" xfId="0" applyFont="1" applyFill="1" applyAlignment="1">
      <alignment horizontal="center"/>
    </xf>
    <xf numFmtId="164" fontId="6" fillId="16" borderId="0" xfId="0" applyFont="1" applyFill="1" applyAlignment="1">
      <alignment horizontal="center"/>
    </xf>
    <xf numFmtId="164" fontId="6" fillId="3" borderId="0" xfId="0" applyFont="1" applyFill="1" applyAlignment="1">
      <alignment horizontal="left"/>
    </xf>
    <xf numFmtId="164" fontId="25" fillId="0" borderId="0" xfId="0" applyFont="1" applyFill="1" applyAlignment="1">
      <alignment horizontal="left"/>
    </xf>
    <xf numFmtId="164" fontId="6" fillId="8" borderId="0" xfId="0" applyFont="1" applyFill="1" applyBorder="1" applyAlignment="1">
      <alignment horizontal="center" vertical="center"/>
    </xf>
    <xf numFmtId="164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A6A6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workbookViewId="0" topLeftCell="A1">
      <selection activeCell="C6" sqref="C6"/>
    </sheetView>
  </sheetViews>
  <sheetFormatPr defaultColWidth="9.00390625" defaultRowHeight="13.5"/>
  <cols>
    <col min="1" max="1" width="3.875" style="1" customWidth="1"/>
    <col min="2" max="4" width="9.00390625" style="1" customWidth="1"/>
    <col min="5" max="5" width="11.00390625" style="1" customWidth="1"/>
    <col min="6" max="7" width="9.00390625" style="1" customWidth="1"/>
    <col min="8" max="8" width="9.625" style="1" customWidth="1"/>
    <col min="9" max="16384" width="9.00390625" style="1" customWidth="1"/>
  </cols>
  <sheetData>
    <row r="1" ht="13.5">
      <c r="B1" s="1" t="s">
        <v>0</v>
      </c>
    </row>
    <row r="2" ht="13.5">
      <c r="B2" s="1" t="s">
        <v>1</v>
      </c>
    </row>
    <row r="4" spans="2:9" ht="13.5">
      <c r="B4" s="2" t="s">
        <v>2</v>
      </c>
      <c r="C4" s="3"/>
      <c r="D4" s="3"/>
      <c r="E4" s="3"/>
      <c r="F4" s="3"/>
      <c r="G4" s="3"/>
      <c r="H4" s="3"/>
      <c r="I4" s="4"/>
    </row>
    <row r="5" spans="2:9" ht="13.5">
      <c r="B5" s="5"/>
      <c r="C5" s="6" t="s">
        <v>3</v>
      </c>
      <c r="D5" s="6"/>
      <c r="E5" s="6"/>
      <c r="F5" s="6"/>
      <c r="G5" s="6"/>
      <c r="H5" s="6"/>
      <c r="I5" s="7"/>
    </row>
    <row r="6" spans="2:9" ht="13.5">
      <c r="B6" s="5"/>
      <c r="C6" s="6" t="s">
        <v>4</v>
      </c>
      <c r="D6" s="6"/>
      <c r="E6" s="6"/>
      <c r="F6" s="6"/>
      <c r="G6" s="6"/>
      <c r="H6" s="6"/>
      <c r="I6" s="7"/>
    </row>
    <row r="7" spans="2:9" ht="13.5">
      <c r="B7" s="5"/>
      <c r="C7" s="6"/>
      <c r="D7" s="6"/>
      <c r="E7" s="6"/>
      <c r="F7" s="6"/>
      <c r="G7" s="6"/>
      <c r="H7" s="6"/>
      <c r="I7" s="7"/>
    </row>
    <row r="8" spans="2:9" ht="13.5">
      <c r="B8" s="5"/>
      <c r="C8" s="6"/>
      <c r="D8" s="6"/>
      <c r="E8" s="6"/>
      <c r="F8" s="6"/>
      <c r="G8" s="6"/>
      <c r="H8" s="6"/>
      <c r="I8" s="7"/>
    </row>
    <row r="9" spans="2:9" ht="13.5">
      <c r="B9" s="5"/>
      <c r="C9" s="6"/>
      <c r="D9" s="6"/>
      <c r="E9" s="6"/>
      <c r="F9" s="6"/>
      <c r="G9" s="6"/>
      <c r="H9" s="6"/>
      <c r="I9" s="7"/>
    </row>
    <row r="10" spans="2:9" ht="13.5">
      <c r="B10" s="8"/>
      <c r="C10" s="9"/>
      <c r="D10" s="9"/>
      <c r="E10" s="9"/>
      <c r="F10" s="9"/>
      <c r="G10" s="9"/>
      <c r="H10" s="9"/>
      <c r="I10" s="10"/>
    </row>
    <row r="12" ht="13.5">
      <c r="B12" s="1" t="s">
        <v>5</v>
      </c>
    </row>
    <row r="13" ht="13.5">
      <c r="B13" s="1" t="s">
        <v>6</v>
      </c>
    </row>
    <row r="14" ht="13.5">
      <c r="B14" s="1" t="s">
        <v>7</v>
      </c>
    </row>
    <row r="15" ht="13.5">
      <c r="B15" s="1" t="s">
        <v>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82"/>
  <sheetViews>
    <sheetView workbookViewId="0" topLeftCell="A12">
      <selection activeCell="AL90" sqref="AL90"/>
    </sheetView>
  </sheetViews>
  <sheetFormatPr defaultColWidth="9.00390625" defaultRowHeight="13.5"/>
  <cols>
    <col min="1" max="1" width="12.875" style="65" customWidth="1"/>
    <col min="2" max="2" width="15.00390625" style="65" customWidth="1"/>
    <col min="3" max="3" width="13.625" style="65" customWidth="1"/>
    <col min="4" max="4" width="15.25390625" style="65" customWidth="1"/>
    <col min="5" max="5" width="11.75390625" style="390" customWidth="1"/>
    <col min="6" max="6" width="11.75390625" style="65" customWidth="1"/>
    <col min="7" max="7" width="16.25390625" style="65" customWidth="1"/>
    <col min="8" max="8" width="13.375" style="390" customWidth="1"/>
    <col min="9" max="9" width="20.125" style="65" customWidth="1"/>
    <col min="10" max="10" width="32.125" style="65" customWidth="1"/>
    <col min="11" max="11" width="15.125" style="390" customWidth="1"/>
    <col min="12" max="12" width="14.625" style="65" customWidth="1"/>
    <col min="13" max="13" width="17.875" style="65" customWidth="1"/>
    <col min="14" max="14" width="15.875" style="65" customWidth="1"/>
    <col min="15" max="15" width="16.125" style="65" customWidth="1"/>
    <col min="16" max="16" width="19.50390625" style="65" customWidth="1"/>
    <col min="17" max="17" width="15.50390625" style="65" customWidth="1"/>
    <col min="18" max="18" width="17.125" style="65" customWidth="1"/>
    <col min="19" max="19" width="15.375" style="65" customWidth="1"/>
    <col min="20" max="20" width="16.375" style="65" customWidth="1"/>
    <col min="21" max="21" width="15.375" style="65" customWidth="1"/>
    <col min="22" max="22" width="13.875" style="65" customWidth="1"/>
    <col min="23" max="27" width="16.25390625" style="65" customWidth="1"/>
    <col min="28" max="28" width="15.375" style="65" customWidth="1"/>
    <col min="29" max="29" width="16.50390625" style="65" customWidth="1"/>
    <col min="30" max="30" width="15.00390625" style="65" customWidth="1"/>
    <col min="31" max="31" width="15.50390625" style="65" customWidth="1"/>
    <col min="32" max="32" width="15.625" style="65" customWidth="1"/>
    <col min="33" max="34" width="14.625" style="65" customWidth="1"/>
    <col min="35" max="35" width="15.875" style="65" customWidth="1"/>
    <col min="36" max="36" width="15.25390625" style="65" customWidth="1"/>
    <col min="37" max="37" width="11.50390625" style="65" customWidth="1"/>
    <col min="38" max="38" width="16.375" style="65" customWidth="1"/>
    <col min="39" max="39" width="11.625" style="65" customWidth="1"/>
    <col min="40" max="40" width="12.50390625" style="65" customWidth="1"/>
    <col min="41" max="41" width="11.75390625" style="65" customWidth="1"/>
    <col min="42" max="42" width="14.875" style="65" customWidth="1"/>
    <col min="43" max="43" width="13.50390625" style="65" customWidth="1"/>
    <col min="44" max="44" width="13.625" style="65" customWidth="1"/>
    <col min="45" max="45" width="16.25390625" style="65" customWidth="1"/>
    <col min="46" max="46" width="12.25390625" style="65" customWidth="1"/>
    <col min="47" max="47" width="14.25390625" style="65" customWidth="1"/>
    <col min="48" max="48" width="14.00390625" style="65" customWidth="1"/>
    <col min="49" max="49" width="14.875" style="65" customWidth="1"/>
    <col min="50" max="50" width="12.125" style="65" customWidth="1"/>
    <col min="51" max="51" width="13.75390625" style="65" customWidth="1"/>
    <col min="52" max="52" width="15.625" style="65" customWidth="1"/>
    <col min="53" max="53" width="16.125" style="65" customWidth="1"/>
    <col min="54" max="54" width="10.25390625" style="65" customWidth="1"/>
    <col min="55" max="16384" width="9.00390625" style="65" customWidth="1"/>
  </cols>
  <sheetData>
    <row r="1" spans="1:20" ht="13.5">
      <c r="A1" s="445" t="s">
        <v>2781</v>
      </c>
      <c r="B1" s="445" t="s">
        <v>2781</v>
      </c>
      <c r="C1" s="493" t="s">
        <v>29</v>
      </c>
      <c r="D1" s="493" t="s">
        <v>33</v>
      </c>
      <c r="E1" s="493" t="s">
        <v>34</v>
      </c>
      <c r="F1" s="493" t="s">
        <v>35</v>
      </c>
      <c r="G1" s="493" t="s">
        <v>36</v>
      </c>
      <c r="H1" s="493" t="s">
        <v>37</v>
      </c>
      <c r="I1" s="493" t="s">
        <v>38</v>
      </c>
      <c r="J1" s="493" t="s">
        <v>2782</v>
      </c>
      <c r="K1" s="493" t="s">
        <v>2783</v>
      </c>
      <c r="L1" s="493" t="s">
        <v>100</v>
      </c>
      <c r="M1" s="493" t="s">
        <v>101</v>
      </c>
      <c r="N1" s="445" t="s">
        <v>2781</v>
      </c>
      <c r="P1" s="517" t="s">
        <v>2784</v>
      </c>
      <c r="Q1" s="517"/>
      <c r="R1" s="517"/>
      <c r="S1" s="517"/>
      <c r="T1" s="517"/>
    </row>
    <row r="2" spans="1:18" ht="13.5">
      <c r="A2" s="65" t="s">
        <v>13</v>
      </c>
      <c r="B2" s="65" t="s">
        <v>13</v>
      </c>
      <c r="C2" s="65">
        <v>1</v>
      </c>
      <c r="D2" s="65">
        <v>1</v>
      </c>
      <c r="E2" s="390">
        <v>1</v>
      </c>
      <c r="F2" s="65">
        <v>0</v>
      </c>
      <c r="G2" s="65">
        <v>0</v>
      </c>
      <c r="H2" s="390">
        <v>0</v>
      </c>
      <c r="I2" s="65">
        <v>0</v>
      </c>
      <c r="J2" s="65">
        <v>13</v>
      </c>
      <c r="K2" s="390">
        <v>10</v>
      </c>
      <c r="L2" s="65">
        <v>7</v>
      </c>
      <c r="M2" s="65">
        <v>4</v>
      </c>
      <c r="N2" s="65" t="s">
        <v>2785</v>
      </c>
      <c r="P2" s="19" t="s">
        <v>2786</v>
      </c>
      <c r="Q2" s="65">
        <f>IF(③レベルアップ!O15&gt;10,"10",③レベルアップ!O15)</f>
        <v>5</v>
      </c>
      <c r="R2" s="360" t="s">
        <v>2787</v>
      </c>
    </row>
    <row r="3" spans="1:18" ht="13.5">
      <c r="A3" s="65" t="s">
        <v>686</v>
      </c>
      <c r="B3" s="65" t="s">
        <v>686</v>
      </c>
      <c r="C3" s="65">
        <v>0</v>
      </c>
      <c r="D3" s="65">
        <v>1</v>
      </c>
      <c r="E3" s="390">
        <v>0</v>
      </c>
      <c r="F3" s="65">
        <v>1</v>
      </c>
      <c r="G3" s="65">
        <v>0</v>
      </c>
      <c r="H3" s="390">
        <v>1</v>
      </c>
      <c r="I3" s="65">
        <v>0</v>
      </c>
      <c r="J3" s="65">
        <v>11</v>
      </c>
      <c r="K3" s="390">
        <v>12</v>
      </c>
      <c r="L3" s="65">
        <v>5</v>
      </c>
      <c r="M3" s="65">
        <v>6</v>
      </c>
      <c r="N3" s="390" t="s">
        <v>1366</v>
      </c>
      <c r="P3" s="19"/>
      <c r="Q3" s="65">
        <f>COUNTIF(AR_SHEET_ギルドサポート,"クローゼット")</f>
        <v>0</v>
      </c>
      <c r="R3" s="360" t="s">
        <v>2788</v>
      </c>
    </row>
    <row r="4" spans="1:18" ht="13.5">
      <c r="A4" s="65" t="s">
        <v>724</v>
      </c>
      <c r="B4" s="65" t="s">
        <v>724</v>
      </c>
      <c r="C4" s="65">
        <v>0</v>
      </c>
      <c r="D4" s="65">
        <v>0</v>
      </c>
      <c r="E4" s="390">
        <v>0</v>
      </c>
      <c r="F4" s="65">
        <v>1</v>
      </c>
      <c r="G4" s="65">
        <v>1</v>
      </c>
      <c r="H4" s="390">
        <v>1</v>
      </c>
      <c r="I4" s="65">
        <v>0</v>
      </c>
      <c r="J4" s="65">
        <v>10</v>
      </c>
      <c r="K4" s="390">
        <v>13</v>
      </c>
      <c r="L4" s="65">
        <v>4</v>
      </c>
      <c r="M4" s="65">
        <v>7</v>
      </c>
      <c r="N4" s="390" t="s">
        <v>1408</v>
      </c>
      <c r="P4" s="41" t="s">
        <v>2789</v>
      </c>
      <c r="Q4" s="65" t="str">
        <f>IF(①コンストラクション!D4=①コンストラクション!D5,"クラス重複","通常")</f>
        <v>通常</v>
      </c>
      <c r="R4" s="360" t="s">
        <v>2790</v>
      </c>
    </row>
    <row r="5" spans="1:18" ht="13.5">
      <c r="A5" s="65" t="s">
        <v>756</v>
      </c>
      <c r="B5" s="65" t="s">
        <v>756</v>
      </c>
      <c r="C5" s="65">
        <v>0</v>
      </c>
      <c r="D5" s="65">
        <v>1</v>
      </c>
      <c r="E5" s="390">
        <v>1</v>
      </c>
      <c r="F5" s="65">
        <v>0</v>
      </c>
      <c r="G5" s="65">
        <v>1</v>
      </c>
      <c r="H5" s="390">
        <v>0</v>
      </c>
      <c r="I5" s="65">
        <v>0</v>
      </c>
      <c r="J5" s="65">
        <v>12</v>
      </c>
      <c r="K5" s="390">
        <v>11</v>
      </c>
      <c r="L5" s="65">
        <v>6</v>
      </c>
      <c r="M5" s="65">
        <v>5</v>
      </c>
      <c r="N5" s="65" t="s">
        <v>2791</v>
      </c>
      <c r="P5" s="11"/>
      <c r="R5" s="360"/>
    </row>
    <row r="6" spans="2:18" ht="13.5">
      <c r="B6" s="65" t="s">
        <v>1007</v>
      </c>
      <c r="C6" s="65">
        <v>0</v>
      </c>
      <c r="D6" s="65">
        <v>1</v>
      </c>
      <c r="E6" s="390">
        <v>0</v>
      </c>
      <c r="F6" s="65">
        <v>1</v>
      </c>
      <c r="G6" s="65">
        <v>1</v>
      </c>
      <c r="H6" s="390">
        <v>0</v>
      </c>
      <c r="I6" s="65">
        <v>0</v>
      </c>
      <c r="J6" s="65">
        <v>10</v>
      </c>
      <c r="K6" s="390">
        <v>13</v>
      </c>
      <c r="N6" s="390" t="s">
        <v>1453</v>
      </c>
      <c r="P6" s="19" t="s">
        <v>2792</v>
      </c>
      <c r="Q6" s="65">
        <f>キャラクターシート!P16+IF(ISERROR(VLOOKUP("スピードショット",AR_スキルSL,7,0))=TRUE,"0",VLOOKUP("スピードショット",AR_スキルSL,7,0))</f>
        <v>0</v>
      </c>
      <c r="R6" s="360" t="s">
        <v>2793</v>
      </c>
    </row>
    <row r="7" spans="2:18" ht="13.5">
      <c r="B7" s="390" t="s">
        <v>1038</v>
      </c>
      <c r="C7" s="65">
        <v>0</v>
      </c>
      <c r="D7" s="65">
        <v>1</v>
      </c>
      <c r="E7" s="390">
        <v>0</v>
      </c>
      <c r="F7" s="65">
        <v>0</v>
      </c>
      <c r="G7" s="65">
        <v>1</v>
      </c>
      <c r="H7" s="390">
        <v>1</v>
      </c>
      <c r="I7" s="65">
        <v>0</v>
      </c>
      <c r="J7" s="65">
        <v>12</v>
      </c>
      <c r="K7" s="390">
        <v>11</v>
      </c>
      <c r="N7" s="390" t="s">
        <v>1485</v>
      </c>
      <c r="P7" s="19"/>
      <c r="Q7" s="65">
        <f>IF(Q6&gt;0,0,Q6)</f>
        <v>0</v>
      </c>
      <c r="R7" s="360" t="s">
        <v>2794</v>
      </c>
    </row>
    <row r="8" spans="2:16" ht="13.5">
      <c r="B8" s="65" t="s">
        <v>819</v>
      </c>
      <c r="C8" s="65">
        <v>1</v>
      </c>
      <c r="D8" s="65">
        <v>1</v>
      </c>
      <c r="E8" s="390">
        <v>0</v>
      </c>
      <c r="F8" s="65">
        <v>0</v>
      </c>
      <c r="G8" s="65">
        <v>0</v>
      </c>
      <c r="H8" s="390">
        <v>1</v>
      </c>
      <c r="I8" s="65">
        <v>0</v>
      </c>
      <c r="J8" s="65">
        <v>12</v>
      </c>
      <c r="K8" s="390">
        <v>11</v>
      </c>
      <c r="N8" s="65" t="s">
        <v>2795</v>
      </c>
      <c r="P8" s="11"/>
    </row>
    <row r="9" spans="2:18" ht="13.5">
      <c r="B9" s="65" t="s">
        <v>888</v>
      </c>
      <c r="C9" s="65">
        <v>0</v>
      </c>
      <c r="D9" s="65">
        <v>0</v>
      </c>
      <c r="E9" s="390">
        <v>0</v>
      </c>
      <c r="F9" s="65">
        <v>1</v>
      </c>
      <c r="G9" s="65">
        <v>1</v>
      </c>
      <c r="H9" s="390">
        <v>0</v>
      </c>
      <c r="I9" s="65">
        <v>1</v>
      </c>
      <c r="J9" s="65">
        <v>8</v>
      </c>
      <c r="K9" s="390">
        <v>15</v>
      </c>
      <c r="N9" s="390" t="s">
        <v>1517</v>
      </c>
      <c r="P9" s="19" t="s">
        <v>2796</v>
      </c>
      <c r="Q9" s="65">
        <f>SUM(キャラクターシート!J16,COUNTIF(AR_SHEET_スキル,"グラディエイト")*3,COUNTIF(AR_SHEET_装備,"深紅の腕輪"))</f>
        <v>1</v>
      </c>
      <c r="R9" s="360" t="s">
        <v>2797</v>
      </c>
    </row>
    <row r="10" spans="2:18" ht="13.5">
      <c r="B10" s="390" t="s">
        <v>1072</v>
      </c>
      <c r="C10" s="65">
        <v>0</v>
      </c>
      <c r="D10" s="65">
        <v>1</v>
      </c>
      <c r="E10" s="390">
        <v>0</v>
      </c>
      <c r="F10" s="65">
        <v>1</v>
      </c>
      <c r="G10" s="65">
        <v>0</v>
      </c>
      <c r="H10" s="390">
        <v>0</v>
      </c>
      <c r="I10" s="65">
        <v>1</v>
      </c>
      <c r="J10" s="65">
        <v>9</v>
      </c>
      <c r="K10" s="390">
        <v>14</v>
      </c>
      <c r="N10" s="390" t="s">
        <v>1548</v>
      </c>
      <c r="P10" s="19"/>
      <c r="Q10" s="65">
        <f>IF(Q9&gt;0,0,Q9)</f>
        <v>0</v>
      </c>
      <c r="R10" s="360" t="s">
        <v>2798</v>
      </c>
    </row>
    <row r="11" spans="2:18" ht="13.5">
      <c r="B11" s="390" t="s">
        <v>1143</v>
      </c>
      <c r="C11" s="65">
        <v>0</v>
      </c>
      <c r="D11" s="65">
        <v>1</v>
      </c>
      <c r="E11" s="390">
        <v>1</v>
      </c>
      <c r="F11" s="65">
        <v>0</v>
      </c>
      <c r="G11" s="65">
        <v>0</v>
      </c>
      <c r="H11" s="390">
        <v>1</v>
      </c>
      <c r="I11" s="65">
        <v>0</v>
      </c>
      <c r="J11" s="65">
        <v>11</v>
      </c>
      <c r="K11" s="390">
        <v>12</v>
      </c>
      <c r="N11" s="65" t="s">
        <v>2799</v>
      </c>
      <c r="P11" s="11"/>
      <c r="R11" s="360"/>
    </row>
    <row r="12" spans="2:18" ht="13.5">
      <c r="B12" s="390" t="s">
        <v>1114</v>
      </c>
      <c r="C12" s="65">
        <v>0</v>
      </c>
      <c r="D12" s="65">
        <v>1</v>
      </c>
      <c r="E12" s="390">
        <v>1</v>
      </c>
      <c r="F12" s="65">
        <v>1</v>
      </c>
      <c r="G12" s="65">
        <v>0</v>
      </c>
      <c r="H12" s="390">
        <v>0</v>
      </c>
      <c r="I12" s="65">
        <v>0</v>
      </c>
      <c r="J12" s="65">
        <v>10</v>
      </c>
      <c r="K12" s="390">
        <v>13</v>
      </c>
      <c r="N12" s="390" t="s">
        <v>1579</v>
      </c>
      <c r="P12" s="41" t="s">
        <v>2800</v>
      </c>
      <c r="Q12" s="65">
        <f>COUNTIF(AR_SHEET_スキル,"アンビデクスタリティ")+COUNTIF(AR_SHEET_スキル,"ツインウェポン")</f>
        <v>0</v>
      </c>
      <c r="R12" s="360" t="s">
        <v>2801</v>
      </c>
    </row>
    <row r="13" spans="2:18" ht="13.5">
      <c r="B13" s="65" t="s">
        <v>974</v>
      </c>
      <c r="C13" s="65">
        <v>0</v>
      </c>
      <c r="D13" s="65">
        <v>0</v>
      </c>
      <c r="E13" s="390">
        <v>0</v>
      </c>
      <c r="F13" s="65">
        <v>1</v>
      </c>
      <c r="G13" s="65">
        <v>0</v>
      </c>
      <c r="H13" s="390">
        <v>1</v>
      </c>
      <c r="I13" s="65">
        <v>1</v>
      </c>
      <c r="J13" s="65">
        <v>10</v>
      </c>
      <c r="K13" s="390">
        <v>13</v>
      </c>
      <c r="N13" s="390" t="s">
        <v>1609</v>
      </c>
      <c r="P13" s="41"/>
      <c r="R13" s="360"/>
    </row>
    <row r="14" spans="2:18" ht="13.5">
      <c r="B14" s="65" t="s">
        <v>17</v>
      </c>
      <c r="C14" s="65">
        <v>1</v>
      </c>
      <c r="D14" s="65">
        <v>0</v>
      </c>
      <c r="E14" s="390">
        <v>1</v>
      </c>
      <c r="F14" s="65">
        <v>0</v>
      </c>
      <c r="G14" s="65">
        <v>0</v>
      </c>
      <c r="H14" s="390">
        <v>1</v>
      </c>
      <c r="I14" s="65">
        <v>0</v>
      </c>
      <c r="J14" s="65">
        <v>12</v>
      </c>
      <c r="K14" s="390">
        <v>11</v>
      </c>
      <c r="N14" s="390"/>
      <c r="P14" s="19" t="s">
        <v>2802</v>
      </c>
      <c r="Q14" s="65">
        <f>SUM(キャラクターシート!J17,COUNTIF(AR_SHEET_スキル,"グラディエイト")*3,COUNTIF(AR_SHEET_装備,"深紅の腕輪"))</f>
        <v>0</v>
      </c>
      <c r="R14" s="360" t="s">
        <v>2803</v>
      </c>
    </row>
    <row r="15" spans="2:18" ht="13.5">
      <c r="B15" s="65" t="s">
        <v>930</v>
      </c>
      <c r="C15" s="65">
        <v>1</v>
      </c>
      <c r="D15" s="65">
        <v>1</v>
      </c>
      <c r="E15" s="390">
        <v>0</v>
      </c>
      <c r="F15" s="65">
        <v>0</v>
      </c>
      <c r="G15" s="65">
        <v>1</v>
      </c>
      <c r="H15" s="390">
        <v>0</v>
      </c>
      <c r="I15" s="65">
        <v>0</v>
      </c>
      <c r="J15" s="65">
        <v>12</v>
      </c>
      <c r="K15" s="390">
        <v>11</v>
      </c>
      <c r="N15" s="390"/>
      <c r="P15" s="19"/>
      <c r="Q15" s="65">
        <f>IF(Q14&gt;0,0,Q14)</f>
        <v>0</v>
      </c>
      <c r="R15" s="360" t="s">
        <v>2798</v>
      </c>
    </row>
    <row r="16" spans="2:18" ht="13.5">
      <c r="B16" s="518" t="s">
        <v>1176</v>
      </c>
      <c r="C16" s="65">
        <v>0</v>
      </c>
      <c r="D16" s="65">
        <v>1</v>
      </c>
      <c r="E16" s="390">
        <v>1</v>
      </c>
      <c r="F16" s="65">
        <v>0</v>
      </c>
      <c r="G16" s="65">
        <v>0</v>
      </c>
      <c r="H16" s="390">
        <v>0</v>
      </c>
      <c r="I16" s="65">
        <v>1</v>
      </c>
      <c r="J16" s="65">
        <v>9</v>
      </c>
      <c r="K16" s="390">
        <v>11</v>
      </c>
      <c r="N16" s="390"/>
      <c r="R16" s="360"/>
    </row>
    <row r="17" spans="2:18" ht="13.5">
      <c r="B17" s="390" t="s">
        <v>1210</v>
      </c>
      <c r="C17" s="65">
        <v>0</v>
      </c>
      <c r="D17" s="65">
        <v>1</v>
      </c>
      <c r="E17" s="390">
        <v>0</v>
      </c>
      <c r="F17" s="65">
        <v>0</v>
      </c>
      <c r="G17" s="65">
        <v>0</v>
      </c>
      <c r="H17" s="390">
        <v>1</v>
      </c>
      <c r="I17" s="65">
        <v>1</v>
      </c>
      <c r="J17" s="65">
        <v>11</v>
      </c>
      <c r="K17" s="390">
        <v>9</v>
      </c>
      <c r="N17" s="390"/>
      <c r="P17" s="19" t="s">
        <v>2804</v>
      </c>
      <c r="Q17" s="65">
        <f>COUNTIF(AR_SHEET_スキル,"ハイパーシールド")</f>
        <v>0</v>
      </c>
      <c r="R17" s="360" t="s">
        <v>2805</v>
      </c>
    </row>
    <row r="18" spans="2:18" ht="13.5">
      <c r="B18" s="65" t="s">
        <v>1241</v>
      </c>
      <c r="C18" s="65">
        <v>0</v>
      </c>
      <c r="D18" s="65">
        <v>1</v>
      </c>
      <c r="E18" s="390">
        <v>0</v>
      </c>
      <c r="F18" s="65">
        <v>1</v>
      </c>
      <c r="G18" s="65">
        <v>0</v>
      </c>
      <c r="H18" s="390">
        <v>1</v>
      </c>
      <c r="I18" s="65">
        <v>0</v>
      </c>
      <c r="J18" s="65">
        <v>10</v>
      </c>
      <c r="K18" s="390">
        <v>10</v>
      </c>
      <c r="N18" s="390"/>
      <c r="P18" s="19"/>
      <c r="Q18" s="65">
        <f>IF(キャラクターシート!M17="",0,IF(Q17=1,キャラクターシート!M17,0))</f>
        <v>0</v>
      </c>
      <c r="R18" s="360" t="s">
        <v>2806</v>
      </c>
    </row>
    <row r="19" spans="2:14" ht="13.5">
      <c r="B19" s="65" t="s">
        <v>1272</v>
      </c>
      <c r="C19" s="65">
        <v>0</v>
      </c>
      <c r="D19" s="65">
        <v>1</v>
      </c>
      <c r="E19" s="390">
        <v>0</v>
      </c>
      <c r="F19" s="65">
        <v>1</v>
      </c>
      <c r="G19" s="65">
        <v>0</v>
      </c>
      <c r="H19" s="390">
        <v>1</v>
      </c>
      <c r="I19" s="65">
        <v>0</v>
      </c>
      <c r="J19" s="65">
        <v>8</v>
      </c>
      <c r="K19" s="390">
        <v>12</v>
      </c>
      <c r="N19" s="390"/>
    </row>
    <row r="20" spans="2:14" ht="13.5">
      <c r="B20" s="65" t="s">
        <v>1303</v>
      </c>
      <c r="C20" s="65">
        <v>0</v>
      </c>
      <c r="D20" s="65">
        <v>0</v>
      </c>
      <c r="E20" s="390">
        <v>1</v>
      </c>
      <c r="F20" s="65">
        <v>1</v>
      </c>
      <c r="G20" s="65">
        <v>0</v>
      </c>
      <c r="H20" s="65">
        <v>0</v>
      </c>
      <c r="I20" s="65">
        <v>1</v>
      </c>
      <c r="J20" s="65">
        <v>8</v>
      </c>
      <c r="K20" s="390">
        <v>12</v>
      </c>
      <c r="N20" s="390"/>
    </row>
    <row r="21" spans="2:14" ht="13.5">
      <c r="B21" s="65" t="s">
        <v>1334</v>
      </c>
      <c r="C21" s="65">
        <v>1</v>
      </c>
      <c r="D21" s="65">
        <v>0</v>
      </c>
      <c r="E21" s="65">
        <v>0</v>
      </c>
      <c r="F21" s="65">
        <v>1</v>
      </c>
      <c r="G21" s="65">
        <v>1</v>
      </c>
      <c r="H21" s="65">
        <v>0</v>
      </c>
      <c r="I21" s="65">
        <v>0</v>
      </c>
      <c r="J21" s="65">
        <v>10</v>
      </c>
      <c r="K21" s="390">
        <v>10</v>
      </c>
      <c r="N21" s="390"/>
    </row>
    <row r="22" spans="2:18" ht="13.5">
      <c r="B22" s="390" t="s">
        <v>2807</v>
      </c>
      <c r="C22" s="65">
        <v>1</v>
      </c>
      <c r="D22" s="65">
        <v>0</v>
      </c>
      <c r="E22" s="390">
        <v>0</v>
      </c>
      <c r="F22" s="65">
        <v>1</v>
      </c>
      <c r="G22" s="65">
        <v>0</v>
      </c>
      <c r="H22" s="390">
        <v>1</v>
      </c>
      <c r="I22" s="65">
        <v>0</v>
      </c>
      <c r="N22" s="390"/>
      <c r="R22" s="461"/>
    </row>
    <row r="23" spans="2:18" ht="13.5">
      <c r="B23" s="390" t="s">
        <v>2808</v>
      </c>
      <c r="C23" s="65">
        <v>0</v>
      </c>
      <c r="D23" s="65">
        <v>1</v>
      </c>
      <c r="E23" s="390">
        <v>0</v>
      </c>
      <c r="F23" s="65">
        <v>0</v>
      </c>
      <c r="G23" s="65">
        <v>0</v>
      </c>
      <c r="H23" s="390">
        <v>1</v>
      </c>
      <c r="I23" s="65">
        <v>1</v>
      </c>
      <c r="N23" s="390"/>
      <c r="R23" s="461"/>
    </row>
    <row r="24" spans="2:18" ht="13.5">
      <c r="B24" s="390" t="s">
        <v>2809</v>
      </c>
      <c r="C24" s="65">
        <v>0</v>
      </c>
      <c r="D24" s="65">
        <v>1</v>
      </c>
      <c r="E24" s="65">
        <v>1</v>
      </c>
      <c r="F24" s="65">
        <v>0</v>
      </c>
      <c r="G24" s="65">
        <v>1</v>
      </c>
      <c r="H24" s="65">
        <v>0</v>
      </c>
      <c r="I24" s="65">
        <v>0</v>
      </c>
      <c r="N24" s="390"/>
      <c r="R24" s="461"/>
    </row>
    <row r="25" spans="2:18" ht="13.5">
      <c r="B25" s="390" t="s">
        <v>2810</v>
      </c>
      <c r="C25" s="65">
        <v>0</v>
      </c>
      <c r="D25" s="65">
        <v>1</v>
      </c>
      <c r="E25" s="65">
        <v>1</v>
      </c>
      <c r="F25" s="65">
        <v>1</v>
      </c>
      <c r="G25" s="65">
        <v>0</v>
      </c>
      <c r="H25" s="65">
        <v>0</v>
      </c>
      <c r="I25" s="65">
        <v>0</v>
      </c>
      <c r="N25" s="390"/>
      <c r="R25" s="461"/>
    </row>
    <row r="26" spans="2:18" ht="13.5">
      <c r="B26" s="390" t="s">
        <v>1366</v>
      </c>
      <c r="C26" s="65">
        <v>1</v>
      </c>
      <c r="D26" s="65">
        <v>2</v>
      </c>
      <c r="E26" s="390">
        <v>2</v>
      </c>
      <c r="F26" s="65">
        <v>0</v>
      </c>
      <c r="G26" s="65">
        <v>0</v>
      </c>
      <c r="H26" s="390">
        <v>0</v>
      </c>
      <c r="I26" s="65">
        <v>0</v>
      </c>
      <c r="N26" s="390"/>
      <c r="R26" s="461"/>
    </row>
    <row r="27" spans="2:18" ht="13.5">
      <c r="B27" s="390" t="s">
        <v>1408</v>
      </c>
      <c r="C27" s="65">
        <v>2</v>
      </c>
      <c r="D27" s="65">
        <v>1</v>
      </c>
      <c r="E27" s="390">
        <v>1</v>
      </c>
      <c r="F27" s="65">
        <v>0</v>
      </c>
      <c r="G27" s="65">
        <v>0</v>
      </c>
      <c r="H27" s="390">
        <v>1</v>
      </c>
      <c r="I27" s="65">
        <v>0</v>
      </c>
      <c r="N27" s="390"/>
      <c r="R27" s="360"/>
    </row>
    <row r="28" spans="2:18" ht="13.5">
      <c r="B28" s="390" t="s">
        <v>1453</v>
      </c>
      <c r="C28" s="65">
        <v>0</v>
      </c>
      <c r="D28" s="65">
        <v>1</v>
      </c>
      <c r="E28" s="390">
        <v>0</v>
      </c>
      <c r="F28" s="65">
        <v>1</v>
      </c>
      <c r="G28" s="65">
        <v>0</v>
      </c>
      <c r="H28" s="390">
        <v>2</v>
      </c>
      <c r="I28" s="65">
        <v>1</v>
      </c>
      <c r="N28" s="390"/>
      <c r="R28" s="360"/>
    </row>
    <row r="29" spans="2:18" ht="13.5">
      <c r="B29" s="390" t="s">
        <v>1485</v>
      </c>
      <c r="C29" s="65">
        <v>1</v>
      </c>
      <c r="D29" s="65">
        <v>1</v>
      </c>
      <c r="E29" s="390">
        <v>1</v>
      </c>
      <c r="F29" s="65">
        <v>1</v>
      </c>
      <c r="G29" s="65">
        <v>0</v>
      </c>
      <c r="H29" s="390">
        <v>1</v>
      </c>
      <c r="I29" s="65">
        <v>0</v>
      </c>
      <c r="N29" s="390"/>
      <c r="R29" s="360"/>
    </row>
    <row r="30" spans="2:18" ht="13.5">
      <c r="B30" s="390" t="s">
        <v>1517</v>
      </c>
      <c r="C30" s="65">
        <v>0</v>
      </c>
      <c r="D30" s="65">
        <v>0</v>
      </c>
      <c r="E30" s="390">
        <v>0</v>
      </c>
      <c r="F30" s="65">
        <v>2</v>
      </c>
      <c r="G30" s="65">
        <v>1</v>
      </c>
      <c r="H30" s="390">
        <v>2</v>
      </c>
      <c r="I30" s="65">
        <v>0</v>
      </c>
      <c r="N30" s="390"/>
      <c r="R30" s="360"/>
    </row>
    <row r="31" spans="2:18" ht="13.5">
      <c r="B31" s="390" t="s">
        <v>1548</v>
      </c>
      <c r="C31" s="65">
        <v>0</v>
      </c>
      <c r="D31" s="65">
        <v>1</v>
      </c>
      <c r="E31" s="390">
        <v>0</v>
      </c>
      <c r="F31" s="65">
        <v>2</v>
      </c>
      <c r="G31" s="65">
        <v>1</v>
      </c>
      <c r="H31" s="390">
        <v>1</v>
      </c>
      <c r="I31" s="65">
        <v>0</v>
      </c>
      <c r="N31" s="390"/>
      <c r="R31" s="360"/>
    </row>
    <row r="32" spans="2:18" ht="13.5">
      <c r="B32" s="390" t="s">
        <v>1579</v>
      </c>
      <c r="C32" s="65">
        <v>0</v>
      </c>
      <c r="D32" s="65">
        <v>2</v>
      </c>
      <c r="E32" s="390">
        <v>2</v>
      </c>
      <c r="F32" s="65">
        <v>0</v>
      </c>
      <c r="G32" s="65">
        <v>1</v>
      </c>
      <c r="H32" s="390">
        <v>0</v>
      </c>
      <c r="I32" s="65">
        <v>0</v>
      </c>
      <c r="N32" s="390"/>
      <c r="R32" s="360"/>
    </row>
    <row r="33" spans="2:18" ht="13.5">
      <c r="B33" s="390" t="s">
        <v>1609</v>
      </c>
      <c r="C33" s="65">
        <v>0</v>
      </c>
      <c r="D33" s="65">
        <v>2</v>
      </c>
      <c r="E33" s="390">
        <v>1</v>
      </c>
      <c r="F33" s="65">
        <v>0</v>
      </c>
      <c r="G33" s="65">
        <v>1</v>
      </c>
      <c r="H33" s="390">
        <v>0</v>
      </c>
      <c r="I33" s="65">
        <v>1</v>
      </c>
      <c r="N33" s="390"/>
      <c r="R33" s="360"/>
    </row>
    <row r="34" spans="14:18" ht="13.5">
      <c r="N34" s="390"/>
      <c r="R34" s="360"/>
    </row>
    <row r="35" spans="1:18" ht="13.5">
      <c r="A35" s="445" t="s">
        <v>140</v>
      </c>
      <c r="B35" s="493" t="s">
        <v>29</v>
      </c>
      <c r="C35" s="493" t="s">
        <v>33</v>
      </c>
      <c r="D35" s="493" t="s">
        <v>34</v>
      </c>
      <c r="E35" s="493" t="s">
        <v>35</v>
      </c>
      <c r="F35" s="493" t="s">
        <v>36</v>
      </c>
      <c r="G35" s="493" t="s">
        <v>37</v>
      </c>
      <c r="H35" s="493" t="s">
        <v>38</v>
      </c>
      <c r="R35" s="360"/>
    </row>
    <row r="36" spans="1:18" ht="13.5">
      <c r="A36" s="65" t="s">
        <v>407</v>
      </c>
      <c r="B36" s="65">
        <v>9</v>
      </c>
      <c r="C36" s="65">
        <v>9</v>
      </c>
      <c r="D36" s="65">
        <v>8</v>
      </c>
      <c r="E36" s="65">
        <v>8</v>
      </c>
      <c r="F36" s="65">
        <v>8</v>
      </c>
      <c r="G36" s="65">
        <v>8</v>
      </c>
      <c r="H36" s="65">
        <v>9</v>
      </c>
      <c r="R36" s="360"/>
    </row>
    <row r="37" spans="1:18" ht="13.5">
      <c r="A37" s="65" t="s">
        <v>440</v>
      </c>
      <c r="B37" s="65">
        <v>7</v>
      </c>
      <c r="C37" s="65">
        <v>8</v>
      </c>
      <c r="D37" s="65">
        <v>8</v>
      </c>
      <c r="E37" s="65">
        <v>10</v>
      </c>
      <c r="F37" s="65">
        <v>7</v>
      </c>
      <c r="G37" s="65">
        <v>10</v>
      </c>
      <c r="H37" s="65">
        <v>7</v>
      </c>
      <c r="R37" s="360"/>
    </row>
    <row r="38" spans="1:18" ht="13.5">
      <c r="A38" s="65" t="s">
        <v>460</v>
      </c>
      <c r="B38" s="65">
        <v>10</v>
      </c>
      <c r="C38" s="65">
        <v>11</v>
      </c>
      <c r="D38" s="65">
        <v>7</v>
      </c>
      <c r="E38" s="65">
        <v>8</v>
      </c>
      <c r="F38" s="65">
        <v>7</v>
      </c>
      <c r="G38" s="65">
        <v>8</v>
      </c>
      <c r="H38" s="65">
        <v>6</v>
      </c>
      <c r="R38" s="360"/>
    </row>
    <row r="39" spans="1:18" ht="13.5">
      <c r="A39" s="65" t="s">
        <v>479</v>
      </c>
      <c r="B39" s="65">
        <v>6</v>
      </c>
      <c r="C39" s="65">
        <v>8</v>
      </c>
      <c r="D39" s="65">
        <v>9</v>
      </c>
      <c r="E39" s="65">
        <v>7</v>
      </c>
      <c r="F39" s="65">
        <v>8</v>
      </c>
      <c r="G39" s="65">
        <v>11</v>
      </c>
      <c r="H39" s="65">
        <v>8</v>
      </c>
      <c r="R39" s="360"/>
    </row>
    <row r="40" spans="1:18" ht="13.5">
      <c r="A40" s="65" t="s">
        <v>502</v>
      </c>
      <c r="B40" s="65">
        <v>8</v>
      </c>
      <c r="C40" s="65">
        <v>7</v>
      </c>
      <c r="D40" s="65">
        <v>12</v>
      </c>
      <c r="E40" s="65">
        <v>6</v>
      </c>
      <c r="F40" s="65">
        <v>10</v>
      </c>
      <c r="G40" s="65">
        <v>6</v>
      </c>
      <c r="H40" s="65">
        <v>8</v>
      </c>
      <c r="R40" s="360"/>
    </row>
    <row r="41" spans="1:18" ht="13.5">
      <c r="A41" s="65" t="s">
        <v>15</v>
      </c>
      <c r="B41" s="65">
        <v>12</v>
      </c>
      <c r="C41" s="65">
        <v>8</v>
      </c>
      <c r="D41" s="65">
        <v>8</v>
      </c>
      <c r="E41" s="65">
        <v>6</v>
      </c>
      <c r="F41" s="65">
        <v>7</v>
      </c>
      <c r="G41" s="65">
        <v>9</v>
      </c>
      <c r="H41" s="65">
        <v>7</v>
      </c>
      <c r="R41" s="360"/>
    </row>
    <row r="42" s="65" customFormat="1" ht="11.25">
      <c r="K42" s="390"/>
    </row>
    <row r="43" spans="1:10" s="65" customFormat="1" ht="11.25">
      <c r="A43" s="445" t="s">
        <v>181</v>
      </c>
      <c r="C43" s="445" t="s">
        <v>2811</v>
      </c>
      <c r="D43" s="445" t="s">
        <v>2812</v>
      </c>
      <c r="F43" s="445" t="s">
        <v>2813</v>
      </c>
      <c r="G43" s="390"/>
      <c r="H43" s="390"/>
      <c r="I43" s="360"/>
      <c r="J43" s="390"/>
    </row>
    <row r="44" spans="1:10" s="65" customFormat="1" ht="11.25">
      <c r="A44" s="65" t="s">
        <v>83</v>
      </c>
      <c r="F44" s="65" t="s">
        <v>83</v>
      </c>
      <c r="H44" s="519"/>
      <c r="J44" s="360"/>
    </row>
    <row r="45" spans="1:8" ht="13.5">
      <c r="A45" s="493" t="s">
        <v>2814</v>
      </c>
      <c r="C45" s="11">
        <v>1</v>
      </c>
      <c r="D45" s="65" t="s">
        <v>158</v>
      </c>
      <c r="F45" s="65" t="s">
        <v>12</v>
      </c>
      <c r="G45" s="390"/>
      <c r="H45" s="519"/>
    </row>
    <row r="46" spans="1:11" ht="13.5">
      <c r="A46" s="65" t="s">
        <v>2815</v>
      </c>
      <c r="C46" s="11">
        <v>2</v>
      </c>
      <c r="D46" s="65" t="s">
        <v>268</v>
      </c>
      <c r="F46" s="390" t="s">
        <v>16</v>
      </c>
      <c r="G46" s="390"/>
      <c r="H46" s="519"/>
      <c r="J46" s="461"/>
      <c r="K46" s="65"/>
    </row>
    <row r="47" spans="1:11" ht="13.5">
      <c r="A47" s="65" t="s">
        <v>2816</v>
      </c>
      <c r="C47" s="11">
        <v>3</v>
      </c>
      <c r="D47" s="65" t="s">
        <v>273</v>
      </c>
      <c r="F47" s="390" t="s">
        <v>151</v>
      </c>
      <c r="G47" s="390"/>
      <c r="H47" s="519"/>
      <c r="J47" s="461"/>
      <c r="K47" s="65"/>
    </row>
    <row r="48" spans="1:11" ht="13.5">
      <c r="A48" s="65" t="s">
        <v>2817</v>
      </c>
      <c r="C48" s="11">
        <v>4</v>
      </c>
      <c r="D48" s="65" t="s">
        <v>278</v>
      </c>
      <c r="F48" s="390"/>
      <c r="G48" s="390"/>
      <c r="H48" s="519"/>
      <c r="J48" s="461"/>
      <c r="K48" s="65"/>
    </row>
    <row r="49" spans="1:11" ht="13.5">
      <c r="A49" s="493" t="s">
        <v>2818</v>
      </c>
      <c r="C49" s="11">
        <v>5</v>
      </c>
      <c r="D49" s="65" t="s">
        <v>283</v>
      </c>
      <c r="F49" s="390"/>
      <c r="G49" s="390"/>
      <c r="H49" s="519"/>
      <c r="J49" s="390"/>
      <c r="K49" s="65"/>
    </row>
    <row r="50" spans="1:8" ht="13.5">
      <c r="A50" s="65" t="s">
        <v>2819</v>
      </c>
      <c r="C50" s="11">
        <v>6</v>
      </c>
      <c r="D50" s="65" t="s">
        <v>289</v>
      </c>
      <c r="F50" s="390"/>
      <c r="G50" s="390"/>
      <c r="H50" s="519"/>
    </row>
    <row r="51" spans="1:8" ht="13.5">
      <c r="A51" s="65" t="s">
        <v>2820</v>
      </c>
      <c r="C51" s="11">
        <v>7</v>
      </c>
      <c r="D51" s="65" t="s">
        <v>296</v>
      </c>
      <c r="H51" s="519"/>
    </row>
    <row r="52" spans="1:8" ht="13.5">
      <c r="A52" s="65" t="s">
        <v>182</v>
      </c>
      <c r="C52" s="11">
        <v>8</v>
      </c>
      <c r="D52" s="65" t="s">
        <v>303</v>
      </c>
      <c r="H52" s="519"/>
    </row>
    <row r="53" spans="3:8" ht="13.5">
      <c r="C53" s="11">
        <v>9</v>
      </c>
      <c r="D53" s="65" t="s">
        <v>310</v>
      </c>
      <c r="G53" s="390"/>
      <c r="H53" s="519"/>
    </row>
    <row r="54" spans="3:8" ht="13.5">
      <c r="C54" s="11">
        <v>10</v>
      </c>
      <c r="D54" s="65" t="s">
        <v>319</v>
      </c>
      <c r="G54" s="390"/>
      <c r="H54" s="519"/>
    </row>
    <row r="55" spans="1:8" ht="13.5">
      <c r="A55" s="445" t="s">
        <v>2821</v>
      </c>
      <c r="B55" s="445" t="s">
        <v>2822</v>
      </c>
      <c r="C55" s="11">
        <v>11</v>
      </c>
      <c r="D55" s="65" t="s">
        <v>331</v>
      </c>
      <c r="G55" s="390"/>
      <c r="H55" s="519"/>
    </row>
    <row r="56" spans="1:8" ht="13.5">
      <c r="A56" s="65" t="s">
        <v>83</v>
      </c>
      <c r="B56" s="65" t="s">
        <v>83</v>
      </c>
      <c r="C56" s="11">
        <v>12</v>
      </c>
      <c r="D56" s="65" t="s">
        <v>337</v>
      </c>
      <c r="G56" s="390"/>
      <c r="H56" s="519"/>
    </row>
    <row r="57" spans="1:8" ht="13.5">
      <c r="A57" s="65" t="s">
        <v>88</v>
      </c>
      <c r="B57" s="65" t="s">
        <v>109</v>
      </c>
      <c r="C57" s="11">
        <v>13</v>
      </c>
      <c r="D57" s="65" t="s">
        <v>2390</v>
      </c>
      <c r="G57" s="390"/>
      <c r="H57" s="519"/>
    </row>
    <row r="58" spans="2:7" ht="13.5">
      <c r="B58" s="65" t="s">
        <v>48</v>
      </c>
      <c r="C58" s="11">
        <v>14</v>
      </c>
      <c r="D58" s="65" t="s">
        <v>159</v>
      </c>
      <c r="G58" s="390"/>
    </row>
    <row r="59" spans="1:7" ht="13.5">
      <c r="A59" s="445" t="s">
        <v>2823</v>
      </c>
      <c r="B59" s="445" t="s">
        <v>2824</v>
      </c>
      <c r="C59" s="11">
        <v>15</v>
      </c>
      <c r="G59" s="390"/>
    </row>
    <row r="60" spans="1:7" ht="13.5">
      <c r="A60" s="65" t="s">
        <v>83</v>
      </c>
      <c r="C60" s="11">
        <v>16</v>
      </c>
      <c r="G60" s="390"/>
    </row>
    <row r="61" spans="1:7" ht="13.5">
      <c r="A61" s="213" t="s">
        <v>29</v>
      </c>
      <c r="B61" s="65" t="s">
        <v>348</v>
      </c>
      <c r="C61" s="11">
        <v>17</v>
      </c>
      <c r="G61" s="390"/>
    </row>
    <row r="62" spans="1:7" ht="13.5">
      <c r="A62" s="213" t="s">
        <v>33</v>
      </c>
      <c r="B62" s="213">
        <v>1</v>
      </c>
      <c r="C62" s="11">
        <v>18</v>
      </c>
      <c r="G62" s="390"/>
    </row>
    <row r="63" spans="1:7" ht="13.5">
      <c r="A63" s="213" t="s">
        <v>34</v>
      </c>
      <c r="B63" s="213">
        <v>2</v>
      </c>
      <c r="C63" s="11">
        <v>19</v>
      </c>
      <c r="G63" s="390"/>
    </row>
    <row r="64" spans="1:7" ht="13.5">
      <c r="A64" s="213" t="s">
        <v>35</v>
      </c>
      <c r="B64" s="213">
        <v>3</v>
      </c>
      <c r="C64" s="11">
        <v>20</v>
      </c>
      <c r="G64" s="390"/>
    </row>
    <row r="65" spans="1:7" ht="13.5">
      <c r="A65" s="213" t="s">
        <v>36</v>
      </c>
      <c r="B65" s="213">
        <v>4</v>
      </c>
      <c r="C65" s="11">
        <v>21</v>
      </c>
      <c r="G65" s="390"/>
    </row>
    <row r="66" spans="1:7" ht="13.5">
      <c r="A66" s="213" t="s">
        <v>37</v>
      </c>
      <c r="B66" s="213">
        <v>5</v>
      </c>
      <c r="C66" s="11">
        <v>22</v>
      </c>
      <c r="G66" s="390"/>
    </row>
    <row r="67" spans="1:7" ht="13.5">
      <c r="A67" s="213" t="s">
        <v>38</v>
      </c>
      <c r="B67" s="495"/>
      <c r="C67" s="11">
        <v>23</v>
      </c>
      <c r="G67" s="390"/>
    </row>
    <row r="68" spans="1:7" ht="13.5">
      <c r="A68" s="213"/>
      <c r="B68" s="495"/>
      <c r="C68" s="11">
        <v>24</v>
      </c>
      <c r="G68" s="390"/>
    </row>
    <row r="69" spans="1:7" ht="13.5">
      <c r="A69" s="213"/>
      <c r="B69" s="495"/>
      <c r="C69" s="11">
        <v>25</v>
      </c>
      <c r="G69" s="390"/>
    </row>
    <row r="70" spans="1:3" ht="13.5">
      <c r="A70" s="213"/>
      <c r="B70" s="495"/>
      <c r="C70" s="11">
        <v>26</v>
      </c>
    </row>
    <row r="71" spans="1:3" ht="13.5">
      <c r="A71" s="213"/>
      <c r="B71" s="495"/>
      <c r="C71" s="11">
        <v>27</v>
      </c>
    </row>
    <row r="72" spans="1:3" ht="13.5">
      <c r="A72" s="213"/>
      <c r="B72" s="495"/>
      <c r="C72" s="11">
        <v>28</v>
      </c>
    </row>
    <row r="73" spans="1:3" ht="13.5">
      <c r="A73" s="213"/>
      <c r="B73" s="495"/>
      <c r="C73" s="11">
        <v>29</v>
      </c>
    </row>
    <row r="74" spans="1:3" ht="13.5">
      <c r="A74" s="213"/>
      <c r="B74" s="495"/>
      <c r="C74" s="11">
        <v>30</v>
      </c>
    </row>
    <row r="75" spans="1:2" ht="13.5">
      <c r="A75" s="213"/>
      <c r="B75" s="495"/>
    </row>
    <row r="76" spans="1:2" ht="13.5">
      <c r="A76" s="213"/>
      <c r="B76" s="495"/>
    </row>
    <row r="77" spans="1:58" ht="13.5">
      <c r="A77" s="445" t="s">
        <v>167</v>
      </c>
      <c r="B77" s="445"/>
      <c r="C77" s="520"/>
      <c r="D77" s="520"/>
      <c r="E77" s="520"/>
      <c r="F77" s="520"/>
      <c r="G77" s="520"/>
      <c r="H77" s="520"/>
      <c r="I77" s="520"/>
      <c r="J77" s="520"/>
      <c r="K77" s="520"/>
      <c r="L77" s="520"/>
      <c r="M77" s="520"/>
      <c r="N77" s="520"/>
      <c r="O77" s="520"/>
      <c r="P77" s="520"/>
      <c r="Q77" s="520"/>
      <c r="R77" s="520"/>
      <c r="S77" s="521"/>
      <c r="T77" s="521"/>
      <c r="U77" s="521"/>
      <c r="V77" s="521"/>
      <c r="W77" s="521"/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1"/>
      <c r="AJ77" s="521"/>
      <c r="AK77" s="521"/>
      <c r="AL77" s="521"/>
      <c r="AM77" s="521"/>
      <c r="AN77" s="521"/>
      <c r="AO77" s="521"/>
      <c r="AP77" s="521"/>
      <c r="AQ77" s="521"/>
      <c r="AR77" s="521"/>
      <c r="AS77" s="521"/>
      <c r="AT77" s="521"/>
      <c r="AU77" s="521"/>
      <c r="AV77" s="521"/>
      <c r="AW77" s="521"/>
      <c r="AX77" s="521"/>
      <c r="AY77" s="521"/>
      <c r="AZ77" s="521"/>
      <c r="BA77" s="521"/>
      <c r="BB77" s="521"/>
      <c r="BC77" s="521"/>
      <c r="BD77" s="521"/>
      <c r="BE77" s="521"/>
      <c r="BF77" s="521"/>
    </row>
    <row r="78" spans="2:58" ht="13.5">
      <c r="B78" s="522" t="s">
        <v>407</v>
      </c>
      <c r="C78" s="522" t="s">
        <v>440</v>
      </c>
      <c r="D78" s="522" t="s">
        <v>460</v>
      </c>
      <c r="E78" s="522" t="s">
        <v>479</v>
      </c>
      <c r="F78" s="522" t="s">
        <v>502</v>
      </c>
      <c r="G78" s="522" t="s">
        <v>15</v>
      </c>
      <c r="H78" s="522" t="s">
        <v>139</v>
      </c>
      <c r="I78" s="523" t="s">
        <v>13</v>
      </c>
      <c r="J78" s="523" t="s">
        <v>686</v>
      </c>
      <c r="K78" s="523" t="s">
        <v>724</v>
      </c>
      <c r="L78" s="523" t="s">
        <v>756</v>
      </c>
      <c r="M78" s="522" t="s">
        <v>819</v>
      </c>
      <c r="N78" s="522" t="s">
        <v>17</v>
      </c>
      <c r="O78" s="522" t="s">
        <v>888</v>
      </c>
      <c r="P78" s="522" t="s">
        <v>930</v>
      </c>
      <c r="Q78" s="522" t="s">
        <v>974</v>
      </c>
      <c r="R78" s="522" t="s">
        <v>1007</v>
      </c>
      <c r="S78" s="522" t="s">
        <v>1038</v>
      </c>
      <c r="T78" s="522" t="s">
        <v>1072</v>
      </c>
      <c r="U78" s="522" t="s">
        <v>1114</v>
      </c>
      <c r="V78" s="522" t="s">
        <v>1143</v>
      </c>
      <c r="W78" s="522" t="s">
        <v>1176</v>
      </c>
      <c r="X78" s="522" t="s">
        <v>1210</v>
      </c>
      <c r="Y78" s="522" t="s">
        <v>1241</v>
      </c>
      <c r="Z78" s="522" t="s">
        <v>1272</v>
      </c>
      <c r="AA78" s="522" t="s">
        <v>1303</v>
      </c>
      <c r="AB78" s="522" t="s">
        <v>1334</v>
      </c>
      <c r="AC78" s="524" t="s">
        <v>1366</v>
      </c>
      <c r="AD78" s="524" t="s">
        <v>1408</v>
      </c>
      <c r="AE78" s="524" t="s">
        <v>1453</v>
      </c>
      <c r="AF78" s="524" t="s">
        <v>1485</v>
      </c>
      <c r="AG78" s="524" t="s">
        <v>1517</v>
      </c>
      <c r="AH78" s="524" t="s">
        <v>1548</v>
      </c>
      <c r="AI78" s="524" t="s">
        <v>1579</v>
      </c>
      <c r="AJ78" s="524" t="s">
        <v>1609</v>
      </c>
      <c r="AK78" s="522" t="s">
        <v>2807</v>
      </c>
      <c r="AL78" s="522" t="s">
        <v>2808</v>
      </c>
      <c r="AM78" s="522" t="s">
        <v>2809</v>
      </c>
      <c r="AN78" s="522" t="s">
        <v>2810</v>
      </c>
      <c r="AO78" s="525" t="s">
        <v>1776</v>
      </c>
      <c r="AP78" s="525" t="s">
        <v>1780</v>
      </c>
      <c r="AQ78" s="525" t="s">
        <v>1783</v>
      </c>
      <c r="AR78" s="525" t="s">
        <v>1786</v>
      </c>
      <c r="AS78" s="525" t="s">
        <v>1790</v>
      </c>
      <c r="AT78" s="525" t="s">
        <v>1793</v>
      </c>
      <c r="AU78" s="525" t="s">
        <v>1796</v>
      </c>
      <c r="AV78" s="525" t="s">
        <v>1800</v>
      </c>
      <c r="AW78" s="525" t="s">
        <v>1803</v>
      </c>
      <c r="AX78" s="525" t="s">
        <v>1806</v>
      </c>
      <c r="AY78" s="525" t="s">
        <v>1810</v>
      </c>
      <c r="AZ78" s="525" t="s">
        <v>1813</v>
      </c>
      <c r="BA78" s="525" t="s">
        <v>1816</v>
      </c>
      <c r="BB78" s="525" t="s">
        <v>1820</v>
      </c>
      <c r="BC78" s="525" t="s">
        <v>1823</v>
      </c>
      <c r="BD78" s="525" t="s">
        <v>1826</v>
      </c>
      <c r="BE78" s="526" t="s">
        <v>1836</v>
      </c>
      <c r="BF78" s="445" t="s">
        <v>316</v>
      </c>
    </row>
    <row r="79" s="390" customFormat="1" ht="11.25">
      <c r="AZ79" s="65"/>
    </row>
    <row r="80" spans="2:58" ht="13.5">
      <c r="B80" s="390" t="s">
        <v>409</v>
      </c>
      <c r="C80" s="390" t="s">
        <v>441</v>
      </c>
      <c r="D80" s="390" t="s">
        <v>461</v>
      </c>
      <c r="E80" s="65" t="s">
        <v>622</v>
      </c>
      <c r="F80" s="390" t="s">
        <v>503</v>
      </c>
      <c r="G80" s="65" t="s">
        <v>519</v>
      </c>
      <c r="H80" s="390" t="s">
        <v>677</v>
      </c>
      <c r="I80" s="65" t="s">
        <v>146</v>
      </c>
      <c r="J80" s="65" t="s">
        <v>704</v>
      </c>
      <c r="K80" s="65" t="s">
        <v>744</v>
      </c>
      <c r="L80" s="390" t="s">
        <v>573</v>
      </c>
      <c r="M80" s="65" t="s">
        <v>836</v>
      </c>
      <c r="N80" s="390" t="s">
        <v>582</v>
      </c>
      <c r="O80" s="390" t="s">
        <v>912</v>
      </c>
      <c r="P80" s="65" t="s">
        <v>960</v>
      </c>
      <c r="Q80" s="65" t="s">
        <v>990</v>
      </c>
      <c r="R80" s="390" t="s">
        <v>598</v>
      </c>
      <c r="S80" s="390" t="s">
        <v>1047</v>
      </c>
      <c r="T80" s="65" t="s">
        <v>1080</v>
      </c>
      <c r="U80" s="65" t="s">
        <v>1128</v>
      </c>
      <c r="V80" s="65" t="s">
        <v>1157</v>
      </c>
      <c r="W80" s="390" t="s">
        <v>1177</v>
      </c>
      <c r="X80" s="390" t="s">
        <v>1211</v>
      </c>
      <c r="Y80" s="390" t="s">
        <v>1242</v>
      </c>
      <c r="Z80" s="390" t="s">
        <v>1273</v>
      </c>
      <c r="AA80" s="390"/>
      <c r="AB80" s="390"/>
      <c r="AC80" s="65" t="s">
        <v>1367</v>
      </c>
      <c r="AD80" s="65" t="s">
        <v>1452</v>
      </c>
      <c r="AE80" s="65" t="s">
        <v>1456</v>
      </c>
      <c r="AF80" s="65" t="s">
        <v>1488</v>
      </c>
      <c r="AG80" s="65" t="s">
        <v>1518</v>
      </c>
      <c r="AH80" s="65" t="s">
        <v>1569</v>
      </c>
      <c r="AI80" s="65" t="s">
        <v>616</v>
      </c>
      <c r="AJ80" s="65" t="s">
        <v>1610</v>
      </c>
      <c r="AK80" s="65" t="s">
        <v>1643</v>
      </c>
      <c r="AL80" s="65" t="s">
        <v>1691</v>
      </c>
      <c r="AO80" s="65" t="s">
        <v>1777</v>
      </c>
      <c r="AP80" s="65" t="s">
        <v>1781</v>
      </c>
      <c r="AQ80" s="65" t="s">
        <v>1784</v>
      </c>
      <c r="AR80" s="65" t="s">
        <v>1787</v>
      </c>
      <c r="AS80" s="65" t="s">
        <v>1791</v>
      </c>
      <c r="AT80" s="65" t="s">
        <v>1794</v>
      </c>
      <c r="AU80" s="65" t="s">
        <v>1797</v>
      </c>
      <c r="AV80" s="65" t="s">
        <v>1801</v>
      </c>
      <c r="AW80" s="65" t="s">
        <v>1804</v>
      </c>
      <c r="AX80" s="65" t="s">
        <v>1807</v>
      </c>
      <c r="AY80" s="65" t="s">
        <v>1811</v>
      </c>
      <c r="AZ80" s="65" t="s">
        <v>1814</v>
      </c>
      <c r="BA80" s="65" t="s">
        <v>1817</v>
      </c>
      <c r="BB80" s="65" t="s">
        <v>1821</v>
      </c>
      <c r="BC80" s="65" t="s">
        <v>1824</v>
      </c>
      <c r="BD80" s="65" t="s">
        <v>1827</v>
      </c>
      <c r="BE80" s="65" t="s">
        <v>1837</v>
      </c>
      <c r="BF80" s="390" t="s">
        <v>1893</v>
      </c>
    </row>
    <row r="81" spans="2:58" ht="13.5">
      <c r="B81" s="390" t="s">
        <v>414</v>
      </c>
      <c r="C81" s="390" t="s">
        <v>444</v>
      </c>
      <c r="D81" s="390" t="s">
        <v>2825</v>
      </c>
      <c r="E81" s="65" t="s">
        <v>487</v>
      </c>
      <c r="F81" s="390" t="s">
        <v>505</v>
      </c>
      <c r="G81" s="390" t="s">
        <v>522</v>
      </c>
      <c r="H81" s="390" t="s">
        <v>2826</v>
      </c>
      <c r="I81" s="65" t="s">
        <v>640</v>
      </c>
      <c r="J81" s="65" t="s">
        <v>693</v>
      </c>
      <c r="K81" s="390" t="s">
        <v>2827</v>
      </c>
      <c r="L81" s="390" t="s">
        <v>762</v>
      </c>
      <c r="M81" s="65" t="s">
        <v>820</v>
      </c>
      <c r="N81" s="390" t="s">
        <v>143</v>
      </c>
      <c r="O81" s="390" t="s">
        <v>581</v>
      </c>
      <c r="P81" s="65" t="s">
        <v>932</v>
      </c>
      <c r="Q81" s="65" t="s">
        <v>975</v>
      </c>
      <c r="R81" s="390" t="s">
        <v>1008</v>
      </c>
      <c r="S81" s="65" t="s">
        <v>1040</v>
      </c>
      <c r="T81" s="65" t="s">
        <v>2828</v>
      </c>
      <c r="U81" s="65" t="s">
        <v>1115</v>
      </c>
      <c r="V81" s="65" t="s">
        <v>1144</v>
      </c>
      <c r="W81" s="390" t="s">
        <v>1180</v>
      </c>
      <c r="X81" s="390" t="s">
        <v>1214</v>
      </c>
      <c r="Y81" s="390" t="s">
        <v>1244</v>
      </c>
      <c r="Z81" s="390" t="s">
        <v>1275</v>
      </c>
      <c r="AA81" s="390"/>
      <c r="AB81" s="390"/>
      <c r="AC81" s="65" t="s">
        <v>1369</v>
      </c>
      <c r="AD81" s="65" t="s">
        <v>1443</v>
      </c>
      <c r="AE81" s="65" t="s">
        <v>1473</v>
      </c>
      <c r="AF81" s="65" t="s">
        <v>1489</v>
      </c>
      <c r="AG81" s="65" t="s">
        <v>1520</v>
      </c>
      <c r="AH81" s="65" t="s">
        <v>1571</v>
      </c>
      <c r="AI81" s="65" t="s">
        <v>1581</v>
      </c>
      <c r="AJ81" s="65" t="s">
        <v>1628</v>
      </c>
      <c r="AK81" s="65" t="s">
        <v>1640</v>
      </c>
      <c r="AL81" s="65" t="s">
        <v>1689</v>
      </c>
      <c r="AO81" s="65" t="s">
        <v>1779</v>
      </c>
      <c r="AP81" s="65" t="s">
        <v>1782</v>
      </c>
      <c r="AQ81" s="65" t="s">
        <v>1785</v>
      </c>
      <c r="AR81" s="65" t="s">
        <v>1789</v>
      </c>
      <c r="AS81" s="65" t="s">
        <v>1792</v>
      </c>
      <c r="AT81" s="65" t="s">
        <v>1795</v>
      </c>
      <c r="AU81" s="65" t="s">
        <v>1799</v>
      </c>
      <c r="AV81" s="65" t="s">
        <v>1802</v>
      </c>
      <c r="AW81" s="65" t="s">
        <v>1805</v>
      </c>
      <c r="AX81" s="65" t="s">
        <v>1809</v>
      </c>
      <c r="AY81" s="65" t="s">
        <v>1812</v>
      </c>
      <c r="AZ81" s="65" t="s">
        <v>1815</v>
      </c>
      <c r="BA81" s="65" t="s">
        <v>1819</v>
      </c>
      <c r="BB81" s="65" t="s">
        <v>1822</v>
      </c>
      <c r="BC81" s="65" t="s">
        <v>1825</v>
      </c>
      <c r="BD81" s="65" t="s">
        <v>1829</v>
      </c>
      <c r="BE81" s="65" t="s">
        <v>1838</v>
      </c>
      <c r="BF81" s="390" t="s">
        <v>1888</v>
      </c>
    </row>
    <row r="82" spans="2:58" ht="13.5">
      <c r="B82" s="390" t="s">
        <v>417</v>
      </c>
      <c r="C82" s="390" t="s">
        <v>448</v>
      </c>
      <c r="D82" s="390" t="s">
        <v>466</v>
      </c>
      <c r="E82" s="390" t="s">
        <v>483</v>
      </c>
      <c r="F82" s="390" t="s">
        <v>507</v>
      </c>
      <c r="G82" s="390" t="s">
        <v>131</v>
      </c>
      <c r="H82" s="390" t="s">
        <v>2829</v>
      </c>
      <c r="I82" s="65" t="s">
        <v>560</v>
      </c>
      <c r="J82" s="65" t="s">
        <v>2830</v>
      </c>
      <c r="K82" s="65" t="s">
        <v>2831</v>
      </c>
      <c r="L82" s="65" t="s">
        <v>763</v>
      </c>
      <c r="M82" s="65" t="s">
        <v>823</v>
      </c>
      <c r="N82" s="390" t="s">
        <v>138</v>
      </c>
      <c r="O82" s="65" t="s">
        <v>614</v>
      </c>
      <c r="P82" s="65" t="s">
        <v>933</v>
      </c>
      <c r="Q82" s="390" t="s">
        <v>976</v>
      </c>
      <c r="R82" s="390" t="s">
        <v>611</v>
      </c>
      <c r="S82" s="65" t="s">
        <v>1041</v>
      </c>
      <c r="T82" s="390" t="s">
        <v>1074</v>
      </c>
      <c r="U82" s="65" t="s">
        <v>1116</v>
      </c>
      <c r="V82" s="65" t="s">
        <v>1145</v>
      </c>
      <c r="W82" s="390" t="s">
        <v>1181</v>
      </c>
      <c r="X82" s="390" t="s">
        <v>1215</v>
      </c>
      <c r="Y82" s="390" t="s">
        <v>1245</v>
      </c>
      <c r="Z82" s="390" t="s">
        <v>1276</v>
      </c>
      <c r="AA82" s="390"/>
      <c r="AB82" s="390"/>
      <c r="AC82" s="65" t="s">
        <v>1370</v>
      </c>
      <c r="AD82" s="65" t="s">
        <v>1411</v>
      </c>
      <c r="AE82" s="65" t="s">
        <v>1474</v>
      </c>
      <c r="AF82" s="65" t="s">
        <v>1491</v>
      </c>
      <c r="AG82" s="65" t="s">
        <v>1541</v>
      </c>
      <c r="AH82" s="65" t="s">
        <v>1572</v>
      </c>
      <c r="AI82" s="65" t="s">
        <v>1582</v>
      </c>
      <c r="AJ82" s="65" t="s">
        <v>1613</v>
      </c>
      <c r="AK82" s="65" t="s">
        <v>1645</v>
      </c>
      <c r="AL82" s="65" t="s">
        <v>1698</v>
      </c>
      <c r="BD82" s="65" t="s">
        <v>1830</v>
      </c>
      <c r="BE82" s="65" t="s">
        <v>1839</v>
      </c>
      <c r="BF82" s="390" t="s">
        <v>1895</v>
      </c>
    </row>
    <row r="83" spans="2:58" ht="13.5">
      <c r="B83" s="213" t="s">
        <v>2832</v>
      </c>
      <c r="C83" s="390" t="s">
        <v>457</v>
      </c>
      <c r="D83" s="390" t="s">
        <v>468</v>
      </c>
      <c r="E83" s="390" t="s">
        <v>485</v>
      </c>
      <c r="F83" s="390" t="s">
        <v>517</v>
      </c>
      <c r="G83" s="390" t="s">
        <v>527</v>
      </c>
      <c r="H83" s="390" t="s">
        <v>2833</v>
      </c>
      <c r="I83" s="65" t="s">
        <v>2834</v>
      </c>
      <c r="J83" s="65" t="s">
        <v>1031</v>
      </c>
      <c r="K83" s="390" t="s">
        <v>2835</v>
      </c>
      <c r="L83" s="65" t="s">
        <v>765</v>
      </c>
      <c r="M83" s="390" t="s">
        <v>2836</v>
      </c>
      <c r="N83" s="65" t="s">
        <v>144</v>
      </c>
      <c r="O83" s="65" t="s">
        <v>889</v>
      </c>
      <c r="P83" s="65" t="s">
        <v>583</v>
      </c>
      <c r="Q83" s="65" t="s">
        <v>977</v>
      </c>
      <c r="R83" s="390" t="s">
        <v>2837</v>
      </c>
      <c r="S83" s="65" t="s">
        <v>1042</v>
      </c>
      <c r="T83" s="65" t="s">
        <v>1075</v>
      </c>
      <c r="U83" s="65" t="s">
        <v>2838</v>
      </c>
      <c r="V83" s="65" t="s">
        <v>2839</v>
      </c>
      <c r="W83" s="390" t="s">
        <v>1183</v>
      </c>
      <c r="X83" s="390" t="s">
        <v>1216</v>
      </c>
      <c r="Y83" s="390" t="s">
        <v>1246</v>
      </c>
      <c r="Z83" s="390" t="s">
        <v>1277</v>
      </c>
      <c r="AA83" s="390"/>
      <c r="AB83" s="390"/>
      <c r="AC83" s="65" t="s">
        <v>1371</v>
      </c>
      <c r="AD83" s="65" t="s">
        <v>1412</v>
      </c>
      <c r="AE83" s="65" t="s">
        <v>1457</v>
      </c>
      <c r="AF83" s="65" t="s">
        <v>1492</v>
      </c>
      <c r="AG83" s="65" t="s">
        <v>1525</v>
      </c>
      <c r="AH83" s="65" t="s">
        <v>1549</v>
      </c>
      <c r="AI83" s="65" t="s">
        <v>1583</v>
      </c>
      <c r="AJ83" s="65" t="s">
        <v>1614</v>
      </c>
      <c r="AK83" s="65" t="s">
        <v>1646</v>
      </c>
      <c r="AL83" s="65" t="s">
        <v>1692</v>
      </c>
      <c r="BD83" s="65" t="s">
        <v>1831</v>
      </c>
      <c r="BE83" s="65" t="s">
        <v>1840</v>
      </c>
      <c r="BF83" s="390" t="s">
        <v>1899</v>
      </c>
    </row>
    <row r="84" spans="2:58" ht="13.5">
      <c r="B84" s="213" t="s">
        <v>2840</v>
      </c>
      <c r="C84" s="390" t="s">
        <v>446</v>
      </c>
      <c r="D84" s="390" t="s">
        <v>470</v>
      </c>
      <c r="E84" s="390" t="s">
        <v>480</v>
      </c>
      <c r="F84" s="390" t="s">
        <v>509</v>
      </c>
      <c r="G84" s="390" t="s">
        <v>525</v>
      </c>
      <c r="H84" s="390" t="s">
        <v>2841</v>
      </c>
      <c r="I84" s="65" t="s">
        <v>646</v>
      </c>
      <c r="J84" s="65" t="s">
        <v>696</v>
      </c>
      <c r="K84" s="390" t="s">
        <v>612</v>
      </c>
      <c r="L84" s="390" t="s">
        <v>2842</v>
      </c>
      <c r="M84" s="65" t="s">
        <v>824</v>
      </c>
      <c r="N84" s="65" t="s">
        <v>2843</v>
      </c>
      <c r="O84" s="65" t="s">
        <v>890</v>
      </c>
      <c r="P84" s="65" t="s">
        <v>934</v>
      </c>
      <c r="Q84" s="65" t="s">
        <v>999</v>
      </c>
      <c r="R84" s="390" t="s">
        <v>1011</v>
      </c>
      <c r="S84" s="65" t="s">
        <v>1043</v>
      </c>
      <c r="T84" s="65" t="s">
        <v>1076</v>
      </c>
      <c r="U84" s="65" t="s">
        <v>1135</v>
      </c>
      <c r="V84" s="65" t="s">
        <v>1147</v>
      </c>
      <c r="W84" s="390" t="s">
        <v>1185</v>
      </c>
      <c r="X84" s="390" t="s">
        <v>1217</v>
      </c>
      <c r="Y84" s="390" t="s">
        <v>1247</v>
      </c>
      <c r="Z84" s="390" t="s">
        <v>1278</v>
      </c>
      <c r="AA84" s="390"/>
      <c r="AB84" s="390"/>
      <c r="AC84" s="65" t="s">
        <v>1372</v>
      </c>
      <c r="AD84" s="65" t="s">
        <v>1413</v>
      </c>
      <c r="AE84" s="65" t="s">
        <v>1484</v>
      </c>
      <c r="AF84" s="65" t="s">
        <v>1493</v>
      </c>
      <c r="AG84" s="65" t="s">
        <v>1526</v>
      </c>
      <c r="AH84" s="65" t="s">
        <v>1551</v>
      </c>
      <c r="AI84" s="65" t="s">
        <v>1584</v>
      </c>
      <c r="AJ84" s="65" t="s">
        <v>1629</v>
      </c>
      <c r="AK84" s="65" t="s">
        <v>1647</v>
      </c>
      <c r="AL84" s="65" t="s">
        <v>1699</v>
      </c>
      <c r="BD84" s="65" t="s">
        <v>1832</v>
      </c>
      <c r="BE84" s="65" t="s">
        <v>1841</v>
      </c>
      <c r="BF84" s="390" t="s">
        <v>336</v>
      </c>
    </row>
    <row r="85" spans="2:58" ht="13.5">
      <c r="B85" s="213" t="s">
        <v>2844</v>
      </c>
      <c r="C85" s="390" t="s">
        <v>450</v>
      </c>
      <c r="D85" s="390" t="s">
        <v>477</v>
      </c>
      <c r="E85" s="390" t="s">
        <v>491</v>
      </c>
      <c r="F85" s="390" t="s">
        <v>511</v>
      </c>
      <c r="G85" s="390" t="s">
        <v>530</v>
      </c>
      <c r="H85" s="390" t="s">
        <v>585</v>
      </c>
      <c r="I85" s="65" t="s">
        <v>149</v>
      </c>
      <c r="J85" s="65" t="s">
        <v>699</v>
      </c>
      <c r="K85" s="390" t="s">
        <v>2845</v>
      </c>
      <c r="L85" s="65" t="s">
        <v>766</v>
      </c>
      <c r="M85" s="65" t="s">
        <v>825</v>
      </c>
      <c r="N85" s="65" t="s">
        <v>863</v>
      </c>
      <c r="O85" s="65" t="s">
        <v>891</v>
      </c>
      <c r="P85" s="65" t="s">
        <v>936</v>
      </c>
      <c r="Q85" s="65" t="s">
        <v>980</v>
      </c>
      <c r="R85" s="65" t="s">
        <v>1012</v>
      </c>
      <c r="S85" s="390" t="s">
        <v>1048</v>
      </c>
      <c r="T85" s="390" t="s">
        <v>1078</v>
      </c>
      <c r="U85" s="65" t="s">
        <v>1118</v>
      </c>
      <c r="V85" s="65" t="s">
        <v>1148</v>
      </c>
      <c r="W85" s="390" t="s">
        <v>1186</v>
      </c>
      <c r="X85" s="390" t="s">
        <v>1218</v>
      </c>
      <c r="Y85" s="390" t="s">
        <v>1248</v>
      </c>
      <c r="Z85" s="390" t="s">
        <v>1279</v>
      </c>
      <c r="AA85" s="390"/>
      <c r="AB85" s="390"/>
      <c r="AC85" s="65" t="s">
        <v>1373</v>
      </c>
      <c r="AD85" s="65" t="s">
        <v>1414</v>
      </c>
      <c r="AE85" s="65" t="s">
        <v>1459</v>
      </c>
      <c r="AF85" s="65" t="s">
        <v>1494</v>
      </c>
      <c r="AG85" s="65" t="s">
        <v>1527</v>
      </c>
      <c r="AH85" s="65" t="s">
        <v>1552</v>
      </c>
      <c r="AI85" s="65" t="s">
        <v>1587</v>
      </c>
      <c r="AJ85" s="65" t="s">
        <v>1616</v>
      </c>
      <c r="AK85" s="65" t="s">
        <v>1648</v>
      </c>
      <c r="AL85" s="65" t="s">
        <v>1702</v>
      </c>
      <c r="BD85" s="65" t="s">
        <v>1833</v>
      </c>
      <c r="BE85" s="65" t="s">
        <v>1842</v>
      </c>
      <c r="BF85" s="390" t="s">
        <v>1940</v>
      </c>
    </row>
    <row r="86" spans="2:58" ht="13.5">
      <c r="B86" s="213" t="s">
        <v>2846</v>
      </c>
      <c r="C86" s="390" t="s">
        <v>453</v>
      </c>
      <c r="D86" s="390" t="s">
        <v>473</v>
      </c>
      <c r="E86" s="390" t="s">
        <v>497</v>
      </c>
      <c r="F86" s="390" t="s">
        <v>2847</v>
      </c>
      <c r="G86" s="390" t="s">
        <v>2848</v>
      </c>
      <c r="H86" s="390" t="s">
        <v>800</v>
      </c>
      <c r="I86" s="390" t="s">
        <v>561</v>
      </c>
      <c r="J86" s="65" t="s">
        <v>715</v>
      </c>
      <c r="K86" s="390" t="s">
        <v>728</v>
      </c>
      <c r="L86" s="390" t="s">
        <v>563</v>
      </c>
      <c r="M86" s="65" t="s">
        <v>826</v>
      </c>
      <c r="N86" s="65" t="s">
        <v>864</v>
      </c>
      <c r="O86" s="65" t="s">
        <v>892</v>
      </c>
      <c r="P86" s="390" t="s">
        <v>564</v>
      </c>
      <c r="Q86" s="65" t="s">
        <v>981</v>
      </c>
      <c r="R86" s="65" t="s">
        <v>1013</v>
      </c>
      <c r="S86" s="390" t="s">
        <v>2849</v>
      </c>
      <c r="T86" s="390" t="s">
        <v>1079</v>
      </c>
      <c r="U86" s="65" t="s">
        <v>1119</v>
      </c>
      <c r="V86" s="65" t="s">
        <v>1149</v>
      </c>
      <c r="W86" s="390" t="s">
        <v>1187</v>
      </c>
      <c r="X86" s="390" t="s">
        <v>1219</v>
      </c>
      <c r="Y86" s="390" t="s">
        <v>1249</v>
      </c>
      <c r="Z86" s="390" t="s">
        <v>1280</v>
      </c>
      <c r="AA86" s="390"/>
      <c r="AB86" s="390"/>
      <c r="AC86" s="65" t="s">
        <v>1374</v>
      </c>
      <c r="AD86" s="65" t="s">
        <v>1415</v>
      </c>
      <c r="AE86" s="65" t="s">
        <v>1475</v>
      </c>
      <c r="AF86" s="65" t="s">
        <v>1495</v>
      </c>
      <c r="AG86" s="65" t="s">
        <v>1528</v>
      </c>
      <c r="AH86" s="65" t="s">
        <v>1553</v>
      </c>
      <c r="AI86" s="65" t="s">
        <v>1589</v>
      </c>
      <c r="AJ86" s="65" t="s">
        <v>1617</v>
      </c>
      <c r="AK86" s="65" t="s">
        <v>1649</v>
      </c>
      <c r="AL86" s="65" t="s">
        <v>1703</v>
      </c>
      <c r="BD86" s="65" t="s">
        <v>1834</v>
      </c>
      <c r="BE86" s="65" t="s">
        <v>1843</v>
      </c>
      <c r="BF86" s="390" t="s">
        <v>333</v>
      </c>
    </row>
    <row r="87" spans="2:58" ht="13.5">
      <c r="B87" s="213" t="s">
        <v>2850</v>
      </c>
      <c r="C87" s="390" t="s">
        <v>455</v>
      </c>
      <c r="D87" s="390" t="s">
        <v>475</v>
      </c>
      <c r="E87" s="390" t="s">
        <v>494</v>
      </c>
      <c r="F87" s="390" t="s">
        <v>2851</v>
      </c>
      <c r="G87" s="390" t="s">
        <v>2852</v>
      </c>
      <c r="H87" s="213" t="s">
        <v>590</v>
      </c>
      <c r="I87" s="390" t="s">
        <v>650</v>
      </c>
      <c r="J87" s="65" t="s">
        <v>2853</v>
      </c>
      <c r="K87" s="65" t="s">
        <v>729</v>
      </c>
      <c r="L87" s="65" t="s">
        <v>768</v>
      </c>
      <c r="M87" s="390" t="s">
        <v>827</v>
      </c>
      <c r="N87" s="65" t="s">
        <v>865</v>
      </c>
      <c r="O87" s="65" t="s">
        <v>894</v>
      </c>
      <c r="P87" s="65" t="s">
        <v>938</v>
      </c>
      <c r="Q87" s="390" t="s">
        <v>983</v>
      </c>
      <c r="R87" s="390" t="s">
        <v>1014</v>
      </c>
      <c r="S87" s="65" t="s">
        <v>1049</v>
      </c>
      <c r="T87" s="390" t="s">
        <v>562</v>
      </c>
      <c r="U87" s="390" t="s">
        <v>1120</v>
      </c>
      <c r="V87" s="65" t="s">
        <v>1150</v>
      </c>
      <c r="W87" s="390" t="s">
        <v>1188</v>
      </c>
      <c r="X87" s="390" t="s">
        <v>567</v>
      </c>
      <c r="Y87" s="390" t="s">
        <v>1250</v>
      </c>
      <c r="Z87" s="390" t="s">
        <v>1281</v>
      </c>
      <c r="AA87" s="390"/>
      <c r="AB87" s="390"/>
      <c r="AC87" s="65" t="s">
        <v>1375</v>
      </c>
      <c r="AD87" s="65" t="s">
        <v>1416</v>
      </c>
      <c r="AE87" s="65" t="s">
        <v>1460</v>
      </c>
      <c r="AF87" s="65" t="s">
        <v>1498</v>
      </c>
      <c r="AG87" s="65" t="s">
        <v>1529</v>
      </c>
      <c r="AH87" s="65" t="s">
        <v>1578</v>
      </c>
      <c r="AI87" s="65" t="s">
        <v>1592</v>
      </c>
      <c r="AJ87" s="65" t="s">
        <v>1631</v>
      </c>
      <c r="AK87" s="65" t="s">
        <v>1650</v>
      </c>
      <c r="AL87" s="65" t="s">
        <v>1693</v>
      </c>
      <c r="BD87" s="65" t="s">
        <v>1835</v>
      </c>
      <c r="BE87" s="65" t="s">
        <v>1844</v>
      </c>
      <c r="BF87" s="390" t="s">
        <v>1959</v>
      </c>
    </row>
    <row r="88" spans="2:58" ht="13.5">
      <c r="B88" s="213" t="s">
        <v>2854</v>
      </c>
      <c r="C88" s="390" t="s">
        <v>458</v>
      </c>
      <c r="D88" s="390" t="s">
        <v>478</v>
      </c>
      <c r="E88" s="390" t="s">
        <v>501</v>
      </c>
      <c r="F88" s="390" t="s">
        <v>2855</v>
      </c>
      <c r="G88" s="390" t="s">
        <v>2856</v>
      </c>
      <c r="H88" s="213" t="s">
        <v>358</v>
      </c>
      <c r="I88" s="65" t="s">
        <v>135</v>
      </c>
      <c r="J88" s="65" t="s">
        <v>701</v>
      </c>
      <c r="K88" s="65" t="s">
        <v>731</v>
      </c>
      <c r="L88" s="390" t="s">
        <v>769</v>
      </c>
      <c r="M88" s="65" t="s">
        <v>829</v>
      </c>
      <c r="N88" s="390" t="s">
        <v>2857</v>
      </c>
      <c r="O88" s="65" t="s">
        <v>896</v>
      </c>
      <c r="P88" s="390" t="s">
        <v>623</v>
      </c>
      <c r="Q88" s="65" t="s">
        <v>1004</v>
      </c>
      <c r="R88" s="390" t="s">
        <v>2858</v>
      </c>
      <c r="S88" s="390" t="s">
        <v>1060</v>
      </c>
      <c r="T88" s="65" t="s">
        <v>1081</v>
      </c>
      <c r="U88" s="65" t="s">
        <v>1121</v>
      </c>
      <c r="V88" s="390" t="s">
        <v>1151</v>
      </c>
      <c r="W88" s="390" t="s">
        <v>1189</v>
      </c>
      <c r="X88" s="390" t="s">
        <v>1220</v>
      </c>
      <c r="Y88" s="390" t="s">
        <v>1251</v>
      </c>
      <c r="Z88" s="390" t="s">
        <v>1282</v>
      </c>
      <c r="AA88" s="390"/>
      <c r="AB88" s="390"/>
      <c r="AC88" s="65" t="s">
        <v>1376</v>
      </c>
      <c r="AD88" s="65" t="s">
        <v>1417</v>
      </c>
      <c r="AE88" s="65" t="s">
        <v>1477</v>
      </c>
      <c r="AF88" s="65" t="s">
        <v>1499</v>
      </c>
      <c r="AG88" s="65" t="s">
        <v>1530</v>
      </c>
      <c r="AH88" s="65" t="s">
        <v>1555</v>
      </c>
      <c r="AI88" s="65" t="s">
        <v>1593</v>
      </c>
      <c r="AJ88" s="65" t="s">
        <v>1621</v>
      </c>
      <c r="AK88" s="65" t="s">
        <v>1651</v>
      </c>
      <c r="AL88" s="65" t="s">
        <v>1694</v>
      </c>
      <c r="BE88" s="65" t="s">
        <v>1845</v>
      </c>
      <c r="BF88" s="390" t="s">
        <v>339</v>
      </c>
    </row>
    <row r="89" spans="2:58" s="65" customFormat="1" ht="11.25">
      <c r="B89" s="213" t="s">
        <v>2859</v>
      </c>
      <c r="F89" s="390"/>
      <c r="H89" s="213" t="s">
        <v>592</v>
      </c>
      <c r="I89" s="65" t="s">
        <v>657</v>
      </c>
      <c r="J89" s="65" t="s">
        <v>703</v>
      </c>
      <c r="K89" s="65" t="s">
        <v>733</v>
      </c>
      <c r="L89" s="390" t="s">
        <v>771</v>
      </c>
      <c r="M89" s="65" t="s">
        <v>831</v>
      </c>
      <c r="N89" s="65" t="s">
        <v>866</v>
      </c>
      <c r="O89" s="65" t="s">
        <v>897</v>
      </c>
      <c r="P89" s="390" t="s">
        <v>940</v>
      </c>
      <c r="Q89" s="65" t="s">
        <v>2860</v>
      </c>
      <c r="R89" s="390" t="s">
        <v>1015</v>
      </c>
      <c r="S89" s="65" t="s">
        <v>2861</v>
      </c>
      <c r="T89" s="65" t="s">
        <v>1082</v>
      </c>
      <c r="U89" s="65" t="s">
        <v>1122</v>
      </c>
      <c r="V89" s="65" t="s">
        <v>1152</v>
      </c>
      <c r="W89" s="390" t="s">
        <v>1190</v>
      </c>
      <c r="X89" s="390" t="s">
        <v>1221</v>
      </c>
      <c r="Y89" s="390" t="s">
        <v>1252</v>
      </c>
      <c r="Z89" s="390" t="s">
        <v>1283</v>
      </c>
      <c r="AA89" s="390"/>
      <c r="AB89" s="390"/>
      <c r="AC89" s="65" t="s">
        <v>1377</v>
      </c>
      <c r="AD89" s="65" t="s">
        <v>1418</v>
      </c>
      <c r="AE89" s="65" t="s">
        <v>1464</v>
      </c>
      <c r="AF89" s="65" t="s">
        <v>1516</v>
      </c>
      <c r="AG89" s="65" t="s">
        <v>1532</v>
      </c>
      <c r="AH89" s="65" t="s">
        <v>1556</v>
      </c>
      <c r="AI89" s="65" t="s">
        <v>1602</v>
      </c>
      <c r="AJ89" s="65" t="s">
        <v>1632</v>
      </c>
      <c r="AK89" s="65" t="s">
        <v>1652</v>
      </c>
      <c r="AL89" s="65" t="s">
        <v>1715</v>
      </c>
      <c r="BE89" s="65" t="s">
        <v>1846</v>
      </c>
      <c r="BF89" s="390" t="s">
        <v>1908</v>
      </c>
    </row>
    <row r="90" spans="2:58" s="65" customFormat="1" ht="11.25">
      <c r="B90" s="65" t="s">
        <v>422</v>
      </c>
      <c r="F90" s="390"/>
      <c r="H90" s="213" t="s">
        <v>593</v>
      </c>
      <c r="I90" s="390" t="s">
        <v>2862</v>
      </c>
      <c r="J90" s="65" t="s">
        <v>716</v>
      </c>
      <c r="K90" s="65" t="s">
        <v>1077</v>
      </c>
      <c r="L90" s="65" t="s">
        <v>772</v>
      </c>
      <c r="M90" s="390" t="s">
        <v>834</v>
      </c>
      <c r="N90" s="65" t="s">
        <v>867</v>
      </c>
      <c r="O90" s="65" t="s">
        <v>899</v>
      </c>
      <c r="P90" s="390" t="s">
        <v>941</v>
      </c>
      <c r="Q90" s="65" t="s">
        <v>986</v>
      </c>
      <c r="R90" s="65" t="s">
        <v>1019</v>
      </c>
      <c r="S90" s="65" t="s">
        <v>1051</v>
      </c>
      <c r="T90" s="390" t="s">
        <v>1106</v>
      </c>
      <c r="U90" s="65" t="s">
        <v>1123</v>
      </c>
      <c r="V90" s="65" t="s">
        <v>1154</v>
      </c>
      <c r="W90" s="390" t="s">
        <v>1192</v>
      </c>
      <c r="X90" s="390" t="s">
        <v>1223</v>
      </c>
      <c r="Y90" s="390" t="s">
        <v>1254</v>
      </c>
      <c r="Z90" s="390" t="s">
        <v>1285</v>
      </c>
      <c r="AA90" s="390"/>
      <c r="AB90" s="390"/>
      <c r="AC90" s="65" t="s">
        <v>1378</v>
      </c>
      <c r="AD90" s="65" t="s">
        <v>1419</v>
      </c>
      <c r="AE90" s="65" t="s">
        <v>1465</v>
      </c>
      <c r="AF90" s="65" t="s">
        <v>1500</v>
      </c>
      <c r="AG90" s="65" t="s">
        <v>2863</v>
      </c>
      <c r="AH90" s="65" t="s">
        <v>1557</v>
      </c>
      <c r="AI90" s="65" t="s">
        <v>1594</v>
      </c>
      <c r="AJ90" s="65" t="s">
        <v>1622</v>
      </c>
      <c r="AK90" s="65" t="s">
        <v>1653</v>
      </c>
      <c r="AL90" s="65" t="s">
        <v>1695</v>
      </c>
      <c r="BE90" s="65" t="s">
        <v>1847</v>
      </c>
      <c r="BF90" s="390" t="s">
        <v>1912</v>
      </c>
    </row>
    <row r="91" spans="2:58" s="65" customFormat="1" ht="11.25">
      <c r="B91" s="65" t="s">
        <v>2864</v>
      </c>
      <c r="F91" s="390"/>
      <c r="H91" s="213" t="s">
        <v>594</v>
      </c>
      <c r="I91" s="65" t="s">
        <v>150</v>
      </c>
      <c r="J91" s="65" t="s">
        <v>600</v>
      </c>
      <c r="K91" s="65" t="s">
        <v>734</v>
      </c>
      <c r="L91" s="65" t="s">
        <v>773</v>
      </c>
      <c r="M91" s="390" t="s">
        <v>835</v>
      </c>
      <c r="N91" s="65" t="s">
        <v>868</v>
      </c>
      <c r="O91" s="65" t="s">
        <v>901</v>
      </c>
      <c r="P91" s="390" t="s">
        <v>942</v>
      </c>
      <c r="Q91" s="390" t="s">
        <v>2865</v>
      </c>
      <c r="R91" s="65" t="s">
        <v>1020</v>
      </c>
      <c r="S91" s="65" t="s">
        <v>1052</v>
      </c>
      <c r="T91" s="390" t="s">
        <v>1083</v>
      </c>
      <c r="U91" s="65" t="s">
        <v>1124</v>
      </c>
      <c r="V91" s="65" t="s">
        <v>1156</v>
      </c>
      <c r="W91" s="390" t="s">
        <v>1193</v>
      </c>
      <c r="X91" s="390" t="s">
        <v>1224</v>
      </c>
      <c r="Y91" s="390" t="s">
        <v>1255</v>
      </c>
      <c r="Z91" s="390" t="s">
        <v>1286</v>
      </c>
      <c r="AA91" s="390"/>
      <c r="AB91" s="390"/>
      <c r="AC91" s="65" t="s">
        <v>1379</v>
      </c>
      <c r="AD91" s="65" t="s">
        <v>1420</v>
      </c>
      <c r="AE91" s="65" t="s">
        <v>1467</v>
      </c>
      <c r="AF91" s="65" t="s">
        <v>1506</v>
      </c>
      <c r="AG91" s="65" t="s">
        <v>1533</v>
      </c>
      <c r="AH91" s="65" t="s">
        <v>1562</v>
      </c>
      <c r="AI91" s="65" t="s">
        <v>1595</v>
      </c>
      <c r="AJ91" s="65" t="s">
        <v>1633</v>
      </c>
      <c r="AK91" s="65" t="s">
        <v>1654</v>
      </c>
      <c r="AL91" s="65" t="s">
        <v>1706</v>
      </c>
      <c r="BE91" s="65" t="s">
        <v>1848</v>
      </c>
      <c r="BF91" s="390" t="s">
        <v>1914</v>
      </c>
    </row>
    <row r="92" spans="2:58" s="65" customFormat="1" ht="11.25">
      <c r="B92" s="65" t="s">
        <v>427</v>
      </c>
      <c r="F92" s="390"/>
      <c r="H92" s="213" t="s">
        <v>360</v>
      </c>
      <c r="I92" s="390" t="s">
        <v>2866</v>
      </c>
      <c r="J92" s="65" t="s">
        <v>601</v>
      </c>
      <c r="K92" s="390" t="s">
        <v>620</v>
      </c>
      <c r="L92" s="65" t="s">
        <v>565</v>
      </c>
      <c r="M92" s="65" t="s">
        <v>2867</v>
      </c>
      <c r="N92" s="65" t="s">
        <v>148</v>
      </c>
      <c r="O92" s="65" t="s">
        <v>903</v>
      </c>
      <c r="P92" s="390" t="s">
        <v>943</v>
      </c>
      <c r="Q92" s="65" t="s">
        <v>989</v>
      </c>
      <c r="R92" s="65" t="s">
        <v>1023</v>
      </c>
      <c r="S92" s="65" t="s">
        <v>1053</v>
      </c>
      <c r="T92" s="390" t="s">
        <v>1085</v>
      </c>
      <c r="U92" s="65" t="s">
        <v>1125</v>
      </c>
      <c r="V92" s="65" t="s">
        <v>1159</v>
      </c>
      <c r="W92" s="390" t="s">
        <v>1194</v>
      </c>
      <c r="X92" s="390" t="s">
        <v>1225</v>
      </c>
      <c r="Y92" s="390" t="s">
        <v>1256</v>
      </c>
      <c r="Z92" s="390" t="s">
        <v>1287</v>
      </c>
      <c r="AA92" s="390"/>
      <c r="AB92" s="390"/>
      <c r="AC92" s="65" t="s">
        <v>1380</v>
      </c>
      <c r="AD92" s="65" t="s">
        <v>1421</v>
      </c>
      <c r="AE92" s="65" t="s">
        <v>1468</v>
      </c>
      <c r="AF92" s="65" t="s">
        <v>1501</v>
      </c>
      <c r="AG92" s="65" t="s">
        <v>1542</v>
      </c>
      <c r="AH92" s="65" t="s">
        <v>1563</v>
      </c>
      <c r="AI92" s="65" t="s">
        <v>1597</v>
      </c>
      <c r="AJ92" s="65" t="s">
        <v>1623</v>
      </c>
      <c r="AK92" s="65" t="s">
        <v>1655</v>
      </c>
      <c r="AL92" s="65" t="s">
        <v>959</v>
      </c>
      <c r="BE92" s="65" t="s">
        <v>1849</v>
      </c>
      <c r="BF92" s="390" t="s">
        <v>1916</v>
      </c>
    </row>
    <row r="93" spans="2:58" s="65" customFormat="1" ht="11.25">
      <c r="B93" s="65" t="s">
        <v>431</v>
      </c>
      <c r="F93" s="390"/>
      <c r="H93" s="213" t="s">
        <v>595</v>
      </c>
      <c r="I93" s="390" t="s">
        <v>664</v>
      </c>
      <c r="J93" s="65" t="s">
        <v>602</v>
      </c>
      <c r="K93" s="390" t="s">
        <v>735</v>
      </c>
      <c r="L93" s="390" t="s">
        <v>2868</v>
      </c>
      <c r="M93" s="65" t="s">
        <v>851</v>
      </c>
      <c r="N93" s="65" t="s">
        <v>870</v>
      </c>
      <c r="O93" s="65" t="s">
        <v>905</v>
      </c>
      <c r="P93" s="390" t="s">
        <v>944</v>
      </c>
      <c r="Q93" s="390" t="s">
        <v>992</v>
      </c>
      <c r="R93" s="65" t="s">
        <v>1034</v>
      </c>
      <c r="S93" s="65" t="s">
        <v>1054</v>
      </c>
      <c r="T93" s="390" t="s">
        <v>1086</v>
      </c>
      <c r="U93" s="65" t="s">
        <v>1126</v>
      </c>
      <c r="V93" s="65" t="s">
        <v>1160</v>
      </c>
      <c r="W93" s="390" t="s">
        <v>1195</v>
      </c>
      <c r="X93" s="390" t="s">
        <v>1226</v>
      </c>
      <c r="Y93" s="390" t="s">
        <v>1257</v>
      </c>
      <c r="Z93" s="390" t="s">
        <v>1288</v>
      </c>
      <c r="AA93" s="390"/>
      <c r="AB93" s="390"/>
      <c r="AC93" s="65" t="s">
        <v>1397</v>
      </c>
      <c r="AD93" s="65" t="s">
        <v>1422</v>
      </c>
      <c r="AE93" s="65" t="s">
        <v>1470</v>
      </c>
      <c r="AF93" s="65" t="s">
        <v>1508</v>
      </c>
      <c r="AG93" s="65" t="s">
        <v>2869</v>
      </c>
      <c r="AH93" s="65" t="s">
        <v>1564</v>
      </c>
      <c r="AI93" s="65" t="s">
        <v>1598</v>
      </c>
      <c r="AJ93" s="65" t="s">
        <v>1625</v>
      </c>
      <c r="AK93" s="65" t="s">
        <v>1656</v>
      </c>
      <c r="AL93" s="65" t="s">
        <v>1708</v>
      </c>
      <c r="BE93" s="65" t="s">
        <v>1850</v>
      </c>
      <c r="BF93" s="390" t="s">
        <v>1918</v>
      </c>
    </row>
    <row r="94" spans="2:58" s="65" customFormat="1" ht="11.25">
      <c r="B94" s="65" t="s">
        <v>432</v>
      </c>
      <c r="F94" s="390"/>
      <c r="H94" s="390" t="s">
        <v>968</v>
      </c>
      <c r="I94" s="390" t="s">
        <v>2870</v>
      </c>
      <c r="J94" s="65" t="s">
        <v>603</v>
      </c>
      <c r="K94" s="65" t="s">
        <v>737</v>
      </c>
      <c r="L94" s="390" t="s">
        <v>2871</v>
      </c>
      <c r="M94" s="65" t="s">
        <v>839</v>
      </c>
      <c r="N94" s="65" t="s">
        <v>885</v>
      </c>
      <c r="O94" s="390" t="s">
        <v>907</v>
      </c>
      <c r="P94" s="390" t="s">
        <v>945</v>
      </c>
      <c r="Q94" s="65" t="s">
        <v>993</v>
      </c>
      <c r="R94" s="65" t="s">
        <v>1024</v>
      </c>
      <c r="S94" s="65" t="s">
        <v>958</v>
      </c>
      <c r="T94" s="390" t="s">
        <v>1087</v>
      </c>
      <c r="U94" s="65" t="s">
        <v>1141</v>
      </c>
      <c r="V94" s="390" t="s">
        <v>1170</v>
      </c>
      <c r="W94" s="390" t="s">
        <v>1196</v>
      </c>
      <c r="X94" s="390" t="s">
        <v>1227</v>
      </c>
      <c r="Y94" s="390" t="s">
        <v>1258</v>
      </c>
      <c r="Z94" s="390" t="s">
        <v>1289</v>
      </c>
      <c r="AA94" s="390"/>
      <c r="AB94" s="390"/>
      <c r="AC94" s="65" t="s">
        <v>1407</v>
      </c>
      <c r="AD94" s="65" t="s">
        <v>1423</v>
      </c>
      <c r="AE94" s="65" t="s">
        <v>1471</v>
      </c>
      <c r="AF94" s="65" t="s">
        <v>1503</v>
      </c>
      <c r="AG94" s="65" t="s">
        <v>1535</v>
      </c>
      <c r="AH94" s="65" t="s">
        <v>1565</v>
      </c>
      <c r="AI94" s="65" t="s">
        <v>1599</v>
      </c>
      <c r="AJ94" s="65" t="s">
        <v>1626</v>
      </c>
      <c r="AK94" s="65" t="s">
        <v>1657</v>
      </c>
      <c r="AL94" s="65" t="s">
        <v>1696</v>
      </c>
      <c r="BE94" s="65" t="s">
        <v>1851</v>
      </c>
      <c r="BF94" s="390" t="s">
        <v>1920</v>
      </c>
    </row>
    <row r="95" spans="2:58" s="65" customFormat="1" ht="11.25">
      <c r="B95" s="65" t="s">
        <v>433</v>
      </c>
      <c r="F95" s="390"/>
      <c r="H95" s="65" t="s">
        <v>597</v>
      </c>
      <c r="I95" s="390" t="s">
        <v>666</v>
      </c>
      <c r="J95" s="65" t="s">
        <v>604</v>
      </c>
      <c r="K95" s="65" t="s">
        <v>589</v>
      </c>
      <c r="L95" s="390" t="s">
        <v>788</v>
      </c>
      <c r="M95" s="65" t="s">
        <v>840</v>
      </c>
      <c r="N95" s="390" t="s">
        <v>872</v>
      </c>
      <c r="O95" s="390" t="s">
        <v>909</v>
      </c>
      <c r="P95" s="390" t="s">
        <v>946</v>
      </c>
      <c r="Q95" s="65" t="s">
        <v>994</v>
      </c>
      <c r="R95" s="65" t="s">
        <v>1025</v>
      </c>
      <c r="S95" s="65" t="s">
        <v>1055</v>
      </c>
      <c r="T95" s="390" t="s">
        <v>1088</v>
      </c>
      <c r="U95" s="390" t="s">
        <v>1127</v>
      </c>
      <c r="V95" s="390" t="s">
        <v>1161</v>
      </c>
      <c r="W95" s="390" t="s">
        <v>1197</v>
      </c>
      <c r="X95" s="390" t="s">
        <v>1228</v>
      </c>
      <c r="Y95" s="390" t="s">
        <v>1259</v>
      </c>
      <c r="Z95" s="390" t="s">
        <v>1290</v>
      </c>
      <c r="AA95" s="390"/>
      <c r="AB95" s="390"/>
      <c r="AC95" s="65" t="s">
        <v>1382</v>
      </c>
      <c r="AD95" s="65" t="s">
        <v>1424</v>
      </c>
      <c r="AE95" s="65" t="s">
        <v>1480</v>
      </c>
      <c r="AF95" s="65" t="s">
        <v>1510</v>
      </c>
      <c r="AG95" s="65" t="s">
        <v>1547</v>
      </c>
      <c r="AH95" s="65" t="s">
        <v>1567</v>
      </c>
      <c r="AI95" s="65" t="s">
        <v>1603</v>
      </c>
      <c r="AJ95" s="65" t="s">
        <v>1638</v>
      </c>
      <c r="AK95" s="65" t="s">
        <v>1658</v>
      </c>
      <c r="AL95" s="65" t="s">
        <v>1709</v>
      </c>
      <c r="BE95" s="65" t="s">
        <v>1852</v>
      </c>
      <c r="BF95" s="390" t="s">
        <v>1922</v>
      </c>
    </row>
    <row r="96" spans="2:58" s="65" customFormat="1" ht="11.25">
      <c r="B96" s="65" t="s">
        <v>434</v>
      </c>
      <c r="F96" s="390"/>
      <c r="H96" s="65" t="s">
        <v>679</v>
      </c>
      <c r="I96" s="390" t="s">
        <v>134</v>
      </c>
      <c r="J96" s="65" t="s">
        <v>605</v>
      </c>
      <c r="K96" s="65" t="s">
        <v>739</v>
      </c>
      <c r="L96" s="390" t="s">
        <v>791</v>
      </c>
      <c r="M96" s="65" t="s">
        <v>841</v>
      </c>
      <c r="N96" s="65" t="s">
        <v>873</v>
      </c>
      <c r="O96" s="65" t="s">
        <v>910</v>
      </c>
      <c r="P96" s="390" t="s">
        <v>947</v>
      </c>
      <c r="Q96" s="65" t="s">
        <v>996</v>
      </c>
      <c r="R96" s="65" t="s">
        <v>2872</v>
      </c>
      <c r="S96" s="390" t="s">
        <v>1056</v>
      </c>
      <c r="T96" s="390" t="s">
        <v>1089</v>
      </c>
      <c r="U96" s="390" t="s">
        <v>1139</v>
      </c>
      <c r="V96" s="65" t="s">
        <v>1162</v>
      </c>
      <c r="W96" s="390" t="s">
        <v>1198</v>
      </c>
      <c r="X96" s="390" t="s">
        <v>1229</v>
      </c>
      <c r="Y96" s="390" t="s">
        <v>1260</v>
      </c>
      <c r="Z96" s="390" t="s">
        <v>1291</v>
      </c>
      <c r="AA96" s="390"/>
      <c r="AB96" s="390"/>
      <c r="AC96" s="65" t="s">
        <v>1385</v>
      </c>
      <c r="AD96" s="65" t="s">
        <v>1425</v>
      </c>
      <c r="AE96" s="65" t="s">
        <v>1472</v>
      </c>
      <c r="AF96" s="65" t="s">
        <v>1511</v>
      </c>
      <c r="AG96" s="65" t="s">
        <v>2873</v>
      </c>
      <c r="AH96" s="65" t="s">
        <v>1568</v>
      </c>
      <c r="AI96" s="65" t="s">
        <v>1608</v>
      </c>
      <c r="AJ96" s="65" t="s">
        <v>1634</v>
      </c>
      <c r="AK96" s="65" t="s">
        <v>1659</v>
      </c>
      <c r="AL96" s="65" t="s">
        <v>1710</v>
      </c>
      <c r="BE96" s="65" t="s">
        <v>1853</v>
      </c>
      <c r="BF96" s="390" t="s">
        <v>1891</v>
      </c>
    </row>
    <row r="97" spans="2:58" s="65" customFormat="1" ht="11.25">
      <c r="B97" s="65" t="s">
        <v>435</v>
      </c>
      <c r="F97" s="390"/>
      <c r="H97" s="65" t="s">
        <v>599</v>
      </c>
      <c r="I97" s="390" t="s">
        <v>668</v>
      </c>
      <c r="J97" s="65" t="s">
        <v>606</v>
      </c>
      <c r="K97" s="65" t="s">
        <v>749</v>
      </c>
      <c r="L97" s="65" t="s">
        <v>793</v>
      </c>
      <c r="M97" s="390" t="s">
        <v>842</v>
      </c>
      <c r="N97" s="65" t="s">
        <v>137</v>
      </c>
      <c r="O97" s="65" t="s">
        <v>913</v>
      </c>
      <c r="P97" s="390" t="s">
        <v>948</v>
      </c>
      <c r="Q97" s="65" t="s">
        <v>997</v>
      </c>
      <c r="R97" s="65" t="s">
        <v>1028</v>
      </c>
      <c r="S97" s="65" t="s">
        <v>1057</v>
      </c>
      <c r="T97" s="390" t="s">
        <v>1090</v>
      </c>
      <c r="U97" s="65" t="s">
        <v>1129</v>
      </c>
      <c r="V97" s="65" t="s">
        <v>1163</v>
      </c>
      <c r="W97" s="390" t="s">
        <v>1199</v>
      </c>
      <c r="X97" s="390" t="s">
        <v>1230</v>
      </c>
      <c r="Y97" s="390" t="s">
        <v>1261</v>
      </c>
      <c r="Z97" s="390" t="s">
        <v>1292</v>
      </c>
      <c r="AA97" s="390"/>
      <c r="AB97" s="390"/>
      <c r="AC97" s="65" t="s">
        <v>1400</v>
      </c>
      <c r="AD97" s="65" t="s">
        <v>1445</v>
      </c>
      <c r="AE97" s="65" t="s">
        <v>1458</v>
      </c>
      <c r="AF97" s="65" t="s">
        <v>1486</v>
      </c>
      <c r="AG97" s="65" t="s">
        <v>1521</v>
      </c>
      <c r="AH97" s="65" t="s">
        <v>1573</v>
      </c>
      <c r="AI97" s="65" t="s">
        <v>1601</v>
      </c>
      <c r="AJ97" s="65" t="s">
        <v>1612</v>
      </c>
      <c r="AK97" s="65" t="s">
        <v>1662</v>
      </c>
      <c r="BE97" s="65" t="s">
        <v>1854</v>
      </c>
      <c r="BF97" s="390" t="s">
        <v>1905</v>
      </c>
    </row>
    <row r="98" spans="2:58" s="65" customFormat="1" ht="11.25">
      <c r="B98" s="65" t="s">
        <v>436</v>
      </c>
      <c r="F98" s="390"/>
      <c r="H98" s="65" t="s">
        <v>625</v>
      </c>
      <c r="I98" s="390" t="s">
        <v>670</v>
      </c>
      <c r="J98" s="65" t="s">
        <v>720</v>
      </c>
      <c r="K98" s="390" t="s">
        <v>914</v>
      </c>
      <c r="L98" s="65" t="s">
        <v>796</v>
      </c>
      <c r="M98" s="65" t="s">
        <v>844</v>
      </c>
      <c r="N98" s="390" t="s">
        <v>145</v>
      </c>
      <c r="O98" s="390" t="s">
        <v>916</v>
      </c>
      <c r="P98" s="390" t="s">
        <v>949</v>
      </c>
      <c r="Q98" s="65" t="s">
        <v>1002</v>
      </c>
      <c r="R98" s="390" t="s">
        <v>629</v>
      </c>
      <c r="S98" s="65" t="s">
        <v>1064</v>
      </c>
      <c r="T98" s="390" t="s">
        <v>1091</v>
      </c>
      <c r="U98" s="65" t="s">
        <v>1130</v>
      </c>
      <c r="V98" s="65" t="s">
        <v>1164</v>
      </c>
      <c r="W98" s="390" t="s">
        <v>1200</v>
      </c>
      <c r="X98" s="390" t="s">
        <v>1231</v>
      </c>
      <c r="Y98" s="390" t="s">
        <v>1262</v>
      </c>
      <c r="Z98" s="390" t="s">
        <v>1293</v>
      </c>
      <c r="AA98" s="390"/>
      <c r="AB98" s="390"/>
      <c r="AC98" s="65" t="s">
        <v>1386</v>
      </c>
      <c r="AD98" s="65" t="s">
        <v>1428</v>
      </c>
      <c r="AE98" s="65" t="s">
        <v>1461</v>
      </c>
      <c r="AF98" s="65" t="s">
        <v>1490</v>
      </c>
      <c r="AG98" s="65" t="s">
        <v>1539</v>
      </c>
      <c r="AH98" s="65" t="s">
        <v>1554</v>
      </c>
      <c r="AI98" s="65" t="s">
        <v>1585</v>
      </c>
      <c r="AJ98" s="65" t="s">
        <v>1615</v>
      </c>
      <c r="AK98" s="65" t="s">
        <v>1663</v>
      </c>
      <c r="BE98" s="65" t="s">
        <v>1855</v>
      </c>
      <c r="BF98" s="390" t="s">
        <v>1961</v>
      </c>
    </row>
    <row r="99" spans="2:58" s="65" customFormat="1" ht="11.25">
      <c r="B99" s="65" t="s">
        <v>437</v>
      </c>
      <c r="F99" s="390"/>
      <c r="H99" s="65" t="s">
        <v>607</v>
      </c>
      <c r="I99" s="390" t="s">
        <v>672</v>
      </c>
      <c r="J99" s="65" t="s">
        <v>706</v>
      </c>
      <c r="K99" s="65" t="s">
        <v>741</v>
      </c>
      <c r="L99" s="390" t="s">
        <v>802</v>
      </c>
      <c r="M99" s="65" t="s">
        <v>832</v>
      </c>
      <c r="N99" s="65" t="s">
        <v>876</v>
      </c>
      <c r="O99" s="65" t="s">
        <v>918</v>
      </c>
      <c r="P99" s="390" t="s">
        <v>950</v>
      </c>
      <c r="Q99" s="65" t="s">
        <v>1001</v>
      </c>
      <c r="R99" s="390" t="s">
        <v>1029</v>
      </c>
      <c r="S99" s="65" t="s">
        <v>1058</v>
      </c>
      <c r="T99" s="390" t="s">
        <v>1092</v>
      </c>
      <c r="U99" s="65" t="s">
        <v>1137</v>
      </c>
      <c r="V99" s="65" t="s">
        <v>1165</v>
      </c>
      <c r="W99" s="390" t="s">
        <v>1202</v>
      </c>
      <c r="X99" s="390" t="s">
        <v>1233</v>
      </c>
      <c r="Y99" s="390" t="s">
        <v>1264</v>
      </c>
      <c r="Z99" s="390" t="s">
        <v>1295</v>
      </c>
      <c r="AA99" s="390"/>
      <c r="AB99" s="390"/>
      <c r="AC99" s="65" t="s">
        <v>1401</v>
      </c>
      <c r="AD99" s="65" t="s">
        <v>1430</v>
      </c>
      <c r="AE99" s="65" t="s">
        <v>1469</v>
      </c>
      <c r="AF99" s="65" t="s">
        <v>1505</v>
      </c>
      <c r="AG99" s="65" t="s">
        <v>1534</v>
      </c>
      <c r="AH99" s="65" t="s">
        <v>1558</v>
      </c>
      <c r="AI99" s="65" t="s">
        <v>1586</v>
      </c>
      <c r="AJ99" s="65" t="s">
        <v>1618</v>
      </c>
      <c r="AK99" s="65" t="s">
        <v>1664</v>
      </c>
      <c r="BE99" s="65" t="s">
        <v>1856</v>
      </c>
      <c r="BF99" s="390" t="s">
        <v>1924</v>
      </c>
    </row>
    <row r="100" spans="2:58" ht="13.5">
      <c r="B100" s="65" t="s">
        <v>439</v>
      </c>
      <c r="H100" s="65" t="s">
        <v>722</v>
      </c>
      <c r="I100" s="390" t="s">
        <v>2874</v>
      </c>
      <c r="J100" s="65" t="s">
        <v>687</v>
      </c>
      <c r="K100" s="390" t="s">
        <v>2875</v>
      </c>
      <c r="L100" s="65" t="s">
        <v>797</v>
      </c>
      <c r="M100" s="65" t="s">
        <v>845</v>
      </c>
      <c r="N100" s="390" t="s">
        <v>877</v>
      </c>
      <c r="O100" s="65" t="s">
        <v>920</v>
      </c>
      <c r="P100" s="390" t="s">
        <v>951</v>
      </c>
      <c r="Q100" s="65" t="s">
        <v>984</v>
      </c>
      <c r="R100" s="390" t="s">
        <v>2876</v>
      </c>
      <c r="S100" s="390" t="s">
        <v>1066</v>
      </c>
      <c r="T100" s="390" t="s">
        <v>1093</v>
      </c>
      <c r="U100" s="65" t="s">
        <v>1131</v>
      </c>
      <c r="V100" s="65" t="s">
        <v>1166</v>
      </c>
      <c r="W100" s="390" t="s">
        <v>1203</v>
      </c>
      <c r="X100" s="390" t="s">
        <v>1234</v>
      </c>
      <c r="Y100" s="390" t="s">
        <v>1265</v>
      </c>
      <c r="Z100" s="390" t="s">
        <v>1296</v>
      </c>
      <c r="AA100" s="390"/>
      <c r="AB100" s="390"/>
      <c r="AC100" s="65" t="s">
        <v>1402</v>
      </c>
      <c r="AD100" s="65" t="s">
        <v>1447</v>
      </c>
      <c r="AE100" s="65" t="s">
        <v>1478</v>
      </c>
      <c r="AF100" s="65" t="s">
        <v>1496</v>
      </c>
      <c r="AG100" s="65" t="s">
        <v>1536</v>
      </c>
      <c r="AH100" s="65" t="s">
        <v>1559</v>
      </c>
      <c r="AI100" s="65" t="s">
        <v>1588</v>
      </c>
      <c r="AJ100" s="65" t="s">
        <v>1619</v>
      </c>
      <c r="AK100" s="65" t="s">
        <v>1665</v>
      </c>
      <c r="BE100" s="65" t="s">
        <v>1857</v>
      </c>
      <c r="BF100" s="390" t="s">
        <v>2020</v>
      </c>
    </row>
    <row r="101" spans="8:58" ht="13.5">
      <c r="H101" s="65" t="s">
        <v>579</v>
      </c>
      <c r="I101" s="390" t="s">
        <v>147</v>
      </c>
      <c r="J101" s="65" t="s">
        <v>707</v>
      </c>
      <c r="K101" s="390" t="s">
        <v>725</v>
      </c>
      <c r="L101" s="390" t="s">
        <v>2877</v>
      </c>
      <c r="M101" s="65" t="s">
        <v>849</v>
      </c>
      <c r="N101" s="65" t="s">
        <v>878</v>
      </c>
      <c r="O101" s="390" t="s">
        <v>921</v>
      </c>
      <c r="P101" s="390" t="s">
        <v>952</v>
      </c>
      <c r="Q101" s="65" t="s">
        <v>998</v>
      </c>
      <c r="R101" s="390" t="s">
        <v>1032</v>
      </c>
      <c r="S101" s="65" t="s">
        <v>1059</v>
      </c>
      <c r="T101" s="390" t="s">
        <v>1094</v>
      </c>
      <c r="U101" s="65" t="s">
        <v>1132</v>
      </c>
      <c r="V101" s="65" t="s">
        <v>1167</v>
      </c>
      <c r="W101" s="390" t="s">
        <v>1204</v>
      </c>
      <c r="X101" s="390" t="s">
        <v>1235</v>
      </c>
      <c r="Y101" s="390" t="s">
        <v>1266</v>
      </c>
      <c r="Z101" s="390" t="s">
        <v>1297</v>
      </c>
      <c r="AA101" s="390"/>
      <c r="AB101" s="390"/>
      <c r="AC101" s="65" t="s">
        <v>1403</v>
      </c>
      <c r="AD101" s="65" t="s">
        <v>1432</v>
      </c>
      <c r="AE101" s="65" t="s">
        <v>1462</v>
      </c>
      <c r="AF101" s="65" t="s">
        <v>1502</v>
      </c>
      <c r="AG101" s="65" t="s">
        <v>1538</v>
      </c>
      <c r="AH101" s="65" t="s">
        <v>1566</v>
      </c>
      <c r="AI101" s="65" t="s">
        <v>1591</v>
      </c>
      <c r="AJ101" s="65" t="s">
        <v>1624</v>
      </c>
      <c r="AK101" s="65" t="s">
        <v>1666</v>
      </c>
      <c r="BE101" s="65" t="s">
        <v>1858</v>
      </c>
      <c r="BF101" s="390" t="s">
        <v>2878</v>
      </c>
    </row>
    <row r="102" spans="8:58" ht="13.5">
      <c r="H102" s="65" t="s">
        <v>610</v>
      </c>
      <c r="I102" s="390" t="s">
        <v>532</v>
      </c>
      <c r="J102" s="65" t="s">
        <v>708</v>
      </c>
      <c r="K102" s="65" t="s">
        <v>627</v>
      </c>
      <c r="L102" s="65" t="s">
        <v>799</v>
      </c>
      <c r="M102" s="390" t="s">
        <v>853</v>
      </c>
      <c r="N102" s="65" t="s">
        <v>884</v>
      </c>
      <c r="O102" s="390" t="s">
        <v>929</v>
      </c>
      <c r="P102" s="390" t="s">
        <v>953</v>
      </c>
      <c r="Q102" s="65" t="s">
        <v>1003</v>
      </c>
      <c r="R102" s="390" t="s">
        <v>1021</v>
      </c>
      <c r="S102" s="65" t="s">
        <v>1050</v>
      </c>
      <c r="T102" s="390" t="s">
        <v>1095</v>
      </c>
      <c r="U102" s="390" t="s">
        <v>1133</v>
      </c>
      <c r="V102" s="65" t="s">
        <v>1168</v>
      </c>
      <c r="W102" s="390" t="s">
        <v>1205</v>
      </c>
      <c r="X102" s="390" t="s">
        <v>1236</v>
      </c>
      <c r="Y102" s="390" t="s">
        <v>1267</v>
      </c>
      <c r="Z102" s="390" t="s">
        <v>1298</v>
      </c>
      <c r="AA102" s="390"/>
      <c r="AB102" s="390"/>
      <c r="AC102" s="65" t="s">
        <v>1390</v>
      </c>
      <c r="AD102" s="65" t="s">
        <v>1435</v>
      </c>
      <c r="AE102" s="65" t="s">
        <v>1481</v>
      </c>
      <c r="AF102" s="65" t="s">
        <v>1512</v>
      </c>
      <c r="AG102" s="65" t="s">
        <v>1543</v>
      </c>
      <c r="AH102" s="65" t="s">
        <v>1575</v>
      </c>
      <c r="AI102" s="65" t="s">
        <v>1605</v>
      </c>
      <c r="AJ102" s="65" t="s">
        <v>1635</v>
      </c>
      <c r="AK102" s="65" t="s">
        <v>1667</v>
      </c>
      <c r="BE102" s="65" t="s">
        <v>1859</v>
      </c>
      <c r="BF102" s="390" t="s">
        <v>2879</v>
      </c>
    </row>
    <row r="103" spans="8:58" ht="13.5">
      <c r="H103" s="65" t="s">
        <v>883</v>
      </c>
      <c r="I103" s="390" t="s">
        <v>680</v>
      </c>
      <c r="J103" s="65" t="s">
        <v>709</v>
      </c>
      <c r="K103" s="65" t="s">
        <v>743</v>
      </c>
      <c r="L103" s="65" t="s">
        <v>801</v>
      </c>
      <c r="M103" s="390" t="s">
        <v>857</v>
      </c>
      <c r="N103" s="390" t="s">
        <v>882</v>
      </c>
      <c r="O103" s="390" t="s">
        <v>924</v>
      </c>
      <c r="P103" s="390" t="s">
        <v>954</v>
      </c>
      <c r="Q103" s="65" t="s">
        <v>1000</v>
      </c>
      <c r="R103" s="390" t="s">
        <v>1027</v>
      </c>
      <c r="S103" s="65" t="s">
        <v>1062</v>
      </c>
      <c r="T103" s="390" t="s">
        <v>1096</v>
      </c>
      <c r="U103" s="65" t="s">
        <v>1134</v>
      </c>
      <c r="V103" s="65" t="s">
        <v>1171</v>
      </c>
      <c r="W103" s="390" t="s">
        <v>1206</v>
      </c>
      <c r="X103" s="390" t="s">
        <v>1237</v>
      </c>
      <c r="Y103" s="390" t="s">
        <v>1268</v>
      </c>
      <c r="Z103" s="390" t="s">
        <v>1299</v>
      </c>
      <c r="AA103" s="390"/>
      <c r="AB103" s="390"/>
      <c r="AC103" s="65" t="s">
        <v>1391</v>
      </c>
      <c r="AD103" s="65" t="s">
        <v>1436</v>
      </c>
      <c r="AE103" s="65" t="s">
        <v>1482</v>
      </c>
      <c r="AF103" s="65" t="s">
        <v>1514</v>
      </c>
      <c r="AG103" s="65" t="s">
        <v>1545</v>
      </c>
      <c r="AH103" s="65" t="s">
        <v>1576</v>
      </c>
      <c r="AI103" s="65" t="s">
        <v>1606</v>
      </c>
      <c r="AJ103" s="65" t="s">
        <v>1636</v>
      </c>
      <c r="AK103" s="65" t="s">
        <v>1668</v>
      </c>
      <c r="BE103" s="65" t="s">
        <v>1860</v>
      </c>
      <c r="BF103" s="390" t="s">
        <v>1942</v>
      </c>
    </row>
    <row r="104" spans="9:58" ht="13.5">
      <c r="I104" s="390" t="s">
        <v>683</v>
      </c>
      <c r="J104" s="65" t="s">
        <v>710</v>
      </c>
      <c r="K104" s="65" t="s">
        <v>745</v>
      </c>
      <c r="L104" s="65" t="s">
        <v>798</v>
      </c>
      <c r="M104" s="390" t="s">
        <v>854</v>
      </c>
      <c r="N104" s="65" t="s">
        <v>879</v>
      </c>
      <c r="O104" s="65" t="s">
        <v>928</v>
      </c>
      <c r="P104" s="65" t="s">
        <v>955</v>
      </c>
      <c r="Q104" s="65" t="s">
        <v>2880</v>
      </c>
      <c r="R104" s="390" t="s">
        <v>1035</v>
      </c>
      <c r="S104" s="390" t="s">
        <v>1067</v>
      </c>
      <c r="T104" s="390" t="s">
        <v>1097</v>
      </c>
      <c r="U104" s="390" t="s">
        <v>1140</v>
      </c>
      <c r="V104" s="65" t="s">
        <v>1173</v>
      </c>
      <c r="W104" s="390" t="s">
        <v>1207</v>
      </c>
      <c r="X104" s="390" t="s">
        <v>1238</v>
      </c>
      <c r="Y104" s="390" t="s">
        <v>1269</v>
      </c>
      <c r="Z104" s="390" t="s">
        <v>1300</v>
      </c>
      <c r="AA104" s="390"/>
      <c r="AB104" s="390"/>
      <c r="AC104" s="65" t="s">
        <v>1392</v>
      </c>
      <c r="AD104" s="65" t="s">
        <v>1440</v>
      </c>
      <c r="AE104" s="65" t="s">
        <v>1483</v>
      </c>
      <c r="AF104" s="65" t="s">
        <v>1515</v>
      </c>
      <c r="AG104" s="65" t="s">
        <v>1546</v>
      </c>
      <c r="AH104" s="65" t="s">
        <v>1577</v>
      </c>
      <c r="AI104" s="65" t="s">
        <v>1607</v>
      </c>
      <c r="AJ104" s="65" t="s">
        <v>1637</v>
      </c>
      <c r="AK104" s="65" t="s">
        <v>1669</v>
      </c>
      <c r="BE104" s="65" t="s">
        <v>1861</v>
      </c>
      <c r="BF104" s="390" t="s">
        <v>1944</v>
      </c>
    </row>
    <row r="105" spans="9:58" ht="13.5">
      <c r="I105" s="390" t="s">
        <v>685</v>
      </c>
      <c r="J105" s="65" t="s">
        <v>711</v>
      </c>
      <c r="K105" s="65" t="s">
        <v>750</v>
      </c>
      <c r="L105" s="65" t="s">
        <v>2881</v>
      </c>
      <c r="M105" s="390" t="s">
        <v>847</v>
      </c>
      <c r="N105" s="390" t="s">
        <v>886</v>
      </c>
      <c r="O105" s="65" t="s">
        <v>922</v>
      </c>
      <c r="P105" s="65" t="s">
        <v>2882</v>
      </c>
      <c r="Q105" s="65" t="s">
        <v>1005</v>
      </c>
      <c r="R105" s="390" t="s">
        <v>1022</v>
      </c>
      <c r="S105" s="65" t="s">
        <v>1068</v>
      </c>
      <c r="T105" s="390" t="s">
        <v>1098</v>
      </c>
      <c r="U105" s="65" t="s">
        <v>1138</v>
      </c>
      <c r="V105" s="65" t="s">
        <v>1174</v>
      </c>
      <c r="W105" s="390" t="s">
        <v>1208</v>
      </c>
      <c r="X105" s="390" t="s">
        <v>1239</v>
      </c>
      <c r="Y105" s="390" t="s">
        <v>1270</v>
      </c>
      <c r="Z105" s="390" t="s">
        <v>1301</v>
      </c>
      <c r="AA105" s="390"/>
      <c r="AB105" s="390"/>
      <c r="AC105" s="65" t="s">
        <v>1393</v>
      </c>
      <c r="AD105" s="65" t="s">
        <v>1441</v>
      </c>
      <c r="AK105" s="65" t="s">
        <v>1670</v>
      </c>
      <c r="BE105" s="65" t="s">
        <v>1862</v>
      </c>
      <c r="BF105" s="390" t="s">
        <v>1945</v>
      </c>
    </row>
    <row r="106" spans="9:58" ht="13.5">
      <c r="I106" s="390" t="s">
        <v>681</v>
      </c>
      <c r="J106" s="65" t="s">
        <v>723</v>
      </c>
      <c r="K106" s="390" t="s">
        <v>751</v>
      </c>
      <c r="L106" s="65" t="s">
        <v>816</v>
      </c>
      <c r="M106" s="65" t="s">
        <v>855</v>
      </c>
      <c r="N106" s="390" t="s">
        <v>887</v>
      </c>
      <c r="O106" s="65" t="s">
        <v>925</v>
      </c>
      <c r="P106" s="65" t="s">
        <v>957</v>
      </c>
      <c r="Q106" s="390" t="s">
        <v>995</v>
      </c>
      <c r="R106" s="390" t="s">
        <v>628</v>
      </c>
      <c r="S106" s="390" t="s">
        <v>1070</v>
      </c>
      <c r="T106" s="390" t="s">
        <v>1099</v>
      </c>
      <c r="U106" s="390" t="s">
        <v>1142</v>
      </c>
      <c r="V106" s="65" t="s">
        <v>1175</v>
      </c>
      <c r="W106" s="390" t="s">
        <v>1209</v>
      </c>
      <c r="X106" s="390" t="s">
        <v>1240</v>
      </c>
      <c r="Y106" s="390" t="s">
        <v>1271</v>
      </c>
      <c r="Z106" s="390" t="s">
        <v>1302</v>
      </c>
      <c r="AA106" s="390"/>
      <c r="AB106" s="390"/>
      <c r="AC106" s="65" t="s">
        <v>1394</v>
      </c>
      <c r="AD106" s="65" t="s">
        <v>1442</v>
      </c>
      <c r="AK106" s="65" t="s">
        <v>1672</v>
      </c>
      <c r="BE106" s="65" t="s">
        <v>1863</v>
      </c>
      <c r="BF106" s="390" t="s">
        <v>1946</v>
      </c>
    </row>
    <row r="107" spans="10:58" ht="13.5">
      <c r="J107" s="390" t="s">
        <v>2883</v>
      </c>
      <c r="K107" s="390" t="s">
        <v>2884</v>
      </c>
      <c r="P107" s="65" t="s">
        <v>2885</v>
      </c>
      <c r="T107" s="390" t="s">
        <v>1100</v>
      </c>
      <c r="AC107" s="65" t="s">
        <v>1395</v>
      </c>
      <c r="AD107" s="65" t="s">
        <v>1448</v>
      </c>
      <c r="AK107" s="65" t="s">
        <v>1675</v>
      </c>
      <c r="BE107" s="65" t="s">
        <v>1864</v>
      </c>
      <c r="BF107" s="390" t="s">
        <v>1947</v>
      </c>
    </row>
    <row r="108" spans="10:58" ht="13.5">
      <c r="J108" s="65" t="s">
        <v>1172</v>
      </c>
      <c r="K108" s="390" t="s">
        <v>624</v>
      </c>
      <c r="P108" s="65" t="s">
        <v>571</v>
      </c>
      <c r="T108" s="65" t="s">
        <v>1101</v>
      </c>
      <c r="AC108" s="65" t="s">
        <v>1383</v>
      </c>
      <c r="AD108" s="65" t="s">
        <v>1409</v>
      </c>
      <c r="AK108" s="65" t="s">
        <v>1676</v>
      </c>
      <c r="BE108" s="65" t="s">
        <v>1865</v>
      </c>
      <c r="BF108" s="390" t="s">
        <v>1948</v>
      </c>
    </row>
    <row r="109" spans="10:58" ht="13.5">
      <c r="J109" s="65" t="s">
        <v>712</v>
      </c>
      <c r="K109" s="390" t="s">
        <v>2886</v>
      </c>
      <c r="P109" s="65" t="s">
        <v>969</v>
      </c>
      <c r="T109" s="65" t="s">
        <v>1102</v>
      </c>
      <c r="AC109" s="65" t="s">
        <v>1384</v>
      </c>
      <c r="AD109" s="65" t="s">
        <v>1446</v>
      </c>
      <c r="AK109" s="65" t="s">
        <v>1677</v>
      </c>
      <c r="BE109" s="65" t="s">
        <v>1866</v>
      </c>
      <c r="BF109" s="390" t="s">
        <v>1949</v>
      </c>
    </row>
    <row r="110" spans="10:58" ht="13.5">
      <c r="J110" s="390" t="s">
        <v>691</v>
      </c>
      <c r="K110" s="390" t="s">
        <v>927</v>
      </c>
      <c r="P110" s="390" t="s">
        <v>2887</v>
      </c>
      <c r="T110" s="390" t="s">
        <v>609</v>
      </c>
      <c r="AC110" s="65" t="s">
        <v>1387</v>
      </c>
      <c r="AD110" s="65" t="s">
        <v>1426</v>
      </c>
      <c r="AK110" s="65" t="s">
        <v>1678</v>
      </c>
      <c r="BE110" s="65" t="s">
        <v>1867</v>
      </c>
      <c r="BF110" s="390" t="s">
        <v>1950</v>
      </c>
    </row>
    <row r="111" spans="10:58" ht="13.5">
      <c r="J111" s="65" t="s">
        <v>713</v>
      </c>
      <c r="K111" s="390" t="s">
        <v>752</v>
      </c>
      <c r="P111" s="65" t="s">
        <v>961</v>
      </c>
      <c r="T111" s="65" t="s">
        <v>1103</v>
      </c>
      <c r="AC111" s="65" t="s">
        <v>1388</v>
      </c>
      <c r="AD111" s="65" t="s">
        <v>1437</v>
      </c>
      <c r="AK111" s="65" t="s">
        <v>1681</v>
      </c>
      <c r="BE111" s="65" t="s">
        <v>1868</v>
      </c>
      <c r="BF111" s="390" t="s">
        <v>1951</v>
      </c>
    </row>
    <row r="112" spans="10:58" ht="13.5">
      <c r="J112" s="65" t="s">
        <v>2888</v>
      </c>
      <c r="K112" s="390" t="s">
        <v>753</v>
      </c>
      <c r="P112" s="390" t="s">
        <v>578</v>
      </c>
      <c r="T112" s="65" t="s">
        <v>576</v>
      </c>
      <c r="AC112" s="65" t="s">
        <v>1396</v>
      </c>
      <c r="AD112" s="65" t="s">
        <v>1439</v>
      </c>
      <c r="BE112" s="65" t="s">
        <v>1869</v>
      </c>
      <c r="BF112" s="390" t="s">
        <v>1952</v>
      </c>
    </row>
    <row r="113" spans="10:58" ht="13.5">
      <c r="J113" s="65" t="s">
        <v>2889</v>
      </c>
      <c r="K113" s="390" t="s">
        <v>754</v>
      </c>
      <c r="P113" s="65" t="s">
        <v>962</v>
      </c>
      <c r="T113" s="65" t="s">
        <v>1104</v>
      </c>
      <c r="AC113" s="65" t="s">
        <v>1404</v>
      </c>
      <c r="AD113" s="65" t="s">
        <v>1449</v>
      </c>
      <c r="BE113" s="65" t="s">
        <v>1870</v>
      </c>
      <c r="BF113" s="390" t="s">
        <v>1953</v>
      </c>
    </row>
    <row r="114" spans="10:58" ht="13.5">
      <c r="J114" s="65" t="s">
        <v>2890</v>
      </c>
      <c r="K114" s="390" t="s">
        <v>755</v>
      </c>
      <c r="P114" s="65" t="s">
        <v>963</v>
      </c>
      <c r="T114" s="65" t="s">
        <v>1110</v>
      </c>
      <c r="AC114" s="65" t="s">
        <v>1405</v>
      </c>
      <c r="AD114" s="65" t="s">
        <v>1450</v>
      </c>
      <c r="BE114" s="65" t="s">
        <v>1871</v>
      </c>
      <c r="BF114" s="390" t="s">
        <v>1954</v>
      </c>
    </row>
    <row r="115" spans="10:58" ht="13.5">
      <c r="J115" s="65" t="s">
        <v>721</v>
      </c>
      <c r="K115" s="65" t="s">
        <v>746</v>
      </c>
      <c r="P115" s="65" t="s">
        <v>964</v>
      </c>
      <c r="T115" s="65" t="s">
        <v>1105</v>
      </c>
      <c r="AC115" s="65" t="s">
        <v>1406</v>
      </c>
      <c r="AD115" s="65" t="s">
        <v>1451</v>
      </c>
      <c r="BE115" s="65" t="s">
        <v>1873</v>
      </c>
      <c r="BF115" s="390" t="s">
        <v>1955</v>
      </c>
    </row>
    <row r="116" spans="11:58" ht="13.5">
      <c r="K116" s="65"/>
      <c r="P116" s="390" t="s">
        <v>967</v>
      </c>
      <c r="T116" s="65" t="s">
        <v>1107</v>
      </c>
      <c r="BF116" s="390" t="s">
        <v>2891</v>
      </c>
    </row>
    <row r="117" spans="11:58" ht="13.5">
      <c r="K117" s="65"/>
      <c r="P117" s="65" t="s">
        <v>970</v>
      </c>
      <c r="T117" s="390" t="s">
        <v>1111</v>
      </c>
      <c r="BF117" s="390" t="s">
        <v>1972</v>
      </c>
    </row>
    <row r="118" spans="11:58" ht="13.5">
      <c r="K118" s="65"/>
      <c r="P118" s="65" t="s">
        <v>935</v>
      </c>
      <c r="T118" s="390" t="s">
        <v>1112</v>
      </c>
      <c r="BF118" s="390" t="s">
        <v>2892</v>
      </c>
    </row>
    <row r="119" spans="11:58" ht="13.5">
      <c r="K119" s="65"/>
      <c r="P119" s="65" t="s">
        <v>973</v>
      </c>
      <c r="T119" s="65" t="s">
        <v>1113</v>
      </c>
      <c r="BF119" s="390" t="s">
        <v>2893</v>
      </c>
    </row>
    <row r="120" spans="57:58" ht="13.5">
      <c r="BE120" s="65" t="s">
        <v>1874</v>
      </c>
      <c r="BF120" s="390" t="s">
        <v>2894</v>
      </c>
    </row>
    <row r="121" spans="1:58" ht="13.5">
      <c r="A121" s="527" t="s">
        <v>2895</v>
      </c>
      <c r="B121" s="445"/>
      <c r="C121" s="445"/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445"/>
      <c r="O121" s="445"/>
      <c r="P121" s="445"/>
      <c r="Q121" s="445"/>
      <c r="R121" s="445"/>
      <c r="S121" s="445"/>
      <c r="T121" s="445"/>
      <c r="U121" s="445"/>
      <c r="V121" s="445"/>
      <c r="W121" s="445"/>
      <c r="X121" s="445"/>
      <c r="Y121" s="445"/>
      <c r="Z121" s="445"/>
      <c r="AA121" s="445"/>
      <c r="AB121" s="445"/>
      <c r="AC121" s="520"/>
      <c r="AD121" s="520"/>
      <c r="AE121" s="520"/>
      <c r="AF121" s="520"/>
      <c r="AG121" s="520"/>
      <c r="AH121" s="520"/>
      <c r="AI121" s="520"/>
      <c r="AJ121" s="520"/>
      <c r="AK121" s="520"/>
      <c r="AL121" s="520"/>
      <c r="AM121" s="521"/>
      <c r="AN121" s="521"/>
      <c r="AO121" s="521"/>
      <c r="AP121" s="521"/>
      <c r="AQ121" s="521"/>
      <c r="AR121" s="521"/>
      <c r="AS121" s="521"/>
      <c r="AT121" s="521"/>
      <c r="AU121" s="521"/>
      <c r="AV121" s="521"/>
      <c r="AW121" s="521"/>
      <c r="AX121" s="521"/>
      <c r="AY121" s="521"/>
      <c r="AZ121" s="521"/>
      <c r="BA121" s="65" t="s">
        <v>1875</v>
      </c>
      <c r="BB121"/>
      <c r="BF121" s="390" t="s">
        <v>2896</v>
      </c>
    </row>
    <row r="122" spans="2:58" ht="13.5">
      <c r="B122" s="522" t="s">
        <v>407</v>
      </c>
      <c r="C122" s="522" t="s">
        <v>440</v>
      </c>
      <c r="D122" s="522" t="s">
        <v>460</v>
      </c>
      <c r="E122" s="522" t="s">
        <v>479</v>
      </c>
      <c r="F122" s="522" t="s">
        <v>502</v>
      </c>
      <c r="G122" s="522" t="s">
        <v>15</v>
      </c>
      <c r="H122" s="522" t="s">
        <v>139</v>
      </c>
      <c r="I122" s="525" t="s">
        <v>1776</v>
      </c>
      <c r="J122" s="525" t="s">
        <v>1780</v>
      </c>
      <c r="K122" s="525" t="s">
        <v>1783</v>
      </c>
      <c r="L122" s="525" t="s">
        <v>1786</v>
      </c>
      <c r="M122" s="525" t="s">
        <v>1790</v>
      </c>
      <c r="N122" s="525" t="s">
        <v>1793</v>
      </c>
      <c r="O122" s="525" t="s">
        <v>1796</v>
      </c>
      <c r="P122" s="525" t="s">
        <v>1800</v>
      </c>
      <c r="Q122" s="525" t="s">
        <v>1803</v>
      </c>
      <c r="R122" s="525" t="s">
        <v>1806</v>
      </c>
      <c r="S122" s="525" t="s">
        <v>1810</v>
      </c>
      <c r="T122" s="525" t="s">
        <v>1813</v>
      </c>
      <c r="U122" s="525" t="s">
        <v>1816</v>
      </c>
      <c r="V122" s="525" t="s">
        <v>1820</v>
      </c>
      <c r="W122" s="525"/>
      <c r="X122" s="525"/>
      <c r="Y122" s="525"/>
      <c r="Z122" s="525"/>
      <c r="AA122" s="525" t="s">
        <v>1823</v>
      </c>
      <c r="AB122" s="525" t="s">
        <v>1826</v>
      </c>
      <c r="AC122" s="523" t="s">
        <v>13</v>
      </c>
      <c r="AD122" s="523" t="s">
        <v>686</v>
      </c>
      <c r="AE122" s="523" t="s">
        <v>724</v>
      </c>
      <c r="AF122" s="523" t="s">
        <v>756</v>
      </c>
      <c r="AG122" s="522" t="s">
        <v>819</v>
      </c>
      <c r="AH122" s="522" t="s">
        <v>17</v>
      </c>
      <c r="AI122" s="522" t="s">
        <v>888</v>
      </c>
      <c r="AJ122" s="522" t="s">
        <v>930</v>
      </c>
      <c r="AK122" s="522" t="s">
        <v>974</v>
      </c>
      <c r="AL122" s="522" t="s">
        <v>1007</v>
      </c>
      <c r="AM122" s="522" t="s">
        <v>1038</v>
      </c>
      <c r="AN122" s="522" t="s">
        <v>1072</v>
      </c>
      <c r="AO122" s="522" t="s">
        <v>1114</v>
      </c>
      <c r="AP122" s="522" t="s">
        <v>1143</v>
      </c>
      <c r="AQ122" s="524" t="s">
        <v>1366</v>
      </c>
      <c r="AR122" s="524" t="s">
        <v>1408</v>
      </c>
      <c r="AS122" s="524" t="s">
        <v>1453</v>
      </c>
      <c r="AT122" s="524" t="s">
        <v>1485</v>
      </c>
      <c r="AU122" s="524" t="s">
        <v>1517</v>
      </c>
      <c r="AV122" s="524" t="s">
        <v>1548</v>
      </c>
      <c r="AW122" s="524" t="s">
        <v>1579</v>
      </c>
      <c r="AX122" s="524" t="s">
        <v>1609</v>
      </c>
      <c r="AY122" s="522" t="s">
        <v>1639</v>
      </c>
      <c r="AZ122" s="522" t="s">
        <v>1686</v>
      </c>
      <c r="BA122" s="65" t="s">
        <v>1876</v>
      </c>
      <c r="BB122"/>
      <c r="BF122" s="390" t="s">
        <v>2897</v>
      </c>
    </row>
    <row r="123" spans="1:58" ht="13.5">
      <c r="A123" s="390"/>
      <c r="B123" s="390"/>
      <c r="C123" s="390"/>
      <c r="D123" s="390"/>
      <c r="F123" s="390"/>
      <c r="G123" s="390"/>
      <c r="I123" s="390"/>
      <c r="J123" s="390"/>
      <c r="L123" s="390"/>
      <c r="M123" s="390"/>
      <c r="N123" s="390"/>
      <c r="O123" s="390"/>
      <c r="P123" s="390"/>
      <c r="Q123" s="390"/>
      <c r="R123" s="390"/>
      <c r="S123" s="390"/>
      <c r="U123" s="390"/>
      <c r="V123" s="390"/>
      <c r="W123" s="390"/>
      <c r="X123" s="390"/>
      <c r="Y123" s="390"/>
      <c r="Z123" s="390"/>
      <c r="AA123" s="390"/>
      <c r="AB123" s="390"/>
      <c r="AC123" s="390"/>
      <c r="AD123" s="390"/>
      <c r="AE123" s="390"/>
      <c r="AF123" s="390"/>
      <c r="AG123" s="390"/>
      <c r="AH123" s="390"/>
      <c r="AI123" s="390"/>
      <c r="AJ123" s="390"/>
      <c r="AK123" s="390"/>
      <c r="AL123" s="390"/>
      <c r="AM123" s="390"/>
      <c r="AN123" s="390"/>
      <c r="AO123" s="390"/>
      <c r="AP123" s="390"/>
      <c r="AQ123" s="390"/>
      <c r="AR123" s="390"/>
      <c r="AS123" s="390"/>
      <c r="AT123" s="390"/>
      <c r="AU123" s="390"/>
      <c r="AV123" s="390"/>
      <c r="AW123" s="390"/>
      <c r="AX123" s="390"/>
      <c r="AY123" s="390"/>
      <c r="AZ123" s="390"/>
      <c r="BA123" s="65" t="s">
        <v>1877</v>
      </c>
      <c r="BB123"/>
      <c r="BF123" s="390" t="s">
        <v>2898</v>
      </c>
    </row>
    <row r="124" spans="2:58" ht="13.5">
      <c r="B124" s="65" t="s">
        <v>409</v>
      </c>
      <c r="C124" s="65" t="s">
        <v>441</v>
      </c>
      <c r="D124" s="65" t="s">
        <v>461</v>
      </c>
      <c r="E124" s="65" t="s">
        <v>487</v>
      </c>
      <c r="F124" s="65" t="s">
        <v>517</v>
      </c>
      <c r="G124" s="65" t="s">
        <v>527</v>
      </c>
      <c r="K124" s="65"/>
      <c r="BA124" s="65" t="s">
        <v>1878</v>
      </c>
      <c r="BB124"/>
      <c r="BF124" s="390" t="s">
        <v>1989</v>
      </c>
    </row>
    <row r="125" spans="2:58" s="65" customFormat="1" ht="13.5">
      <c r="B125" s="65" t="s">
        <v>422</v>
      </c>
      <c r="C125" s="65" t="s">
        <v>448</v>
      </c>
      <c r="D125" s="65" t="s">
        <v>2825</v>
      </c>
      <c r="E125" s="65" t="s">
        <v>483</v>
      </c>
      <c r="F125" s="65" t="s">
        <v>509</v>
      </c>
      <c r="G125" s="65" t="s">
        <v>525</v>
      </c>
      <c r="H125" s="213"/>
      <c r="BA125" s="65" t="s">
        <v>1879</v>
      </c>
      <c r="BB125"/>
      <c r="BF125" s="390" t="s">
        <v>2899</v>
      </c>
    </row>
    <row r="126" spans="3:58" s="65" customFormat="1" ht="13.5">
      <c r="C126" s="65" t="s">
        <v>457</v>
      </c>
      <c r="D126" s="65" t="s">
        <v>466</v>
      </c>
      <c r="E126" s="65" t="s">
        <v>485</v>
      </c>
      <c r="F126" s="390"/>
      <c r="H126" s="213"/>
      <c r="BA126" s="65" t="s">
        <v>1880</v>
      </c>
      <c r="BB126"/>
      <c r="BF126" s="390" t="s">
        <v>1991</v>
      </c>
    </row>
    <row r="127" spans="4:58" s="65" customFormat="1" ht="13.5">
      <c r="D127" s="65" t="s">
        <v>468</v>
      </c>
      <c r="E127" s="65" t="s">
        <v>480</v>
      </c>
      <c r="F127" s="390"/>
      <c r="H127" s="213"/>
      <c r="BA127" s="65" t="s">
        <v>1881</v>
      </c>
      <c r="BB127"/>
      <c r="BF127" s="390" t="s">
        <v>2900</v>
      </c>
    </row>
    <row r="128" spans="4:58" s="65" customFormat="1" ht="13.5">
      <c r="D128" s="65" t="s">
        <v>470</v>
      </c>
      <c r="E128" s="65" t="s">
        <v>491</v>
      </c>
      <c r="F128" s="390"/>
      <c r="H128" s="213"/>
      <c r="BA128" s="65" t="s">
        <v>1882</v>
      </c>
      <c r="BB128"/>
      <c r="BF128" s="390" t="s">
        <v>2068</v>
      </c>
    </row>
    <row r="129" spans="6:58" s="65" customFormat="1" ht="13.5">
      <c r="F129" s="390"/>
      <c r="H129" s="213"/>
      <c r="BA129" s="65" t="s">
        <v>1883</v>
      </c>
      <c r="BB129"/>
      <c r="BF129" s="390" t="s">
        <v>2017</v>
      </c>
    </row>
    <row r="130" spans="6:58" s="65" customFormat="1" ht="13.5">
      <c r="F130" s="390"/>
      <c r="H130" s="213"/>
      <c r="BA130" s="65" t="s">
        <v>1884</v>
      </c>
      <c r="BB130"/>
      <c r="BF130" s="390" t="s">
        <v>2901</v>
      </c>
    </row>
    <row r="131" spans="6:58" s="65" customFormat="1" ht="13.5">
      <c r="F131" s="390"/>
      <c r="H131" s="213"/>
      <c r="BA131" s="65" t="s">
        <v>1885</v>
      </c>
      <c r="BB131"/>
      <c r="BF131" s="390" t="s">
        <v>2067</v>
      </c>
    </row>
    <row r="132" spans="8:58" s="65" customFormat="1" ht="13.5">
      <c r="H132" s="390"/>
      <c r="BA132" s="65" t="s">
        <v>1886</v>
      </c>
      <c r="BB132"/>
      <c r="BF132" s="390" t="s">
        <v>2902</v>
      </c>
    </row>
    <row r="133" spans="5:58" ht="13.5">
      <c r="E133" s="65"/>
      <c r="AC133" s="390"/>
      <c r="BA133" s="65" t="s">
        <v>1887</v>
      </c>
      <c r="BB133"/>
      <c r="BF133" s="390" t="s">
        <v>2903</v>
      </c>
    </row>
    <row r="134" spans="5:58" ht="13.5">
      <c r="E134" s="65"/>
      <c r="AC134" s="390"/>
      <c r="BB134"/>
      <c r="BF134" s="390" t="s">
        <v>2904</v>
      </c>
    </row>
    <row r="135" spans="29:58" ht="13.5">
      <c r="AC135" s="390"/>
      <c r="BB135"/>
      <c r="BF135" s="390" t="s">
        <v>1926</v>
      </c>
    </row>
    <row r="136" spans="29:58" ht="13.5">
      <c r="AC136" s="390"/>
      <c r="BB136"/>
      <c r="BF136" s="390" t="s">
        <v>1992</v>
      </c>
    </row>
    <row r="137" spans="29:58" ht="13.5">
      <c r="AC137" s="390"/>
      <c r="BB137"/>
      <c r="BF137" s="390" t="s">
        <v>2079</v>
      </c>
    </row>
    <row r="138" spans="29:58" ht="13.5">
      <c r="AC138" s="390"/>
      <c r="BB138"/>
      <c r="BF138" s="213" t="s">
        <v>1996</v>
      </c>
    </row>
    <row r="139" spans="29:58" ht="13.5">
      <c r="AC139" s="390"/>
      <c r="BB139"/>
      <c r="BF139" s="213" t="s">
        <v>1998</v>
      </c>
    </row>
    <row r="140" spans="29:58" ht="13.5">
      <c r="AC140" s="390"/>
      <c r="BB140"/>
      <c r="BF140" s="213" t="s">
        <v>2000</v>
      </c>
    </row>
    <row r="141" spans="29:58" ht="13.5">
      <c r="AC141" s="390"/>
      <c r="AF141" s="390"/>
      <c r="BB141"/>
      <c r="BF141" s="213" t="s">
        <v>2002</v>
      </c>
    </row>
    <row r="142" spans="29:58" ht="13.5">
      <c r="AC142" s="390"/>
      <c r="AF142" s="390"/>
      <c r="BB142"/>
      <c r="BF142" s="213" t="s">
        <v>2004</v>
      </c>
    </row>
    <row r="143" spans="29:58" ht="13.5">
      <c r="AC143" s="390"/>
      <c r="AF143" s="390"/>
      <c r="BB143"/>
      <c r="BF143" s="213" t="s">
        <v>2006</v>
      </c>
    </row>
    <row r="144" spans="31:58" ht="13.5">
      <c r="AE144" s="390"/>
      <c r="BB144"/>
      <c r="BF144" s="213" t="s">
        <v>2008</v>
      </c>
    </row>
    <row r="145" spans="31:58" ht="13.5">
      <c r="AE145" s="390"/>
      <c r="BB145"/>
      <c r="BF145" s="390" t="s">
        <v>2015</v>
      </c>
    </row>
    <row r="146" spans="31:58" ht="13.5">
      <c r="AE146" s="390"/>
      <c r="BB146"/>
      <c r="BF146" s="390" t="s">
        <v>1994</v>
      </c>
    </row>
    <row r="147" spans="5:58" ht="13.5">
      <c r="E147" s="65"/>
      <c r="AE147" s="390"/>
      <c r="BB147"/>
      <c r="BF147" s="65" t="s">
        <v>2905</v>
      </c>
    </row>
    <row r="148" spans="5:58" ht="13.5">
      <c r="E148" s="65"/>
      <c r="AE148" s="390"/>
      <c r="BB148"/>
      <c r="BF148" s="65" t="s">
        <v>2906</v>
      </c>
    </row>
    <row r="149" spans="5:58" ht="13.5">
      <c r="E149" s="65"/>
      <c r="AE149" s="390"/>
      <c r="BB149"/>
      <c r="BF149" s="65" t="s">
        <v>2907</v>
      </c>
    </row>
    <row r="150" spans="5:58" ht="13.5">
      <c r="E150" s="65"/>
      <c r="AE150" s="390"/>
      <c r="BB150"/>
      <c r="BF150" s="65" t="s">
        <v>2908</v>
      </c>
    </row>
    <row r="151" spans="5:58" ht="13.5">
      <c r="E151" s="65"/>
      <c r="AE151" s="390"/>
      <c r="BB151"/>
      <c r="BF151" s="65" t="s">
        <v>2909</v>
      </c>
    </row>
    <row r="152" spans="5:58" ht="13.5">
      <c r="E152" s="65"/>
      <c r="AE152" s="390"/>
      <c r="BB152"/>
      <c r="BF152" s="65" t="s">
        <v>2910</v>
      </c>
    </row>
    <row r="153" spans="5:58" ht="13.5">
      <c r="E153" s="65"/>
      <c r="AE153" s="390"/>
      <c r="BB153"/>
      <c r="BF153" s="390" t="s">
        <v>2911</v>
      </c>
    </row>
    <row r="154" spans="30:58" ht="13.5">
      <c r="AD154" s="390"/>
      <c r="BB154"/>
      <c r="BF154" s="390" t="s">
        <v>2084</v>
      </c>
    </row>
    <row r="155" spans="30:58" ht="13.5">
      <c r="AD155" s="390"/>
      <c r="BB155"/>
      <c r="BF155" s="390" t="s">
        <v>2912</v>
      </c>
    </row>
    <row r="156" spans="31:58" ht="13.5">
      <c r="AE156" s="390"/>
      <c r="BB156"/>
      <c r="BF156" s="390" t="s">
        <v>2088</v>
      </c>
    </row>
    <row r="157" spans="31:58" ht="13.5">
      <c r="AE157" s="390"/>
      <c r="BB157"/>
      <c r="BF157" s="390" t="s">
        <v>2087</v>
      </c>
    </row>
    <row r="158" spans="31:54" ht="13.5">
      <c r="AE158" s="390"/>
      <c r="BB158"/>
    </row>
    <row r="159" spans="31:54" ht="13.5">
      <c r="AE159" s="390"/>
      <c r="BB159"/>
    </row>
    <row r="160" spans="31:54" ht="13.5">
      <c r="AE160" s="390"/>
      <c r="BB160"/>
    </row>
    <row r="161" spans="29:54" ht="13.5"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B161"/>
    </row>
    <row r="162" spans="29:54" ht="13.5"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B162"/>
    </row>
    <row r="163" spans="29:52" ht="13.5"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</row>
    <row r="164" spans="29:52" ht="13.5"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</row>
    <row r="165" spans="29:52" ht="13.5"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</row>
    <row r="166" spans="29:52" ht="13.5"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</row>
    <row r="167" spans="29:52" ht="13.5"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</row>
    <row r="168" spans="29:52" ht="13.5"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</row>
    <row r="169" spans="29:52" ht="13.5"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</row>
    <row r="170" spans="29:52" ht="13.5"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</row>
    <row r="171" spans="29:52" ht="13.5"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</row>
    <row r="172" spans="29:52" ht="13.5"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</row>
    <row r="173" spans="29:52" ht="13.5"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</row>
    <row r="174" spans="29:52" ht="13.5"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</row>
    <row r="175" spans="29:52" ht="13.5"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</row>
    <row r="176" spans="29:52" ht="13.5"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</row>
    <row r="177" spans="29:52" ht="13.5"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</row>
    <row r="178" spans="29:52" ht="13.5"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</row>
    <row r="179" spans="29:52" ht="13.5"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</row>
    <row r="180" spans="29:52" ht="13.5"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</row>
    <row r="181" spans="29:52" ht="13.5"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</row>
    <row r="182" spans="29:52" ht="13.5"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</row>
  </sheetData>
  <mergeCells count="6">
    <mergeCell ref="P1:T1"/>
    <mergeCell ref="P2:P3"/>
    <mergeCell ref="P6:P7"/>
    <mergeCell ref="P9:P10"/>
    <mergeCell ref="P14:P15"/>
    <mergeCell ref="P17:P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20"/>
  <sheetViews>
    <sheetView workbookViewId="0" topLeftCell="A1">
      <selection activeCell="A84" sqref="A84"/>
    </sheetView>
  </sheetViews>
  <sheetFormatPr defaultColWidth="9.00390625" defaultRowHeight="13.5"/>
  <cols>
    <col min="1" max="1" width="12.75390625" style="65" customWidth="1"/>
    <col min="2" max="2" width="6.50390625" style="65" customWidth="1"/>
    <col min="3" max="3" width="11.75390625" style="65" customWidth="1"/>
    <col min="4" max="4" width="26.625" style="65" customWidth="1"/>
    <col min="5" max="5" width="30.75390625" style="390" customWidth="1"/>
    <col min="6" max="6" width="4.375" style="390" customWidth="1"/>
    <col min="7" max="7" width="4.875" style="390" customWidth="1"/>
    <col min="8" max="8" width="5.00390625" style="390" customWidth="1"/>
    <col min="9" max="9" width="8.125" style="390" customWidth="1"/>
    <col min="10" max="15" width="9.00390625" style="390" customWidth="1"/>
    <col min="16" max="16384" width="9.00390625" style="65" customWidth="1"/>
  </cols>
  <sheetData>
    <row r="1" spans="1:20" s="202" customFormat="1" ht="13.5">
      <c r="A1" s="442" t="s">
        <v>2913</v>
      </c>
      <c r="B1" s="442"/>
      <c r="C1" s="442"/>
      <c r="D1" s="442"/>
      <c r="E1" s="442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8" ht="13.5">
      <c r="A2" s="445" t="s">
        <v>65</v>
      </c>
      <c r="B2" s="446" t="s">
        <v>2914</v>
      </c>
      <c r="C2" s="446" t="s">
        <v>183</v>
      </c>
      <c r="D2" s="446" t="s">
        <v>2915</v>
      </c>
      <c r="E2" s="202" t="s">
        <v>262</v>
      </c>
      <c r="F2" s="202"/>
      <c r="G2" s="202"/>
      <c r="H2" s="202"/>
    </row>
    <row r="3" spans="1:8" ht="13.5">
      <c r="A3" s="390" t="s">
        <v>2916</v>
      </c>
      <c r="B3" s="202">
        <v>0</v>
      </c>
      <c r="C3" s="202" t="s">
        <v>2917</v>
      </c>
      <c r="D3" s="202" t="s">
        <v>83</v>
      </c>
      <c r="E3" s="202"/>
      <c r="F3" s="202"/>
      <c r="G3" s="202"/>
      <c r="H3" s="202"/>
    </row>
    <row r="4" spans="1:15" s="458" customFormat="1" ht="11.25">
      <c r="A4" s="458" t="s">
        <v>2918</v>
      </c>
      <c r="B4" s="458" t="s">
        <v>2919</v>
      </c>
      <c r="C4" s="458" t="s">
        <v>562</v>
      </c>
      <c r="D4" s="457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s="458" customFormat="1" ht="11.25">
      <c r="A5" s="458" t="s">
        <v>2920</v>
      </c>
      <c r="B5" s="458" t="s">
        <v>2921</v>
      </c>
      <c r="C5" s="458" t="s">
        <v>570</v>
      </c>
      <c r="D5" s="457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</row>
    <row r="6" spans="1:5" ht="13.5">
      <c r="A6" s="65" t="s">
        <v>2922</v>
      </c>
      <c r="B6" s="65" t="s">
        <v>2923</v>
      </c>
      <c r="C6" s="65" t="s">
        <v>2924</v>
      </c>
      <c r="D6" s="360"/>
      <c r="E6" s="461"/>
    </row>
    <row r="7" spans="1:15" s="458" customFormat="1" ht="11.25">
      <c r="A7" s="458" t="s">
        <v>2925</v>
      </c>
      <c r="B7" s="458" t="s">
        <v>2926</v>
      </c>
      <c r="C7" s="458" t="s">
        <v>2927</v>
      </c>
      <c r="D7" s="457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</row>
    <row r="8" spans="1:15" s="458" customFormat="1" ht="11.25">
      <c r="A8" s="458" t="s">
        <v>2928</v>
      </c>
      <c r="B8" s="458" t="s">
        <v>2929</v>
      </c>
      <c r="C8" s="458" t="s">
        <v>567</v>
      </c>
      <c r="D8" s="457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</row>
    <row r="9" spans="1:15" s="458" customFormat="1" ht="11.25">
      <c r="A9" s="458" t="s">
        <v>2930</v>
      </c>
      <c r="B9" s="458" t="s">
        <v>2931</v>
      </c>
      <c r="C9" s="458" t="s">
        <v>564</v>
      </c>
      <c r="D9" s="457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</row>
    <row r="10" spans="1:15" s="458" customFormat="1" ht="11.25">
      <c r="A10" s="458" t="s">
        <v>2932</v>
      </c>
      <c r="B10" s="458" t="s">
        <v>2933</v>
      </c>
      <c r="C10" s="458" t="s">
        <v>2934</v>
      </c>
      <c r="D10" s="457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</row>
    <row r="11" spans="1:15" s="458" customFormat="1" ht="11.25">
      <c r="A11" s="458" t="s">
        <v>2935</v>
      </c>
      <c r="B11" s="458" t="s">
        <v>2936</v>
      </c>
      <c r="C11" s="458" t="s">
        <v>2937</v>
      </c>
      <c r="D11" s="457"/>
      <c r="E11" s="450"/>
      <c r="F11" s="451"/>
      <c r="G11" s="451"/>
      <c r="H11" s="451"/>
      <c r="I11" s="451"/>
      <c r="J11" s="451"/>
      <c r="K11" s="451"/>
      <c r="L11" s="451"/>
      <c r="M11" s="451"/>
      <c r="N11" s="451"/>
      <c r="O11" s="451"/>
    </row>
    <row r="12" spans="1:15" s="458" customFormat="1" ht="11.25">
      <c r="A12" s="458" t="s">
        <v>2938</v>
      </c>
      <c r="B12" s="458" t="s">
        <v>2939</v>
      </c>
      <c r="C12" s="458" t="s">
        <v>2940</v>
      </c>
      <c r="D12" s="457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</row>
    <row r="13" spans="1:15" s="458" customFormat="1" ht="11.25">
      <c r="A13" s="458" t="s">
        <v>2941</v>
      </c>
      <c r="B13" s="458" t="s">
        <v>2942</v>
      </c>
      <c r="C13" s="458" t="s">
        <v>2943</v>
      </c>
      <c r="D13" s="457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</row>
    <row r="14" spans="1:15" s="458" customFormat="1" ht="11.25">
      <c r="A14" s="458" t="s">
        <v>2944</v>
      </c>
      <c r="B14" s="458" t="s">
        <v>2945</v>
      </c>
      <c r="C14" s="458" t="s">
        <v>574</v>
      </c>
      <c r="D14" s="457"/>
      <c r="E14" s="450"/>
      <c r="F14" s="451"/>
      <c r="G14" s="451"/>
      <c r="H14" s="451"/>
      <c r="I14" s="451"/>
      <c r="J14" s="451"/>
      <c r="K14" s="451"/>
      <c r="L14" s="451"/>
      <c r="M14" s="451"/>
      <c r="N14" s="451"/>
      <c r="O14" s="451"/>
    </row>
    <row r="15" spans="1:15" s="458" customFormat="1" ht="11.25">
      <c r="A15" s="458" t="s">
        <v>2946</v>
      </c>
      <c r="B15" s="458" t="s">
        <v>2947</v>
      </c>
      <c r="C15" s="458" t="s">
        <v>568</v>
      </c>
      <c r="D15" s="457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</row>
    <row r="16" spans="1:15" s="458" customFormat="1" ht="11.25">
      <c r="A16" s="458" t="s">
        <v>66</v>
      </c>
      <c r="B16" s="458" t="s">
        <v>2948</v>
      </c>
      <c r="C16" s="458" t="s">
        <v>362</v>
      </c>
      <c r="D16" s="457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</row>
    <row r="17" spans="1:15" s="458" customFormat="1" ht="11.25">
      <c r="A17" s="458" t="s">
        <v>2949</v>
      </c>
      <c r="B17" s="458" t="s">
        <v>2950</v>
      </c>
      <c r="C17" s="458" t="s">
        <v>563</v>
      </c>
      <c r="D17" s="457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</row>
    <row r="18" spans="1:15" s="458" customFormat="1" ht="11.25">
      <c r="A18" s="458" t="s">
        <v>2951</v>
      </c>
      <c r="B18" s="458" t="s">
        <v>2952</v>
      </c>
      <c r="C18" s="458" t="s">
        <v>565</v>
      </c>
      <c r="D18" s="457"/>
      <c r="E18" s="450"/>
      <c r="F18" s="451"/>
      <c r="G18" s="451"/>
      <c r="H18" s="451"/>
      <c r="I18" s="451"/>
      <c r="J18" s="451"/>
      <c r="K18" s="451"/>
      <c r="L18" s="451"/>
      <c r="M18" s="451"/>
      <c r="N18" s="451"/>
      <c r="O18" s="451"/>
    </row>
    <row r="19" spans="1:15" s="458" customFormat="1" ht="11.25">
      <c r="A19" s="458" t="s">
        <v>2953</v>
      </c>
      <c r="B19" s="458" t="s">
        <v>2954</v>
      </c>
      <c r="C19" s="458" t="s">
        <v>569</v>
      </c>
      <c r="D19" s="457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</row>
    <row r="20" spans="1:15" s="458" customFormat="1" ht="11.25">
      <c r="A20" s="458" t="s">
        <v>2955</v>
      </c>
      <c r="B20" s="458" t="s">
        <v>2956</v>
      </c>
      <c r="C20" s="458" t="s">
        <v>579</v>
      </c>
      <c r="D20" s="457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</row>
    <row r="21" spans="1:15" s="458" customFormat="1" ht="11.25">
      <c r="A21" s="458" t="s">
        <v>2957</v>
      </c>
      <c r="B21" s="458" t="s">
        <v>2958</v>
      </c>
      <c r="C21" s="458" t="s">
        <v>575</v>
      </c>
      <c r="D21" s="457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</row>
    <row r="22" spans="4:5" ht="13.5">
      <c r="D22" s="360"/>
      <c r="E22" s="461"/>
    </row>
    <row r="23" spans="4:5" ht="13.5">
      <c r="D23" s="360"/>
      <c r="E23" s="461"/>
    </row>
    <row r="24" spans="4:5" ht="13.5">
      <c r="D24" s="360"/>
      <c r="E24" s="461"/>
    </row>
    <row r="25" spans="4:5" ht="13.5">
      <c r="D25" s="360"/>
      <c r="E25" s="461"/>
    </row>
    <row r="26" spans="4:5" ht="13.5">
      <c r="D26" s="360"/>
      <c r="E26" s="461"/>
    </row>
    <row r="27" spans="4:5" ht="13.5">
      <c r="D27" s="360"/>
      <c r="E27" s="461"/>
    </row>
    <row r="28" spans="4:5" ht="13.5">
      <c r="D28" s="360"/>
      <c r="E28" s="461"/>
    </row>
    <row r="29" spans="4:5" ht="13.5">
      <c r="D29" s="360"/>
      <c r="E29" s="461"/>
    </row>
    <row r="30" spans="4:5" ht="13.5">
      <c r="D30" s="360"/>
      <c r="E30" s="461"/>
    </row>
    <row r="31" spans="4:5" ht="13.5">
      <c r="D31" s="360"/>
      <c r="E31" s="461"/>
    </row>
    <row r="32" spans="4:5" ht="13.5">
      <c r="D32" s="360"/>
      <c r="E32" s="461"/>
    </row>
    <row r="33" spans="4:5" ht="13.5">
      <c r="D33" s="360"/>
      <c r="E33" s="461"/>
    </row>
    <row r="34" spans="4:5" ht="13.5">
      <c r="D34" s="360"/>
      <c r="E34" s="461"/>
    </row>
    <row r="35" spans="4:5" ht="13.5">
      <c r="D35" s="360"/>
      <c r="E35" s="461"/>
    </row>
    <row r="36" spans="4:5" ht="13.5">
      <c r="D36" s="360"/>
      <c r="E36" s="461"/>
    </row>
    <row r="37" spans="4:5" ht="13.5">
      <c r="D37" s="360"/>
      <c r="E37" s="461"/>
    </row>
    <row r="38" spans="4:5" ht="13.5">
      <c r="D38" s="360"/>
      <c r="E38" s="461"/>
    </row>
    <row r="39" spans="4:15" s="458" customFormat="1" ht="11.25">
      <c r="D39" s="457"/>
      <c r="E39" s="450"/>
      <c r="F39" s="451"/>
      <c r="G39" s="451"/>
      <c r="H39" s="451"/>
      <c r="I39" s="451"/>
      <c r="J39" s="451"/>
      <c r="K39" s="451"/>
      <c r="L39" s="451"/>
      <c r="M39" s="451"/>
      <c r="N39" s="451"/>
      <c r="O39" s="451"/>
    </row>
    <row r="40" spans="4:5" ht="13.5">
      <c r="D40" s="360"/>
      <c r="E40" s="461"/>
    </row>
    <row r="41" spans="4:15" s="458" customFormat="1" ht="11.25">
      <c r="D41" s="457"/>
      <c r="E41" s="450"/>
      <c r="F41" s="451"/>
      <c r="G41" s="451"/>
      <c r="H41" s="451"/>
      <c r="I41" s="451"/>
      <c r="J41" s="451"/>
      <c r="K41" s="451"/>
      <c r="L41" s="451"/>
      <c r="M41" s="451"/>
      <c r="N41" s="451"/>
      <c r="O41" s="451"/>
    </row>
    <row r="42" spans="4:5" ht="13.5">
      <c r="D42" s="360"/>
      <c r="E42" s="528"/>
    </row>
    <row r="43" spans="4:5" ht="13.5">
      <c r="D43" s="360"/>
      <c r="E43" s="461"/>
    </row>
    <row r="44" spans="4:5" ht="13.5">
      <c r="D44" s="360"/>
      <c r="E44" s="461"/>
    </row>
    <row r="45" spans="1:8" ht="13.5">
      <c r="A45" s="445" t="s">
        <v>68</v>
      </c>
      <c r="B45" s="446" t="s">
        <v>2914</v>
      </c>
      <c r="C45" s="529" t="s">
        <v>2959</v>
      </c>
      <c r="D45" s="529"/>
      <c r="E45" s="202"/>
      <c r="F45" s="202"/>
      <c r="G45" s="202"/>
      <c r="H45" s="202"/>
    </row>
    <row r="46" spans="1:8" ht="13.5">
      <c r="A46" s="390" t="s">
        <v>83</v>
      </c>
      <c r="B46" s="202" t="s">
        <v>83</v>
      </c>
      <c r="C46" s="213" t="s">
        <v>83</v>
      </c>
      <c r="D46" s="213"/>
      <c r="E46" s="202"/>
      <c r="F46" s="202"/>
      <c r="G46" s="202"/>
      <c r="H46" s="202"/>
    </row>
    <row r="47" spans="1:4" ht="13.5">
      <c r="A47" s="65" t="s">
        <v>2960</v>
      </c>
      <c r="B47" s="65" t="s">
        <v>2919</v>
      </c>
      <c r="C47" s="530" t="s">
        <v>2961</v>
      </c>
      <c r="D47" s="530"/>
    </row>
    <row r="48" spans="1:4" ht="13.5">
      <c r="A48" s="65" t="s">
        <v>69</v>
      </c>
      <c r="B48" s="65" t="s">
        <v>2921</v>
      </c>
      <c r="C48" s="530" t="s">
        <v>2961</v>
      </c>
      <c r="D48" s="530"/>
    </row>
    <row r="49" spans="1:4" ht="13.5">
      <c r="A49" s="65" t="s">
        <v>2962</v>
      </c>
      <c r="B49" s="65" t="s">
        <v>2923</v>
      </c>
      <c r="C49" s="530" t="s">
        <v>2961</v>
      </c>
      <c r="D49" s="530"/>
    </row>
    <row r="50" spans="1:4" ht="13.5">
      <c r="A50" s="65" t="s">
        <v>2963</v>
      </c>
      <c r="B50" s="65" t="s">
        <v>2926</v>
      </c>
      <c r="C50" s="530" t="s">
        <v>2961</v>
      </c>
      <c r="D50" s="530"/>
    </row>
    <row r="51" spans="1:4" ht="13.5">
      <c r="A51" s="65" t="s">
        <v>1959</v>
      </c>
      <c r="B51" s="65" t="s">
        <v>2929</v>
      </c>
      <c r="C51" s="530" t="s">
        <v>2961</v>
      </c>
      <c r="D51" s="530"/>
    </row>
    <row r="52" spans="1:4" ht="13.5">
      <c r="A52" s="65" t="s">
        <v>2964</v>
      </c>
      <c r="B52" s="65" t="s">
        <v>2931</v>
      </c>
      <c r="C52" s="530" t="s">
        <v>2961</v>
      </c>
      <c r="D52" s="530"/>
    </row>
    <row r="53" spans="1:4" ht="13.5">
      <c r="A53" s="65" t="s">
        <v>2965</v>
      </c>
      <c r="B53" s="65" t="s">
        <v>2933</v>
      </c>
      <c r="C53" s="530" t="s">
        <v>2961</v>
      </c>
      <c r="D53" s="530"/>
    </row>
    <row r="54" spans="1:4" ht="13.5">
      <c r="A54" s="65" t="s">
        <v>2966</v>
      </c>
      <c r="B54" s="65" t="s">
        <v>2936</v>
      </c>
      <c r="C54" s="530" t="s">
        <v>2961</v>
      </c>
      <c r="D54" s="530"/>
    </row>
    <row r="55" spans="1:4" ht="13.5">
      <c r="A55" s="65" t="s">
        <v>2967</v>
      </c>
      <c r="B55" s="65" t="s">
        <v>2939</v>
      </c>
      <c r="C55" s="530" t="s">
        <v>2961</v>
      </c>
      <c r="D55" s="530"/>
    </row>
    <row r="56" spans="1:4" ht="13.5">
      <c r="A56" s="65" t="s">
        <v>2968</v>
      </c>
      <c r="B56" s="65" t="s">
        <v>2942</v>
      </c>
      <c r="C56" s="530" t="s">
        <v>2961</v>
      </c>
      <c r="D56" s="530"/>
    </row>
    <row r="57" spans="1:4" ht="13.5">
      <c r="A57" s="65" t="s">
        <v>2969</v>
      </c>
      <c r="B57" s="65" t="s">
        <v>2945</v>
      </c>
      <c r="C57" s="530" t="s">
        <v>2961</v>
      </c>
      <c r="D57" s="530"/>
    </row>
    <row r="58" spans="1:4" ht="13.5">
      <c r="A58" s="65" t="s">
        <v>2970</v>
      </c>
      <c r="B58" s="65" t="s">
        <v>2947</v>
      </c>
      <c r="C58" s="530" t="s">
        <v>2961</v>
      </c>
      <c r="D58" s="530"/>
    </row>
    <row r="59" spans="1:4" ht="13.5">
      <c r="A59" s="65" t="s">
        <v>2971</v>
      </c>
      <c r="B59" s="65" t="s">
        <v>2948</v>
      </c>
      <c r="C59" s="530" t="s">
        <v>2961</v>
      </c>
      <c r="D59" s="530"/>
    </row>
    <row r="60" spans="1:4" ht="13.5">
      <c r="A60" s="65" t="s">
        <v>2972</v>
      </c>
      <c r="B60" s="65" t="s">
        <v>2950</v>
      </c>
      <c r="C60" s="530" t="s">
        <v>2961</v>
      </c>
      <c r="D60" s="530"/>
    </row>
    <row r="61" spans="1:4" ht="13.5">
      <c r="A61" s="65" t="s">
        <v>2973</v>
      </c>
      <c r="B61" s="65" t="s">
        <v>2952</v>
      </c>
      <c r="C61" s="530" t="s">
        <v>2961</v>
      </c>
      <c r="D61" s="530"/>
    </row>
    <row r="62" spans="1:4" ht="13.5">
      <c r="A62" s="65" t="s">
        <v>2974</v>
      </c>
      <c r="B62" s="65" t="s">
        <v>2954</v>
      </c>
      <c r="C62" s="530" t="s">
        <v>2961</v>
      </c>
      <c r="D62" s="530"/>
    </row>
    <row r="63" spans="1:4" ht="13.5">
      <c r="A63" s="65" t="s">
        <v>2975</v>
      </c>
      <c r="B63" s="65" t="s">
        <v>2956</v>
      </c>
      <c r="C63" s="530" t="s">
        <v>2961</v>
      </c>
      <c r="D63" s="530"/>
    </row>
    <row r="64" spans="1:4" ht="13.5">
      <c r="A64" s="65" t="s">
        <v>2976</v>
      </c>
      <c r="B64" s="65" t="s">
        <v>2958</v>
      </c>
      <c r="C64" s="530" t="s">
        <v>2961</v>
      </c>
      <c r="D64" s="530"/>
    </row>
    <row r="65" spans="3:4" ht="13.5">
      <c r="C65" s="530"/>
      <c r="D65" s="530"/>
    </row>
    <row r="66" spans="3:4" ht="13.5">
      <c r="C66" s="530"/>
      <c r="D66" s="530"/>
    </row>
    <row r="67" spans="3:4" ht="13.5">
      <c r="C67" s="530"/>
      <c r="D67" s="530"/>
    </row>
    <row r="68" spans="3:4" ht="13.5">
      <c r="C68" s="530"/>
      <c r="D68" s="530"/>
    </row>
    <row r="69" spans="3:4" ht="13.5">
      <c r="C69" s="530"/>
      <c r="D69" s="530"/>
    </row>
    <row r="70" spans="3:4" ht="13.5">
      <c r="C70" s="530"/>
      <c r="D70" s="530"/>
    </row>
    <row r="71" spans="3:4" ht="13.5">
      <c r="C71" s="530"/>
      <c r="D71" s="530"/>
    </row>
    <row r="72" spans="3:4" ht="13.5">
      <c r="C72" s="530"/>
      <c r="D72" s="530"/>
    </row>
    <row r="73" spans="3:4" ht="13.5">
      <c r="C73" s="530"/>
      <c r="D73" s="530"/>
    </row>
    <row r="74" spans="3:4" ht="13.5">
      <c r="C74" s="530"/>
      <c r="D74" s="530"/>
    </row>
    <row r="75" spans="3:4" ht="13.5">
      <c r="C75" s="530"/>
      <c r="D75" s="530"/>
    </row>
    <row r="76" spans="3:4" ht="13.5">
      <c r="C76" s="530"/>
      <c r="D76" s="530"/>
    </row>
    <row r="77" spans="3:4" ht="13.5">
      <c r="C77" s="530"/>
      <c r="D77" s="530"/>
    </row>
    <row r="78" spans="3:4" ht="13.5">
      <c r="C78" s="530"/>
      <c r="D78" s="530"/>
    </row>
    <row r="79" spans="3:4" ht="13.5">
      <c r="C79" s="530"/>
      <c r="D79" s="530"/>
    </row>
    <row r="80" spans="3:4" ht="13.5">
      <c r="C80" s="530"/>
      <c r="D80" s="530"/>
    </row>
    <row r="81" spans="3:4" ht="13.5">
      <c r="C81" s="530"/>
      <c r="D81" s="530"/>
    </row>
    <row r="82" spans="3:4" ht="13.5">
      <c r="C82" s="530"/>
      <c r="D82" s="530"/>
    </row>
    <row r="83" spans="1:8" ht="13.5">
      <c r="A83" s="445" t="s">
        <v>70</v>
      </c>
      <c r="B83" s="446" t="s">
        <v>2914</v>
      </c>
      <c r="C83" s="529" t="s">
        <v>2959</v>
      </c>
      <c r="D83" s="529"/>
      <c r="E83" s="202"/>
      <c r="F83" s="202"/>
      <c r="G83" s="202"/>
      <c r="H83" s="202"/>
    </row>
    <row r="84" spans="1:8" ht="13.5">
      <c r="A84" s="390" t="s">
        <v>83</v>
      </c>
      <c r="B84" s="202" t="s">
        <v>83</v>
      </c>
      <c r="C84" s="213" t="s">
        <v>83</v>
      </c>
      <c r="D84" s="213"/>
      <c r="E84" s="202"/>
      <c r="F84" s="202"/>
      <c r="G84" s="202"/>
      <c r="H84" s="202"/>
    </row>
    <row r="85" spans="1:4" ht="13.5">
      <c r="A85" s="65" t="s">
        <v>2977</v>
      </c>
      <c r="B85" s="65" t="s">
        <v>2919</v>
      </c>
      <c r="C85" s="530" t="s">
        <v>2961</v>
      </c>
      <c r="D85" s="530"/>
    </row>
    <row r="86" spans="1:4" ht="13.5">
      <c r="A86" s="65" t="s">
        <v>2978</v>
      </c>
      <c r="B86" s="65" t="s">
        <v>2921</v>
      </c>
      <c r="C86" s="530" t="s">
        <v>2961</v>
      </c>
      <c r="D86" s="530"/>
    </row>
    <row r="87" spans="1:4" ht="13.5">
      <c r="A87" s="65" t="s">
        <v>2979</v>
      </c>
      <c r="B87" s="65" t="s">
        <v>2923</v>
      </c>
      <c r="C87" s="530" t="s">
        <v>2961</v>
      </c>
      <c r="D87" s="530"/>
    </row>
    <row r="88" spans="1:4" ht="13.5">
      <c r="A88" s="65" t="s">
        <v>2980</v>
      </c>
      <c r="B88" s="65" t="s">
        <v>2926</v>
      </c>
      <c r="C88" s="530" t="s">
        <v>2961</v>
      </c>
      <c r="D88" s="530"/>
    </row>
    <row r="89" spans="1:4" ht="13.5">
      <c r="A89" s="65" t="s">
        <v>184</v>
      </c>
      <c r="B89" s="65" t="s">
        <v>2929</v>
      </c>
      <c r="C89" s="530" t="s">
        <v>2961</v>
      </c>
      <c r="D89" s="530"/>
    </row>
    <row r="90" spans="1:4" ht="13.5">
      <c r="A90" s="65" t="s">
        <v>2981</v>
      </c>
      <c r="B90" s="65" t="s">
        <v>2931</v>
      </c>
      <c r="C90" s="530" t="s">
        <v>2961</v>
      </c>
      <c r="D90" s="530"/>
    </row>
    <row r="91" spans="1:4" ht="13.5">
      <c r="A91" s="65" t="s">
        <v>2982</v>
      </c>
      <c r="B91" s="65" t="s">
        <v>2933</v>
      </c>
      <c r="C91" s="530" t="s">
        <v>2961</v>
      </c>
      <c r="D91" s="530"/>
    </row>
    <row r="92" spans="1:4" ht="13.5">
      <c r="A92" s="65" t="s">
        <v>2983</v>
      </c>
      <c r="B92" s="65" t="s">
        <v>2936</v>
      </c>
      <c r="C92" s="530" t="s">
        <v>2961</v>
      </c>
      <c r="D92" s="530"/>
    </row>
    <row r="93" spans="1:4" ht="13.5">
      <c r="A93" s="65" t="s">
        <v>2984</v>
      </c>
      <c r="B93" s="65" t="s">
        <v>2939</v>
      </c>
      <c r="C93" s="530" t="s">
        <v>2961</v>
      </c>
      <c r="D93" s="530"/>
    </row>
    <row r="94" spans="1:4" ht="13.5">
      <c r="A94" s="65" t="s">
        <v>2985</v>
      </c>
      <c r="B94" s="65" t="s">
        <v>2942</v>
      </c>
      <c r="C94" s="530" t="s">
        <v>2961</v>
      </c>
      <c r="D94" s="530"/>
    </row>
    <row r="95" spans="1:4" ht="13.5">
      <c r="A95" s="65" t="s">
        <v>2986</v>
      </c>
      <c r="B95" s="65" t="s">
        <v>2945</v>
      </c>
      <c r="C95" s="530" t="s">
        <v>2961</v>
      </c>
      <c r="D95" s="530"/>
    </row>
    <row r="96" spans="1:4" ht="13.5">
      <c r="A96" s="65" t="s">
        <v>2987</v>
      </c>
      <c r="B96" s="65" t="s">
        <v>2947</v>
      </c>
      <c r="C96" s="530" t="s">
        <v>2961</v>
      </c>
      <c r="D96" s="530"/>
    </row>
    <row r="97" spans="1:4" ht="13.5">
      <c r="A97" s="65" t="s">
        <v>71</v>
      </c>
      <c r="B97" s="65" t="s">
        <v>2948</v>
      </c>
      <c r="C97" s="530" t="s">
        <v>2961</v>
      </c>
      <c r="D97" s="530"/>
    </row>
    <row r="98" spans="1:4" ht="13.5">
      <c r="A98" s="65" t="s">
        <v>2988</v>
      </c>
      <c r="B98" s="65" t="s">
        <v>2950</v>
      </c>
      <c r="C98" s="530" t="s">
        <v>2961</v>
      </c>
      <c r="D98" s="530"/>
    </row>
    <row r="99" spans="1:4" ht="13.5">
      <c r="A99" s="65" t="s">
        <v>2989</v>
      </c>
      <c r="B99" s="65" t="s">
        <v>2952</v>
      </c>
      <c r="C99" s="530" t="s">
        <v>2961</v>
      </c>
      <c r="D99" s="530"/>
    </row>
    <row r="100" spans="1:4" ht="13.5">
      <c r="A100" s="65" t="s">
        <v>2990</v>
      </c>
      <c r="B100" s="65" t="s">
        <v>2954</v>
      </c>
      <c r="C100" s="530" t="s">
        <v>2961</v>
      </c>
      <c r="D100" s="530"/>
    </row>
    <row r="101" spans="1:4" ht="13.5">
      <c r="A101" s="65" t="s">
        <v>2991</v>
      </c>
      <c r="B101" s="65" t="s">
        <v>2956</v>
      </c>
      <c r="C101" s="530" t="s">
        <v>2961</v>
      </c>
      <c r="D101" s="530"/>
    </row>
    <row r="102" spans="1:4" ht="13.5">
      <c r="A102" s="65" t="s">
        <v>2992</v>
      </c>
      <c r="B102" s="65" t="s">
        <v>2958</v>
      </c>
      <c r="C102" s="530" t="s">
        <v>2961</v>
      </c>
      <c r="D102" s="530"/>
    </row>
    <row r="103" spans="3:4" ht="13.5">
      <c r="C103" s="530"/>
      <c r="D103" s="530"/>
    </row>
    <row r="104" spans="3:4" ht="13.5">
      <c r="C104" s="530"/>
      <c r="D104" s="530"/>
    </row>
    <row r="105" spans="3:4" ht="13.5">
      <c r="C105" s="530"/>
      <c r="D105" s="530"/>
    </row>
    <row r="106" spans="3:4" ht="13.5">
      <c r="C106" s="530"/>
      <c r="D106" s="530"/>
    </row>
    <row r="107" spans="3:4" ht="13.5">
      <c r="C107" s="530"/>
      <c r="D107" s="530"/>
    </row>
    <row r="108" spans="3:4" ht="13.5">
      <c r="C108" s="530"/>
      <c r="D108" s="530"/>
    </row>
    <row r="109" spans="3:4" ht="13.5">
      <c r="C109" s="530"/>
      <c r="D109" s="530"/>
    </row>
    <row r="110" spans="3:4" ht="13.5">
      <c r="C110" s="530"/>
      <c r="D110" s="530"/>
    </row>
    <row r="111" spans="3:4" ht="13.5">
      <c r="C111" s="530"/>
      <c r="D111" s="530"/>
    </row>
    <row r="112" spans="3:4" ht="13.5">
      <c r="C112" s="530"/>
      <c r="D112" s="530"/>
    </row>
    <row r="113" spans="3:4" ht="13.5">
      <c r="C113" s="530"/>
      <c r="D113" s="530"/>
    </row>
    <row r="114" spans="3:4" ht="13.5">
      <c r="C114" s="530"/>
      <c r="D114" s="530"/>
    </row>
    <row r="115" spans="3:4" ht="13.5">
      <c r="C115" s="530"/>
      <c r="D115" s="530"/>
    </row>
    <row r="116" spans="3:4" ht="13.5">
      <c r="C116" s="530"/>
      <c r="D116" s="530"/>
    </row>
    <row r="117" spans="3:4" ht="13.5">
      <c r="C117" s="530"/>
      <c r="D117" s="530"/>
    </row>
    <row r="118" spans="3:4" ht="13.5">
      <c r="C118" s="530"/>
      <c r="D118" s="530"/>
    </row>
    <row r="119" spans="3:4" ht="13.5">
      <c r="C119" s="530"/>
      <c r="D119" s="530"/>
    </row>
    <row r="120" spans="3:4" ht="13.5">
      <c r="C120" s="530"/>
      <c r="D120" s="530"/>
    </row>
  </sheetData>
  <mergeCells count="77">
    <mergeCell ref="A1:E1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6">
      <selection activeCell="J27" sqref="J27"/>
    </sheetView>
  </sheetViews>
  <sheetFormatPr defaultColWidth="9.00390625" defaultRowHeight="13.5"/>
  <cols>
    <col min="1" max="1" width="4.25390625" style="11" customWidth="1"/>
    <col min="2" max="2" width="6.75390625" style="11" customWidth="1"/>
    <col min="3" max="3" width="4.125" style="11" customWidth="1"/>
    <col min="4" max="4" width="10.50390625" style="11" customWidth="1"/>
    <col min="5" max="5" width="2.125" style="11" customWidth="1"/>
    <col min="6" max="6" width="6.375" style="11" customWidth="1"/>
    <col min="7" max="7" width="2.375" style="11" customWidth="1"/>
    <col min="8" max="8" width="6.00390625" style="11" customWidth="1"/>
    <col min="9" max="9" width="3.125" style="11" customWidth="1"/>
    <col min="10" max="10" width="10.00390625" style="11" customWidth="1"/>
    <col min="11" max="11" width="3.625" style="11" customWidth="1"/>
    <col min="12" max="12" width="6.00390625" style="11" customWidth="1"/>
    <col min="13" max="13" width="2.00390625" style="11" customWidth="1"/>
    <col min="14" max="14" width="6.125" style="11" customWidth="1"/>
    <col min="15" max="15" width="2.00390625" style="11" customWidth="1"/>
    <col min="16" max="16" width="6.375" style="11" customWidth="1"/>
    <col min="17" max="17" width="2.00390625" style="11" customWidth="1"/>
    <col min="18" max="18" width="5.875" style="11" customWidth="1"/>
    <col min="19" max="19" width="2.00390625" style="11" customWidth="1"/>
    <col min="20" max="20" width="6.00390625" style="11" customWidth="1"/>
    <col min="21" max="16384" width="9.00390625" style="11" customWidth="1"/>
  </cols>
  <sheetData>
    <row r="1" spans="1:20" s="13" customFormat="1" ht="12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3" spans="1:10" ht="13.5">
      <c r="A3" s="14" t="s">
        <v>10</v>
      </c>
      <c r="J3" s="14" t="s">
        <v>11</v>
      </c>
    </row>
    <row r="4" spans="2:19" ht="13.5">
      <c r="B4" s="15" t="s">
        <v>12</v>
      </c>
      <c r="C4" s="15"/>
      <c r="D4" s="16" t="s">
        <v>13</v>
      </c>
      <c r="E4" s="16"/>
      <c r="F4" s="16"/>
      <c r="G4" s="16"/>
      <c r="L4" s="17" t="s">
        <v>14</v>
      </c>
      <c r="M4" s="18" t="s">
        <v>15</v>
      </c>
      <c r="N4" s="18"/>
      <c r="O4" s="18"/>
      <c r="P4" s="18"/>
      <c r="Q4" s="18"/>
      <c r="S4" s="19"/>
    </row>
    <row r="5" spans="2:19" ht="11.25">
      <c r="B5" s="20" t="s">
        <v>16</v>
      </c>
      <c r="C5" s="20"/>
      <c r="D5" s="21" t="s">
        <v>17</v>
      </c>
      <c r="E5" s="21"/>
      <c r="F5" s="21"/>
      <c r="G5" s="21"/>
      <c r="H5" s="19"/>
      <c r="I5" s="19"/>
      <c r="J5" s="19"/>
      <c r="K5" s="19"/>
      <c r="L5" s="19"/>
      <c r="M5" s="19"/>
      <c r="O5" s="19"/>
      <c r="Q5" s="19"/>
      <c r="S5" s="19"/>
    </row>
    <row r="6" ht="11.25"/>
    <row r="7" spans="1:4" ht="11.25">
      <c r="A7" s="14" t="s">
        <v>18</v>
      </c>
      <c r="D7" s="22">
        <f>IF(COUNTIF(AR_SHEET_スキル,"オールラウンド")=1,IF(SUM(F10:F16)=8,"",IF(SUM(F10:F16)=0,"ボーナス5点と3能力値に+1点を入力してください","ボーナスの合計が8点ではありません")),IF(SUM(F10:F16)=5,"",IF(SUM(F10:F16)=0,"ボーナス(5点)を入力してください","ボーナスの合計が5点ではありません")))</f>
      </c>
    </row>
    <row r="8" spans="2:20" ht="11.25">
      <c r="B8" s="23"/>
      <c r="C8" s="24"/>
      <c r="D8" s="25" t="s">
        <v>19</v>
      </c>
      <c r="E8" s="24"/>
      <c r="F8" s="25" t="s">
        <v>20</v>
      </c>
      <c r="G8" s="24"/>
      <c r="H8" s="25" t="s">
        <v>21</v>
      </c>
      <c r="I8" s="24"/>
      <c r="J8" s="25" t="s">
        <v>22</v>
      </c>
      <c r="K8" s="24"/>
      <c r="L8" s="25" t="s">
        <v>23</v>
      </c>
      <c r="M8" s="24"/>
      <c r="N8" s="25" t="s">
        <v>24</v>
      </c>
      <c r="O8" s="24"/>
      <c r="P8" s="25" t="s">
        <v>25</v>
      </c>
      <c r="Q8" s="24"/>
      <c r="R8" s="25" t="s">
        <v>21</v>
      </c>
      <c r="S8" s="24"/>
      <c r="T8" s="26" t="s">
        <v>26</v>
      </c>
    </row>
    <row r="9" spans="2:20" ht="11.25">
      <c r="B9" s="27"/>
      <c r="C9" s="28"/>
      <c r="D9" s="29" t="s">
        <v>27</v>
      </c>
      <c r="E9" s="28"/>
      <c r="F9" s="29" t="str">
        <f>IF(COUNTIF(AR_SHEET_スキル,"オールラウンド")=1,"計8点","5点")</f>
        <v>5点</v>
      </c>
      <c r="G9" s="28"/>
      <c r="H9" s="29" t="s">
        <v>28</v>
      </c>
      <c r="I9" s="28"/>
      <c r="J9" s="29" t="s">
        <v>27</v>
      </c>
      <c r="K9" s="28"/>
      <c r="L9" s="29" t="s">
        <v>20</v>
      </c>
      <c r="M9" s="28"/>
      <c r="N9" s="29" t="s">
        <v>28</v>
      </c>
      <c r="O9" s="28"/>
      <c r="P9" s="29" t="s">
        <v>28</v>
      </c>
      <c r="Q9" s="28"/>
      <c r="R9" s="29" t="s">
        <v>28</v>
      </c>
      <c r="S9" s="28"/>
      <c r="T9" s="26"/>
    </row>
    <row r="10" spans="2:20" ht="13.5">
      <c r="B10" s="30" t="s">
        <v>29</v>
      </c>
      <c r="C10" s="30"/>
      <c r="D10" s="31">
        <f>VLOOKUP($M$4,リファレンス!$A$36:$H$41,2,0)</f>
        <v>12</v>
      </c>
      <c r="E10" s="31" t="s">
        <v>30</v>
      </c>
      <c r="F10" s="32"/>
      <c r="G10" s="31" t="s">
        <v>30</v>
      </c>
      <c r="H10" s="33">
        <f>COUNTIF(AR_SHEET_スキル,"マシンリム")+COUNTIF(AR_SHEET_装備,"マッスルゲイン")*3+COUNTIF(AR_SHEET_スキル,"トレーニング：筋力")*3+COUNTIF(AR_SHEET_スキル,"オールラウンド：筋力")</f>
        <v>0</v>
      </c>
      <c r="I10" s="31" t="s">
        <v>31</v>
      </c>
      <c r="J10" s="33">
        <f>D10+F10+H10</f>
        <v>12</v>
      </c>
      <c r="K10" s="34" t="s">
        <v>32</v>
      </c>
      <c r="L10" s="31">
        <f>INT(J10/3)</f>
        <v>4</v>
      </c>
      <c r="M10" s="31" t="s">
        <v>30</v>
      </c>
      <c r="N10" s="31">
        <f>VLOOKUP(D4,リファレンス!B:M,2,0)</f>
        <v>1</v>
      </c>
      <c r="O10" s="31" t="s">
        <v>30</v>
      </c>
      <c r="P10" s="31">
        <f>VLOOKUP(D5,リファレンス!B:M,2,0)</f>
        <v>1</v>
      </c>
      <c r="Q10" s="31" t="s">
        <v>30</v>
      </c>
      <c r="R10" s="33">
        <f>COUNTIF(AR_SHEET_スキル,"オールラウンド：筋力")</f>
        <v>0</v>
      </c>
      <c r="S10" s="31"/>
      <c r="T10" s="35">
        <f>L10+N10+P10+R10</f>
        <v>6</v>
      </c>
    </row>
    <row r="11" spans="2:20" ht="13.5">
      <c r="B11" s="30" t="s">
        <v>33</v>
      </c>
      <c r="C11" s="30"/>
      <c r="D11" s="31">
        <f>VLOOKUP($M$4,リファレンス!$A$36:$H$41,3,0)</f>
        <v>8</v>
      </c>
      <c r="E11" s="31" t="s">
        <v>30</v>
      </c>
      <c r="F11" s="32">
        <v>1</v>
      </c>
      <c r="G11" s="31" t="s">
        <v>30</v>
      </c>
      <c r="H11" s="33">
        <f>COUNTIF(AR_SHEET_スキル,"テクニックマスター")*3+COUNTIF(AR_SHEET_スキル,"トレーニング：器用")*3+COUNTIF(AR_SHEET_スキル,"マシンリム")</f>
        <v>3</v>
      </c>
      <c r="I11" s="31" t="s">
        <v>31</v>
      </c>
      <c r="J11" s="33">
        <f>D11+F11+H11</f>
        <v>12</v>
      </c>
      <c r="K11" s="34" t="s">
        <v>32</v>
      </c>
      <c r="L11" s="31">
        <f>INT(J11/3)</f>
        <v>4</v>
      </c>
      <c r="M11" s="31" t="s">
        <v>30</v>
      </c>
      <c r="N11" s="31">
        <f>VLOOKUP(D4,リファレンス!B:M,3,0)</f>
        <v>1</v>
      </c>
      <c r="O11" s="31" t="s">
        <v>30</v>
      </c>
      <c r="P11" s="31">
        <f>VLOOKUP(D5,リファレンス!B:M,3,0)</f>
        <v>0</v>
      </c>
      <c r="Q11" s="31" t="s">
        <v>30</v>
      </c>
      <c r="R11" s="33">
        <f>COUNTIF(AR_SHEET_スキル,"オールラウンド：器用")</f>
        <v>0</v>
      </c>
      <c r="S11" s="31" t="s">
        <v>31</v>
      </c>
      <c r="T11" s="35">
        <f>L11+N11+P11+R11</f>
        <v>5</v>
      </c>
    </row>
    <row r="12" spans="2:20" ht="13.5">
      <c r="B12" s="30" t="s">
        <v>34</v>
      </c>
      <c r="C12" s="30"/>
      <c r="D12" s="31">
        <f>VLOOKUP($M$4,リファレンス!$A$36:$H$41,4,0)</f>
        <v>8</v>
      </c>
      <c r="E12" s="31" t="s">
        <v>30</v>
      </c>
      <c r="F12" s="32">
        <v>1</v>
      </c>
      <c r="G12" s="31" t="s">
        <v>30</v>
      </c>
      <c r="H12" s="33">
        <f>COUNTIF(AR_SHEET_スキル,"アクロバット")*3+COUNTIF(AR_SHEET_スキル,"トレーニング：敏捷")*3+COUNTIF(AR_SHEET_スキル,"マシンリム")</f>
        <v>0</v>
      </c>
      <c r="I12" s="31" t="s">
        <v>31</v>
      </c>
      <c r="J12" s="33">
        <f>D12+F12+H12</f>
        <v>9</v>
      </c>
      <c r="K12" s="34" t="s">
        <v>32</v>
      </c>
      <c r="L12" s="31">
        <f>INT(J12/3)</f>
        <v>3</v>
      </c>
      <c r="M12" s="31" t="s">
        <v>30</v>
      </c>
      <c r="N12" s="31">
        <f>VLOOKUP(D4,リファレンス!B:M,4,0)</f>
        <v>1</v>
      </c>
      <c r="O12" s="31" t="s">
        <v>30</v>
      </c>
      <c r="P12" s="31">
        <f>VLOOKUP(D5,リファレンス!B:M,4,0)</f>
        <v>1</v>
      </c>
      <c r="Q12" s="31" t="s">
        <v>30</v>
      </c>
      <c r="R12" s="33">
        <f>COUNTIF(AR_SHEET_スキル,"オールラウンド：敏捷")</f>
        <v>0</v>
      </c>
      <c r="S12" s="31" t="s">
        <v>31</v>
      </c>
      <c r="T12" s="35">
        <f>L12+N12+P12+R12</f>
        <v>5</v>
      </c>
    </row>
    <row r="13" spans="2:20" ht="13.5">
      <c r="B13" s="30" t="s">
        <v>35</v>
      </c>
      <c r="C13" s="30"/>
      <c r="D13" s="31">
        <f>VLOOKUP($M$4,リファレンス!$A$36:$H$41,5,0)</f>
        <v>6</v>
      </c>
      <c r="E13" s="31" t="s">
        <v>30</v>
      </c>
      <c r="F13" s="32"/>
      <c r="G13" s="31" t="s">
        <v>30</v>
      </c>
      <c r="H13" s="33">
        <f>COUNTIF(AR_SHEET_スキル,"マジックセンス")*3+COUNTIF(AR_SHEET_スキル,"トレーニング：知力")*3</f>
        <v>0</v>
      </c>
      <c r="I13" s="31" t="s">
        <v>31</v>
      </c>
      <c r="J13" s="33">
        <f>D13+F13+H13</f>
        <v>6</v>
      </c>
      <c r="K13" s="34" t="s">
        <v>32</v>
      </c>
      <c r="L13" s="31">
        <f>INT(J13/3)</f>
        <v>2</v>
      </c>
      <c r="M13" s="31" t="s">
        <v>30</v>
      </c>
      <c r="N13" s="31">
        <f>VLOOKUP(D4,リファレンス!B:M,5,0)</f>
        <v>0</v>
      </c>
      <c r="O13" s="31" t="s">
        <v>30</v>
      </c>
      <c r="P13" s="31">
        <f>VLOOKUP(D5,リファレンス!B:M,5,0)</f>
        <v>0</v>
      </c>
      <c r="Q13" s="31" t="s">
        <v>30</v>
      </c>
      <c r="R13" s="33">
        <f>COUNTIF(AR_SHEET_スキル,"オールラウンド：知力")</f>
        <v>0</v>
      </c>
      <c r="S13" s="31" t="s">
        <v>31</v>
      </c>
      <c r="T13" s="35">
        <f>L13+N13+P13+R13</f>
        <v>2</v>
      </c>
    </row>
    <row r="14" spans="2:20" ht="13.5">
      <c r="B14" s="30" t="s">
        <v>36</v>
      </c>
      <c r="C14" s="30"/>
      <c r="D14" s="31">
        <f>VLOOKUP($M$4,リファレンス!$A$36:$H$41,6,0)</f>
        <v>7</v>
      </c>
      <c r="E14" s="31" t="s">
        <v>30</v>
      </c>
      <c r="F14" s="32">
        <v>2</v>
      </c>
      <c r="G14" s="31" t="s">
        <v>30</v>
      </c>
      <c r="H14" s="33">
        <f>COUNTIF(AR_SHEET_スキル,"トレーニング：感知")*3</f>
        <v>0</v>
      </c>
      <c r="I14" s="31" t="s">
        <v>31</v>
      </c>
      <c r="J14" s="33">
        <f>D14+F14+H14</f>
        <v>9</v>
      </c>
      <c r="K14" s="34" t="s">
        <v>32</v>
      </c>
      <c r="L14" s="31">
        <f>INT(J14/3)</f>
        <v>3</v>
      </c>
      <c r="M14" s="31" t="s">
        <v>30</v>
      </c>
      <c r="N14" s="31">
        <f>VLOOKUP(D4,リファレンス!B:M,6,0)</f>
        <v>0</v>
      </c>
      <c r="O14" s="31" t="s">
        <v>30</v>
      </c>
      <c r="P14" s="31">
        <f>VLOOKUP(D5,リファレンス!B:M,6,0)</f>
        <v>0</v>
      </c>
      <c r="Q14" s="31" t="s">
        <v>30</v>
      </c>
      <c r="R14" s="33">
        <f>COUNTIF(AR_SHEET_スキル,"オールラウンド：感知")</f>
        <v>0</v>
      </c>
      <c r="S14" s="31" t="s">
        <v>31</v>
      </c>
      <c r="T14" s="35">
        <f>L14+N14+P14+R14</f>
        <v>3</v>
      </c>
    </row>
    <row r="15" spans="2:20" ht="13.5">
      <c r="B15" s="30" t="s">
        <v>37</v>
      </c>
      <c r="C15" s="30"/>
      <c r="D15" s="31">
        <f>VLOOKUP($M$4,リファレンス!$A$36:$H$41,7,0)</f>
        <v>9</v>
      </c>
      <c r="E15" s="31" t="s">
        <v>30</v>
      </c>
      <c r="F15" s="32">
        <v>1</v>
      </c>
      <c r="G15" s="31" t="s">
        <v>30</v>
      </c>
      <c r="H15" s="33">
        <f>COUNTIF(AR_SHEET_スキル,"トレーニング：精神")*3</f>
        <v>3</v>
      </c>
      <c r="I15" s="31" t="s">
        <v>31</v>
      </c>
      <c r="J15" s="33">
        <f>D15+F15+H15</f>
        <v>13</v>
      </c>
      <c r="K15" s="34" t="s">
        <v>32</v>
      </c>
      <c r="L15" s="31">
        <f>INT(J15/3)</f>
        <v>4</v>
      </c>
      <c r="M15" s="31" t="s">
        <v>30</v>
      </c>
      <c r="N15" s="31">
        <f>VLOOKUP(D4,リファレンス!B:M,7,0)</f>
        <v>0</v>
      </c>
      <c r="O15" s="31" t="s">
        <v>30</v>
      </c>
      <c r="P15" s="31">
        <f>VLOOKUP(D5,リファレンス!B:M,7,0)</f>
        <v>1</v>
      </c>
      <c r="Q15" s="31" t="s">
        <v>30</v>
      </c>
      <c r="R15" s="33">
        <f>COUNTIF(AR_SHEET_スキル,"オールラウンド：精神")</f>
        <v>0</v>
      </c>
      <c r="S15" s="31" t="s">
        <v>31</v>
      </c>
      <c r="T15" s="35">
        <f>L15+N15+P15+R15</f>
        <v>5</v>
      </c>
    </row>
    <row r="16" spans="2:20" ht="14.25" customHeight="1">
      <c r="B16" s="20" t="s">
        <v>38</v>
      </c>
      <c r="C16" s="20"/>
      <c r="D16" s="36">
        <f>VLOOKUP($M$4,リファレンス!$A$36:$H$41,8,0)</f>
        <v>7</v>
      </c>
      <c r="E16" s="36" t="s">
        <v>30</v>
      </c>
      <c r="F16" s="37"/>
      <c r="G16" s="36" t="s">
        <v>30</v>
      </c>
      <c r="H16" s="38">
        <f>COUNTIF(AR_SHEET_スキル,"ラッキースター")*3-COUNTIF(AR_SHEET_スキル,"ハーフブラッド")*3+COUNTIF(AR_SHEET_スキル,"トレーニング：幸運")*3</f>
        <v>0</v>
      </c>
      <c r="I16" s="36" t="s">
        <v>31</v>
      </c>
      <c r="J16" s="38">
        <f>D16+F16+H16</f>
        <v>7</v>
      </c>
      <c r="K16" s="39" t="s">
        <v>32</v>
      </c>
      <c r="L16" s="36">
        <f>INT(J16/3)</f>
        <v>2</v>
      </c>
      <c r="M16" s="36" t="s">
        <v>30</v>
      </c>
      <c r="N16" s="36">
        <f>VLOOKUP(D4,リファレンス!B:M,8,0)</f>
        <v>0</v>
      </c>
      <c r="O16" s="36" t="s">
        <v>30</v>
      </c>
      <c r="P16" s="36">
        <f>VLOOKUP(D5,リファレンス!B:M,8,0)</f>
        <v>0</v>
      </c>
      <c r="Q16" s="36" t="s">
        <v>30</v>
      </c>
      <c r="R16" s="38">
        <f>COUNTIF(AR_SHEET_スキル,"オールラウンド：幸運")</f>
        <v>0</v>
      </c>
      <c r="S16" s="36" t="s">
        <v>31</v>
      </c>
      <c r="T16" s="40">
        <f>L16+N16+P16+R16</f>
        <v>2</v>
      </c>
    </row>
    <row r="18" ht="13.5">
      <c r="A18" s="41" t="s">
        <v>39</v>
      </c>
    </row>
    <row r="20" spans="1:11" ht="13.5">
      <c r="A20" s="41" t="s">
        <v>40</v>
      </c>
      <c r="B20" s="41"/>
      <c r="C20" s="14"/>
      <c r="K20" s="14" t="s">
        <v>41</v>
      </c>
    </row>
    <row r="21" spans="1:20" ht="14.25" customHeight="1">
      <c r="A21" s="14"/>
      <c r="B21" s="42" t="s">
        <v>29</v>
      </c>
      <c r="C21" s="24"/>
      <c r="D21" s="25" t="s">
        <v>24</v>
      </c>
      <c r="E21" s="24"/>
      <c r="F21" s="25" t="s">
        <v>25</v>
      </c>
      <c r="G21" s="24"/>
      <c r="H21" s="25" t="s">
        <v>21</v>
      </c>
      <c r="I21" s="24"/>
      <c r="J21" s="43" t="s">
        <v>42</v>
      </c>
      <c r="L21" s="42" t="s">
        <v>37</v>
      </c>
      <c r="M21" s="24"/>
      <c r="N21" s="25" t="s">
        <v>24</v>
      </c>
      <c r="O21" s="24"/>
      <c r="P21" s="25" t="s">
        <v>25</v>
      </c>
      <c r="Q21" s="24"/>
      <c r="R21" s="25" t="s">
        <v>21</v>
      </c>
      <c r="S21" s="24"/>
      <c r="T21" s="43" t="s">
        <v>43</v>
      </c>
    </row>
    <row r="22" spans="1:20" ht="13.5" customHeight="1">
      <c r="A22" s="14"/>
      <c r="B22" s="44" t="s">
        <v>27</v>
      </c>
      <c r="C22" s="45"/>
      <c r="D22" s="46" t="s">
        <v>28</v>
      </c>
      <c r="E22" s="45"/>
      <c r="F22" s="46" t="s">
        <v>28</v>
      </c>
      <c r="G22" s="45"/>
      <c r="H22" s="46" t="s">
        <v>28</v>
      </c>
      <c r="I22" s="45"/>
      <c r="J22" s="43"/>
      <c r="L22" s="44" t="s">
        <v>27</v>
      </c>
      <c r="M22" s="45"/>
      <c r="N22" s="46" t="s">
        <v>28</v>
      </c>
      <c r="O22" s="45"/>
      <c r="P22" s="46" t="s">
        <v>28</v>
      </c>
      <c r="Q22" s="45"/>
      <c r="R22" s="46" t="s">
        <v>28</v>
      </c>
      <c r="S22" s="45"/>
      <c r="T22" s="43"/>
    </row>
    <row r="23" spans="1:20" ht="14.25" customHeight="1">
      <c r="A23" s="14"/>
      <c r="B23" s="47">
        <f>J10</f>
        <v>12</v>
      </c>
      <c r="C23" s="48" t="s">
        <v>30</v>
      </c>
      <c r="D23" s="48">
        <f>VLOOKUP(D4,リファレンス!B:M,9,0)</f>
        <v>13</v>
      </c>
      <c r="E23" s="48" t="s">
        <v>30</v>
      </c>
      <c r="F23" s="48">
        <f>VLOOKUP(D5,リファレンス!B:M,9,0)</f>
        <v>12</v>
      </c>
      <c r="G23" s="48" t="s">
        <v>30</v>
      </c>
      <c r="H23" s="48">
        <f>COUNTIF(AR_SHEET_装備,"古代の盾")*20+COUNTIF(AR_SHEET_ギルドサポート,"GH：クアハウス")*10+COUNTIF(AR_SHEET_ギルドサポート,"GH：ギルドマンション")*20+IF(ISERROR(VLOOKUP("モアタフネス",AR_スキルSL,7,0))=TRUE,"0",VLOOKUP("モアタフネス",AR_スキルSL,7,0)*5)+COUNTIF(AR_SHEET_スキル,"バイタリティ")*(キャラクターシート!H4)+IF(ISERROR(VLOOKUP("精鋭部隊",AR_SHEET_ギルドサポート,7,0))=TRUE,"0",VLOOKUP("精鋭部隊",AR_SHEET_ギルドサポート,7,0)*5)</f>
        <v>0</v>
      </c>
      <c r="I23" s="48" t="s">
        <v>31</v>
      </c>
      <c r="J23" s="49">
        <f>B23+D23+F23+H23</f>
        <v>37</v>
      </c>
      <c r="L23" s="47">
        <f>J15</f>
        <v>13</v>
      </c>
      <c r="M23" s="48" t="s">
        <v>30</v>
      </c>
      <c r="N23" s="48">
        <f>VLOOKUP(D4,リファレンス!B:M,10,0)</f>
        <v>10</v>
      </c>
      <c r="O23" s="48" t="s">
        <v>30</v>
      </c>
      <c r="P23" s="48">
        <f>VLOOKUP(D5,リファレンス!B:M,10,0)</f>
        <v>11</v>
      </c>
      <c r="Q23" s="48" t="s">
        <v>30</v>
      </c>
      <c r="R23" s="48">
        <f>COUNTIF(AR_SHEET_スキル,"フォティテュード")*5+COUNTIF(AR_SHEET_手持,"ビギナーズロッド")*5+COUNTIF(AR_SHEET_スキル,"インテンション")*(キャラクターシート!H4)+COUNTIF(AR_SHEET_装備,"女神のネックレス")*8+COUNTIF(AR_SHEET_装備,"ハーミットスタッフ")*3+COUNTIF(AR_SHEET_装備,"ビショップワンド")*4+COUNTIF(AR_SHEET_装備,"ウィザードスタッフ")*5+COUNTIF(AR_SHEET_スキル,"バッテリーバックアップ")*10+COUNTIF(AR_SHEET_ギルドサポート,"GH：サルーン")*10+COUNTIF(AR_SHEET_ギルドサポート,"GH：ガーデン")*20+IF(ISERROR(VLOOKUP("精鋭部隊",AR_SHEET_ギルドサポート,7,0))=TRUE,"0",VLOOKUP("精鋭部隊",AR_SHEET_ギルドサポート,7,0)*5)</f>
        <v>0</v>
      </c>
      <c r="S23" s="48" t="s">
        <v>31</v>
      </c>
      <c r="T23" s="49">
        <f>L23+N23+P23+R23</f>
        <v>34</v>
      </c>
    </row>
    <row r="24" ht="13.5">
      <c r="A24" s="14"/>
    </row>
    <row r="25" spans="1:11" ht="13.5">
      <c r="A25" s="14" t="s">
        <v>44</v>
      </c>
      <c r="K25" s="14" t="s">
        <v>45</v>
      </c>
    </row>
    <row r="26" spans="2:20" ht="15" customHeight="1">
      <c r="B26" s="42" t="s">
        <v>27</v>
      </c>
      <c r="C26" s="24"/>
      <c r="D26" s="25" t="s">
        <v>46</v>
      </c>
      <c r="E26" s="24"/>
      <c r="F26" s="43" t="s">
        <v>47</v>
      </c>
      <c r="G26" s="24"/>
      <c r="H26" s="43" t="s">
        <v>48</v>
      </c>
      <c r="L26" s="50" t="s">
        <v>49</v>
      </c>
      <c r="M26" s="50"/>
      <c r="N26" s="50"/>
      <c r="O26" s="50"/>
      <c r="P26" s="50"/>
      <c r="Q26" s="50"/>
      <c r="R26" s="50"/>
      <c r="S26" s="50"/>
      <c r="T26" s="50"/>
    </row>
    <row r="27" spans="2:20" ht="15" customHeight="1">
      <c r="B27" s="47">
        <v>5</v>
      </c>
      <c r="C27" s="48" t="s">
        <v>50</v>
      </c>
      <c r="D27" s="48">
        <f>COUNTIF(AR_SHEET_スキル,"プロヴィデンス")</f>
        <v>0</v>
      </c>
      <c r="E27" s="48" t="s">
        <v>51</v>
      </c>
      <c r="F27" s="49">
        <f>IF(D4=D5,1,0)</f>
        <v>0</v>
      </c>
      <c r="G27" s="48" t="s">
        <v>51</v>
      </c>
      <c r="H27" s="49">
        <f>B27+D27+F27</f>
        <v>5</v>
      </c>
      <c r="L27" s="51" t="s">
        <v>52</v>
      </c>
      <c r="M27" s="51"/>
      <c r="N27" s="51"/>
      <c r="O27" s="51"/>
      <c r="P27" s="51"/>
      <c r="Q27" s="51"/>
      <c r="R27" s="51"/>
      <c r="S27" s="51"/>
      <c r="T27" s="51"/>
    </row>
    <row r="28" ht="13.5">
      <c r="A28" s="14"/>
    </row>
    <row r="29" spans="1:11" ht="13.5">
      <c r="A29" s="14" t="s">
        <v>53</v>
      </c>
      <c r="K29" s="14" t="s">
        <v>54</v>
      </c>
    </row>
    <row r="30" spans="1:18" ht="13.5">
      <c r="A30" s="14"/>
      <c r="B30" s="42" t="s">
        <v>55</v>
      </c>
      <c r="C30" s="24"/>
      <c r="D30" s="25" t="s">
        <v>46</v>
      </c>
      <c r="E30" s="24"/>
      <c r="F30" s="25" t="s">
        <v>56</v>
      </c>
      <c r="G30" s="24"/>
      <c r="H30" s="43" t="s">
        <v>57</v>
      </c>
      <c r="L30" s="42" t="s">
        <v>58</v>
      </c>
      <c r="M30" s="24"/>
      <c r="N30" s="25" t="s">
        <v>59</v>
      </c>
      <c r="O30" s="24"/>
      <c r="P30" s="25" t="s">
        <v>46</v>
      </c>
      <c r="Q30" s="24"/>
      <c r="R30" s="43" t="s">
        <v>60</v>
      </c>
    </row>
    <row r="31" spans="1:18" ht="13.5">
      <c r="A31" s="14"/>
      <c r="B31" s="47">
        <v>500</v>
      </c>
      <c r="C31" s="48" t="s">
        <v>50</v>
      </c>
      <c r="D31" s="48">
        <f>IF(C36="権力者",300,0)</f>
        <v>0</v>
      </c>
      <c r="E31" s="48" t="s">
        <v>50</v>
      </c>
      <c r="F31" s="52">
        <v>2500</v>
      </c>
      <c r="G31" s="48" t="s">
        <v>51</v>
      </c>
      <c r="H31" s="49">
        <f>SUM(B31:F31)</f>
        <v>3000</v>
      </c>
      <c r="L31" s="47">
        <f>T12</f>
        <v>5</v>
      </c>
      <c r="M31" s="48" t="s">
        <v>50</v>
      </c>
      <c r="N31" s="48">
        <f>T14</f>
        <v>3</v>
      </c>
      <c r="O31" s="48" t="s">
        <v>50</v>
      </c>
      <c r="P31" s="48">
        <f>COUNTIF(AR_SHEET_スキル,"ニンブル")*3</f>
        <v>0</v>
      </c>
      <c r="Q31" s="48" t="s">
        <v>51</v>
      </c>
      <c r="R31" s="49">
        <f>SUM(L31,N31,P31)</f>
        <v>8</v>
      </c>
    </row>
    <row r="32" spans="2:12" ht="13.5">
      <c r="B32" s="14" t="s">
        <v>61</v>
      </c>
      <c r="L32" s="14" t="s">
        <v>62</v>
      </c>
    </row>
    <row r="33" ht="13.5">
      <c r="A33" s="14"/>
    </row>
    <row r="34" ht="13.5">
      <c r="A34" s="14" t="s">
        <v>63</v>
      </c>
    </row>
    <row r="35" spans="1:20" ht="14.25" customHeight="1">
      <c r="A35" s="14"/>
      <c r="B35" s="15"/>
      <c r="C35" s="53"/>
      <c r="D35" s="53"/>
      <c r="E35" s="53" t="s">
        <v>64</v>
      </c>
      <c r="F35" s="53"/>
      <c r="G35" s="53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/>
    </row>
    <row r="36" spans="2:20" ht="13.5" customHeight="1">
      <c r="B36" s="30" t="s">
        <v>65</v>
      </c>
      <c r="C36" s="56" t="s">
        <v>66</v>
      </c>
      <c r="D36" s="56"/>
      <c r="E36" s="57" t="str">
        <f>VLOOKUP($C36,ライフパス!A:D,2,0)</f>
        <v>51～52</v>
      </c>
      <c r="F36" s="57"/>
      <c r="G36" s="57"/>
      <c r="H36" s="58" t="s">
        <v>67</v>
      </c>
      <c r="I36" s="59" t="str">
        <f>VLOOKUP(C36,ライフパス!A:D,3,0)</f>
        <v>インサイト</v>
      </c>
      <c r="J36" s="59"/>
      <c r="K36" s="60">
        <f>VLOOKUP(C36,ライフパス!A:D,4,0)</f>
        <v>0</v>
      </c>
      <c r="L36" s="60"/>
      <c r="M36" s="60"/>
      <c r="N36" s="60"/>
      <c r="O36" s="60"/>
      <c r="P36" s="60"/>
      <c r="Q36" s="60"/>
      <c r="R36" s="60"/>
      <c r="S36" s="60"/>
      <c r="T36" s="60"/>
    </row>
    <row r="37" spans="2:20" ht="13.5">
      <c r="B37" s="30" t="s">
        <v>68</v>
      </c>
      <c r="C37" s="56" t="s">
        <v>69</v>
      </c>
      <c r="D37" s="56"/>
      <c r="E37" s="57" t="str">
        <f>VLOOKUP($C37,ライフパス!A:D,2,0)</f>
        <v>13～14</v>
      </c>
      <c r="F37" s="57"/>
      <c r="G37" s="57"/>
      <c r="H37" s="61" t="str">
        <f>VLOOKUP($C37,ライフパス!A:D,3,0)</f>
        <v>解説が入ります。(未実装)</v>
      </c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2:20" ht="14.25" customHeight="1">
      <c r="B38" s="20" t="s">
        <v>70</v>
      </c>
      <c r="C38" s="62" t="s">
        <v>71</v>
      </c>
      <c r="D38" s="62"/>
      <c r="E38" s="63" t="str">
        <f>VLOOKUP($C38,ライフパス!A:D,2,0)</f>
        <v>51～52</v>
      </c>
      <c r="F38" s="63"/>
      <c r="G38" s="63"/>
      <c r="H38" s="64" t="str">
        <f>VLOOKUP($C38,ライフパス!A:D,3,0)</f>
        <v>解説が入ります。(未実装)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40" ht="13.5">
      <c r="A40" s="14" t="s">
        <v>72</v>
      </c>
    </row>
    <row r="41" ht="13.5">
      <c r="B41" s="14" t="s">
        <v>73</v>
      </c>
    </row>
  </sheetData>
  <mergeCells count="30">
    <mergeCell ref="A1:T1"/>
    <mergeCell ref="B4:C4"/>
    <mergeCell ref="D4:G4"/>
    <mergeCell ref="M4:Q4"/>
    <mergeCell ref="B5:C5"/>
    <mergeCell ref="D5:G5"/>
    <mergeCell ref="T8:T9"/>
    <mergeCell ref="B10:C10"/>
    <mergeCell ref="B11:C11"/>
    <mergeCell ref="B12:C12"/>
    <mergeCell ref="B13:C13"/>
    <mergeCell ref="B14:C14"/>
    <mergeCell ref="B15:C15"/>
    <mergeCell ref="B16:C16"/>
    <mergeCell ref="J21:J22"/>
    <mergeCell ref="T21:T22"/>
    <mergeCell ref="L26:T26"/>
    <mergeCell ref="L27:T27"/>
    <mergeCell ref="C35:D35"/>
    <mergeCell ref="E35:G35"/>
    <mergeCell ref="C36:D36"/>
    <mergeCell ref="E36:G36"/>
    <mergeCell ref="I36:J36"/>
    <mergeCell ref="K36:T36"/>
    <mergeCell ref="C37:D37"/>
    <mergeCell ref="E37:G37"/>
    <mergeCell ref="H37:T37"/>
    <mergeCell ref="C38:D38"/>
    <mergeCell ref="E38:G38"/>
    <mergeCell ref="H38:T38"/>
  </mergeCells>
  <dataValidations count="6">
    <dataValidation type="list" operator="equal" allowBlank="1" sqref="D4:G4">
      <formula1>AR_メインクラス</formula1>
    </dataValidation>
    <dataValidation type="list" operator="equal" allowBlank="1" sqref="M4:Q4">
      <formula1>AR_種族</formula1>
    </dataValidation>
    <dataValidation type="list" operator="equal" allowBlank="1" sqref="D5:G5">
      <formula1>AR_サポートクラス初期</formula1>
    </dataValidation>
    <dataValidation type="list" operator="equal" allowBlank="1" sqref="C36:D36">
      <formula1>AR_出自</formula1>
    </dataValidation>
    <dataValidation type="list" operator="equal" allowBlank="1" sqref="C37:D37">
      <formula1>AR_境遇</formula1>
    </dataValidation>
    <dataValidation type="list" operator="equal" allowBlank="1" sqref="C38:D38">
      <formula1>AR_運命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K29" sqref="K29"/>
    </sheetView>
  </sheetViews>
  <sheetFormatPr defaultColWidth="9.00390625" defaultRowHeight="13.5"/>
  <cols>
    <col min="1" max="1" width="5.875" style="65" customWidth="1"/>
    <col min="2" max="2" width="8.625" style="65" customWidth="1"/>
    <col min="3" max="3" width="13.625" style="65" customWidth="1"/>
    <col min="4" max="4" width="11.375" style="65" customWidth="1"/>
    <col min="5" max="5" width="1.875" style="65" customWidth="1"/>
    <col min="6" max="6" width="11.00390625" style="65" customWidth="1"/>
    <col min="7" max="7" width="1.4921875" style="65" customWidth="1"/>
    <col min="8" max="8" width="7.875" style="65" customWidth="1"/>
    <col min="9" max="9" width="6.50390625" style="65" customWidth="1"/>
    <col min="10" max="10" width="6.625" style="65" customWidth="1"/>
    <col min="11" max="11" width="11.50390625" style="65" customWidth="1"/>
    <col min="12" max="16384" width="9.00390625" style="65" customWidth="1"/>
  </cols>
  <sheetData>
    <row r="1" spans="1:12" ht="13.5">
      <c r="A1" s="66" t="s">
        <v>74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3" spans="1:12" ht="13.5">
      <c r="A3" s="67" t="s">
        <v>75</v>
      </c>
      <c r="B3" s="68" t="s">
        <v>76</v>
      </c>
      <c r="C3" s="68" t="s">
        <v>77</v>
      </c>
      <c r="D3" s="69" t="s">
        <v>78</v>
      </c>
      <c r="E3" s="70"/>
      <c r="F3" s="70" t="s">
        <v>79</v>
      </c>
      <c r="G3" s="70"/>
      <c r="H3" s="71" t="s">
        <v>80</v>
      </c>
      <c r="J3" s="72" t="s">
        <v>81</v>
      </c>
      <c r="K3" s="72"/>
      <c r="L3" s="72"/>
    </row>
    <row r="4" spans="1:12" ht="13.5">
      <c r="A4" s="73" t="s">
        <v>82</v>
      </c>
      <c r="B4" s="74" t="s">
        <v>83</v>
      </c>
      <c r="C4" s="74"/>
      <c r="D4" s="75">
        <v>70</v>
      </c>
      <c r="E4" s="76" t="s">
        <v>83</v>
      </c>
      <c r="F4" s="77"/>
      <c r="G4" s="76" t="s">
        <v>51</v>
      </c>
      <c r="H4" s="78">
        <f>D4-F4</f>
        <v>70</v>
      </c>
      <c r="J4" s="79" t="s">
        <v>84</v>
      </c>
      <c r="K4" s="79"/>
      <c r="L4" s="80">
        <v>1</v>
      </c>
    </row>
    <row r="5" spans="1:12" ht="13.5">
      <c r="A5" s="73">
        <v>1</v>
      </c>
      <c r="B5" s="74"/>
      <c r="C5" s="74"/>
      <c r="D5" s="75">
        <v>40</v>
      </c>
      <c r="E5" s="76" t="s">
        <v>83</v>
      </c>
      <c r="F5" s="77"/>
      <c r="G5" s="76" t="s">
        <v>51</v>
      </c>
      <c r="H5" s="78">
        <f>D5-F5</f>
        <v>40</v>
      </c>
      <c r="J5" s="81" t="s">
        <v>85</v>
      </c>
      <c r="K5" s="81"/>
      <c r="L5" s="82">
        <f>VLOOKUP("◎",$J$9:$L$24,2,0)</f>
        <v>2</v>
      </c>
    </row>
    <row r="6" spans="1:12" ht="13.5">
      <c r="A6" s="73">
        <v>2</v>
      </c>
      <c r="B6" s="74"/>
      <c r="C6" s="74"/>
      <c r="D6" s="75"/>
      <c r="E6" s="76" t="s">
        <v>83</v>
      </c>
      <c r="F6" s="77"/>
      <c r="G6" s="76" t="s">
        <v>51</v>
      </c>
      <c r="H6" s="78">
        <f>D6-F6</f>
        <v>0</v>
      </c>
      <c r="J6" s="81" t="s">
        <v>86</v>
      </c>
      <c r="K6" s="81"/>
      <c r="L6" s="82">
        <f>VLOOKUP("◎",J9:L24,3,0)</f>
        <v>10</v>
      </c>
    </row>
    <row r="7" spans="1:12" ht="13.5">
      <c r="A7" s="73">
        <v>3</v>
      </c>
      <c r="B7" s="74"/>
      <c r="C7" s="74"/>
      <c r="D7" s="75"/>
      <c r="E7" s="76" t="s">
        <v>83</v>
      </c>
      <c r="F7" s="77"/>
      <c r="G7" s="76" t="s">
        <v>51</v>
      </c>
      <c r="H7" s="78">
        <f>D7-F7</f>
        <v>0</v>
      </c>
      <c r="J7" s="83" t="s">
        <v>87</v>
      </c>
      <c r="K7" s="83"/>
      <c r="L7" s="84">
        <f>F30-L6</f>
        <v>16</v>
      </c>
    </row>
    <row r="8" spans="1:12" ht="13.5">
      <c r="A8" s="73">
        <v>4</v>
      </c>
      <c r="B8" s="74"/>
      <c r="C8" s="74"/>
      <c r="D8" s="75"/>
      <c r="E8" s="76" t="s">
        <v>83</v>
      </c>
      <c r="F8" s="77"/>
      <c r="G8" s="76" t="s">
        <v>51</v>
      </c>
      <c r="H8" s="78">
        <f>D8-F8</f>
        <v>0</v>
      </c>
      <c r="J8" s="85" t="s">
        <v>81</v>
      </c>
      <c r="K8" s="85"/>
      <c r="L8" s="86" t="s">
        <v>86</v>
      </c>
    </row>
    <row r="9" spans="1:12" ht="13.5">
      <c r="A9" s="73">
        <v>5</v>
      </c>
      <c r="B9" s="74"/>
      <c r="C9" s="74"/>
      <c r="D9" s="75"/>
      <c r="E9" s="76" t="s">
        <v>83</v>
      </c>
      <c r="F9" s="77"/>
      <c r="G9" s="76" t="s">
        <v>51</v>
      </c>
      <c r="H9" s="78">
        <f>D9-F9</f>
        <v>0</v>
      </c>
      <c r="J9" s="87" t="s">
        <v>83</v>
      </c>
      <c r="K9" s="88">
        <v>1</v>
      </c>
      <c r="L9" s="82">
        <v>0</v>
      </c>
    </row>
    <row r="10" spans="1:12" ht="13.5">
      <c r="A10" s="73">
        <v>6</v>
      </c>
      <c r="B10" s="74"/>
      <c r="C10" s="74"/>
      <c r="D10" s="75"/>
      <c r="E10" s="76" t="s">
        <v>83</v>
      </c>
      <c r="F10" s="77"/>
      <c r="G10" s="76" t="s">
        <v>51</v>
      </c>
      <c r="H10" s="78">
        <f>D10-F10</f>
        <v>0</v>
      </c>
      <c r="J10" s="87" t="s">
        <v>88</v>
      </c>
      <c r="K10" s="88">
        <v>2</v>
      </c>
      <c r="L10" s="82">
        <f>$K9*10+$L9</f>
        <v>10</v>
      </c>
    </row>
    <row r="11" spans="1:12" ht="13.5">
      <c r="A11" s="73">
        <v>7</v>
      </c>
      <c r="B11" s="74"/>
      <c r="C11" s="74"/>
      <c r="D11" s="75"/>
      <c r="E11" s="76" t="s">
        <v>83</v>
      </c>
      <c r="F11" s="77"/>
      <c r="G11" s="76" t="s">
        <v>51</v>
      </c>
      <c r="H11" s="78">
        <f>D11-F11</f>
        <v>0</v>
      </c>
      <c r="J11" s="87" t="s">
        <v>83</v>
      </c>
      <c r="K11" s="88">
        <v>3</v>
      </c>
      <c r="L11" s="82">
        <f>$K10*10+$L10</f>
        <v>30</v>
      </c>
    </row>
    <row r="12" spans="1:12" ht="13.5">
      <c r="A12" s="73">
        <v>8</v>
      </c>
      <c r="B12" s="74"/>
      <c r="C12" s="74"/>
      <c r="D12" s="75"/>
      <c r="E12" s="76" t="s">
        <v>83</v>
      </c>
      <c r="F12" s="77"/>
      <c r="G12" s="76" t="s">
        <v>51</v>
      </c>
      <c r="H12" s="78">
        <f>D12-F12</f>
        <v>0</v>
      </c>
      <c r="J12" s="87" t="s">
        <v>83</v>
      </c>
      <c r="K12" s="88">
        <v>4</v>
      </c>
      <c r="L12" s="82">
        <f>$K11*10+$L11</f>
        <v>60</v>
      </c>
    </row>
    <row r="13" spans="1:12" ht="13.5">
      <c r="A13" s="73">
        <v>9</v>
      </c>
      <c r="B13" s="74"/>
      <c r="C13" s="74"/>
      <c r="D13" s="75"/>
      <c r="E13" s="76" t="s">
        <v>83</v>
      </c>
      <c r="F13" s="77"/>
      <c r="G13" s="76" t="s">
        <v>51</v>
      </c>
      <c r="H13" s="78">
        <f>D13-F13</f>
        <v>0</v>
      </c>
      <c r="J13" s="87" t="s">
        <v>83</v>
      </c>
      <c r="K13" s="88">
        <v>5</v>
      </c>
      <c r="L13" s="82">
        <f>$K12*10+$L12</f>
        <v>100</v>
      </c>
    </row>
    <row r="14" spans="1:12" ht="13.5">
      <c r="A14" s="73">
        <v>10</v>
      </c>
      <c r="B14" s="74"/>
      <c r="C14" s="74"/>
      <c r="D14" s="75"/>
      <c r="E14" s="76" t="s">
        <v>83</v>
      </c>
      <c r="F14" s="77"/>
      <c r="G14" s="76" t="s">
        <v>51</v>
      </c>
      <c r="H14" s="78">
        <f>D14-F14</f>
        <v>0</v>
      </c>
      <c r="J14" s="87" t="s">
        <v>83</v>
      </c>
      <c r="K14" s="88">
        <v>6</v>
      </c>
      <c r="L14" s="82">
        <f>$K13*10+$L13</f>
        <v>150</v>
      </c>
    </row>
    <row r="15" spans="1:12" ht="13.5">
      <c r="A15" s="73">
        <v>11</v>
      </c>
      <c r="B15" s="74"/>
      <c r="C15" s="74"/>
      <c r="D15" s="75"/>
      <c r="E15" s="76" t="s">
        <v>83</v>
      </c>
      <c r="F15" s="77"/>
      <c r="G15" s="76" t="s">
        <v>51</v>
      </c>
      <c r="H15" s="78">
        <f>D15-F15</f>
        <v>0</v>
      </c>
      <c r="J15" s="87" t="s">
        <v>83</v>
      </c>
      <c r="K15" s="88">
        <v>7</v>
      </c>
      <c r="L15" s="82">
        <f>$K14*10+$L14</f>
        <v>210</v>
      </c>
    </row>
    <row r="16" spans="1:12" ht="13.5">
      <c r="A16" s="73">
        <v>12</v>
      </c>
      <c r="B16" s="74"/>
      <c r="C16" s="74"/>
      <c r="D16" s="75"/>
      <c r="E16" s="76" t="s">
        <v>83</v>
      </c>
      <c r="F16" s="77"/>
      <c r="G16" s="76" t="s">
        <v>51</v>
      </c>
      <c r="H16" s="78">
        <f>D16-F16</f>
        <v>0</v>
      </c>
      <c r="J16" s="87" t="s">
        <v>83</v>
      </c>
      <c r="K16" s="88">
        <v>8</v>
      </c>
      <c r="L16" s="82">
        <f>$K15*10+$L15</f>
        <v>280</v>
      </c>
    </row>
    <row r="17" spans="1:12" ht="13.5">
      <c r="A17" s="73">
        <v>13</v>
      </c>
      <c r="B17" s="74"/>
      <c r="C17" s="74"/>
      <c r="D17" s="75"/>
      <c r="E17" s="76" t="s">
        <v>83</v>
      </c>
      <c r="F17" s="77"/>
      <c r="G17" s="76" t="s">
        <v>51</v>
      </c>
      <c r="H17" s="78">
        <f>D17-F17</f>
        <v>0</v>
      </c>
      <c r="J17" s="87" t="s">
        <v>83</v>
      </c>
      <c r="K17" s="88">
        <v>9</v>
      </c>
      <c r="L17" s="82">
        <f>$K16*10+$L16</f>
        <v>360</v>
      </c>
    </row>
    <row r="18" spans="1:12" ht="13.5">
      <c r="A18" s="73">
        <v>14</v>
      </c>
      <c r="B18" s="74"/>
      <c r="C18" s="74"/>
      <c r="D18" s="75"/>
      <c r="E18" s="76" t="s">
        <v>83</v>
      </c>
      <c r="F18" s="77"/>
      <c r="G18" s="76" t="s">
        <v>51</v>
      </c>
      <c r="H18" s="78">
        <f>D18-F18</f>
        <v>0</v>
      </c>
      <c r="J18" s="87" t="s">
        <v>83</v>
      </c>
      <c r="K18" s="88">
        <v>10</v>
      </c>
      <c r="L18" s="82">
        <f>$K17*10+$L17</f>
        <v>450</v>
      </c>
    </row>
    <row r="19" spans="1:12" ht="13.5">
      <c r="A19" s="73">
        <v>15</v>
      </c>
      <c r="B19" s="74"/>
      <c r="C19" s="74"/>
      <c r="D19" s="75"/>
      <c r="E19" s="76" t="s">
        <v>83</v>
      </c>
      <c r="F19" s="77"/>
      <c r="G19" s="76" t="s">
        <v>51</v>
      </c>
      <c r="H19" s="78">
        <f>D19-F19</f>
        <v>0</v>
      </c>
      <c r="J19" s="87" t="s">
        <v>83</v>
      </c>
      <c r="K19" s="88">
        <v>11</v>
      </c>
      <c r="L19" s="82">
        <f>$K18*10+$L18</f>
        <v>550</v>
      </c>
    </row>
    <row r="20" spans="1:12" ht="13.5">
      <c r="A20" s="73">
        <v>16</v>
      </c>
      <c r="B20" s="74"/>
      <c r="C20" s="74"/>
      <c r="D20" s="75"/>
      <c r="E20" s="76" t="s">
        <v>83</v>
      </c>
      <c r="F20" s="77"/>
      <c r="G20" s="76" t="s">
        <v>51</v>
      </c>
      <c r="H20" s="78">
        <f>D20-F20</f>
        <v>0</v>
      </c>
      <c r="J20" s="87" t="s">
        <v>83</v>
      </c>
      <c r="K20" s="88">
        <v>12</v>
      </c>
      <c r="L20" s="82">
        <f>$K19*10+$L19</f>
        <v>660</v>
      </c>
    </row>
    <row r="21" spans="1:12" ht="13.5">
      <c r="A21" s="73">
        <v>17</v>
      </c>
      <c r="B21" s="74"/>
      <c r="C21" s="74"/>
      <c r="D21" s="75"/>
      <c r="E21" s="76" t="s">
        <v>83</v>
      </c>
      <c r="F21" s="77"/>
      <c r="G21" s="76" t="s">
        <v>51</v>
      </c>
      <c r="H21" s="78">
        <f>D21-F21</f>
        <v>0</v>
      </c>
      <c r="J21" s="87" t="s">
        <v>83</v>
      </c>
      <c r="K21" s="88">
        <v>13</v>
      </c>
      <c r="L21" s="82">
        <f>$K20*10+$L20</f>
        <v>780</v>
      </c>
    </row>
    <row r="22" spans="1:12" ht="13.5">
      <c r="A22" s="73">
        <v>18</v>
      </c>
      <c r="B22" s="74"/>
      <c r="C22" s="74"/>
      <c r="D22" s="75"/>
      <c r="E22" s="76" t="s">
        <v>83</v>
      </c>
      <c r="F22" s="77"/>
      <c r="G22" s="76" t="s">
        <v>51</v>
      </c>
      <c r="H22" s="78">
        <f>D22-F22</f>
        <v>0</v>
      </c>
      <c r="J22" s="87" t="s">
        <v>83</v>
      </c>
      <c r="K22" s="88">
        <v>14</v>
      </c>
      <c r="L22" s="82">
        <f>$K21*10+$L21</f>
        <v>910</v>
      </c>
    </row>
    <row r="23" spans="1:12" ht="13.5">
      <c r="A23" s="73">
        <v>19</v>
      </c>
      <c r="B23" s="74"/>
      <c r="C23" s="74"/>
      <c r="D23" s="89"/>
      <c r="E23" s="90" t="s">
        <v>83</v>
      </c>
      <c r="F23" s="91"/>
      <c r="G23" s="90" t="s">
        <v>51</v>
      </c>
      <c r="H23" s="92">
        <f>D23-F23</f>
        <v>0</v>
      </c>
      <c r="J23" s="87" t="s">
        <v>83</v>
      </c>
      <c r="K23" s="88">
        <v>15</v>
      </c>
      <c r="L23" s="82">
        <f>$K22*10+$L22</f>
        <v>1050</v>
      </c>
    </row>
    <row r="24" spans="1:12" ht="13.5">
      <c r="A24" s="93" t="s">
        <v>89</v>
      </c>
      <c r="B24" s="93"/>
      <c r="C24" s="93"/>
      <c r="D24" s="93"/>
      <c r="E24" s="93"/>
      <c r="F24" s="93"/>
      <c r="G24" s="90" t="s">
        <v>51</v>
      </c>
      <c r="H24" s="94">
        <f>SUM(H4:H23)</f>
        <v>110</v>
      </c>
      <c r="J24" s="95" t="s">
        <v>83</v>
      </c>
      <c r="K24" s="96">
        <v>16</v>
      </c>
      <c r="L24" s="84">
        <f>$K23*10+$L23</f>
        <v>1200</v>
      </c>
    </row>
    <row r="27" spans="1:6" ht="13.5">
      <c r="A27" s="97" t="s">
        <v>90</v>
      </c>
      <c r="B27" s="97"/>
      <c r="C27" s="97"/>
      <c r="D27" s="97"/>
      <c r="E27" s="98" t="s">
        <v>51</v>
      </c>
      <c r="F27" s="99">
        <f>SUM(C4:C23)</f>
        <v>0</v>
      </c>
    </row>
    <row r="28" spans="1:6" ht="13.5">
      <c r="A28" s="100" t="s">
        <v>91</v>
      </c>
      <c r="B28" s="100"/>
      <c r="C28" s="100"/>
      <c r="D28" s="100"/>
      <c r="E28" s="101" t="s">
        <v>51</v>
      </c>
      <c r="F28" s="102">
        <f>SUM(F4:F23)</f>
        <v>0</v>
      </c>
    </row>
    <row r="29" spans="1:6" ht="13.5">
      <c r="A29" s="103" t="s">
        <v>92</v>
      </c>
      <c r="B29" s="103"/>
      <c r="C29" s="103"/>
      <c r="D29" s="103"/>
      <c r="E29" s="76" t="s">
        <v>51</v>
      </c>
      <c r="F29" s="104">
        <v>26</v>
      </c>
    </row>
    <row r="30" spans="1:6" ht="13.5">
      <c r="A30" s="105" t="s">
        <v>93</v>
      </c>
      <c r="B30" s="105"/>
      <c r="C30" s="105"/>
      <c r="D30" s="105"/>
      <c r="E30" s="106" t="s">
        <v>51</v>
      </c>
      <c r="F30" s="107">
        <f>SUM(F27:F29)</f>
        <v>26</v>
      </c>
    </row>
  </sheetData>
  <mergeCells count="12">
    <mergeCell ref="A1:L1"/>
    <mergeCell ref="J3:L3"/>
    <mergeCell ref="J4:K4"/>
    <mergeCell ref="J5:K5"/>
    <mergeCell ref="J6:K6"/>
    <mergeCell ref="J7:K7"/>
    <mergeCell ref="J8:K8"/>
    <mergeCell ref="A24:F24"/>
    <mergeCell ref="A27:D27"/>
    <mergeCell ref="A28:D28"/>
    <mergeCell ref="A29:D29"/>
    <mergeCell ref="A30:D30"/>
  </mergeCells>
  <dataValidations count="1">
    <dataValidation type="list" operator="equal" allowBlank="1" showErrorMessage="1" sqref="J9:J24">
      <formula1>レベル選択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7">
      <selection activeCell="I17" sqref="I17"/>
    </sheetView>
  </sheetViews>
  <sheetFormatPr defaultColWidth="9.00390625" defaultRowHeight="13.5"/>
  <cols>
    <col min="1" max="1" width="6.375" style="11" customWidth="1"/>
    <col min="2" max="2" width="3.625" style="11" customWidth="1"/>
    <col min="3" max="3" width="5.875" style="11" customWidth="1"/>
    <col min="4" max="4" width="6.375" style="11" customWidth="1"/>
    <col min="5" max="5" width="10.00390625" style="11" customWidth="1"/>
    <col min="6" max="6" width="5.625" style="11" customWidth="1"/>
    <col min="7" max="7" width="5.875" style="11" customWidth="1"/>
    <col min="8" max="8" width="10.625" style="11" customWidth="1"/>
    <col min="9" max="11" width="5.25390625" style="11" customWidth="1"/>
    <col min="12" max="12" width="1.25" style="11" customWidth="1"/>
    <col min="13" max="13" width="10.50390625" style="11" customWidth="1"/>
    <col min="14" max="14" width="8.875" style="11" customWidth="1"/>
    <col min="15" max="15" width="8.375" style="11" customWidth="1"/>
    <col min="16" max="16" width="1.37890625" style="11" customWidth="1"/>
    <col min="17" max="255" width="9.00390625" style="11" customWidth="1"/>
  </cols>
  <sheetData>
    <row r="1" spans="1:15" s="65" customFormat="1" ht="12">
      <c r="A1" s="108" t="s">
        <v>94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9" ht="12.75" customHeight="1">
      <c r="A2" s="109"/>
      <c r="B2" s="22">
        <f>IF(COUNTIF(A6:A63,"◎")=1,"","※現在レベルを示す「◎」印が「現在Lv」列(A列)にないか、または2つ以上存在しています。")</f>
      </c>
      <c r="C2" s="14"/>
      <c r="I2" s="22"/>
    </row>
    <row r="3" spans="1:17" ht="13.5">
      <c r="A3" s="72" t="s">
        <v>95</v>
      </c>
      <c r="B3" s="72"/>
      <c r="C3" s="72"/>
      <c r="D3" s="72"/>
      <c r="E3" s="72"/>
      <c r="F3" s="72"/>
      <c r="G3" s="72"/>
      <c r="H3" s="72"/>
      <c r="I3" s="72"/>
      <c r="J3" s="72"/>
      <c r="K3" s="72"/>
      <c r="M3" s="72" t="s">
        <v>96</v>
      </c>
      <c r="N3" s="72"/>
      <c r="O3" s="72"/>
      <c r="Q3" s="14"/>
    </row>
    <row r="4" spans="1:15" ht="13.5">
      <c r="A4" s="110" t="s">
        <v>97</v>
      </c>
      <c r="B4" s="111" t="s">
        <v>98</v>
      </c>
      <c r="C4" s="112" t="s">
        <v>86</v>
      </c>
      <c r="D4" s="112"/>
      <c r="E4" s="112" t="s">
        <v>99</v>
      </c>
      <c r="F4" s="112" t="s">
        <v>100</v>
      </c>
      <c r="G4" s="112" t="s">
        <v>101</v>
      </c>
      <c r="H4" s="112" t="s">
        <v>102</v>
      </c>
      <c r="I4" s="113" t="s">
        <v>96</v>
      </c>
      <c r="J4" s="113"/>
      <c r="K4" s="113"/>
      <c r="M4" s="114" t="s">
        <v>103</v>
      </c>
      <c r="N4" s="115" t="s">
        <v>104</v>
      </c>
      <c r="O4" s="116" t="s">
        <v>105</v>
      </c>
    </row>
    <row r="5" spans="1:15" ht="13.5">
      <c r="A5" s="110"/>
      <c r="B5" s="111"/>
      <c r="C5" s="117" t="s">
        <v>106</v>
      </c>
      <c r="D5" s="117" t="s">
        <v>107</v>
      </c>
      <c r="E5" s="117" t="s">
        <v>108</v>
      </c>
      <c r="F5" s="117" t="s">
        <v>107</v>
      </c>
      <c r="G5" s="117" t="s">
        <v>107</v>
      </c>
      <c r="H5" s="117" t="s">
        <v>108</v>
      </c>
      <c r="I5" s="113"/>
      <c r="J5" s="113"/>
      <c r="K5" s="113"/>
      <c r="M5" s="118" t="s">
        <v>29</v>
      </c>
      <c r="N5" s="119">
        <f>COUNTIF($I$7:$K$43,M5)</f>
        <v>4</v>
      </c>
      <c r="O5" s="120">
        <f>①コンストラクション!J10+③レベルアップ!N5</f>
        <v>16</v>
      </c>
    </row>
    <row r="6" spans="1:15" ht="13.5" customHeight="1">
      <c r="A6" s="87" t="s">
        <v>83</v>
      </c>
      <c r="B6" s="121">
        <v>1</v>
      </c>
      <c r="C6" s="122">
        <v>0</v>
      </c>
      <c r="D6" s="122"/>
      <c r="E6" s="121"/>
      <c r="F6" s="121">
        <v>0</v>
      </c>
      <c r="G6" s="121">
        <v>0</v>
      </c>
      <c r="H6" s="121"/>
      <c r="I6" s="123"/>
      <c r="J6" s="123"/>
      <c r="K6" s="123"/>
      <c r="M6" s="118" t="s">
        <v>33</v>
      </c>
      <c r="N6" s="119">
        <f>COUNTIF($I$7:$K$43,M6)</f>
        <v>4</v>
      </c>
      <c r="O6" s="120">
        <f>①コンストラクション!J11+③レベルアップ!N6</f>
        <v>16</v>
      </c>
    </row>
    <row r="7" spans="1:15" ht="13.5">
      <c r="A7" s="87" t="s">
        <v>83</v>
      </c>
      <c r="B7" s="57">
        <v>2</v>
      </c>
      <c r="C7" s="57">
        <v>10</v>
      </c>
      <c r="D7" s="57">
        <v>10</v>
      </c>
      <c r="E7" s="124" t="str">
        <f>①コンストラクション!$D$4</f>
        <v>基ウォーリア</v>
      </c>
      <c r="F7" s="124">
        <f>VLOOKUP(E7,リファレンス!B:M,11,0)</f>
        <v>7</v>
      </c>
      <c r="G7" s="124">
        <f>VLOOKUP(E7,リファレンス!B:M,12,0)</f>
        <v>4</v>
      </c>
      <c r="H7" s="124" t="str">
        <f>①コンストラクション!D5</f>
        <v>補モンク</v>
      </c>
      <c r="I7" s="125" t="s">
        <v>29</v>
      </c>
      <c r="J7" s="126" t="s">
        <v>33</v>
      </c>
      <c r="K7" s="127" t="s">
        <v>37</v>
      </c>
      <c r="M7" s="118" t="s">
        <v>34</v>
      </c>
      <c r="N7" s="119">
        <f>COUNTIF($I$7:$K$43,M7)</f>
        <v>0</v>
      </c>
      <c r="O7" s="120">
        <f>①コンストラクション!J12+③レベルアップ!N7</f>
        <v>9</v>
      </c>
    </row>
    <row r="8" spans="1:15" ht="13.5">
      <c r="A8" s="87" t="s">
        <v>83</v>
      </c>
      <c r="B8" s="57" t="s">
        <v>109</v>
      </c>
      <c r="C8" s="122">
        <v>10</v>
      </c>
      <c r="D8" s="122"/>
      <c r="E8" s="128"/>
      <c r="F8" s="128"/>
      <c r="G8" s="128"/>
      <c r="H8" s="129" t="str">
        <f>H7</f>
        <v>補モンク</v>
      </c>
      <c r="I8" s="130"/>
      <c r="J8" s="130"/>
      <c r="K8" s="130"/>
      <c r="M8" s="118" t="s">
        <v>35</v>
      </c>
      <c r="N8" s="119">
        <f>COUNTIF($I$7:$K$43,M8)</f>
        <v>0</v>
      </c>
      <c r="O8" s="120">
        <f>①コンストラクション!J13+③レベルアップ!N8</f>
        <v>6</v>
      </c>
    </row>
    <row r="9" spans="1:15" ht="13.5">
      <c r="A9" s="87" t="s">
        <v>83</v>
      </c>
      <c r="B9" s="57">
        <v>3</v>
      </c>
      <c r="C9" s="57">
        <f>B7*10</f>
        <v>20</v>
      </c>
      <c r="D9" s="57">
        <f>D7+B7*10</f>
        <v>30</v>
      </c>
      <c r="E9" s="124" t="str">
        <f>①コンストラクション!$D$4</f>
        <v>基ウォーリア</v>
      </c>
      <c r="F9" s="57">
        <f>VLOOKUP(E9,リファレンス!$B:$M,11,0)+F7</f>
        <v>14</v>
      </c>
      <c r="G9" s="57">
        <f>VLOOKUP(E9,リファレンス!$B:$M,12,0)+G7</f>
        <v>8</v>
      </c>
      <c r="H9" s="124" t="str">
        <f>H8</f>
        <v>補モンク</v>
      </c>
      <c r="I9" s="125" t="s">
        <v>29</v>
      </c>
      <c r="J9" s="126" t="s">
        <v>33</v>
      </c>
      <c r="K9" s="127" t="s">
        <v>37</v>
      </c>
      <c r="M9" s="118" t="s">
        <v>36</v>
      </c>
      <c r="N9" s="119">
        <f>COUNTIF($I$7:$K$43,M9)</f>
        <v>0</v>
      </c>
      <c r="O9" s="120">
        <f>①コンストラクション!J14+③レベルアップ!N9</f>
        <v>9</v>
      </c>
    </row>
    <row r="10" spans="1:15" ht="13.5">
      <c r="A10" s="87" t="s">
        <v>83</v>
      </c>
      <c r="B10" s="57" t="s">
        <v>109</v>
      </c>
      <c r="C10" s="122">
        <v>10</v>
      </c>
      <c r="D10" s="122"/>
      <c r="E10" s="128"/>
      <c r="F10" s="128"/>
      <c r="G10" s="128"/>
      <c r="H10" s="129" t="str">
        <f>H9</f>
        <v>補モンク</v>
      </c>
      <c r="I10" s="130"/>
      <c r="J10" s="130"/>
      <c r="K10" s="130"/>
      <c r="M10" s="118" t="s">
        <v>37</v>
      </c>
      <c r="N10" s="119">
        <f>COUNTIF($I$7:$K$43,M10)</f>
        <v>4</v>
      </c>
      <c r="O10" s="120">
        <f>①コンストラクション!J15+③レベルアップ!N10</f>
        <v>17</v>
      </c>
    </row>
    <row r="11" spans="1:15" ht="13.5">
      <c r="A11" s="87" t="s">
        <v>83</v>
      </c>
      <c r="B11" s="57">
        <v>4</v>
      </c>
      <c r="C11" s="57">
        <f>B9*10</f>
        <v>30</v>
      </c>
      <c r="D11" s="57">
        <f>D9+B9*10</f>
        <v>60</v>
      </c>
      <c r="E11" s="124" t="str">
        <f>①コンストラクション!$D$4</f>
        <v>基ウォーリア</v>
      </c>
      <c r="F11" s="57">
        <f>VLOOKUP(E11,リファレンス!$B:$M,11,0)+F9</f>
        <v>21</v>
      </c>
      <c r="G11" s="57">
        <f>VLOOKUP(E11,リファレンス!$B:$M,12,0)+G9</f>
        <v>12</v>
      </c>
      <c r="H11" s="124" t="str">
        <f>H10</f>
        <v>補モンク</v>
      </c>
      <c r="I11" s="125" t="s">
        <v>29</v>
      </c>
      <c r="J11" s="126" t="s">
        <v>33</v>
      </c>
      <c r="K11" s="127" t="s">
        <v>37</v>
      </c>
      <c r="M11" s="131" t="s">
        <v>38</v>
      </c>
      <c r="N11" s="132">
        <f>COUNTIF($I$7:$K$43,M11)</f>
        <v>0</v>
      </c>
      <c r="O11" s="133">
        <f>①コンストラクション!J16+③レベルアップ!N11</f>
        <v>7</v>
      </c>
    </row>
    <row r="12" spans="1:15" ht="13.5">
      <c r="A12" s="87" t="s">
        <v>83</v>
      </c>
      <c r="B12" s="57" t="s">
        <v>109</v>
      </c>
      <c r="C12" s="122">
        <v>10</v>
      </c>
      <c r="D12" s="122"/>
      <c r="E12" s="128"/>
      <c r="F12" s="128"/>
      <c r="G12" s="128"/>
      <c r="H12" s="129" t="str">
        <f>H11</f>
        <v>補モンク</v>
      </c>
      <c r="I12" s="130"/>
      <c r="J12" s="130"/>
      <c r="K12" s="130"/>
      <c r="M12" s="134"/>
      <c r="N12" s="134"/>
      <c r="O12" s="134"/>
    </row>
    <row r="13" spans="1:15" ht="13.5">
      <c r="A13" s="87" t="s">
        <v>88</v>
      </c>
      <c r="B13" s="57">
        <v>5</v>
      </c>
      <c r="C13" s="57">
        <f>B11*10</f>
        <v>40</v>
      </c>
      <c r="D13" s="57">
        <f>D11+B11*10</f>
        <v>100</v>
      </c>
      <c r="E13" s="124" t="str">
        <f>①コンストラクション!$D$4</f>
        <v>基ウォーリア</v>
      </c>
      <c r="F13" s="57">
        <f>VLOOKUP(E13,リファレンス!$B:$M,11,0)+F11</f>
        <v>28</v>
      </c>
      <c r="G13" s="57">
        <f>VLOOKUP(E13,リファレンス!$B:$M,12,0)+G11</f>
        <v>16</v>
      </c>
      <c r="H13" s="124" t="s">
        <v>17</v>
      </c>
      <c r="I13" s="125" t="s">
        <v>29</v>
      </c>
      <c r="J13" s="126" t="s">
        <v>33</v>
      </c>
      <c r="K13" s="127" t="s">
        <v>37</v>
      </c>
      <c r="M13" s="72" t="s">
        <v>110</v>
      </c>
      <c r="N13" s="72"/>
      <c r="O13" s="72"/>
    </row>
    <row r="14" spans="1:15" ht="13.5">
      <c r="A14" s="87" t="s">
        <v>83</v>
      </c>
      <c r="B14" s="57" t="s">
        <v>109</v>
      </c>
      <c r="C14" s="122">
        <v>10</v>
      </c>
      <c r="D14" s="122"/>
      <c r="E14" s="128"/>
      <c r="F14" s="128"/>
      <c r="G14" s="128"/>
      <c r="H14" s="129" t="str">
        <f>H13</f>
        <v>補モンク</v>
      </c>
      <c r="I14" s="130"/>
      <c r="J14" s="130"/>
      <c r="K14" s="130"/>
      <c r="M14" s="114" t="s">
        <v>89</v>
      </c>
      <c r="N14" s="114"/>
      <c r="O14" s="135">
        <f>'②成長点記録_ギルドレベル'!H24</f>
        <v>110</v>
      </c>
    </row>
    <row r="15" spans="1:15" ht="13.5">
      <c r="A15" s="87" t="s">
        <v>83</v>
      </c>
      <c r="B15" s="57">
        <v>6</v>
      </c>
      <c r="C15" s="57">
        <f>B13*10</f>
        <v>50</v>
      </c>
      <c r="D15" s="57">
        <f>D13+B13*10</f>
        <v>150</v>
      </c>
      <c r="E15" s="124" t="str">
        <f>①コンストラクション!$D$4</f>
        <v>基ウォーリア</v>
      </c>
      <c r="F15" s="57">
        <f>VLOOKUP(E15,リファレンス!$B:$M,11,0)+F13</f>
        <v>35</v>
      </c>
      <c r="G15" s="57">
        <f>VLOOKUP(E15,リファレンス!$B:$M,12,0)+G13</f>
        <v>20</v>
      </c>
      <c r="H15" s="124" t="str">
        <f>H14</f>
        <v>補モンク</v>
      </c>
      <c r="I15" s="125" t="s">
        <v>83</v>
      </c>
      <c r="J15" s="126" t="s">
        <v>83</v>
      </c>
      <c r="K15" s="127" t="s">
        <v>83</v>
      </c>
      <c r="M15" s="118" t="s">
        <v>111</v>
      </c>
      <c r="N15" s="118"/>
      <c r="O15" s="136">
        <f>VLOOKUP("◎",A:B,2,0)</f>
        <v>5</v>
      </c>
    </row>
    <row r="16" spans="1:15" ht="11.25">
      <c r="A16" s="87" t="s">
        <v>83</v>
      </c>
      <c r="B16" s="57" t="s">
        <v>109</v>
      </c>
      <c r="C16" s="122">
        <v>10</v>
      </c>
      <c r="D16" s="122"/>
      <c r="E16" s="128"/>
      <c r="F16" s="128"/>
      <c r="G16" s="128"/>
      <c r="H16" s="129" t="str">
        <f>H15</f>
        <v>補モンク</v>
      </c>
      <c r="I16" s="130"/>
      <c r="J16" s="130"/>
      <c r="K16" s="130"/>
      <c r="M16" s="118" t="s">
        <v>112</v>
      </c>
      <c r="N16" s="118"/>
      <c r="O16" s="120">
        <f>COUNTIF(A6:A63,"転職")</f>
        <v>0</v>
      </c>
    </row>
    <row r="17" spans="1:15" ht="11.25">
      <c r="A17" s="87" t="s">
        <v>83</v>
      </c>
      <c r="B17" s="57">
        <v>7</v>
      </c>
      <c r="C17" s="57">
        <f>B15*10</f>
        <v>60</v>
      </c>
      <c r="D17" s="57">
        <f>D15+B15*10</f>
        <v>210</v>
      </c>
      <c r="E17" s="124" t="str">
        <f>①コンストラクション!$D$4</f>
        <v>基ウォーリア</v>
      </c>
      <c r="F17" s="57">
        <f>VLOOKUP(E17,リファレンス!$B:$M,11,0)+F15</f>
        <v>42</v>
      </c>
      <c r="G17" s="57">
        <f>VLOOKUP(E17,リファレンス!$B:$M,12,0)+G15</f>
        <v>24</v>
      </c>
      <c r="H17" s="124" t="str">
        <f>H16</f>
        <v>補モンク</v>
      </c>
      <c r="I17" s="125" t="s">
        <v>83</v>
      </c>
      <c r="J17" s="126" t="s">
        <v>83</v>
      </c>
      <c r="K17" s="127" t="s">
        <v>83</v>
      </c>
      <c r="M17" s="137" t="s">
        <v>113</v>
      </c>
      <c r="N17" s="137"/>
      <c r="O17" s="138" t="s">
        <v>83</v>
      </c>
    </row>
    <row r="18" spans="1:15" ht="11.25">
      <c r="A18" s="87" t="s">
        <v>83</v>
      </c>
      <c r="B18" s="57" t="s">
        <v>109</v>
      </c>
      <c r="C18" s="122">
        <v>10</v>
      </c>
      <c r="D18" s="122"/>
      <c r="E18" s="128"/>
      <c r="F18" s="128"/>
      <c r="G18" s="128"/>
      <c r="H18" s="129" t="str">
        <f>H17</f>
        <v>補モンク</v>
      </c>
      <c r="I18" s="130"/>
      <c r="J18" s="130"/>
      <c r="K18" s="130"/>
      <c r="M18" s="118" t="s">
        <v>114</v>
      </c>
      <c r="N18" s="118"/>
      <c r="O18" s="120">
        <f>COUNTIF(A6:A63,"フェイト")</f>
        <v>0</v>
      </c>
    </row>
    <row r="19" spans="1:15" ht="11.25">
      <c r="A19" s="87" t="s">
        <v>83</v>
      </c>
      <c r="B19" s="57">
        <v>8</v>
      </c>
      <c r="C19" s="57">
        <f>B17*10</f>
        <v>70</v>
      </c>
      <c r="D19" s="57">
        <f>D17+B17*10</f>
        <v>280</v>
      </c>
      <c r="E19" s="124" t="str">
        <f>①コンストラクション!$D$4</f>
        <v>基ウォーリア</v>
      </c>
      <c r="F19" s="57">
        <f>VLOOKUP(E19,リファレンス!$B:$M,11,0)+F17</f>
        <v>49</v>
      </c>
      <c r="G19" s="57">
        <f>VLOOKUP(E19,リファレンス!$B:$M,12,0)+G17</f>
        <v>28</v>
      </c>
      <c r="H19" s="124" t="str">
        <f>H18</f>
        <v>補モンク</v>
      </c>
      <c r="I19" s="125" t="s">
        <v>83</v>
      </c>
      <c r="J19" s="126" t="s">
        <v>83</v>
      </c>
      <c r="K19" s="127" t="s">
        <v>83</v>
      </c>
      <c r="M19" s="118" t="s">
        <v>115</v>
      </c>
      <c r="N19" s="118"/>
      <c r="O19" s="136">
        <f>VLOOKUP(O15,$B:$D,3,0)+IF(キャラクターシート!S25&lt;3,0,キャラクターシート!S25-2)*5</f>
        <v>105</v>
      </c>
    </row>
    <row r="20" spans="1:17" ht="11.25">
      <c r="A20" s="87" t="s">
        <v>83</v>
      </c>
      <c r="B20" s="57" t="s">
        <v>109</v>
      </c>
      <c r="C20" s="122">
        <v>10</v>
      </c>
      <c r="D20" s="122"/>
      <c r="E20" s="128"/>
      <c r="F20" s="128"/>
      <c r="G20" s="128"/>
      <c r="H20" s="129" t="str">
        <f>H19</f>
        <v>補モンク</v>
      </c>
      <c r="I20" s="130"/>
      <c r="J20" s="130"/>
      <c r="K20" s="130"/>
      <c r="M20" s="118" t="s">
        <v>87</v>
      </c>
      <c r="N20" s="118"/>
      <c r="O20" s="136">
        <f>O14-O19</f>
        <v>5</v>
      </c>
      <c r="Q20" s="22">
        <f>IF(O20&gt;=0,"","※成長点が足りません。")</f>
      </c>
    </row>
    <row r="21" spans="1:15" ht="11.25">
      <c r="A21" s="87" t="s">
        <v>83</v>
      </c>
      <c r="B21" s="57">
        <v>9</v>
      </c>
      <c r="C21" s="57">
        <f>B19*10</f>
        <v>80</v>
      </c>
      <c r="D21" s="57">
        <f>D19+B19*10</f>
        <v>360</v>
      </c>
      <c r="E21" s="124" t="str">
        <f>①コンストラクション!$D$4</f>
        <v>基ウォーリア</v>
      </c>
      <c r="F21" s="57">
        <f>VLOOKUP(E21,リファレンス!$B:$M,11,0)+F19</f>
        <v>56</v>
      </c>
      <c r="G21" s="57">
        <f>VLOOKUP(E21,リファレンス!$B:$M,12,0)+G19</f>
        <v>32</v>
      </c>
      <c r="H21" s="124" t="str">
        <f>H20</f>
        <v>補モンク</v>
      </c>
      <c r="I21" s="125" t="s">
        <v>83</v>
      </c>
      <c r="J21" s="126" t="s">
        <v>83</v>
      </c>
      <c r="K21" s="127" t="s">
        <v>83</v>
      </c>
      <c r="M21" s="118" t="s">
        <v>116</v>
      </c>
      <c r="N21" s="118"/>
      <c r="O21" s="136">
        <f>VLOOKUP("◎",$A:$H,6,0)+N5</f>
        <v>32</v>
      </c>
    </row>
    <row r="22" spans="1:15" ht="11.25">
      <c r="A22" s="87" t="s">
        <v>83</v>
      </c>
      <c r="B22" s="57" t="s">
        <v>109</v>
      </c>
      <c r="C22" s="122">
        <v>10</v>
      </c>
      <c r="D22" s="122"/>
      <c r="E22" s="128"/>
      <c r="F22" s="128"/>
      <c r="G22" s="128"/>
      <c r="H22" s="129" t="str">
        <f>H21</f>
        <v>補モンク</v>
      </c>
      <c r="I22" s="130"/>
      <c r="J22" s="130"/>
      <c r="K22" s="130"/>
      <c r="M22" s="118" t="s">
        <v>117</v>
      </c>
      <c r="N22" s="118"/>
      <c r="O22" s="136">
        <f>VLOOKUP("◎",$A:$H,7,0)+N10</f>
        <v>20</v>
      </c>
    </row>
    <row r="23" spans="1:15" ht="11.25">
      <c r="A23" s="87" t="s">
        <v>83</v>
      </c>
      <c r="B23" s="57">
        <v>10</v>
      </c>
      <c r="C23" s="57">
        <f>B21*10</f>
        <v>90</v>
      </c>
      <c r="D23" s="57">
        <f>D21+B21*10</f>
        <v>450</v>
      </c>
      <c r="E23" s="124" t="str">
        <f>①コンストラクション!$D$4</f>
        <v>基ウォーリア</v>
      </c>
      <c r="F23" s="57">
        <f>VLOOKUP(E23,リファレンス!$B:$M,11,0)+F21</f>
        <v>63</v>
      </c>
      <c r="G23" s="57">
        <f>VLOOKUP(E23,リファレンス!$B:$M,12,0)+G21</f>
        <v>36</v>
      </c>
      <c r="H23" s="124" t="str">
        <f>H22</f>
        <v>補モンク</v>
      </c>
      <c r="I23" s="125" t="s">
        <v>83</v>
      </c>
      <c r="J23" s="126" t="s">
        <v>83</v>
      </c>
      <c r="K23" s="127" t="s">
        <v>83</v>
      </c>
      <c r="M23" s="131" t="s">
        <v>118</v>
      </c>
      <c r="N23" s="131"/>
      <c r="O23" s="139">
        <f>(VLOOKUP("◎",$A:$B,2,0)-1)*3-O16-O18+6</f>
        <v>18</v>
      </c>
    </row>
    <row r="24" spans="1:11" ht="11.25">
      <c r="A24" s="87" t="s">
        <v>83</v>
      </c>
      <c r="B24" s="57" t="s">
        <v>109</v>
      </c>
      <c r="C24" s="122">
        <v>10</v>
      </c>
      <c r="D24" s="122"/>
      <c r="E24" s="140" t="str">
        <f>E23</f>
        <v>基ウォーリア</v>
      </c>
      <c r="F24" s="141"/>
      <c r="G24" s="142"/>
      <c r="H24" s="129" t="str">
        <f>H23</f>
        <v>補モンク</v>
      </c>
      <c r="I24" s="130"/>
      <c r="J24" s="130"/>
      <c r="K24" s="130"/>
    </row>
    <row r="25" spans="1:15" ht="11.25">
      <c r="A25" s="87" t="s">
        <v>83</v>
      </c>
      <c r="B25" s="57">
        <v>11</v>
      </c>
      <c r="C25" s="57">
        <f>B23*10</f>
        <v>100</v>
      </c>
      <c r="D25" s="57">
        <f>D23+B23*10</f>
        <v>550</v>
      </c>
      <c r="E25" s="143" t="str">
        <f>E24</f>
        <v>基ウォーリア</v>
      </c>
      <c r="F25" s="57">
        <f>VLOOKUP(E25,リファレンス!$B:$M,11,0)+F23</f>
        <v>70</v>
      </c>
      <c r="G25" s="57">
        <f>VLOOKUP(E25,リファレンス!$B:$M,12,0)+G23</f>
        <v>40</v>
      </c>
      <c r="H25" s="124" t="str">
        <f>H24</f>
        <v>補モンク</v>
      </c>
      <c r="I25" s="125" t="s">
        <v>83</v>
      </c>
      <c r="J25" s="126" t="s">
        <v>83</v>
      </c>
      <c r="K25" s="127" t="s">
        <v>83</v>
      </c>
      <c r="M25" s="72" t="s">
        <v>119</v>
      </c>
      <c r="N25" s="72"/>
      <c r="O25" s="72"/>
    </row>
    <row r="26" spans="1:15" ht="13.5">
      <c r="A26" s="87" t="s">
        <v>83</v>
      </c>
      <c r="B26" s="57" t="s">
        <v>109</v>
      </c>
      <c r="C26" s="122">
        <v>10</v>
      </c>
      <c r="D26" s="122"/>
      <c r="E26" s="140" t="str">
        <f>E25</f>
        <v>基ウォーリア</v>
      </c>
      <c r="F26" s="141"/>
      <c r="G26" s="142"/>
      <c r="H26" s="129" t="str">
        <f>H25</f>
        <v>補モンク</v>
      </c>
      <c r="I26" s="130"/>
      <c r="J26" s="130"/>
      <c r="K26" s="130"/>
      <c r="M26" s="144" t="s">
        <v>120</v>
      </c>
      <c r="N26" s="144"/>
      <c r="O26" s="145">
        <f>①コンストラクション!H27</f>
        <v>5</v>
      </c>
    </row>
    <row r="27" spans="1:15" ht="13.5">
      <c r="A27" s="87" t="s">
        <v>83</v>
      </c>
      <c r="B27" s="57">
        <v>12</v>
      </c>
      <c r="C27" s="57">
        <f>B25*10</f>
        <v>110</v>
      </c>
      <c r="D27" s="57">
        <f>D25+B25*10</f>
        <v>660</v>
      </c>
      <c r="E27" s="143" t="str">
        <f>E26</f>
        <v>基ウォーリア</v>
      </c>
      <c r="F27" s="57">
        <f>VLOOKUP(E27,リファレンス!$B:$M,11,0)+F25</f>
        <v>77</v>
      </c>
      <c r="G27" s="57">
        <f>VLOOKUP(E27,リファレンス!$B:$M,12,0)+G25</f>
        <v>44</v>
      </c>
      <c r="H27" s="124" t="str">
        <f>H26</f>
        <v>補モンク</v>
      </c>
      <c r="I27" s="125" t="s">
        <v>83</v>
      </c>
      <c r="J27" s="126" t="s">
        <v>83</v>
      </c>
      <c r="K27" s="127" t="s">
        <v>83</v>
      </c>
      <c r="M27" s="144" t="s">
        <v>121</v>
      </c>
      <c r="N27" s="144"/>
      <c r="O27" s="146">
        <f>O26+COUNTIF(A6:A22,"フェイト")+COUNTIF(A23:A42,"フェイト")*2+COUNTIF(A43:A62,"フェイト")*3</f>
        <v>5</v>
      </c>
    </row>
    <row r="28" spans="1:11" ht="13.5">
      <c r="A28" s="87" t="s">
        <v>83</v>
      </c>
      <c r="B28" s="57" t="s">
        <v>109</v>
      </c>
      <c r="C28" s="122">
        <v>10</v>
      </c>
      <c r="D28" s="122"/>
      <c r="E28" s="140" t="str">
        <f>E27</f>
        <v>基ウォーリア</v>
      </c>
      <c r="F28" s="141"/>
      <c r="G28" s="142"/>
      <c r="H28" s="129" t="str">
        <f>H27</f>
        <v>補モンク</v>
      </c>
      <c r="I28" s="130"/>
      <c r="J28" s="130"/>
      <c r="K28" s="130"/>
    </row>
    <row r="29" spans="1:11" ht="13.5">
      <c r="A29" s="87" t="s">
        <v>83</v>
      </c>
      <c r="B29" s="57">
        <v>13</v>
      </c>
      <c r="C29" s="57">
        <f>B27*10</f>
        <v>120</v>
      </c>
      <c r="D29" s="57">
        <f>D27+B27*10</f>
        <v>780</v>
      </c>
      <c r="E29" s="143" t="str">
        <f>E28</f>
        <v>基ウォーリア</v>
      </c>
      <c r="F29" s="57">
        <f>VLOOKUP(E29,リファレンス!$B:$M,11,0)+F27</f>
        <v>84</v>
      </c>
      <c r="G29" s="57">
        <f>VLOOKUP(E29,リファレンス!$B:$M,12,0)+G27</f>
        <v>48</v>
      </c>
      <c r="H29" s="124" t="str">
        <f>H28</f>
        <v>補モンク</v>
      </c>
      <c r="I29" s="125" t="s">
        <v>83</v>
      </c>
      <c r="J29" s="126" t="s">
        <v>83</v>
      </c>
      <c r="K29" s="127" t="s">
        <v>83</v>
      </c>
    </row>
    <row r="30" spans="1:11" ht="13.5">
      <c r="A30" s="87" t="s">
        <v>83</v>
      </c>
      <c r="B30" s="57" t="s">
        <v>109</v>
      </c>
      <c r="C30" s="122">
        <v>10</v>
      </c>
      <c r="D30" s="122"/>
      <c r="E30" s="140" t="str">
        <f>E29</f>
        <v>基ウォーリア</v>
      </c>
      <c r="F30" s="141"/>
      <c r="G30" s="142"/>
      <c r="H30" s="129" t="str">
        <f>H29</f>
        <v>補モンク</v>
      </c>
      <c r="I30" s="130"/>
      <c r="J30" s="130"/>
      <c r="K30" s="130"/>
    </row>
    <row r="31" spans="1:11" ht="13.5">
      <c r="A31" s="87" t="s">
        <v>83</v>
      </c>
      <c r="B31" s="57">
        <v>14</v>
      </c>
      <c r="C31" s="57">
        <f>B29*10</f>
        <v>130</v>
      </c>
      <c r="D31" s="57">
        <f>D29+B29*10</f>
        <v>910</v>
      </c>
      <c r="E31" s="143" t="str">
        <f>E30</f>
        <v>基ウォーリア</v>
      </c>
      <c r="F31" s="57">
        <f>VLOOKUP(E31,リファレンス!$B:$M,11,0)+F29</f>
        <v>91</v>
      </c>
      <c r="G31" s="57">
        <f>VLOOKUP(E31,リファレンス!$B:$M,12,0)+G29</f>
        <v>52</v>
      </c>
      <c r="H31" s="124" t="str">
        <f>H30</f>
        <v>補モンク</v>
      </c>
      <c r="I31" s="125" t="s">
        <v>83</v>
      </c>
      <c r="J31" s="126" t="s">
        <v>83</v>
      </c>
      <c r="K31" s="127" t="s">
        <v>83</v>
      </c>
    </row>
    <row r="32" spans="1:11" ht="13.5">
      <c r="A32" s="87" t="s">
        <v>83</v>
      </c>
      <c r="B32" s="57" t="s">
        <v>109</v>
      </c>
      <c r="C32" s="122">
        <v>10</v>
      </c>
      <c r="D32" s="122"/>
      <c r="E32" s="140" t="str">
        <f>E31</f>
        <v>基ウォーリア</v>
      </c>
      <c r="F32" s="141"/>
      <c r="G32" s="142"/>
      <c r="H32" s="129" t="str">
        <f>H31</f>
        <v>補モンク</v>
      </c>
      <c r="I32" s="130"/>
      <c r="J32" s="130"/>
      <c r="K32" s="130"/>
    </row>
    <row r="33" spans="1:11" ht="13.5">
      <c r="A33" s="87" t="s">
        <v>83</v>
      </c>
      <c r="B33" s="57">
        <v>15</v>
      </c>
      <c r="C33" s="57">
        <f>B31*10</f>
        <v>140</v>
      </c>
      <c r="D33" s="57">
        <f>D31+B31*10</f>
        <v>1050</v>
      </c>
      <c r="E33" s="143" t="str">
        <f>E32</f>
        <v>基ウォーリア</v>
      </c>
      <c r="F33" s="57">
        <f>VLOOKUP(E33,リファレンス!$B:$M,11,0)+F31</f>
        <v>98</v>
      </c>
      <c r="G33" s="57">
        <f>VLOOKUP(E33,リファレンス!$B:$M,12,0)+G31</f>
        <v>56</v>
      </c>
      <c r="H33" s="124" t="str">
        <f>H32</f>
        <v>補モンク</v>
      </c>
      <c r="I33" s="125" t="s">
        <v>83</v>
      </c>
      <c r="J33" s="126" t="s">
        <v>83</v>
      </c>
      <c r="K33" s="127" t="s">
        <v>83</v>
      </c>
    </row>
    <row r="34" spans="1:11" ht="13.5">
      <c r="A34" s="87" t="s">
        <v>83</v>
      </c>
      <c r="B34" s="57" t="s">
        <v>109</v>
      </c>
      <c r="C34" s="122">
        <v>10</v>
      </c>
      <c r="D34" s="122"/>
      <c r="E34" s="140" t="str">
        <f>E33</f>
        <v>基ウォーリア</v>
      </c>
      <c r="F34" s="141"/>
      <c r="G34" s="142"/>
      <c r="H34" s="129" t="str">
        <f>H33</f>
        <v>補モンク</v>
      </c>
      <c r="I34" s="130"/>
      <c r="J34" s="130"/>
      <c r="K34" s="130"/>
    </row>
    <row r="35" spans="1:11" ht="13.5">
      <c r="A35" s="87" t="s">
        <v>83</v>
      </c>
      <c r="B35" s="57">
        <v>16</v>
      </c>
      <c r="C35" s="57">
        <f>B33*10</f>
        <v>150</v>
      </c>
      <c r="D35" s="57">
        <f>D33+B33*10</f>
        <v>1200</v>
      </c>
      <c r="E35" s="143" t="str">
        <f>E34</f>
        <v>基ウォーリア</v>
      </c>
      <c r="F35" s="57">
        <f>VLOOKUP(E35,リファレンス!$B:$M,11,0)+F33</f>
        <v>105</v>
      </c>
      <c r="G35" s="57">
        <f>VLOOKUP(E35,リファレンス!$B:$M,12,0)+G33</f>
        <v>60</v>
      </c>
      <c r="H35" s="124" t="str">
        <f>H34</f>
        <v>補モンク</v>
      </c>
      <c r="I35" s="125" t="s">
        <v>83</v>
      </c>
      <c r="J35" s="126" t="s">
        <v>83</v>
      </c>
      <c r="K35" s="127" t="s">
        <v>83</v>
      </c>
    </row>
    <row r="36" spans="1:11" ht="13.5">
      <c r="A36" s="87" t="s">
        <v>83</v>
      </c>
      <c r="B36" s="57" t="s">
        <v>109</v>
      </c>
      <c r="C36" s="122">
        <v>10</v>
      </c>
      <c r="D36" s="122"/>
      <c r="E36" s="140" t="str">
        <f>E35</f>
        <v>基ウォーリア</v>
      </c>
      <c r="F36" s="141"/>
      <c r="G36" s="142"/>
      <c r="H36" s="129" t="str">
        <f>H35</f>
        <v>補モンク</v>
      </c>
      <c r="I36" s="130"/>
      <c r="J36" s="130"/>
      <c r="K36" s="130"/>
    </row>
    <row r="37" spans="1:11" ht="13.5">
      <c r="A37" s="87" t="s">
        <v>83</v>
      </c>
      <c r="B37" s="57">
        <v>17</v>
      </c>
      <c r="C37" s="57">
        <f>B35*10</f>
        <v>160</v>
      </c>
      <c r="D37" s="57">
        <f>D35+B35*10</f>
        <v>1360</v>
      </c>
      <c r="E37" s="143" t="str">
        <f>E36</f>
        <v>基ウォーリア</v>
      </c>
      <c r="F37" s="57">
        <f>VLOOKUP(E37,リファレンス!$B:$M,11,0)+F35</f>
        <v>112</v>
      </c>
      <c r="G37" s="57">
        <f>VLOOKUP(E37,リファレンス!$B:$M,12,0)+G35</f>
        <v>64</v>
      </c>
      <c r="H37" s="124" t="str">
        <f>H36</f>
        <v>補モンク</v>
      </c>
      <c r="I37" s="125" t="s">
        <v>83</v>
      </c>
      <c r="J37" s="126" t="s">
        <v>83</v>
      </c>
      <c r="K37" s="127" t="s">
        <v>83</v>
      </c>
    </row>
    <row r="38" spans="1:11" ht="13.5">
      <c r="A38" s="87" t="s">
        <v>83</v>
      </c>
      <c r="B38" s="57" t="s">
        <v>109</v>
      </c>
      <c r="C38" s="122">
        <v>10</v>
      </c>
      <c r="D38" s="122"/>
      <c r="E38" s="140" t="str">
        <f>E37</f>
        <v>基ウォーリア</v>
      </c>
      <c r="F38" s="141"/>
      <c r="G38" s="142"/>
      <c r="H38" s="129" t="str">
        <f>H37</f>
        <v>補モンク</v>
      </c>
      <c r="I38" s="130"/>
      <c r="J38" s="130"/>
      <c r="K38" s="130"/>
    </row>
    <row r="39" spans="1:11" ht="13.5">
      <c r="A39" s="87" t="s">
        <v>83</v>
      </c>
      <c r="B39" s="57">
        <v>18</v>
      </c>
      <c r="C39" s="57">
        <f>B37*10</f>
        <v>170</v>
      </c>
      <c r="D39" s="57">
        <f>D37+B37*10</f>
        <v>1530</v>
      </c>
      <c r="E39" s="143" t="str">
        <f>E38</f>
        <v>基ウォーリア</v>
      </c>
      <c r="F39" s="57">
        <f>VLOOKUP(E39,リファレンス!$B:$M,11,0)+F37</f>
        <v>119</v>
      </c>
      <c r="G39" s="57">
        <f>VLOOKUP(E39,リファレンス!$B:$M,12,0)+G37</f>
        <v>68</v>
      </c>
      <c r="H39" s="124" t="str">
        <f>H38</f>
        <v>補モンク</v>
      </c>
      <c r="I39" s="125" t="s">
        <v>83</v>
      </c>
      <c r="J39" s="126" t="s">
        <v>83</v>
      </c>
      <c r="K39" s="127" t="s">
        <v>83</v>
      </c>
    </row>
    <row r="40" spans="1:11" ht="13.5">
      <c r="A40" s="87" t="s">
        <v>83</v>
      </c>
      <c r="B40" s="57" t="s">
        <v>109</v>
      </c>
      <c r="C40" s="122">
        <v>10</v>
      </c>
      <c r="D40" s="122"/>
      <c r="E40" s="140" t="str">
        <f>E39</f>
        <v>基ウォーリア</v>
      </c>
      <c r="F40" s="141"/>
      <c r="G40" s="142"/>
      <c r="H40" s="129" t="str">
        <f>H39</f>
        <v>補モンク</v>
      </c>
      <c r="I40" s="130"/>
      <c r="J40" s="130"/>
      <c r="K40" s="130"/>
    </row>
    <row r="41" spans="1:11" ht="13.5">
      <c r="A41" s="87" t="s">
        <v>83</v>
      </c>
      <c r="B41" s="57">
        <v>19</v>
      </c>
      <c r="C41" s="57">
        <f>B39*10</f>
        <v>180</v>
      </c>
      <c r="D41" s="57">
        <f>D39+B39*10</f>
        <v>1710</v>
      </c>
      <c r="E41" s="143" t="str">
        <f>E40</f>
        <v>基ウォーリア</v>
      </c>
      <c r="F41" s="57">
        <f>VLOOKUP(E41,リファレンス!$B:$M,11,0)+F39</f>
        <v>126</v>
      </c>
      <c r="G41" s="57">
        <f>VLOOKUP(E41,リファレンス!$B:$M,12,0)+G39</f>
        <v>72</v>
      </c>
      <c r="H41" s="124" t="str">
        <f>H40</f>
        <v>補モンク</v>
      </c>
      <c r="I41" s="125" t="s">
        <v>83</v>
      </c>
      <c r="J41" s="126" t="s">
        <v>83</v>
      </c>
      <c r="K41" s="127" t="s">
        <v>83</v>
      </c>
    </row>
    <row r="42" spans="1:11" ht="13.5">
      <c r="A42" s="87" t="s">
        <v>83</v>
      </c>
      <c r="B42" s="57" t="s">
        <v>109</v>
      </c>
      <c r="C42" s="122">
        <v>10</v>
      </c>
      <c r="D42" s="122"/>
      <c r="E42" s="140" t="str">
        <f>E41</f>
        <v>基ウォーリア</v>
      </c>
      <c r="F42" s="141"/>
      <c r="G42" s="142"/>
      <c r="H42" s="129" t="str">
        <f>H41</f>
        <v>補モンク</v>
      </c>
      <c r="I42" s="130"/>
      <c r="J42" s="130"/>
      <c r="K42" s="130"/>
    </row>
    <row r="43" spans="1:11" ht="13.5">
      <c r="A43" s="147" t="s">
        <v>83</v>
      </c>
      <c r="B43" s="148">
        <v>20</v>
      </c>
      <c r="C43" s="148">
        <f>B41*10</f>
        <v>190</v>
      </c>
      <c r="D43" s="148">
        <f>D41+B41*10</f>
        <v>1900</v>
      </c>
      <c r="E43" s="149" t="str">
        <f>E42</f>
        <v>基ウォーリア</v>
      </c>
      <c r="F43" s="148">
        <f>VLOOKUP(E43,リファレンス!$B:$M,11,0)+F41</f>
        <v>133</v>
      </c>
      <c r="G43" s="148">
        <f>VLOOKUP(E43,リファレンス!$B:$M,12,0)+G41</f>
        <v>76</v>
      </c>
      <c r="H43" s="150" t="str">
        <f>H42</f>
        <v>補モンク</v>
      </c>
      <c r="I43" s="125" t="s">
        <v>83</v>
      </c>
      <c r="J43" s="126" t="s">
        <v>83</v>
      </c>
      <c r="K43" s="127" t="s">
        <v>83</v>
      </c>
    </row>
    <row r="44" spans="1:11" ht="13.5">
      <c r="A44" s="87" t="s">
        <v>83</v>
      </c>
      <c r="B44" s="57" t="s">
        <v>109</v>
      </c>
      <c r="C44" s="122">
        <v>10</v>
      </c>
      <c r="D44" s="122"/>
      <c r="E44" s="140" t="str">
        <f>E43</f>
        <v>基ウォーリア</v>
      </c>
      <c r="F44" s="141"/>
      <c r="G44" s="142"/>
      <c r="H44" s="129" t="str">
        <f>H43</f>
        <v>補モンク</v>
      </c>
      <c r="I44" s="130"/>
      <c r="J44" s="130"/>
      <c r="K44" s="130"/>
    </row>
    <row r="45" spans="1:11" ht="13.5">
      <c r="A45" s="87" t="s">
        <v>83</v>
      </c>
      <c r="B45" s="57">
        <v>21</v>
      </c>
      <c r="C45" s="57">
        <f>B43*10</f>
        <v>200</v>
      </c>
      <c r="D45" s="57">
        <f>D43+B43*10</f>
        <v>2100</v>
      </c>
      <c r="E45" s="143" t="str">
        <f>E44</f>
        <v>基ウォーリア</v>
      </c>
      <c r="F45" s="57">
        <f>VLOOKUP(E45,リファレンス!$B:$M,11,0)+F43</f>
        <v>140</v>
      </c>
      <c r="G45" s="57">
        <f>VLOOKUP(E45,リファレンス!$B:$M,12,0)+G43</f>
        <v>80</v>
      </c>
      <c r="H45" s="124" t="str">
        <f>H44</f>
        <v>補モンク</v>
      </c>
      <c r="I45" s="125" t="s">
        <v>83</v>
      </c>
      <c r="J45" s="126" t="s">
        <v>83</v>
      </c>
      <c r="K45" s="127" t="s">
        <v>83</v>
      </c>
    </row>
    <row r="46" spans="1:11" ht="13.5">
      <c r="A46" s="87" t="s">
        <v>83</v>
      </c>
      <c r="B46" s="57" t="s">
        <v>109</v>
      </c>
      <c r="C46" s="122">
        <v>10</v>
      </c>
      <c r="D46" s="122"/>
      <c r="E46" s="140" t="str">
        <f>E45</f>
        <v>基ウォーリア</v>
      </c>
      <c r="F46" s="141"/>
      <c r="G46" s="142"/>
      <c r="H46" s="129" t="str">
        <f>H45</f>
        <v>補モンク</v>
      </c>
      <c r="I46" s="130"/>
      <c r="J46" s="130"/>
      <c r="K46" s="130"/>
    </row>
    <row r="47" spans="1:11" ht="13.5">
      <c r="A47" s="87" t="s">
        <v>83</v>
      </c>
      <c r="B47" s="57">
        <v>22</v>
      </c>
      <c r="C47" s="57">
        <f>B45*10</f>
        <v>210</v>
      </c>
      <c r="D47" s="57">
        <f>D45+B45*10</f>
        <v>2310</v>
      </c>
      <c r="E47" s="143" t="str">
        <f>E46</f>
        <v>基ウォーリア</v>
      </c>
      <c r="F47" s="57">
        <f>VLOOKUP(E47,リファレンス!$B:$M,11,0)+F45</f>
        <v>147</v>
      </c>
      <c r="G47" s="57">
        <f>VLOOKUP(E47,リファレンス!$B:$M,12,0)+G45</f>
        <v>84</v>
      </c>
      <c r="H47" s="124" t="str">
        <f>H46</f>
        <v>補モンク</v>
      </c>
      <c r="I47" s="125" t="s">
        <v>83</v>
      </c>
      <c r="J47" s="126" t="s">
        <v>83</v>
      </c>
      <c r="K47" s="127" t="s">
        <v>83</v>
      </c>
    </row>
    <row r="48" spans="1:11" ht="13.5">
      <c r="A48" s="87" t="s">
        <v>83</v>
      </c>
      <c r="B48" s="57" t="s">
        <v>109</v>
      </c>
      <c r="C48" s="122">
        <v>10</v>
      </c>
      <c r="D48" s="122"/>
      <c r="E48" s="140" t="str">
        <f>E47</f>
        <v>基ウォーリア</v>
      </c>
      <c r="F48" s="141"/>
      <c r="G48" s="142"/>
      <c r="H48" s="129" t="str">
        <f>H47</f>
        <v>補モンク</v>
      </c>
      <c r="I48" s="130"/>
      <c r="J48" s="130"/>
      <c r="K48" s="130"/>
    </row>
    <row r="49" spans="1:11" ht="13.5">
      <c r="A49" s="87" t="s">
        <v>83</v>
      </c>
      <c r="B49" s="57">
        <v>23</v>
      </c>
      <c r="C49" s="57">
        <f>B47*10</f>
        <v>220</v>
      </c>
      <c r="D49" s="57">
        <f>D47+B47*10</f>
        <v>2530</v>
      </c>
      <c r="E49" s="143" t="str">
        <f>E48</f>
        <v>基ウォーリア</v>
      </c>
      <c r="F49" s="57">
        <f>VLOOKUP(E49,リファレンス!$B:$M,11,0)+F47</f>
        <v>154</v>
      </c>
      <c r="G49" s="57">
        <f>VLOOKUP(E49,リファレンス!$B:$M,12,0)+G47</f>
        <v>88</v>
      </c>
      <c r="H49" s="124" t="str">
        <f>H48</f>
        <v>補モンク</v>
      </c>
      <c r="I49" s="125" t="s">
        <v>83</v>
      </c>
      <c r="J49" s="126" t="s">
        <v>83</v>
      </c>
      <c r="K49" s="127" t="s">
        <v>83</v>
      </c>
    </row>
    <row r="50" spans="1:11" ht="13.5">
      <c r="A50" s="87" t="s">
        <v>83</v>
      </c>
      <c r="B50" s="57" t="s">
        <v>109</v>
      </c>
      <c r="C50" s="122">
        <v>10</v>
      </c>
      <c r="D50" s="122"/>
      <c r="E50" s="140" t="str">
        <f>E49</f>
        <v>基ウォーリア</v>
      </c>
      <c r="F50" s="141"/>
      <c r="G50" s="142"/>
      <c r="H50" s="129" t="str">
        <f>H49</f>
        <v>補モンク</v>
      </c>
      <c r="I50" s="130"/>
      <c r="J50" s="130"/>
      <c r="K50" s="130"/>
    </row>
    <row r="51" spans="1:11" ht="13.5">
      <c r="A51" s="87" t="s">
        <v>83</v>
      </c>
      <c r="B51" s="57">
        <v>24</v>
      </c>
      <c r="C51" s="57">
        <f>B49*10</f>
        <v>230</v>
      </c>
      <c r="D51" s="57">
        <f>D49+B49*10</f>
        <v>2760</v>
      </c>
      <c r="E51" s="143" t="str">
        <f>E50</f>
        <v>基ウォーリア</v>
      </c>
      <c r="F51" s="57">
        <f>VLOOKUP(E51,リファレンス!$B:$M,11,0)+F49</f>
        <v>161</v>
      </c>
      <c r="G51" s="57">
        <f>VLOOKUP(E51,リファレンス!$B:$M,12,0)+G49</f>
        <v>92</v>
      </c>
      <c r="H51" s="124" t="str">
        <f>H50</f>
        <v>補モンク</v>
      </c>
      <c r="I51" s="125" t="s">
        <v>83</v>
      </c>
      <c r="J51" s="126" t="s">
        <v>83</v>
      </c>
      <c r="K51" s="127" t="s">
        <v>83</v>
      </c>
    </row>
    <row r="52" spans="1:11" ht="13.5">
      <c r="A52" s="87" t="s">
        <v>83</v>
      </c>
      <c r="B52" s="57" t="s">
        <v>109</v>
      </c>
      <c r="C52" s="122">
        <v>10</v>
      </c>
      <c r="D52" s="122"/>
      <c r="E52" s="140" t="str">
        <f>E51</f>
        <v>基ウォーリア</v>
      </c>
      <c r="F52" s="141"/>
      <c r="G52" s="142"/>
      <c r="H52" s="129" t="str">
        <f>H51</f>
        <v>補モンク</v>
      </c>
      <c r="I52" s="130"/>
      <c r="J52" s="130"/>
      <c r="K52" s="130"/>
    </row>
    <row r="53" spans="1:11" ht="13.5">
      <c r="A53" s="87" t="s">
        <v>83</v>
      </c>
      <c r="B53" s="57">
        <v>25</v>
      </c>
      <c r="C53" s="57">
        <f>B51*10</f>
        <v>240</v>
      </c>
      <c r="D53" s="57">
        <f>D51+B51*10</f>
        <v>3000</v>
      </c>
      <c r="E53" s="143" t="str">
        <f>E52</f>
        <v>基ウォーリア</v>
      </c>
      <c r="F53" s="57">
        <f>VLOOKUP(E53,リファレンス!$B:$M,11,0)+F51</f>
        <v>168</v>
      </c>
      <c r="G53" s="57">
        <f>VLOOKUP(E53,リファレンス!$B:$M,12,0)+G51</f>
        <v>96</v>
      </c>
      <c r="H53" s="124" t="str">
        <f>H52</f>
        <v>補モンク</v>
      </c>
      <c r="I53" s="125" t="s">
        <v>83</v>
      </c>
      <c r="J53" s="126" t="s">
        <v>83</v>
      </c>
      <c r="K53" s="127" t="s">
        <v>83</v>
      </c>
    </row>
    <row r="54" spans="1:11" ht="13.5">
      <c r="A54" s="87" t="s">
        <v>83</v>
      </c>
      <c r="B54" s="57" t="s">
        <v>109</v>
      </c>
      <c r="C54" s="122">
        <v>10</v>
      </c>
      <c r="D54" s="122"/>
      <c r="E54" s="140" t="str">
        <f>E53</f>
        <v>基ウォーリア</v>
      </c>
      <c r="F54" s="141"/>
      <c r="G54" s="142"/>
      <c r="H54" s="129" t="str">
        <f>H53</f>
        <v>補モンク</v>
      </c>
      <c r="I54" s="130"/>
      <c r="J54" s="130"/>
      <c r="K54" s="130"/>
    </row>
    <row r="55" spans="1:11" ht="13.5">
      <c r="A55" s="87" t="s">
        <v>83</v>
      </c>
      <c r="B55" s="57">
        <v>26</v>
      </c>
      <c r="C55" s="57">
        <f>B53*10</f>
        <v>250</v>
      </c>
      <c r="D55" s="57">
        <f>D53+B53*10</f>
        <v>3250</v>
      </c>
      <c r="E55" s="143" t="str">
        <f>E54</f>
        <v>基ウォーリア</v>
      </c>
      <c r="F55" s="57">
        <f>VLOOKUP(E55,リファレンス!$B:$M,11,0)+F53</f>
        <v>175</v>
      </c>
      <c r="G55" s="57">
        <f>VLOOKUP(E55,リファレンス!$B:$M,12,0)+G53</f>
        <v>100</v>
      </c>
      <c r="H55" s="124" t="str">
        <f>H54</f>
        <v>補モンク</v>
      </c>
      <c r="I55" s="125" t="s">
        <v>83</v>
      </c>
      <c r="J55" s="126" t="s">
        <v>83</v>
      </c>
      <c r="K55" s="127" t="s">
        <v>83</v>
      </c>
    </row>
    <row r="56" spans="1:11" ht="13.5">
      <c r="A56" s="87" t="s">
        <v>83</v>
      </c>
      <c r="B56" s="57" t="s">
        <v>109</v>
      </c>
      <c r="C56" s="122">
        <v>10</v>
      </c>
      <c r="D56" s="122"/>
      <c r="E56" s="140" t="str">
        <f>E55</f>
        <v>基ウォーリア</v>
      </c>
      <c r="F56" s="141"/>
      <c r="G56" s="142"/>
      <c r="H56" s="129" t="str">
        <f>H55</f>
        <v>補モンク</v>
      </c>
      <c r="I56" s="130"/>
      <c r="J56" s="130"/>
      <c r="K56" s="130"/>
    </row>
    <row r="57" spans="1:11" ht="13.5">
      <c r="A57" s="87" t="s">
        <v>83</v>
      </c>
      <c r="B57" s="57">
        <v>27</v>
      </c>
      <c r="C57" s="57">
        <f>B55*10</f>
        <v>260</v>
      </c>
      <c r="D57" s="57">
        <f>D55+B55*10</f>
        <v>3510</v>
      </c>
      <c r="E57" s="143" t="str">
        <f>E56</f>
        <v>基ウォーリア</v>
      </c>
      <c r="F57" s="57">
        <f>VLOOKUP(E57,リファレンス!$B:$M,11,0)+F55</f>
        <v>182</v>
      </c>
      <c r="G57" s="57">
        <f>VLOOKUP(E57,リファレンス!$B:$M,12,0)+G55</f>
        <v>104</v>
      </c>
      <c r="H57" s="124" t="str">
        <f>H56</f>
        <v>補モンク</v>
      </c>
      <c r="I57" s="125" t="s">
        <v>83</v>
      </c>
      <c r="J57" s="126" t="s">
        <v>83</v>
      </c>
      <c r="K57" s="127" t="s">
        <v>83</v>
      </c>
    </row>
    <row r="58" spans="1:11" ht="13.5">
      <c r="A58" s="87" t="s">
        <v>83</v>
      </c>
      <c r="B58" s="57" t="s">
        <v>109</v>
      </c>
      <c r="C58" s="122">
        <v>10</v>
      </c>
      <c r="D58" s="122"/>
      <c r="E58" s="140" t="str">
        <f>E57</f>
        <v>基ウォーリア</v>
      </c>
      <c r="F58" s="141"/>
      <c r="G58" s="142"/>
      <c r="H58" s="129" t="str">
        <f>H57</f>
        <v>補モンク</v>
      </c>
      <c r="I58" s="130"/>
      <c r="J58" s="130"/>
      <c r="K58" s="130"/>
    </row>
    <row r="59" spans="1:11" ht="13.5">
      <c r="A59" s="87" t="s">
        <v>83</v>
      </c>
      <c r="B59" s="57">
        <v>28</v>
      </c>
      <c r="C59" s="57">
        <f>B57*10</f>
        <v>270</v>
      </c>
      <c r="D59" s="57">
        <f>D57+B57*10</f>
        <v>3780</v>
      </c>
      <c r="E59" s="143" t="str">
        <f>E58</f>
        <v>基ウォーリア</v>
      </c>
      <c r="F59" s="57">
        <f>VLOOKUP(E59,リファレンス!$B:$M,11,0)+F57</f>
        <v>189</v>
      </c>
      <c r="G59" s="57">
        <f>VLOOKUP(E59,リファレンス!$B:$M,12,0)+G57</f>
        <v>108</v>
      </c>
      <c r="H59" s="124" t="str">
        <f>H58</f>
        <v>補モンク</v>
      </c>
      <c r="I59" s="125" t="s">
        <v>83</v>
      </c>
      <c r="J59" s="126" t="s">
        <v>83</v>
      </c>
      <c r="K59" s="127" t="s">
        <v>83</v>
      </c>
    </row>
    <row r="60" spans="1:11" ht="13.5">
      <c r="A60" s="87" t="s">
        <v>83</v>
      </c>
      <c r="B60" s="57" t="s">
        <v>109</v>
      </c>
      <c r="C60" s="122">
        <v>10</v>
      </c>
      <c r="D60" s="122"/>
      <c r="E60" s="140" t="str">
        <f>E59</f>
        <v>基ウォーリア</v>
      </c>
      <c r="F60" s="141"/>
      <c r="G60" s="142"/>
      <c r="H60" s="129" t="str">
        <f>H59</f>
        <v>補モンク</v>
      </c>
      <c r="I60" s="130"/>
      <c r="J60" s="130"/>
      <c r="K60" s="130"/>
    </row>
    <row r="61" spans="1:11" ht="13.5">
      <c r="A61" s="87" t="s">
        <v>83</v>
      </c>
      <c r="B61" s="57">
        <v>29</v>
      </c>
      <c r="C61" s="57">
        <f>B59*10</f>
        <v>280</v>
      </c>
      <c r="D61" s="57">
        <f>D59+B59*10</f>
        <v>4060</v>
      </c>
      <c r="E61" s="143" t="str">
        <f>E60</f>
        <v>基ウォーリア</v>
      </c>
      <c r="F61" s="57">
        <f>VLOOKUP(E61,リファレンス!$B:$M,11,0)+F59</f>
        <v>196</v>
      </c>
      <c r="G61" s="57">
        <f>VLOOKUP(E61,リファレンス!$B:$M,12,0)+G59</f>
        <v>112</v>
      </c>
      <c r="H61" s="124" t="str">
        <f>H60</f>
        <v>補モンク</v>
      </c>
      <c r="I61" s="125" t="s">
        <v>83</v>
      </c>
      <c r="J61" s="126" t="s">
        <v>83</v>
      </c>
      <c r="K61" s="127" t="s">
        <v>83</v>
      </c>
    </row>
    <row r="62" spans="1:11" ht="13.5">
      <c r="A62" s="87" t="s">
        <v>83</v>
      </c>
      <c r="B62" s="57" t="s">
        <v>109</v>
      </c>
      <c r="C62" s="122">
        <v>10</v>
      </c>
      <c r="D62" s="122"/>
      <c r="E62" s="140" t="str">
        <f>E61</f>
        <v>基ウォーリア</v>
      </c>
      <c r="F62" s="141"/>
      <c r="G62" s="142"/>
      <c r="H62" s="129" t="str">
        <f>H61</f>
        <v>補モンク</v>
      </c>
      <c r="I62" s="130"/>
      <c r="J62" s="130"/>
      <c r="K62" s="130"/>
    </row>
    <row r="63" spans="1:11" ht="13.5">
      <c r="A63" s="95" t="s">
        <v>83</v>
      </c>
      <c r="B63" s="151">
        <v>30</v>
      </c>
      <c r="C63" s="151">
        <f>B61*10</f>
        <v>290</v>
      </c>
      <c r="D63" s="151">
        <f>D61+B61*10</f>
        <v>4350</v>
      </c>
      <c r="E63" s="152" t="str">
        <f>E62</f>
        <v>基ウォーリア</v>
      </c>
      <c r="F63" s="151">
        <f>VLOOKUP(E63,リファレンス!$B:$M,11,0)+F61</f>
        <v>203</v>
      </c>
      <c r="G63" s="151">
        <f>VLOOKUP(E63,リファレンス!$B:$M,12,0)+G61</f>
        <v>116</v>
      </c>
      <c r="H63" s="153" t="str">
        <f>H62</f>
        <v>補モンク</v>
      </c>
      <c r="I63" s="154" t="s">
        <v>83</v>
      </c>
      <c r="J63" s="155" t="s">
        <v>83</v>
      </c>
      <c r="K63" s="156" t="s">
        <v>83</v>
      </c>
    </row>
  </sheetData>
  <mergeCells count="87">
    <mergeCell ref="A1:O1"/>
    <mergeCell ref="A3:K3"/>
    <mergeCell ref="M3:O3"/>
    <mergeCell ref="A4:A5"/>
    <mergeCell ref="B4:B5"/>
    <mergeCell ref="C4:D4"/>
    <mergeCell ref="I4:K5"/>
    <mergeCell ref="C6:D6"/>
    <mergeCell ref="I6:K6"/>
    <mergeCell ref="C8:D8"/>
    <mergeCell ref="E8:G8"/>
    <mergeCell ref="I8:K8"/>
    <mergeCell ref="C10:D10"/>
    <mergeCell ref="E10:G10"/>
    <mergeCell ref="I10:K10"/>
    <mergeCell ref="C12:D12"/>
    <mergeCell ref="E12:G12"/>
    <mergeCell ref="I12:K12"/>
    <mergeCell ref="M13:O13"/>
    <mergeCell ref="C14:D14"/>
    <mergeCell ref="E14:G14"/>
    <mergeCell ref="I14:K14"/>
    <mergeCell ref="M14:N14"/>
    <mergeCell ref="M15:N15"/>
    <mergeCell ref="C16:D16"/>
    <mergeCell ref="E16:G16"/>
    <mergeCell ref="I16:K16"/>
    <mergeCell ref="M16:N16"/>
    <mergeCell ref="M17:N17"/>
    <mergeCell ref="C18:D18"/>
    <mergeCell ref="E18:G18"/>
    <mergeCell ref="I18:K18"/>
    <mergeCell ref="M18:N18"/>
    <mergeCell ref="M19:N19"/>
    <mergeCell ref="C20:D20"/>
    <mergeCell ref="E20:G20"/>
    <mergeCell ref="I20:K20"/>
    <mergeCell ref="M20:N20"/>
    <mergeCell ref="M21:N21"/>
    <mergeCell ref="C22:D22"/>
    <mergeCell ref="E22:G22"/>
    <mergeCell ref="I22:K22"/>
    <mergeCell ref="M22:N22"/>
    <mergeCell ref="M23:N23"/>
    <mergeCell ref="C24:D24"/>
    <mergeCell ref="I24:K24"/>
    <mergeCell ref="M25:O25"/>
    <mergeCell ref="C26:D26"/>
    <mergeCell ref="I26:K26"/>
    <mergeCell ref="M26:N26"/>
    <mergeCell ref="M27:N27"/>
    <mergeCell ref="C28:D28"/>
    <mergeCell ref="I28:K28"/>
    <mergeCell ref="C30:D30"/>
    <mergeCell ref="I30:K30"/>
    <mergeCell ref="C32:D32"/>
    <mergeCell ref="I32:K32"/>
    <mergeCell ref="C34:D34"/>
    <mergeCell ref="I34:K34"/>
    <mergeCell ref="C36:D36"/>
    <mergeCell ref="I36:K36"/>
    <mergeCell ref="C38:D38"/>
    <mergeCell ref="I38:K38"/>
    <mergeCell ref="C40:D40"/>
    <mergeCell ref="I40:K40"/>
    <mergeCell ref="C42:D42"/>
    <mergeCell ref="I42:K42"/>
    <mergeCell ref="C44:D44"/>
    <mergeCell ref="I44:K44"/>
    <mergeCell ref="C46:D46"/>
    <mergeCell ref="I46:K46"/>
    <mergeCell ref="C48:D48"/>
    <mergeCell ref="I48:K48"/>
    <mergeCell ref="C50:D50"/>
    <mergeCell ref="I50:K50"/>
    <mergeCell ref="C52:D52"/>
    <mergeCell ref="I52:K52"/>
    <mergeCell ref="C54:D54"/>
    <mergeCell ref="I54:K54"/>
    <mergeCell ref="C56:D56"/>
    <mergeCell ref="I56:K56"/>
    <mergeCell ref="C58:D58"/>
    <mergeCell ref="I58:K58"/>
    <mergeCell ref="C60:D60"/>
    <mergeCell ref="I60:K60"/>
    <mergeCell ref="C62:D62"/>
    <mergeCell ref="I62:K62"/>
  </mergeCells>
  <dataValidations count="6">
    <dataValidation type="list" operator="equal" allowBlank="1" showErrorMessage="1" sqref="A6:A7 A9 A11 A13 A15 A17 O17 A19 A21 A23 A25 A27 A29 A31 A33 A35 A37 A39 A41 A43 A45 A47 A49 A51 A53 A55 A57 A59 A61 A63">
      <formula1>レベル選択</formula1>
    </dataValidation>
    <dataValidation type="list" operator="equal" allowBlank="1" showErrorMessage="1" sqref="H7:H63">
      <formula1>AR_サポートクラス</formula1>
    </dataValidation>
    <dataValidation type="list" operator="equal" allowBlank="1" showErrorMessage="1" sqref="I7:K7 I9:K9 I11:K11 I13:K13 I15:K15 I17:K17 I19:K19 I21:K21 I23:K23 I25:K25 I27:K27 I29:K29 I31:K31 I33:K33 I35:K35 I37:K37 I39:K39 I41:K41 I43:K43 I45:K45 I47:K47 I49:K49 I51:K51 I53:K53 I55:K55 I57:K57 I59:K59 I61:K61 I63:K63">
      <formula1>AR_能力値選択</formula1>
    </dataValidation>
    <dataValidation type="list" operator="equal" allowBlank="1" showErrorMessage="1" sqref="A8 A10 A12 A14 A16 A18 A20 A22 A24 A26 A28 A30 A32 A34 A36 A38 A40 A42 A44 A46 A48 A50 A52 A54 A56 A58 A60 A62">
      <formula1>転職選択</formula1>
    </dataValidation>
    <dataValidation type="list" operator="equal" allowBlank="1" sqref="E24 E44">
      <formula1>AR_上級クラス</formula1>
    </dataValidation>
    <dataValidation type="list" operator="equal" allowBlank="1" showErrorMessage="1" sqref="E26 E28 E30 E32 E34 E36 E38 E40 E42 E46 E50 E52 E54 E56 E58 E60 E62">
      <formula1>AR_上級クラス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5"/>
  <sheetViews>
    <sheetView workbookViewId="0" topLeftCell="A1">
      <selection activeCell="F15" sqref="F15"/>
    </sheetView>
  </sheetViews>
  <sheetFormatPr defaultColWidth="9.00390625" defaultRowHeight="13.5"/>
  <cols>
    <col min="1" max="1" width="4.125" style="11" customWidth="1"/>
    <col min="2" max="2" width="6.50390625" style="11" customWidth="1"/>
    <col min="3" max="3" width="3.875" style="11" customWidth="1"/>
    <col min="4" max="4" width="13.875" style="11" customWidth="1"/>
    <col min="5" max="5" width="13.625" style="11" customWidth="1"/>
    <col min="6" max="6" width="19.125" style="157" customWidth="1"/>
    <col min="7" max="7" width="3.875" style="158" customWidth="1"/>
    <col min="8" max="8" width="12.625" style="11" customWidth="1"/>
    <col min="9" max="9" width="14.625" style="11" customWidth="1"/>
    <col min="10" max="10" width="19.375" style="11" customWidth="1"/>
    <col min="11" max="11" width="5.625" style="11" customWidth="1"/>
    <col min="12" max="12" width="12.625" style="11" customWidth="1"/>
    <col min="13" max="13" width="11.125" style="11" customWidth="1"/>
    <col min="14" max="14" width="16.375" style="11" customWidth="1"/>
    <col min="15" max="15" width="1.12109375" style="11" customWidth="1"/>
    <col min="16" max="16" width="3.50390625" style="11" customWidth="1"/>
    <col min="17" max="17" width="5.875" style="11" customWidth="1"/>
    <col min="18" max="18" width="5.625" style="11" customWidth="1"/>
    <col min="19" max="19" width="12.625" style="11" customWidth="1"/>
    <col min="20" max="20" width="11.125" style="11" customWidth="1"/>
    <col min="21" max="21" width="16.375" style="11" customWidth="1"/>
    <col min="22" max="22" width="2.25390625" style="11" customWidth="1"/>
    <col min="23" max="23" width="3.50390625" style="11" customWidth="1"/>
    <col min="24" max="24" width="5.875" style="11" customWidth="1"/>
    <col min="25" max="25" width="5.625" style="11" customWidth="1"/>
    <col min="26" max="26" width="11.50390625" style="11" customWidth="1"/>
    <col min="27" max="27" width="11.125" style="11" customWidth="1"/>
    <col min="28" max="28" width="16.375" style="11" customWidth="1"/>
    <col min="29" max="16384" width="9.00390625" style="11" customWidth="1"/>
  </cols>
  <sheetData>
    <row r="1" spans="1:28" ht="13.5">
      <c r="A1" s="12" t="s">
        <v>122</v>
      </c>
      <c r="B1" s="12"/>
      <c r="C1" s="12"/>
      <c r="D1" s="12"/>
      <c r="E1" s="12"/>
      <c r="F1" s="12"/>
      <c r="G1" s="12"/>
      <c r="H1" s="12"/>
      <c r="I1" s="12"/>
      <c r="J1" s="12"/>
      <c r="K1" s="159"/>
      <c r="L1" s="159"/>
      <c r="M1" s="159"/>
      <c r="N1" s="159"/>
      <c r="O1" s="160"/>
      <c r="P1" s="160"/>
      <c r="Q1" s="160"/>
      <c r="R1" s="160"/>
      <c r="S1" s="160"/>
      <c r="T1" s="160"/>
      <c r="U1" s="160"/>
      <c r="W1" s="160"/>
      <c r="X1" s="160"/>
      <c r="Y1" s="160"/>
      <c r="Z1" s="160"/>
      <c r="AA1" s="160"/>
      <c r="AB1" s="160"/>
    </row>
    <row r="2" ht="13.5">
      <c r="B2" s="161" t="s">
        <v>123</v>
      </c>
    </row>
    <row r="3" spans="1:10" ht="13.5">
      <c r="A3" s="162" t="s">
        <v>111</v>
      </c>
      <c r="B3" s="163" t="s">
        <v>124</v>
      </c>
      <c r="C3" s="163" t="s">
        <v>125</v>
      </c>
      <c r="D3" s="163" t="s">
        <v>126</v>
      </c>
      <c r="E3" s="163" t="s">
        <v>127</v>
      </c>
      <c r="F3" s="164" t="s">
        <v>128</v>
      </c>
      <c r="G3" s="163" t="s">
        <v>125</v>
      </c>
      <c r="H3" s="163" t="s">
        <v>126</v>
      </c>
      <c r="I3" s="163" t="s">
        <v>127</v>
      </c>
      <c r="J3" s="164" t="s">
        <v>128</v>
      </c>
    </row>
    <row r="4" spans="1:10" ht="13.5">
      <c r="A4" s="165">
        <v>1</v>
      </c>
      <c r="B4" s="166">
        <f>③レベルアップ!A6</f>
        <v>0</v>
      </c>
      <c r="C4" s="167" t="s">
        <v>129</v>
      </c>
      <c r="D4" s="168" t="s">
        <v>130</v>
      </c>
      <c r="E4" s="169" t="str">
        <f>①コンストラクション!M4</f>
        <v>ドゥアン</v>
      </c>
      <c r="F4" s="170" t="s">
        <v>131</v>
      </c>
      <c r="G4" s="167" t="s">
        <v>129</v>
      </c>
      <c r="H4" s="168" t="s">
        <v>12</v>
      </c>
      <c r="I4" s="169" t="str">
        <f>①コンストラクション!D4</f>
        <v>基ウォーリア</v>
      </c>
      <c r="J4" s="171" t="s">
        <v>132</v>
      </c>
    </row>
    <row r="5" spans="1:10" ht="13.5">
      <c r="A5" s="165"/>
      <c r="B5" s="166"/>
      <c r="C5" s="172" t="s">
        <v>129</v>
      </c>
      <c r="D5" s="173" t="s">
        <v>133</v>
      </c>
      <c r="E5" s="174" t="str">
        <f>①コンストラクション!D4</f>
        <v>基ウォーリア</v>
      </c>
      <c r="F5" s="175" t="s">
        <v>134</v>
      </c>
      <c r="G5" s="172" t="s">
        <v>129</v>
      </c>
      <c r="H5" s="173" t="s">
        <v>12</v>
      </c>
      <c r="I5" s="174" t="str">
        <f>①コンストラクション!D4</f>
        <v>基ウォーリア</v>
      </c>
      <c r="J5" s="176" t="s">
        <v>135</v>
      </c>
    </row>
    <row r="6" spans="1:10" ht="13.5">
      <c r="A6" s="165"/>
      <c r="B6" s="166"/>
      <c r="C6" s="172" t="s">
        <v>129</v>
      </c>
      <c r="D6" s="173" t="s">
        <v>136</v>
      </c>
      <c r="E6" s="174" t="str">
        <f>①コンストラクション!D5</f>
        <v>補モンク</v>
      </c>
      <c r="F6" s="175" t="s">
        <v>137</v>
      </c>
      <c r="G6" s="177" t="s">
        <v>129</v>
      </c>
      <c r="H6" s="178" t="s">
        <v>16</v>
      </c>
      <c r="I6" s="179" t="str">
        <f>①コンストラクション!D5</f>
        <v>補モンク</v>
      </c>
      <c r="J6" s="180" t="s">
        <v>138</v>
      </c>
    </row>
    <row r="7" spans="1:10" ht="13.5">
      <c r="A7" s="165"/>
      <c r="B7" s="166"/>
      <c r="C7" s="172" t="s">
        <v>129</v>
      </c>
      <c r="D7" s="179" t="str">
        <f>①コンストラクション!C36</f>
        <v>放浪者</v>
      </c>
      <c r="E7" s="126" t="s">
        <v>139</v>
      </c>
      <c r="F7" s="181" t="str">
        <f>①コンストラクション!I36</f>
        <v>インサイト</v>
      </c>
      <c r="G7" s="182" t="str">
        <f>IF(F4="ハーフブラッド","●","×")</f>
        <v>×</v>
      </c>
      <c r="H7" s="183" t="str">
        <f>IF(F4="ハーフブラッド",F4,"-")</f>
        <v>-</v>
      </c>
      <c r="I7" s="184" t="s">
        <v>140</v>
      </c>
      <c r="J7" s="185"/>
    </row>
    <row r="8" spans="1:10" ht="13.5">
      <c r="A8" s="165"/>
      <c r="B8" s="166"/>
      <c r="C8" s="172" t="s">
        <v>129</v>
      </c>
      <c r="D8" s="179"/>
      <c r="E8" s="126" t="s">
        <v>139</v>
      </c>
      <c r="F8" s="181" t="s">
        <v>141</v>
      </c>
      <c r="G8" s="186" t="str">
        <f>IF(OR(F4="イモータリティ",F4="マスターハンド"),"●","×")</f>
        <v>×</v>
      </c>
      <c r="H8" s="187" t="str">
        <f>IF(OR(F4="イモータリティ",F4="マスターハンド"),F4,"-")</f>
        <v>-</v>
      </c>
      <c r="I8" s="155">
        <f>IF(F4="マスターハンド","錬金術師",IF(F4="イモータリティ","セージ",""))</f>
      </c>
      <c r="J8" s="188">
        <f>IF(F4="マスターハンド","ガンスミス",IF(F4="イモータリティ","トリビアリスト",""))</f>
      </c>
    </row>
    <row r="9" spans="1:10" ht="13.5">
      <c r="A9" s="189">
        <v>2</v>
      </c>
      <c r="B9" s="190" t="str">
        <f>③レベルアップ!$A7</f>
        <v>-</v>
      </c>
      <c r="C9" s="191" t="s">
        <v>129</v>
      </c>
      <c r="D9" s="192" t="s">
        <v>16</v>
      </c>
      <c r="E9" s="192" t="s">
        <v>17</v>
      </c>
      <c r="F9" s="170" t="s">
        <v>142</v>
      </c>
      <c r="G9" s="193" t="s">
        <v>129</v>
      </c>
      <c r="H9" s="194" t="s">
        <v>16</v>
      </c>
      <c r="I9" s="194" t="str">
        <f>IF($H9="メインクラス",③レベルアップ!$E7,IF($H9="サポートクラス",③レベルアップ!$H7,IF($H9="その他","この欄を選択","←左欄を選択")))</f>
        <v>補モンク</v>
      </c>
      <c r="J9" s="195" t="s">
        <v>138</v>
      </c>
    </row>
    <row r="10" spans="1:10" ht="13.5">
      <c r="A10" s="165" t="s">
        <v>109</v>
      </c>
      <c r="B10" s="196" t="str">
        <f>③レベルアップ!$A8</f>
        <v>-</v>
      </c>
      <c r="C10" s="197" t="str">
        <f>IF($B10="-","●","×")</f>
        <v>●</v>
      </c>
      <c r="D10" s="192" t="s">
        <v>16</v>
      </c>
      <c r="E10" s="192" t="str">
        <f>IF($D10="メインクラス",③レベルアップ!$E7,IF($D10="サポートクラス",③レベルアップ!$H7,IF($D10="その他","この欄を選択","←左欄を選択")))</f>
        <v>補モンク</v>
      </c>
      <c r="F10" s="170" t="s">
        <v>143</v>
      </c>
      <c r="G10" s="198"/>
      <c r="H10" s="199"/>
      <c r="I10" s="199"/>
      <c r="J10" s="200"/>
    </row>
    <row r="11" spans="1:10" ht="13.5">
      <c r="A11" s="189">
        <v>3</v>
      </c>
      <c r="B11" s="190" t="str">
        <f>③レベルアップ!$A9</f>
        <v>-</v>
      </c>
      <c r="C11" s="191" t="s">
        <v>129</v>
      </c>
      <c r="D11" s="192" t="s">
        <v>16</v>
      </c>
      <c r="E11" s="192" t="str">
        <f>IF($D11="メインクラス",③レベルアップ!$E9,IF($D11="サポートクラス",③レベルアップ!$H9,IF($D11="その他","この欄を選択","←左欄を選択")))</f>
        <v>補モンク</v>
      </c>
      <c r="F11" s="170" t="s">
        <v>138</v>
      </c>
      <c r="G11" s="193" t="s">
        <v>129</v>
      </c>
      <c r="H11" s="194" t="s">
        <v>16</v>
      </c>
      <c r="I11" s="194" t="str">
        <f>IF($H11="メインクラス",③レベルアップ!$E9,IF($H11="サポートクラス",③レベルアップ!$H9,IF($H11="その他","この欄を選択","←左欄を選択")))</f>
        <v>補モンク</v>
      </c>
      <c r="J11" s="195" t="s">
        <v>144</v>
      </c>
    </row>
    <row r="12" spans="1:10" ht="13.5">
      <c r="A12" s="165" t="s">
        <v>109</v>
      </c>
      <c r="B12" s="196" t="str">
        <f>③レベルアップ!$A10</f>
        <v>-</v>
      </c>
      <c r="C12" s="197" t="str">
        <f>IF($B12="-","●","×")</f>
        <v>●</v>
      </c>
      <c r="D12" s="192" t="s">
        <v>16</v>
      </c>
      <c r="E12" s="192" t="str">
        <f>IF($D12="メインクラス",③レベルアップ!$E9,IF($D12="サポートクラス",③レベルアップ!$H9,IF($D12="その他","この欄を選択","←左欄を選択")))</f>
        <v>補モンク</v>
      </c>
      <c r="F12" s="170" t="s">
        <v>145</v>
      </c>
      <c r="G12" s="198"/>
      <c r="H12" s="199"/>
      <c r="I12" s="199"/>
      <c r="J12" s="200"/>
    </row>
    <row r="13" spans="1:10" ht="13.5">
      <c r="A13" s="189">
        <v>4</v>
      </c>
      <c r="B13" s="190" t="str">
        <f>③レベルアップ!$A11</f>
        <v>-</v>
      </c>
      <c r="C13" s="191" t="s">
        <v>129</v>
      </c>
      <c r="D13" s="192" t="s">
        <v>12</v>
      </c>
      <c r="E13" s="192" t="str">
        <f>IF($D13="メインクラス",③レベルアップ!$E11,IF($D13="サポートクラス",③レベルアップ!$H11,IF($D13="その他","この欄を選択","←左欄を選択")))</f>
        <v>基ウォーリア</v>
      </c>
      <c r="F13" s="170" t="s">
        <v>146</v>
      </c>
      <c r="G13" s="193" t="s">
        <v>129</v>
      </c>
      <c r="H13" s="194" t="s">
        <v>12</v>
      </c>
      <c r="I13" s="194" t="str">
        <f>IF($H13="メインクラス",③レベルアップ!$E11,IF($H13="サポートクラス",③レベルアップ!$H11,IF($H13="その他","この欄を選択","←左欄を選択")))</f>
        <v>基ウォーリア</v>
      </c>
      <c r="J13" s="195" t="s">
        <v>147</v>
      </c>
    </row>
    <row r="14" spans="1:10" ht="13.5">
      <c r="A14" s="165" t="s">
        <v>109</v>
      </c>
      <c r="B14" s="196" t="str">
        <f>③レベルアップ!$A12</f>
        <v>-</v>
      </c>
      <c r="C14" s="197" t="str">
        <f>IF($B14="-","●","×")</f>
        <v>●</v>
      </c>
      <c r="D14" s="192" t="s">
        <v>16</v>
      </c>
      <c r="E14" s="192" t="str">
        <f>IF($D14="メインクラス",③レベルアップ!$E11,IF($D14="サポートクラス",③レベルアップ!$H11,IF($D14="その他","この欄を選択","←左欄を選択")))</f>
        <v>補モンク</v>
      </c>
      <c r="F14" s="170" t="s">
        <v>148</v>
      </c>
      <c r="G14" s="198"/>
      <c r="H14" s="199"/>
      <c r="I14" s="199"/>
      <c r="J14" s="200"/>
    </row>
    <row r="15" spans="1:10" ht="13.5">
      <c r="A15" s="189">
        <v>5</v>
      </c>
      <c r="B15" s="190" t="str">
        <f>③レベルアップ!$A13</f>
        <v>◎</v>
      </c>
      <c r="C15" s="191" t="s">
        <v>129</v>
      </c>
      <c r="D15" s="192" t="s">
        <v>12</v>
      </c>
      <c r="E15" s="192" t="str">
        <f>IF($D15="メインクラス",③レベルアップ!$E13,IF($D15="サポートクラス",③レベルアップ!$H13,IF($D15="その他","この欄を選択","←左欄を選択")))</f>
        <v>基ウォーリア</v>
      </c>
      <c r="F15" s="170" t="s">
        <v>149</v>
      </c>
      <c r="G15" s="193" t="s">
        <v>129</v>
      </c>
      <c r="H15" s="194" t="s">
        <v>12</v>
      </c>
      <c r="I15" s="194" t="str">
        <f>IF($H15="メインクラス",③レベルアップ!$E13,IF($H15="サポートクラス",③レベルアップ!$H13,IF($H15="その他","この欄を選択","←左欄を選択")))</f>
        <v>基ウォーリア</v>
      </c>
      <c r="J15" s="195" t="s">
        <v>150</v>
      </c>
    </row>
    <row r="16" spans="1:10" ht="13.5">
      <c r="A16" s="165" t="s">
        <v>109</v>
      </c>
      <c r="B16" s="196" t="str">
        <f>③レベルアップ!$A14</f>
        <v>-</v>
      </c>
      <c r="C16" s="197" t="str">
        <f>IF($B16="-","●","×")</f>
        <v>●</v>
      </c>
      <c r="D16" s="192" t="s">
        <v>151</v>
      </c>
      <c r="E16" s="192" t="s">
        <v>15</v>
      </c>
      <c r="F16" s="170" t="s">
        <v>152</v>
      </c>
      <c r="G16" s="198"/>
      <c r="H16" s="199"/>
      <c r="I16" s="199"/>
      <c r="J16" s="200"/>
    </row>
    <row r="17" spans="1:10" ht="13.5">
      <c r="A17" s="189">
        <v>6</v>
      </c>
      <c r="B17" s="190" t="str">
        <f>③レベルアップ!$A15</f>
        <v>-</v>
      </c>
      <c r="C17" s="191" t="s">
        <v>129</v>
      </c>
      <c r="D17" s="192" t="s">
        <v>83</v>
      </c>
      <c r="E17" s="192" t="str">
        <f>IF($D17="メインクラス",③レベルアップ!$E15,IF($D17="サポートクラス",③レベルアップ!$H15,IF($D17="その他","この欄を選択","←左欄を選択")))</f>
        <v>←左欄を選択</v>
      </c>
      <c r="F17" s="170"/>
      <c r="G17" s="193" t="s">
        <v>129</v>
      </c>
      <c r="H17" s="194" t="s">
        <v>83</v>
      </c>
      <c r="I17" s="194" t="str">
        <f>IF($H17="メインクラス",③レベルアップ!$E15,IF($H17="サポートクラス",③レベルアップ!$H15,IF($H17="その他","この欄を選択","←左欄を選択")))</f>
        <v>←左欄を選択</v>
      </c>
      <c r="J17" s="195"/>
    </row>
    <row r="18" spans="1:10" ht="13.5">
      <c r="A18" s="165" t="s">
        <v>109</v>
      </c>
      <c r="B18" s="196" t="str">
        <f>③レベルアップ!$A16</f>
        <v>-</v>
      </c>
      <c r="C18" s="197" t="str">
        <f>IF($B18="-","●","×")</f>
        <v>●</v>
      </c>
      <c r="D18" s="192" t="s">
        <v>83</v>
      </c>
      <c r="E18" s="192" t="str">
        <f>IF($D18="メインクラス",③レベルアップ!$E15,IF($D18="サポートクラス",③レベルアップ!$H15,IF($D18="その他","この欄を選択","←左欄を選択")))</f>
        <v>←左欄を選択</v>
      </c>
      <c r="F18" s="170"/>
      <c r="G18" s="198"/>
      <c r="H18" s="199"/>
      <c r="I18" s="199"/>
      <c r="J18" s="200"/>
    </row>
    <row r="19" spans="1:10" ht="13.5">
      <c r="A19" s="189">
        <v>7</v>
      </c>
      <c r="B19" s="190" t="str">
        <f>③レベルアップ!$A17</f>
        <v>-</v>
      </c>
      <c r="C19" s="191" t="s">
        <v>129</v>
      </c>
      <c r="D19" s="192" t="s">
        <v>83</v>
      </c>
      <c r="E19" s="192" t="str">
        <f>IF($D19="メインクラス",③レベルアップ!$E17,IF($D19="サポートクラス",③レベルアップ!$H17,IF($D19="その他","この欄を選択","←左欄を選択")))</f>
        <v>←左欄を選択</v>
      </c>
      <c r="F19" s="170"/>
      <c r="G19" s="193" t="s">
        <v>129</v>
      </c>
      <c r="H19" s="194" t="s">
        <v>83</v>
      </c>
      <c r="I19" s="194" t="str">
        <f>IF($H19="メインクラス",③レベルアップ!$E17,IF($H19="サポートクラス",③レベルアップ!$H17,IF($H19="その他","この欄を選択","←左欄を選択")))</f>
        <v>←左欄を選択</v>
      </c>
      <c r="J19" s="195"/>
    </row>
    <row r="20" spans="1:10" ht="13.5">
      <c r="A20" s="165" t="s">
        <v>109</v>
      </c>
      <c r="B20" s="196" t="str">
        <f>③レベルアップ!$A18</f>
        <v>-</v>
      </c>
      <c r="C20" s="197" t="str">
        <f>IF($B20="-","●","×")</f>
        <v>●</v>
      </c>
      <c r="D20" s="192" t="s">
        <v>83</v>
      </c>
      <c r="E20" s="192" t="str">
        <f>IF($D20="メインクラス",③レベルアップ!$E17,IF($D20="サポートクラス",③レベルアップ!$H17,IF($D20="その他","この欄を選択","←左欄を選択")))</f>
        <v>←左欄を選択</v>
      </c>
      <c r="F20" s="170"/>
      <c r="G20" s="198"/>
      <c r="H20" s="199"/>
      <c r="I20" s="199"/>
      <c r="J20" s="200"/>
    </row>
    <row r="21" spans="1:10" ht="13.5">
      <c r="A21" s="189">
        <v>8</v>
      </c>
      <c r="B21" s="190" t="str">
        <f>③レベルアップ!$A19</f>
        <v>-</v>
      </c>
      <c r="C21" s="191" t="s">
        <v>129</v>
      </c>
      <c r="D21" s="192" t="s">
        <v>83</v>
      </c>
      <c r="E21" s="192" t="str">
        <f>IF($D21="メインクラス",③レベルアップ!$E19,IF($D21="サポートクラス",③レベルアップ!$H19,IF($D21="その他","この欄を選択","←左欄を選択")))</f>
        <v>←左欄を選択</v>
      </c>
      <c r="F21" s="170"/>
      <c r="G21" s="193" t="s">
        <v>129</v>
      </c>
      <c r="H21" s="194" t="s">
        <v>83</v>
      </c>
      <c r="I21" s="194" t="str">
        <f>IF($H21="メインクラス",③レベルアップ!$E19,IF($H21="サポートクラス",③レベルアップ!$H19,IF($H21="その他","この欄を選択","←左欄を選択")))</f>
        <v>←左欄を選択</v>
      </c>
      <c r="J21" s="195"/>
    </row>
    <row r="22" spans="1:10" ht="13.5">
      <c r="A22" s="165" t="s">
        <v>109</v>
      </c>
      <c r="B22" s="196" t="str">
        <f>③レベルアップ!$A20</f>
        <v>-</v>
      </c>
      <c r="C22" s="197" t="str">
        <f>IF($B22="-","●","×")</f>
        <v>●</v>
      </c>
      <c r="D22" s="192" t="s">
        <v>83</v>
      </c>
      <c r="E22" s="192" t="str">
        <f>IF($D22="メインクラス",③レベルアップ!$E19,IF($D22="サポートクラス",③レベルアップ!$H19,IF($D22="その他","この欄を選択","←左欄を選択")))</f>
        <v>←左欄を選択</v>
      </c>
      <c r="F22" s="170"/>
      <c r="G22" s="198"/>
      <c r="H22" s="199"/>
      <c r="I22" s="199"/>
      <c r="J22" s="200"/>
    </row>
    <row r="23" spans="1:10" ht="13.5">
      <c r="A23" s="189">
        <v>9</v>
      </c>
      <c r="B23" s="190" t="str">
        <f>③レベルアップ!$A21</f>
        <v>-</v>
      </c>
      <c r="C23" s="191" t="s">
        <v>129</v>
      </c>
      <c r="D23" s="192" t="s">
        <v>83</v>
      </c>
      <c r="E23" s="192" t="str">
        <f>IF($D23="メインクラス",③レベルアップ!$E21,IF($D23="サポートクラス",③レベルアップ!$H21,IF($D23="その他","この欄を選択","←左欄を選択")))</f>
        <v>←左欄を選択</v>
      </c>
      <c r="F23" s="170"/>
      <c r="G23" s="193" t="s">
        <v>129</v>
      </c>
      <c r="H23" s="194" t="s">
        <v>83</v>
      </c>
      <c r="I23" s="194" t="str">
        <f>IF($H23="メインクラス",③レベルアップ!$E21,IF($H23="サポートクラス",③レベルアップ!$H21,IF($H23="その他","この欄を選択","←左欄を選択")))</f>
        <v>←左欄を選択</v>
      </c>
      <c r="J23" s="195"/>
    </row>
    <row r="24" spans="1:10" ht="13.5">
      <c r="A24" s="165" t="s">
        <v>109</v>
      </c>
      <c r="B24" s="196" t="str">
        <f>③レベルアップ!$A22</f>
        <v>-</v>
      </c>
      <c r="C24" s="197" t="str">
        <f>IF($B24="-","●","×")</f>
        <v>●</v>
      </c>
      <c r="D24" s="192" t="s">
        <v>83</v>
      </c>
      <c r="E24" s="192" t="str">
        <f>IF($D24="メインクラス",③レベルアップ!$E21,IF($D24="サポートクラス",③レベルアップ!$H21,IF($D24="その他","この欄を選択","←左欄を選択")))</f>
        <v>←左欄を選択</v>
      </c>
      <c r="F24" s="170"/>
      <c r="G24" s="198"/>
      <c r="H24" s="199"/>
      <c r="I24" s="199"/>
      <c r="J24" s="200"/>
    </row>
    <row r="25" spans="1:10" ht="13.5">
      <c r="A25" s="189">
        <v>10</v>
      </c>
      <c r="B25" s="190" t="str">
        <f>③レベルアップ!$A23</f>
        <v>-</v>
      </c>
      <c r="C25" s="191" t="s">
        <v>129</v>
      </c>
      <c r="D25" s="192" t="s">
        <v>83</v>
      </c>
      <c r="E25" s="192" t="str">
        <f>IF($D25="メインクラス",③レベルアップ!$E23,IF($D25="サポートクラス",③レベルアップ!$H23,IF($D25="その他","この欄を選択","←左欄を選択")))</f>
        <v>←左欄を選択</v>
      </c>
      <c r="F25" s="170"/>
      <c r="G25" s="193" t="s">
        <v>129</v>
      </c>
      <c r="H25" s="194" t="s">
        <v>83</v>
      </c>
      <c r="I25" s="194" t="str">
        <f>IF($H25="メインクラス",③レベルアップ!$E23,IF($H25="サポートクラス",③レベルアップ!$H23,IF($H25="その他","この欄を選択","←左欄を選択")))</f>
        <v>←左欄を選択</v>
      </c>
      <c r="J25" s="195"/>
    </row>
    <row r="26" spans="1:10" ht="13.5">
      <c r="A26" s="165" t="s">
        <v>109</v>
      </c>
      <c r="B26" s="196" t="str">
        <f>③レベルアップ!$A24</f>
        <v>-</v>
      </c>
      <c r="C26" s="197" t="str">
        <f>IF($B26="-","●","×")</f>
        <v>●</v>
      </c>
      <c r="D26" s="192" t="s">
        <v>83</v>
      </c>
      <c r="E26" s="192" t="str">
        <f>IF($D26="メインクラス",③レベルアップ!$E23,IF($D26="サポートクラス",③レベルアップ!$H23,IF($D26="その他","この欄を選択","←左欄を選択")))</f>
        <v>←左欄を選択</v>
      </c>
      <c r="F26" s="170"/>
      <c r="G26" s="198"/>
      <c r="H26" s="199"/>
      <c r="I26" s="199"/>
      <c r="J26" s="200"/>
    </row>
    <row r="27" spans="1:10" ht="13.5">
      <c r="A27" s="189">
        <v>11</v>
      </c>
      <c r="B27" s="190" t="str">
        <f>③レベルアップ!$A25</f>
        <v>-</v>
      </c>
      <c r="C27" s="191" t="s">
        <v>129</v>
      </c>
      <c r="D27" s="192" t="s">
        <v>83</v>
      </c>
      <c r="E27" s="192" t="str">
        <f>IF($D27="メインクラス",③レベルアップ!$E25,IF($D27="サポートクラス",③レベルアップ!$H25,IF($D27="その他","この欄を選択","←左欄を選択")))</f>
        <v>←左欄を選択</v>
      </c>
      <c r="F27" s="170"/>
      <c r="G27" s="193" t="s">
        <v>129</v>
      </c>
      <c r="H27" s="194" t="s">
        <v>83</v>
      </c>
      <c r="I27" s="194" t="str">
        <f>IF($H27="メインクラス",③レベルアップ!$E25,IF($H27="サポートクラス",③レベルアップ!$H25,IF($H27="その他","この欄を選択","←左欄を選択")))</f>
        <v>←左欄を選択</v>
      </c>
      <c r="J27" s="195"/>
    </row>
    <row r="28" spans="1:10" ht="13.5">
      <c r="A28" s="165" t="s">
        <v>109</v>
      </c>
      <c r="B28" s="196" t="str">
        <f>③レベルアップ!$A26</f>
        <v>-</v>
      </c>
      <c r="C28" s="197" t="str">
        <f>IF($B28="-","●","×")</f>
        <v>●</v>
      </c>
      <c r="D28" s="192" t="s">
        <v>83</v>
      </c>
      <c r="E28" s="192" t="str">
        <f>IF($D28="メインクラス",③レベルアップ!$E25,IF($D28="サポートクラス",③レベルアップ!$H25,IF($D28="その他","この欄を選択","←左欄を選択")))</f>
        <v>←左欄を選択</v>
      </c>
      <c r="F28" s="170"/>
      <c r="G28" s="198"/>
      <c r="H28" s="199"/>
      <c r="I28" s="199"/>
      <c r="J28" s="200"/>
    </row>
    <row r="29" spans="1:10" ht="13.5">
      <c r="A29" s="189">
        <v>12</v>
      </c>
      <c r="B29" s="190" t="str">
        <f>③レベルアップ!$A27</f>
        <v>-</v>
      </c>
      <c r="C29" s="191" t="s">
        <v>129</v>
      </c>
      <c r="D29" s="192" t="s">
        <v>83</v>
      </c>
      <c r="E29" s="192" t="str">
        <f>IF($D29="メインクラス",③レベルアップ!$E27,IF($D29="サポートクラス",③レベルアップ!$H27,IF($D29="その他","この欄を選択","←左欄を選択")))</f>
        <v>←左欄を選択</v>
      </c>
      <c r="F29" s="170"/>
      <c r="G29" s="193" t="s">
        <v>129</v>
      </c>
      <c r="H29" s="194" t="s">
        <v>83</v>
      </c>
      <c r="I29" s="194" t="str">
        <f>IF($H29="メインクラス",③レベルアップ!$E27,IF($H29="サポートクラス",③レベルアップ!$H27,IF($H29="その他","この欄を選択","←左欄を選択")))</f>
        <v>←左欄を選択</v>
      </c>
      <c r="J29" s="195"/>
    </row>
    <row r="30" spans="1:10" ht="13.5">
      <c r="A30" s="165" t="s">
        <v>109</v>
      </c>
      <c r="B30" s="196" t="str">
        <f>③レベルアップ!$A28</f>
        <v>-</v>
      </c>
      <c r="C30" s="197" t="str">
        <f>IF($B30="-","●","×")</f>
        <v>●</v>
      </c>
      <c r="D30" s="192" t="s">
        <v>83</v>
      </c>
      <c r="E30" s="192" t="str">
        <f>IF($D30="メインクラス",③レベルアップ!$E27,IF($D30="サポートクラス",③レベルアップ!$H27,IF($D30="その他","この欄を選択","←左欄を選択")))</f>
        <v>←左欄を選択</v>
      </c>
      <c r="F30" s="170"/>
      <c r="G30" s="198"/>
      <c r="H30" s="199"/>
      <c r="I30" s="199"/>
      <c r="J30" s="200"/>
    </row>
    <row r="31" spans="1:10" ht="13.5">
      <c r="A31" s="189">
        <v>13</v>
      </c>
      <c r="B31" s="190" t="str">
        <f>③レベルアップ!$A29</f>
        <v>-</v>
      </c>
      <c r="C31" s="191" t="s">
        <v>129</v>
      </c>
      <c r="D31" s="192" t="s">
        <v>83</v>
      </c>
      <c r="E31" s="192" t="str">
        <f>IF($D31="メインクラス",③レベルアップ!$E29,IF($D31="サポートクラス",③レベルアップ!$H29,IF($D31="その他","この欄を選択","←左欄を選択")))</f>
        <v>←左欄を選択</v>
      </c>
      <c r="F31" s="170"/>
      <c r="G31" s="193" t="s">
        <v>129</v>
      </c>
      <c r="H31" s="194" t="s">
        <v>83</v>
      </c>
      <c r="I31" s="194" t="str">
        <f>IF($H31="メインクラス",③レベルアップ!$E29,IF($H31="サポートクラス",③レベルアップ!$H29,IF($H31="その他","この欄を選択","←左欄を選択")))</f>
        <v>←左欄を選択</v>
      </c>
      <c r="J31" s="195"/>
    </row>
    <row r="32" spans="1:10" ht="13.5">
      <c r="A32" s="165" t="s">
        <v>109</v>
      </c>
      <c r="B32" s="196" t="str">
        <f>③レベルアップ!$A30</f>
        <v>-</v>
      </c>
      <c r="C32" s="197" t="str">
        <f>IF($B32="-","●","×")</f>
        <v>●</v>
      </c>
      <c r="D32" s="192" t="s">
        <v>83</v>
      </c>
      <c r="E32" s="192" t="str">
        <f>IF($D32="メインクラス",③レベルアップ!$E29,IF($D32="サポートクラス",③レベルアップ!$H29,IF($D32="その他","この欄を選択","←左欄を選択")))</f>
        <v>←左欄を選択</v>
      </c>
      <c r="F32" s="170"/>
      <c r="G32" s="198"/>
      <c r="H32" s="199"/>
      <c r="I32" s="199"/>
      <c r="J32" s="200"/>
    </row>
    <row r="33" spans="1:10" ht="13.5">
      <c r="A33" s="189">
        <v>14</v>
      </c>
      <c r="B33" s="190" t="str">
        <f>③レベルアップ!$A31</f>
        <v>-</v>
      </c>
      <c r="C33" s="191" t="s">
        <v>129</v>
      </c>
      <c r="D33" s="192" t="s">
        <v>83</v>
      </c>
      <c r="E33" s="192" t="str">
        <f>IF($D33="メインクラス",③レベルアップ!$E31,IF($D33="サポートクラス",③レベルアップ!$H31,IF($D33="その他","この欄を選択","←左欄を選択")))</f>
        <v>←左欄を選択</v>
      </c>
      <c r="F33" s="170"/>
      <c r="G33" s="193" t="s">
        <v>129</v>
      </c>
      <c r="H33" s="194" t="s">
        <v>83</v>
      </c>
      <c r="I33" s="194" t="str">
        <f>IF($H33="メインクラス",③レベルアップ!$E31,IF($H33="サポートクラス",③レベルアップ!$H31,IF($H33="その他","この欄を選択","←左欄を選択")))</f>
        <v>←左欄を選択</v>
      </c>
      <c r="J33" s="195"/>
    </row>
    <row r="34" spans="1:10" ht="13.5">
      <c r="A34" s="165" t="s">
        <v>109</v>
      </c>
      <c r="B34" s="196" t="str">
        <f>③レベルアップ!$A32</f>
        <v>-</v>
      </c>
      <c r="C34" s="197" t="str">
        <f>IF($B34="-","●","×")</f>
        <v>●</v>
      </c>
      <c r="D34" s="192" t="s">
        <v>83</v>
      </c>
      <c r="E34" s="192" t="str">
        <f>IF($D34="メインクラス",③レベルアップ!$E31,IF($D34="サポートクラス",③レベルアップ!$H31,IF($D34="その他","この欄を選択","←左欄を選択")))</f>
        <v>←左欄を選択</v>
      </c>
      <c r="F34" s="170"/>
      <c r="G34" s="198"/>
      <c r="H34" s="199"/>
      <c r="I34" s="199"/>
      <c r="J34" s="200"/>
    </row>
    <row r="35" spans="1:10" ht="13.5">
      <c r="A35" s="189">
        <v>15</v>
      </c>
      <c r="B35" s="190" t="str">
        <f>③レベルアップ!$A33</f>
        <v>-</v>
      </c>
      <c r="C35" s="191" t="s">
        <v>129</v>
      </c>
      <c r="D35" s="192" t="s">
        <v>83</v>
      </c>
      <c r="E35" s="192" t="str">
        <f>IF($D35="メインクラス",③レベルアップ!$E33,IF($D35="サポートクラス",③レベルアップ!$H33,IF($D35="その他","この欄を選択","←左欄を選択")))</f>
        <v>←左欄を選択</v>
      </c>
      <c r="F35" s="170"/>
      <c r="G35" s="193" t="s">
        <v>129</v>
      </c>
      <c r="H35" s="194" t="s">
        <v>83</v>
      </c>
      <c r="I35" s="194" t="str">
        <f>IF($H35="メインクラス",③レベルアップ!$E33,IF($H35="サポートクラス",③レベルアップ!$H33,IF($H35="その他","この欄を選択","←左欄を選択")))</f>
        <v>←左欄を選択</v>
      </c>
      <c r="J35" s="195"/>
    </row>
    <row r="36" spans="1:10" ht="13.5">
      <c r="A36" s="165" t="s">
        <v>109</v>
      </c>
      <c r="B36" s="196" t="str">
        <f>③レベルアップ!$A34</f>
        <v>-</v>
      </c>
      <c r="C36" s="197" t="str">
        <f>IF($B36="-","●","×")</f>
        <v>●</v>
      </c>
      <c r="D36" s="192" t="s">
        <v>83</v>
      </c>
      <c r="E36" s="192" t="str">
        <f>IF($D36="メインクラス",③レベルアップ!$E33,IF($D36="サポートクラス",③レベルアップ!$H33,IF($D36="その他","この欄を選択","←左欄を選択")))</f>
        <v>←左欄を選択</v>
      </c>
      <c r="F36" s="170"/>
      <c r="G36" s="198"/>
      <c r="H36" s="199"/>
      <c r="I36" s="199"/>
      <c r="J36" s="200"/>
    </row>
    <row r="37" spans="1:10" ht="13.5">
      <c r="A37" s="189">
        <v>16</v>
      </c>
      <c r="B37" s="190" t="str">
        <f>③レベルアップ!$A35</f>
        <v>-</v>
      </c>
      <c r="C37" s="191" t="s">
        <v>129</v>
      </c>
      <c r="D37" s="192" t="s">
        <v>83</v>
      </c>
      <c r="E37" s="192" t="str">
        <f>IF($D37="メインクラス",③レベルアップ!$E35,IF($D37="サポートクラス",③レベルアップ!$H35,IF($D37="その他","この欄を選択","←左欄を選択")))</f>
        <v>←左欄を選択</v>
      </c>
      <c r="F37" s="170"/>
      <c r="G37" s="193" t="s">
        <v>129</v>
      </c>
      <c r="H37" s="194" t="s">
        <v>83</v>
      </c>
      <c r="I37" s="194" t="str">
        <f>IF($H37="メインクラス",③レベルアップ!$E35,IF($H37="サポートクラス",③レベルアップ!$H35,IF($H37="その他","この欄を選択","←左欄を選択")))</f>
        <v>←左欄を選択</v>
      </c>
      <c r="J37" s="195"/>
    </row>
    <row r="38" spans="1:10" ht="13.5">
      <c r="A38" s="165" t="s">
        <v>109</v>
      </c>
      <c r="B38" s="196" t="str">
        <f>③レベルアップ!$A36</f>
        <v>-</v>
      </c>
      <c r="C38" s="197" t="str">
        <f>IF($B38="-","●","×")</f>
        <v>●</v>
      </c>
      <c r="D38" s="192" t="s">
        <v>83</v>
      </c>
      <c r="E38" s="192" t="str">
        <f>IF($D38="メインクラス",③レベルアップ!$E35,IF($D38="サポートクラス",③レベルアップ!$H35,IF($D38="その他","この欄を選択","←左欄を選択")))</f>
        <v>←左欄を選択</v>
      </c>
      <c r="F38" s="170"/>
      <c r="G38" s="198"/>
      <c r="H38" s="199"/>
      <c r="I38" s="199"/>
      <c r="J38" s="200"/>
    </row>
    <row r="39" spans="1:10" ht="13.5">
      <c r="A39" s="189">
        <v>17</v>
      </c>
      <c r="B39" s="190" t="str">
        <f>③レベルアップ!$A37</f>
        <v>-</v>
      </c>
      <c r="C39" s="191" t="s">
        <v>129</v>
      </c>
      <c r="D39" s="192" t="s">
        <v>83</v>
      </c>
      <c r="E39" s="192" t="str">
        <f>IF($D39="メインクラス",③レベルアップ!$E37,IF($D39="サポートクラス",③レベルアップ!$H37,IF($D39="その他","この欄を選択","←左欄を選択")))</f>
        <v>←左欄を選択</v>
      </c>
      <c r="F39" s="170"/>
      <c r="G39" s="193" t="s">
        <v>129</v>
      </c>
      <c r="H39" s="194" t="s">
        <v>83</v>
      </c>
      <c r="I39" s="194" t="str">
        <f>IF($H39="メインクラス",③レベルアップ!$E37,IF($H39="サポートクラス",③レベルアップ!$H37,IF($H39="その他","この欄を選択","←左欄を選択")))</f>
        <v>←左欄を選択</v>
      </c>
      <c r="J39" s="195"/>
    </row>
    <row r="40" spans="1:10" ht="13.5">
      <c r="A40" s="165" t="s">
        <v>109</v>
      </c>
      <c r="B40" s="196" t="str">
        <f>③レベルアップ!$A38</f>
        <v>-</v>
      </c>
      <c r="C40" s="197" t="str">
        <f>IF($B40="-","●","×")</f>
        <v>●</v>
      </c>
      <c r="D40" s="192" t="s">
        <v>83</v>
      </c>
      <c r="E40" s="192" t="str">
        <f>IF($D40="メインクラス",③レベルアップ!$E37,IF($D40="サポートクラス",③レベルアップ!$H37,IF($D40="その他","この欄を選択","←左欄を選択")))</f>
        <v>←左欄を選択</v>
      </c>
      <c r="F40" s="170"/>
      <c r="G40" s="198"/>
      <c r="H40" s="199"/>
      <c r="I40" s="199"/>
      <c r="J40" s="200"/>
    </row>
    <row r="41" spans="1:10" ht="13.5">
      <c r="A41" s="189">
        <v>18</v>
      </c>
      <c r="B41" s="190" t="str">
        <f>③レベルアップ!$A39</f>
        <v>-</v>
      </c>
      <c r="C41" s="191" t="s">
        <v>129</v>
      </c>
      <c r="D41" s="192" t="s">
        <v>83</v>
      </c>
      <c r="E41" s="192" t="str">
        <f>IF($D41="メインクラス",③レベルアップ!$E39,IF($D41="サポートクラス",③レベルアップ!$H39,IF($D41="その他","この欄を選択","←左欄を選択")))</f>
        <v>←左欄を選択</v>
      </c>
      <c r="F41" s="170"/>
      <c r="G41" s="193" t="s">
        <v>129</v>
      </c>
      <c r="H41" s="194" t="s">
        <v>83</v>
      </c>
      <c r="I41" s="194" t="str">
        <f>IF($H41="メインクラス",③レベルアップ!$E39,IF($H41="サポートクラス",③レベルアップ!$H39,IF($H41="その他","この欄を選択","←左欄を選択")))</f>
        <v>←左欄を選択</v>
      </c>
      <c r="J41" s="195"/>
    </row>
    <row r="42" spans="1:10" ht="13.5">
      <c r="A42" s="165" t="s">
        <v>109</v>
      </c>
      <c r="B42" s="196" t="str">
        <f>③レベルアップ!$A40</f>
        <v>-</v>
      </c>
      <c r="C42" s="197" t="str">
        <f>IF($B42="-","●","×")</f>
        <v>●</v>
      </c>
      <c r="D42" s="192" t="s">
        <v>83</v>
      </c>
      <c r="E42" s="192" t="str">
        <f>IF($D42="メインクラス",③レベルアップ!$E39,IF($D42="サポートクラス",③レベルアップ!$H39,IF($D42="その他","この欄を選択","←左欄を選択")))</f>
        <v>←左欄を選択</v>
      </c>
      <c r="F42" s="170"/>
      <c r="G42" s="198"/>
      <c r="H42" s="199"/>
      <c r="I42" s="199"/>
      <c r="J42" s="200"/>
    </row>
    <row r="43" spans="1:10" ht="13.5">
      <c r="A43" s="189">
        <v>19</v>
      </c>
      <c r="B43" s="190" t="str">
        <f>③レベルアップ!$A41</f>
        <v>-</v>
      </c>
      <c r="C43" s="191" t="s">
        <v>129</v>
      </c>
      <c r="D43" s="192" t="s">
        <v>83</v>
      </c>
      <c r="E43" s="192" t="str">
        <f>IF($D43="メインクラス",③レベルアップ!$E41,IF($D43="サポートクラス",③レベルアップ!$H41,IF($D43="その他","この欄を選択","←左欄を選択")))</f>
        <v>←左欄を選択</v>
      </c>
      <c r="F43" s="170"/>
      <c r="G43" s="193" t="s">
        <v>129</v>
      </c>
      <c r="H43" s="194" t="s">
        <v>83</v>
      </c>
      <c r="I43" s="194" t="str">
        <f>IF($H43="メインクラス",③レベルアップ!$E41,IF($H43="サポートクラス",③レベルアップ!$H41,IF($H43="その他","この欄を選択","←左欄を選択")))</f>
        <v>←左欄を選択</v>
      </c>
      <c r="J43" s="195"/>
    </row>
    <row r="44" spans="1:10" ht="13.5">
      <c r="A44" s="165" t="s">
        <v>109</v>
      </c>
      <c r="B44" s="196" t="str">
        <f>③レベルアップ!$A42</f>
        <v>-</v>
      </c>
      <c r="C44" s="197" t="str">
        <f>IF($B44="-","●","×")</f>
        <v>●</v>
      </c>
      <c r="D44" s="192" t="s">
        <v>83</v>
      </c>
      <c r="E44" s="192" t="str">
        <f>IF($D44="メインクラス",③レベルアップ!$E41,IF($D44="サポートクラス",③レベルアップ!$H41,IF($D44="その他","この欄を選択","←左欄を選択")))</f>
        <v>←左欄を選択</v>
      </c>
      <c r="F44" s="170"/>
      <c r="G44" s="198"/>
      <c r="H44" s="199"/>
      <c r="I44" s="199"/>
      <c r="J44" s="200"/>
    </row>
    <row r="45" spans="1:10" ht="13.5">
      <c r="A45" s="189">
        <v>20</v>
      </c>
      <c r="B45" s="190" t="str">
        <f>③レベルアップ!$A43</f>
        <v>-</v>
      </c>
      <c r="C45" s="191" t="s">
        <v>129</v>
      </c>
      <c r="D45" s="192" t="s">
        <v>83</v>
      </c>
      <c r="E45" s="192" t="str">
        <f>IF($D45="メインクラス",③レベルアップ!$E43,IF($D45="サポートクラス",③レベルアップ!$H43,IF($D45="その他","この欄を選択","←左欄を選択")))</f>
        <v>←左欄を選択</v>
      </c>
      <c r="F45" s="170"/>
      <c r="G45" s="193" t="s">
        <v>129</v>
      </c>
      <c r="H45" s="194" t="s">
        <v>83</v>
      </c>
      <c r="I45" s="194" t="str">
        <f>IF($H45="メインクラス",③レベルアップ!$E43,IF($H45="サポートクラス",③レベルアップ!$H43,IF($H45="その他","この欄を選択","←左欄を選択")))</f>
        <v>←左欄を選択</v>
      </c>
      <c r="J45" s="195"/>
    </row>
    <row r="46" spans="1:10" ht="13.5">
      <c r="A46" s="165" t="s">
        <v>109</v>
      </c>
      <c r="B46" s="196" t="str">
        <f>③レベルアップ!$A44</f>
        <v>-</v>
      </c>
      <c r="C46" s="197" t="str">
        <f>IF($B46="-","●","×")</f>
        <v>●</v>
      </c>
      <c r="D46" s="192" t="s">
        <v>83</v>
      </c>
      <c r="E46" s="192" t="str">
        <f>IF($D46="メインクラス",③レベルアップ!$E43,IF($D46="サポートクラス",③レベルアップ!$H43,IF($D46="その他","この欄を選択","←左欄を選択")))</f>
        <v>←左欄を選択</v>
      </c>
      <c r="F46" s="170"/>
      <c r="G46" s="198"/>
      <c r="H46" s="199"/>
      <c r="I46" s="199"/>
      <c r="J46" s="200"/>
    </row>
    <row r="47" spans="1:10" ht="13.5">
      <c r="A47" s="189">
        <v>21</v>
      </c>
      <c r="B47" s="190" t="str">
        <f>③レベルアップ!$A45</f>
        <v>-</v>
      </c>
      <c r="C47" s="191" t="s">
        <v>129</v>
      </c>
      <c r="D47" s="192" t="s">
        <v>83</v>
      </c>
      <c r="E47" s="192" t="str">
        <f>IF($D47="メインクラス",③レベルアップ!$E45,IF($D47="サポートクラス",③レベルアップ!$H45,IF($D47="その他","この欄を選択","←左欄を選択")))</f>
        <v>←左欄を選択</v>
      </c>
      <c r="F47" s="170"/>
      <c r="G47" s="193" t="s">
        <v>129</v>
      </c>
      <c r="H47" s="194" t="s">
        <v>83</v>
      </c>
      <c r="I47" s="194" t="str">
        <f>IF($H47="メインクラス",③レベルアップ!$E45,IF($H47="サポートクラス",③レベルアップ!$H45,IF($H47="その他","この欄を選択","←左欄を選択")))</f>
        <v>←左欄を選択</v>
      </c>
      <c r="J47" s="195"/>
    </row>
    <row r="48" spans="1:10" ht="13.5">
      <c r="A48" s="165" t="s">
        <v>109</v>
      </c>
      <c r="B48" s="196" t="str">
        <f>③レベルアップ!$A46</f>
        <v>-</v>
      </c>
      <c r="C48" s="197" t="str">
        <f>IF($B48="-","●","×")</f>
        <v>●</v>
      </c>
      <c r="D48" s="192" t="s">
        <v>83</v>
      </c>
      <c r="E48" s="192" t="str">
        <f>IF($D48="メインクラス",③レベルアップ!$E45,IF($D48="サポートクラス",③レベルアップ!$H45,IF($D48="その他","この欄を選択","←左欄を選択")))</f>
        <v>←左欄を選択</v>
      </c>
      <c r="F48" s="170"/>
      <c r="G48" s="198"/>
      <c r="H48" s="199"/>
      <c r="I48" s="199"/>
      <c r="J48" s="200"/>
    </row>
    <row r="49" spans="1:10" ht="13.5">
      <c r="A49" s="189">
        <v>22</v>
      </c>
      <c r="B49" s="190" t="str">
        <f>③レベルアップ!$A47</f>
        <v>-</v>
      </c>
      <c r="C49" s="191" t="s">
        <v>129</v>
      </c>
      <c r="D49" s="192" t="s">
        <v>83</v>
      </c>
      <c r="E49" s="192" t="str">
        <f>IF($D49="メインクラス",③レベルアップ!$E47,IF($D49="サポートクラス",③レベルアップ!$H47,IF($D49="その他","この欄を選択","←左欄を選択")))</f>
        <v>←左欄を選択</v>
      </c>
      <c r="F49" s="170"/>
      <c r="G49" s="193" t="s">
        <v>129</v>
      </c>
      <c r="H49" s="194" t="s">
        <v>83</v>
      </c>
      <c r="I49" s="194" t="str">
        <f>IF($H49="メインクラス",③レベルアップ!$E47,IF($H49="サポートクラス",③レベルアップ!$H47,IF($H49="その他","この欄を選択","←左欄を選択")))</f>
        <v>←左欄を選択</v>
      </c>
      <c r="J49" s="195"/>
    </row>
    <row r="50" spans="1:10" ht="13.5">
      <c r="A50" s="165" t="s">
        <v>109</v>
      </c>
      <c r="B50" s="196" t="str">
        <f>③レベルアップ!$A48</f>
        <v>-</v>
      </c>
      <c r="C50" s="197" t="str">
        <f>IF($B50="-","●","×")</f>
        <v>●</v>
      </c>
      <c r="D50" s="192" t="s">
        <v>83</v>
      </c>
      <c r="E50" s="192" t="str">
        <f>IF($D50="メインクラス",③レベルアップ!$E47,IF($D50="サポートクラス",③レベルアップ!$H47,IF($D50="その他","この欄を選択","←左欄を選択")))</f>
        <v>←左欄を選択</v>
      </c>
      <c r="F50" s="170"/>
      <c r="G50" s="198"/>
      <c r="H50" s="199"/>
      <c r="I50" s="199"/>
      <c r="J50" s="200"/>
    </row>
    <row r="51" spans="1:10" ht="13.5">
      <c r="A51" s="189">
        <v>23</v>
      </c>
      <c r="B51" s="190" t="str">
        <f>③レベルアップ!$A49</f>
        <v>-</v>
      </c>
      <c r="C51" s="191" t="s">
        <v>129</v>
      </c>
      <c r="D51" s="192" t="s">
        <v>83</v>
      </c>
      <c r="E51" s="192" t="str">
        <f>IF($D51="メインクラス",③レベルアップ!$E49,IF($D51="サポートクラス",③レベルアップ!$H49,IF($D51="その他","この欄を選択","←左欄を選択")))</f>
        <v>←左欄を選択</v>
      </c>
      <c r="F51" s="170"/>
      <c r="G51" s="193" t="s">
        <v>129</v>
      </c>
      <c r="H51" s="194" t="s">
        <v>83</v>
      </c>
      <c r="I51" s="194" t="str">
        <f>IF($H51="メインクラス",③レベルアップ!$E49,IF($H51="サポートクラス",③レベルアップ!$H49,IF($H51="その他","この欄を選択","←左欄を選択")))</f>
        <v>←左欄を選択</v>
      </c>
      <c r="J51" s="195"/>
    </row>
    <row r="52" spans="1:10" ht="13.5">
      <c r="A52" s="165" t="s">
        <v>109</v>
      </c>
      <c r="B52" s="196" t="str">
        <f>③レベルアップ!$A50</f>
        <v>-</v>
      </c>
      <c r="C52" s="197" t="str">
        <f>IF($B52="-","●","×")</f>
        <v>●</v>
      </c>
      <c r="D52" s="192" t="s">
        <v>83</v>
      </c>
      <c r="E52" s="192" t="str">
        <f>IF($D52="メインクラス",③レベルアップ!$E49,IF($D52="サポートクラス",③レベルアップ!$H49,IF($D52="その他","この欄を選択","←左欄を選択")))</f>
        <v>←左欄を選択</v>
      </c>
      <c r="F52" s="170"/>
      <c r="G52" s="198"/>
      <c r="H52" s="199"/>
      <c r="I52" s="199"/>
      <c r="J52" s="200"/>
    </row>
    <row r="53" spans="1:10" ht="13.5">
      <c r="A53" s="189">
        <v>24</v>
      </c>
      <c r="B53" s="190" t="str">
        <f>③レベルアップ!$A51</f>
        <v>-</v>
      </c>
      <c r="C53" s="191" t="s">
        <v>129</v>
      </c>
      <c r="D53" s="192" t="s">
        <v>83</v>
      </c>
      <c r="E53" s="192" t="str">
        <f>IF($D53="メインクラス",③レベルアップ!$E51,IF($D53="サポートクラス",③レベルアップ!$H51,IF($D53="その他","この欄を選択","←左欄を選択")))</f>
        <v>←左欄を選択</v>
      </c>
      <c r="F53" s="170"/>
      <c r="G53" s="193" t="s">
        <v>129</v>
      </c>
      <c r="H53" s="194" t="s">
        <v>83</v>
      </c>
      <c r="I53" s="194" t="str">
        <f>IF($H53="メインクラス",③レベルアップ!$E51,IF($H53="サポートクラス",③レベルアップ!$H51,IF($H53="その他","この欄を選択","←左欄を選択")))</f>
        <v>←左欄を選択</v>
      </c>
      <c r="J53" s="195"/>
    </row>
    <row r="54" spans="1:10" ht="13.5">
      <c r="A54" s="165" t="s">
        <v>109</v>
      </c>
      <c r="B54" s="196" t="str">
        <f>③レベルアップ!$A52</f>
        <v>-</v>
      </c>
      <c r="C54" s="197" t="str">
        <f>IF($B54="-","●","×")</f>
        <v>●</v>
      </c>
      <c r="D54" s="192" t="s">
        <v>83</v>
      </c>
      <c r="E54" s="192" t="str">
        <f>IF($D54="メインクラス",③レベルアップ!$E51,IF($D54="サポートクラス",③レベルアップ!$H51,IF($D54="その他","この欄を選択","←左欄を選択")))</f>
        <v>←左欄を選択</v>
      </c>
      <c r="F54" s="170"/>
      <c r="G54" s="198"/>
      <c r="H54" s="199"/>
      <c r="I54" s="199"/>
      <c r="J54" s="200"/>
    </row>
    <row r="55" spans="1:10" ht="13.5">
      <c r="A55" s="189">
        <v>25</v>
      </c>
      <c r="B55" s="190" t="str">
        <f>③レベルアップ!$A53</f>
        <v>-</v>
      </c>
      <c r="C55" s="191" t="s">
        <v>129</v>
      </c>
      <c r="D55" s="192" t="s">
        <v>83</v>
      </c>
      <c r="E55" s="192" t="str">
        <f>IF($D55="メインクラス",③レベルアップ!$E53,IF($D55="サポートクラス",③レベルアップ!$H53,IF($D55="その他","この欄を選択","←左欄を選択")))</f>
        <v>←左欄を選択</v>
      </c>
      <c r="F55" s="170"/>
      <c r="G55" s="193" t="s">
        <v>129</v>
      </c>
      <c r="H55" s="194" t="s">
        <v>83</v>
      </c>
      <c r="I55" s="194" t="str">
        <f>IF($H55="メインクラス",③レベルアップ!$E53,IF($H55="サポートクラス",③レベルアップ!$H53,IF($H55="その他","この欄を選択","←左欄を選択")))</f>
        <v>←左欄を選択</v>
      </c>
      <c r="J55" s="195"/>
    </row>
    <row r="56" spans="1:10" ht="13.5">
      <c r="A56" s="165" t="s">
        <v>109</v>
      </c>
      <c r="B56" s="196" t="str">
        <f>③レベルアップ!$A54</f>
        <v>-</v>
      </c>
      <c r="C56" s="197" t="str">
        <f>IF($B56="-","●","×")</f>
        <v>●</v>
      </c>
      <c r="D56" s="192" t="s">
        <v>83</v>
      </c>
      <c r="E56" s="192" t="str">
        <f>IF($D56="メインクラス",③レベルアップ!$E53,IF($D56="サポートクラス",③レベルアップ!$H53,IF($D56="その他","この欄を選択","←左欄を選択")))</f>
        <v>←左欄を選択</v>
      </c>
      <c r="F56" s="170"/>
      <c r="G56" s="198"/>
      <c r="H56" s="199"/>
      <c r="I56" s="199"/>
      <c r="J56" s="200"/>
    </row>
    <row r="57" spans="1:10" ht="13.5">
      <c r="A57" s="189">
        <v>26</v>
      </c>
      <c r="B57" s="190" t="str">
        <f>③レベルアップ!$A55</f>
        <v>-</v>
      </c>
      <c r="C57" s="191" t="s">
        <v>129</v>
      </c>
      <c r="D57" s="192" t="s">
        <v>83</v>
      </c>
      <c r="E57" s="192" t="str">
        <f>IF($D57="メインクラス",③レベルアップ!$E55,IF($D57="サポートクラス",③レベルアップ!$H55,IF($D57="その他","この欄を選択","←左欄を選択")))</f>
        <v>←左欄を選択</v>
      </c>
      <c r="F57" s="170"/>
      <c r="G57" s="193" t="s">
        <v>129</v>
      </c>
      <c r="H57" s="194" t="s">
        <v>83</v>
      </c>
      <c r="I57" s="194" t="str">
        <f>IF($H57="メインクラス",③レベルアップ!$E55,IF($H57="サポートクラス",③レベルアップ!$H55,IF($H57="その他","この欄を選択","←左欄を選択")))</f>
        <v>←左欄を選択</v>
      </c>
      <c r="J57" s="195"/>
    </row>
    <row r="58" spans="1:10" ht="13.5">
      <c r="A58" s="165" t="s">
        <v>109</v>
      </c>
      <c r="B58" s="196" t="str">
        <f>③レベルアップ!$A56</f>
        <v>-</v>
      </c>
      <c r="C58" s="197" t="str">
        <f>IF($B58="-","●","×")</f>
        <v>●</v>
      </c>
      <c r="D58" s="192" t="s">
        <v>83</v>
      </c>
      <c r="E58" s="192" t="str">
        <f>IF($D58="メインクラス",③レベルアップ!$E55,IF($D58="サポートクラス",③レベルアップ!$H55,IF($D58="その他","この欄を選択","←左欄を選択")))</f>
        <v>←左欄を選択</v>
      </c>
      <c r="F58" s="170"/>
      <c r="G58" s="198"/>
      <c r="H58" s="199"/>
      <c r="I58" s="199"/>
      <c r="J58" s="200"/>
    </row>
    <row r="59" spans="1:10" ht="13.5">
      <c r="A59" s="189">
        <v>27</v>
      </c>
      <c r="B59" s="190" t="str">
        <f>③レベルアップ!$A57</f>
        <v>-</v>
      </c>
      <c r="C59" s="191" t="s">
        <v>129</v>
      </c>
      <c r="D59" s="192" t="s">
        <v>83</v>
      </c>
      <c r="E59" s="192" t="str">
        <f>IF($D59="メインクラス",③レベルアップ!$E57,IF($D59="サポートクラス",③レベルアップ!$H57,IF($D59="その他","この欄を選択","←左欄を選択")))</f>
        <v>←左欄を選択</v>
      </c>
      <c r="F59" s="170"/>
      <c r="G59" s="193" t="s">
        <v>129</v>
      </c>
      <c r="H59" s="194" t="s">
        <v>83</v>
      </c>
      <c r="I59" s="194" t="str">
        <f>IF($H59="メインクラス",③レベルアップ!$E57,IF($H59="サポートクラス",③レベルアップ!$H57,IF($H59="その他","この欄を選択","←左欄を選択")))</f>
        <v>←左欄を選択</v>
      </c>
      <c r="J59" s="195"/>
    </row>
    <row r="60" spans="1:10" ht="13.5">
      <c r="A60" s="165" t="s">
        <v>109</v>
      </c>
      <c r="B60" s="196" t="str">
        <f>③レベルアップ!$A58</f>
        <v>-</v>
      </c>
      <c r="C60" s="197" t="str">
        <f>IF($B60="-","●","×")</f>
        <v>●</v>
      </c>
      <c r="D60" s="192" t="s">
        <v>83</v>
      </c>
      <c r="E60" s="192" t="str">
        <f>IF($D60="メインクラス",③レベルアップ!$E57,IF($D60="サポートクラス",③レベルアップ!$H57,IF($D60="その他","この欄を選択","←左欄を選択")))</f>
        <v>←左欄を選択</v>
      </c>
      <c r="F60" s="170"/>
      <c r="G60" s="198"/>
      <c r="H60" s="199"/>
      <c r="I60" s="199"/>
      <c r="J60" s="200"/>
    </row>
    <row r="61" spans="1:10" ht="13.5">
      <c r="A61" s="189">
        <v>28</v>
      </c>
      <c r="B61" s="190" t="str">
        <f>③レベルアップ!$A59</f>
        <v>-</v>
      </c>
      <c r="C61" s="191" t="s">
        <v>129</v>
      </c>
      <c r="D61" s="192" t="s">
        <v>83</v>
      </c>
      <c r="E61" s="192" t="str">
        <f>IF($D61="メインクラス",③レベルアップ!$E59,IF($D61="サポートクラス",③レベルアップ!$H59,IF($D61="その他","この欄を選択","←左欄を選択")))</f>
        <v>←左欄を選択</v>
      </c>
      <c r="F61" s="170"/>
      <c r="G61" s="193" t="s">
        <v>129</v>
      </c>
      <c r="H61" s="194" t="s">
        <v>83</v>
      </c>
      <c r="I61" s="194" t="str">
        <f>IF($H61="メインクラス",③レベルアップ!$E59,IF($H61="サポートクラス",③レベルアップ!$H59,IF($H61="その他","この欄を選択","←左欄を選択")))</f>
        <v>←左欄を選択</v>
      </c>
      <c r="J61" s="195"/>
    </row>
    <row r="62" spans="1:10" ht="13.5">
      <c r="A62" s="165" t="s">
        <v>109</v>
      </c>
      <c r="B62" s="196" t="str">
        <f>③レベルアップ!$A60</f>
        <v>-</v>
      </c>
      <c r="C62" s="197" t="str">
        <f>IF($B62="-","●","×")</f>
        <v>●</v>
      </c>
      <c r="D62" s="192" t="s">
        <v>83</v>
      </c>
      <c r="E62" s="192" t="str">
        <f>IF($D62="メインクラス",③レベルアップ!$E59,IF($D62="サポートクラス",③レベルアップ!$H59,IF($D62="その他","この欄を選択","←左欄を選択")))</f>
        <v>←左欄を選択</v>
      </c>
      <c r="F62" s="170"/>
      <c r="G62" s="198"/>
      <c r="H62" s="199"/>
      <c r="I62" s="199"/>
      <c r="J62" s="200"/>
    </row>
    <row r="63" spans="1:10" ht="13.5">
      <c r="A63" s="189">
        <v>29</v>
      </c>
      <c r="B63" s="190" t="str">
        <f>③レベルアップ!$A61</f>
        <v>-</v>
      </c>
      <c r="C63" s="191" t="s">
        <v>129</v>
      </c>
      <c r="D63" s="192" t="s">
        <v>83</v>
      </c>
      <c r="E63" s="192" t="str">
        <f>IF($D63="メインクラス",③レベルアップ!$E61,IF($D63="サポートクラス",③レベルアップ!$H61,IF($D63="その他","この欄を選択","←左欄を選択")))</f>
        <v>←左欄を選択</v>
      </c>
      <c r="F63" s="170"/>
      <c r="G63" s="193" t="s">
        <v>129</v>
      </c>
      <c r="H63" s="194" t="s">
        <v>83</v>
      </c>
      <c r="I63" s="194" t="str">
        <f>IF($H63="メインクラス",③レベルアップ!$E61,IF($H63="サポートクラス",③レベルアップ!$H61,IF($H63="その他","この欄を選択","←左欄を選択")))</f>
        <v>←左欄を選択</v>
      </c>
      <c r="J63" s="195"/>
    </row>
    <row r="64" spans="1:10" ht="13.5">
      <c r="A64" s="165" t="s">
        <v>109</v>
      </c>
      <c r="B64" s="196" t="str">
        <f>③レベルアップ!$A62</f>
        <v>-</v>
      </c>
      <c r="C64" s="197" t="str">
        <f>IF($B64="-","●","×")</f>
        <v>●</v>
      </c>
      <c r="D64" s="192" t="s">
        <v>83</v>
      </c>
      <c r="E64" s="192" t="str">
        <f>IF($D64="メインクラス",③レベルアップ!$E61,IF($D64="サポートクラス",③レベルアップ!$H61,IF($D64="その他","この欄を選択","←左欄を選択")))</f>
        <v>←左欄を選択</v>
      </c>
      <c r="F64" s="170"/>
      <c r="G64" s="198"/>
      <c r="H64" s="199"/>
      <c r="I64" s="199"/>
      <c r="J64" s="200"/>
    </row>
    <row r="65" spans="1:10" ht="13.5">
      <c r="A65" s="165">
        <v>30</v>
      </c>
      <c r="B65" s="166" t="str">
        <f>③レベルアップ!$A63</f>
        <v>-</v>
      </c>
      <c r="C65" s="197" t="s">
        <v>129</v>
      </c>
      <c r="D65" s="194" t="s">
        <v>83</v>
      </c>
      <c r="E65" s="194" t="str">
        <f>IF($D65="メインクラス",③レベルアップ!$E63,IF($D65="サポートクラス",③レベルアップ!$H63,IF($D65="その他","この欄を選択","←左欄を選択")))</f>
        <v>←左欄を選択</v>
      </c>
      <c r="F65" s="201"/>
      <c r="G65" s="193" t="s">
        <v>129</v>
      </c>
      <c r="H65" s="194" t="s">
        <v>83</v>
      </c>
      <c r="I65" s="194" t="str">
        <f>IF($H65="メインクラス",③レベルアップ!$E63,IF($H65="サポートクラス",③レベルアップ!$H63,IF($H65="その他","この欄を選択","←左欄を選択")))</f>
        <v>←左欄を選択</v>
      </c>
      <c r="J65" s="195"/>
    </row>
  </sheetData>
  <mergeCells count="3">
    <mergeCell ref="A1:J1"/>
    <mergeCell ref="A4:A8"/>
    <mergeCell ref="B4:B8"/>
  </mergeCells>
  <dataValidations count="11">
    <dataValidation type="list" operator="equal" allowBlank="1" sqref="F4 F7:F8">
      <formula1>INDIRECT($E4)</formula1>
    </dataValidation>
    <dataValidation type="list" operator="equal" allowBlank="1" sqref="J4:J7 J9 J11 J13 J15 J17 J19 J21 J23 J25 J27 J29 J31 J33 J35 J37 J39 J41 J43 J45 J47 J49 J51 J53 J55 J57 J59 J61 J63 J65">
      <formula1>INDIRECT($I4)</formula1>
    </dataValidation>
    <dataValidation type="list" operator="equal" allowBlank="1" sqref="E7:E8">
      <formula1>AR_スキル</formula1>
    </dataValidation>
    <dataValidation type="list" operator="equal" allowBlank="1" showErrorMessage="1" sqref="I7">
      <formula1>AR_種族</formula1>
    </dataValidation>
    <dataValidation type="list" operator="equal" allowBlank="1" showErrorMessage="1" sqref="D9:D65 H9 H11 H13 H15 H17 H19 H21 H23 H25 H27 H29 H31 H33 H35 H37 H39 H41 H43 H45 H47 H49 H51 H53 H55 H57 H59 H61 H63 H65">
      <formula1>AR_メイン_サポート</formula1>
    </dataValidation>
    <dataValidation type="list" operator="equal" allowBlank="1" sqref="E9:E65 I9 I11 I13 I15 I17 I19 I21 I23 I25 I27 I29 I31 I33 I35 I37 I39 I41 I43 I45 I47 I49 I51 I53 I55 I57 I59 I61 I63 I65">
      <formula1>成長時選択可能スキル</formula1>
    </dataValidation>
    <dataValidation type="list" operator="equal" allowBlank="1" sqref="F9:F65">
      <formula1>INDIRECT($E9)</formula1>
    </dataValidation>
    <dataValidation type="list" operator="equal" allowBlank="1" sqref="F6">
      <formula1>INDIRECT($E6)</formula1>
    </dataValidation>
    <dataValidation type="list" operator="equal" allowBlank="1" sqref="F5">
      <formula1>INDIRECT($E5)</formula1>
    </dataValidation>
    <dataValidation operator="equal" allowBlank="1" showErrorMessage="1" sqref="I8">
      <formula1>AR_種族</formula1>
    </dataValidation>
    <dataValidation operator="equal" allowBlank="1" sqref="J8">
      <formula1>INDIRECT($I8)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70"/>
  <sheetViews>
    <sheetView tabSelected="1" workbookViewId="0" topLeftCell="A1">
      <selection activeCell="M11" sqref="M11"/>
    </sheetView>
  </sheetViews>
  <sheetFormatPr defaultColWidth="6.00390625" defaultRowHeight="13.5"/>
  <cols>
    <col min="1" max="1" width="3.125" style="11" customWidth="1"/>
    <col min="2" max="2" width="6.50390625" style="11" customWidth="1"/>
    <col min="3" max="3" width="5.25390625" style="11" customWidth="1"/>
    <col min="4" max="4" width="5.75390625" style="11" customWidth="1"/>
    <col min="5" max="5" width="5.125" style="11" customWidth="1"/>
    <col min="6" max="6" width="5.875" style="11" customWidth="1"/>
    <col min="7" max="7" width="6.125" style="11" customWidth="1"/>
    <col min="8" max="8" width="5.50390625" style="11" customWidth="1"/>
    <col min="9" max="9" width="7.75390625" style="11" customWidth="1"/>
    <col min="10" max="10" width="7.25390625" style="11" customWidth="1"/>
    <col min="11" max="11" width="4.75390625" style="11" customWidth="1"/>
    <col min="12" max="12" width="4.375" style="11" customWidth="1"/>
    <col min="13" max="13" width="4.625" style="11" customWidth="1"/>
    <col min="14" max="15" width="2.375" style="11" customWidth="1"/>
    <col min="16" max="16" width="5.375" style="11" customWidth="1"/>
    <col min="17" max="18" width="5.00390625" style="11" customWidth="1"/>
    <col min="19" max="19" width="7.625" style="11" customWidth="1"/>
    <col min="20" max="20" width="5.125" style="11" customWidth="1"/>
    <col min="21" max="21" width="7.50390625" style="11" customWidth="1"/>
    <col min="22" max="22" width="7.75390625" style="11" customWidth="1"/>
    <col min="23" max="23" width="7.25390625" style="11" customWidth="1"/>
    <col min="24" max="24" width="5.875" style="11" customWidth="1"/>
    <col min="25" max="25" width="6.375" style="11" customWidth="1"/>
    <col min="26" max="26" width="2.875" style="11" customWidth="1"/>
    <col min="27" max="28" width="3.625" style="11" customWidth="1"/>
    <col min="29" max="30" width="3.50390625" style="11" customWidth="1"/>
    <col min="31" max="31" width="3.875" style="11" customWidth="1"/>
    <col min="32" max="32" width="15.375" style="11" customWidth="1"/>
    <col min="33" max="33" width="9.625" style="11" customWidth="1"/>
    <col min="34" max="34" width="2.875" style="11" customWidth="1"/>
    <col min="35" max="35" width="1.12109375" style="202" customWidth="1"/>
    <col min="36" max="36" width="12.50390625" style="202" customWidth="1"/>
    <col min="37" max="37" width="14.125" style="158" customWidth="1"/>
    <col min="38" max="38" width="2.375" style="202" customWidth="1"/>
    <col min="39" max="39" width="4.125" style="158" customWidth="1"/>
    <col min="40" max="40" width="1.625" style="202" customWidth="1"/>
    <col min="41" max="41" width="2.375" style="158" customWidth="1"/>
    <col min="42" max="42" width="3.875" style="202" customWidth="1"/>
    <col min="43" max="43" width="1.25" style="202" customWidth="1"/>
    <col min="44" max="44" width="2.25390625" style="158" customWidth="1"/>
    <col min="45" max="45" width="4.375" style="202" customWidth="1"/>
    <col min="46" max="46" width="1.75390625" style="202" customWidth="1"/>
    <col min="47" max="47" width="3.50390625" style="158" customWidth="1"/>
    <col min="48" max="48" width="4.00390625" style="202" customWidth="1"/>
    <col min="49" max="49" width="1.625" style="202" customWidth="1"/>
    <col min="50" max="50" width="7.125" style="11" customWidth="1"/>
    <col min="51" max="51" width="3.00390625" style="11" customWidth="1"/>
    <col min="52" max="52" width="3.625" style="11" customWidth="1"/>
    <col min="53" max="53" width="1.875" style="11" customWidth="1"/>
    <col min="54" max="54" width="3.625" style="11" customWidth="1"/>
    <col min="55" max="55" width="4.50390625" style="11" customWidth="1"/>
    <col min="56" max="56" width="1.37890625" style="11" customWidth="1"/>
    <col min="57" max="57" width="14.50390625" style="11" customWidth="1"/>
    <col min="58" max="58" width="7.50390625" style="11" customWidth="1"/>
    <col min="59" max="16384" width="5.50390625" style="11" customWidth="1"/>
  </cols>
  <sheetData>
    <row r="1" spans="1:59" s="19" customFormat="1" ht="11.25">
      <c r="A1" s="203" t="s">
        <v>153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 t="s">
        <v>154</v>
      </c>
      <c r="N1" s="204"/>
      <c r="O1" s="204"/>
      <c r="P1" s="204"/>
      <c r="Q1" s="204"/>
      <c r="R1" s="204"/>
      <c r="S1" s="204"/>
      <c r="T1" s="205" t="s">
        <v>155</v>
      </c>
      <c r="U1" s="206" t="s">
        <v>156</v>
      </c>
      <c r="V1" s="207" t="s">
        <v>157</v>
      </c>
      <c r="W1" s="208" t="s">
        <v>158</v>
      </c>
      <c r="X1" s="112" t="s">
        <v>159</v>
      </c>
      <c r="Y1" s="209" t="s">
        <v>160</v>
      </c>
      <c r="Z1" s="210" t="s">
        <v>161</v>
      </c>
      <c r="AA1" s="210"/>
      <c r="AB1" s="210"/>
      <c r="AC1" s="210"/>
      <c r="AD1" s="210"/>
      <c r="AE1" s="211"/>
      <c r="AF1" s="212" t="s">
        <v>162</v>
      </c>
      <c r="AG1" s="212"/>
      <c r="AH1" s="212"/>
      <c r="AI1" s="213"/>
      <c r="AJ1" s="214" t="s">
        <v>163</v>
      </c>
      <c r="AK1" s="215" t="s">
        <v>164</v>
      </c>
      <c r="AL1" s="216" t="s">
        <v>165</v>
      </c>
      <c r="AM1" s="217" t="s">
        <v>166</v>
      </c>
      <c r="AN1" s="111"/>
      <c r="AO1" s="111" t="s">
        <v>167</v>
      </c>
      <c r="AP1" s="111"/>
      <c r="AQ1" s="111"/>
      <c r="AR1" s="111" t="s">
        <v>168</v>
      </c>
      <c r="AS1" s="111"/>
      <c r="AT1" s="111"/>
      <c r="AU1" s="218" t="s">
        <v>169</v>
      </c>
      <c r="AV1" s="218"/>
      <c r="AW1" s="213"/>
      <c r="AX1" s="110"/>
      <c r="AY1" s="111" t="s">
        <v>28</v>
      </c>
      <c r="AZ1" s="111"/>
      <c r="BA1" s="111"/>
      <c r="BB1" s="216" t="s">
        <v>107</v>
      </c>
      <c r="BC1" s="216"/>
      <c r="BD1" s="219"/>
      <c r="BE1" s="220" t="s">
        <v>170</v>
      </c>
      <c r="BF1" s="220"/>
      <c r="BG1" s="221"/>
    </row>
    <row r="2" spans="1:59" ht="13.5">
      <c r="A2" s="222" t="s">
        <v>171</v>
      </c>
      <c r="B2" s="118" t="s">
        <v>172</v>
      </c>
      <c r="C2" s="118"/>
      <c r="D2" s="223" t="s">
        <v>173</v>
      </c>
      <c r="E2" s="223"/>
      <c r="F2" s="223"/>
      <c r="G2" s="223"/>
      <c r="H2" s="224" t="s">
        <v>14</v>
      </c>
      <c r="I2" s="136" t="str">
        <f>①コンストラクション!M4</f>
        <v>ドゥアン</v>
      </c>
      <c r="J2" s="136"/>
      <c r="K2" s="136"/>
      <c r="L2" s="136"/>
      <c r="M2" s="118" t="s">
        <v>65</v>
      </c>
      <c r="N2" s="225" t="str">
        <f>①コンストラクション!C36</f>
        <v>放浪者</v>
      </c>
      <c r="O2" s="225"/>
      <c r="P2" s="225"/>
      <c r="Q2" s="226" t="s">
        <v>68</v>
      </c>
      <c r="R2" s="226"/>
      <c r="S2" s="31" t="str">
        <f>①コンストラクション!C37</f>
        <v>天涯孤独</v>
      </c>
      <c r="T2" s="227" t="s">
        <v>174</v>
      </c>
      <c r="U2" s="228" t="str">
        <f>BB2&amp;"("&amp;BC2&amp;"D)"</f>
        <v>9(2D)</v>
      </c>
      <c r="V2" s="229" t="str">
        <f>BB3&amp;"("&amp;BC3&amp;"D)"</f>
        <v>9(2D)</v>
      </c>
      <c r="W2" s="153" t="str">
        <f>IF($W$1="","",VLOOKUP($W$1,$AJ$14:$AK$27,2,0))</f>
        <v>+1(+1D)</v>
      </c>
      <c r="X2" s="129"/>
      <c r="Y2" s="129"/>
      <c r="Z2" s="230"/>
      <c r="AA2" s="230"/>
      <c r="AB2" s="230"/>
      <c r="AC2" s="230"/>
      <c r="AD2" s="230"/>
      <c r="AF2" s="81" t="s">
        <v>175</v>
      </c>
      <c r="AG2" s="129"/>
      <c r="AH2" s="129"/>
      <c r="AI2" s="213"/>
      <c r="AJ2" s="81" t="s">
        <v>176</v>
      </c>
      <c r="AK2" s="231" t="s">
        <v>177</v>
      </c>
      <c r="AL2" s="143">
        <f>IF(COUNTIF(AR_SHEET_スキル,"バトルブレイン")=1,$H$11,$H$9)+$J$24</f>
        <v>7</v>
      </c>
      <c r="AM2" s="232">
        <v>2</v>
      </c>
      <c r="AN2" s="124" t="s">
        <v>50</v>
      </c>
      <c r="AO2" s="233">
        <f>COUNTIF(AR_SHEET_スキル,"コンバットマスタリー")*2+COUNTIF(AR_SHEET_スキル,"ハンターショット")*3+COUNTIF(AR_SHEET_スキル,"ファイティングロウ")*4+IF(ISERROR(VLOOKUP("ジャッジアタック",AR_スキルSL,7,0))=TRUE,"0",VLOOKUP("ジャッジアタック",AR_スキルSL,7,0)+2)+IF(ISERROR(VLOOKUP("ウェポンルーラー",AR_スキルSL,7,0))=TRUE,"0",VLOOKUP("ウェポンルーラー",AR_スキルSL,7,0)+1)+IF(ISERROR(VLOOKUP("フィールドバトラー",AR_スキルSL,7,0))=TRUE,"-3",VLOOKUP("フィールドバトラー",AR_スキルSL,7,0))+3+IF($G$17="盾",IF(ISERROR(VLOOKUP("シールドストライク",AR_スキルSL,7,0))=TRUE,"0",VLOOKUP("シールドストライク",AR_スキルSL,7,0)),0)</f>
        <v>2</v>
      </c>
      <c r="AP2" s="232">
        <f>+COUNTIF(AR_SHEET_スキル,"アキュレイト")+COUNTIF(AR_SHEET_ギルドサポート,"修練：器用")</f>
        <v>0</v>
      </c>
      <c r="AQ2" s="124" t="s">
        <v>50</v>
      </c>
      <c r="AR2" s="233">
        <f>COUNTIF(AR_SHEET_手持,"器用のナイフ")*2+COUNTIF(AR_SHEET_防具,"バトルバックラー")*2</f>
        <v>0</v>
      </c>
      <c r="AS2" s="232">
        <f>COUNTIF(AR_SHEET_防具,"アサシンガーブ")+COUNTIF(AR_SHEET_手持,"覚醒の爪")</f>
        <v>0</v>
      </c>
      <c r="AT2" s="234" t="s">
        <v>51</v>
      </c>
      <c r="AU2" s="233">
        <f>SUM(AL2,AO2,AR2)</f>
        <v>9</v>
      </c>
      <c r="AV2" s="235">
        <f>SUM(AM2,AP2,AS2)</f>
        <v>2</v>
      </c>
      <c r="AW2" s="236" t="s">
        <v>50</v>
      </c>
      <c r="AX2" s="81" t="s">
        <v>178</v>
      </c>
      <c r="AY2" s="172">
        <v>0</v>
      </c>
      <c r="AZ2" s="237">
        <v>0</v>
      </c>
      <c r="BA2" s="57" t="s">
        <v>51</v>
      </c>
      <c r="BB2" s="172">
        <f>SUM(AU2,AY2)</f>
        <v>9</v>
      </c>
      <c r="BC2" s="238">
        <f>SUM(AV2,AZ2)</f>
        <v>2</v>
      </c>
      <c r="BD2" s="239"/>
      <c r="BE2" s="240"/>
      <c r="BF2" s="241"/>
      <c r="BG2" s="221"/>
    </row>
    <row r="3" spans="1:59" ht="13.5">
      <c r="A3" s="222"/>
      <c r="B3" s="118" t="s">
        <v>179</v>
      </c>
      <c r="C3" s="118"/>
      <c r="D3" s="223" t="s">
        <v>180</v>
      </c>
      <c r="E3" s="223"/>
      <c r="F3" s="223"/>
      <c r="G3" s="223"/>
      <c r="H3" s="242" t="s">
        <v>181</v>
      </c>
      <c r="I3" s="243" t="s">
        <v>182</v>
      </c>
      <c r="J3" s="243"/>
      <c r="K3" s="243"/>
      <c r="L3" s="243"/>
      <c r="M3" s="118" t="s">
        <v>183</v>
      </c>
      <c r="N3" s="244" t="str">
        <f>①コンストラクション!I36</f>
        <v>インサイト</v>
      </c>
      <c r="O3" s="244"/>
      <c r="P3" s="244"/>
      <c r="Q3" s="226" t="s">
        <v>184</v>
      </c>
      <c r="R3" s="226"/>
      <c r="S3" s="31" t="str">
        <f>①コンストラクション!C38</f>
        <v>友情</v>
      </c>
      <c r="T3" s="245" t="s">
        <v>185</v>
      </c>
      <c r="U3" s="228"/>
      <c r="V3" s="229"/>
      <c r="W3" s="153"/>
      <c r="X3" s="129"/>
      <c r="Y3" s="129"/>
      <c r="Z3" s="230"/>
      <c r="AA3" s="230"/>
      <c r="AB3" s="230"/>
      <c r="AC3" s="230"/>
      <c r="AD3" s="230"/>
      <c r="AF3" s="81" t="s">
        <v>186</v>
      </c>
      <c r="AG3" s="129"/>
      <c r="AH3" s="129"/>
      <c r="AI3" s="213"/>
      <c r="AJ3" s="81"/>
      <c r="AK3" s="231"/>
      <c r="AL3" s="143"/>
      <c r="AM3" s="232"/>
      <c r="AN3" s="124"/>
      <c r="AO3" s="233"/>
      <c r="AP3" s="232"/>
      <c r="AQ3" s="124"/>
      <c r="AR3" s="233"/>
      <c r="AS3" s="232"/>
      <c r="AT3" s="234"/>
      <c r="AU3" s="233"/>
      <c r="AV3" s="235"/>
      <c r="AW3" s="236"/>
      <c r="AX3" s="81" t="s">
        <v>187</v>
      </c>
      <c r="AY3" s="172">
        <v>0</v>
      </c>
      <c r="AZ3" s="237">
        <f>COUNTIF(AR_SHEET_スキル,"ストレイトショット")</f>
        <v>0</v>
      </c>
      <c r="BA3" s="57" t="s">
        <v>51</v>
      </c>
      <c r="BB3" s="172">
        <f>SUM(AU2,AY3)</f>
        <v>9</v>
      </c>
      <c r="BC3" s="238">
        <f>SUM(AV2,AZ3)</f>
        <v>2</v>
      </c>
      <c r="BD3" s="239"/>
      <c r="BE3" s="144" t="s">
        <v>188</v>
      </c>
      <c r="BF3" s="145" t="str">
        <f>"+"&amp;COUNTIF(AR_SHEET_スキル,"ラーニングポーション")*2+COUNTIF(AR_SHEET_装備,"酔いどれの斧")*2+COUNTIF(AR_SHEET_ギルドサポート,"薬剤師")*3&amp;"(+"&amp;COUNTIF(AR_SHEET_スキル,"エリクサー")+COUNTIF(AR_SHEET_ギルドサポート,"GH：工房")*2&amp;"D)"</f>
        <v>+0(+0D)</v>
      </c>
      <c r="BG3" s="246"/>
    </row>
    <row r="4" spans="1:59" ht="11.25">
      <c r="A4" s="222"/>
      <c r="B4" s="247" t="s">
        <v>189</v>
      </c>
      <c r="C4" s="247"/>
      <c r="D4" s="248" t="str">
        <f>③レベルアップ!$E$63</f>
        <v>基ウォーリア</v>
      </c>
      <c r="E4" s="248"/>
      <c r="F4" s="248"/>
      <c r="G4" s="226" t="s">
        <v>111</v>
      </c>
      <c r="H4" s="249">
        <f>③レベルアップ!O15</f>
        <v>5</v>
      </c>
      <c r="I4" s="250" t="s">
        <v>190</v>
      </c>
      <c r="J4" s="251" t="str">
        <f>③レベルアップ!O20&amp;" / 総計 "&amp;③レベルアップ!O14</f>
        <v>5 / 総計 110</v>
      </c>
      <c r="K4" s="251"/>
      <c r="L4" s="251"/>
      <c r="M4" s="227" t="s">
        <v>191</v>
      </c>
      <c r="N4" s="227"/>
      <c r="O4" s="227"/>
      <c r="P4" s="252" t="str">
        <f>AG2&amp;"/"&amp;AG3&amp;"/"&amp;AG4&amp;"/"&amp;AG5&amp;"cm "</f>
        <v>///cm </v>
      </c>
      <c r="Q4" s="252"/>
      <c r="R4" s="252"/>
      <c r="S4" s="252"/>
      <c r="T4" s="253" t="s">
        <v>192</v>
      </c>
      <c r="U4" s="254" t="str">
        <f>BB4&amp;"("&amp;BC4&amp;"D)"</f>
        <v>10(2D)</v>
      </c>
      <c r="V4" s="255" t="str">
        <f>BB5&amp;"("&amp;BC5&amp;"D)"</f>
        <v>10(2D)</v>
      </c>
      <c r="W4" s="153" t="str">
        <f>IF($W$1="","",VLOOKUP($W$1,$AJ$30:$AK$43,2,0))</f>
        <v>+11(+0D)</v>
      </c>
      <c r="X4" s="129"/>
      <c r="Y4" s="129"/>
      <c r="Z4" s="230"/>
      <c r="AA4" s="230"/>
      <c r="AB4" s="230"/>
      <c r="AC4" s="230"/>
      <c r="AD4" s="230"/>
      <c r="AF4" s="81" t="s">
        <v>193</v>
      </c>
      <c r="AG4" s="129"/>
      <c r="AH4" s="129"/>
      <c r="AI4" s="213"/>
      <c r="AJ4" s="81" t="s">
        <v>194</v>
      </c>
      <c r="AK4" s="231" t="s">
        <v>195</v>
      </c>
      <c r="AL4" s="143">
        <f>$K$24</f>
        <v>10</v>
      </c>
      <c r="AM4" s="232">
        <v>2</v>
      </c>
      <c r="AN4" s="124" t="s">
        <v>50</v>
      </c>
      <c r="AO4" s="233">
        <f>COUNTIF(AR_SHEET_スキル,"フォーチュンヒット")*$H$14+COUNTIF(AR_SHEET_スキル,"ハイパーゲイン")*$H$8+IF(ISERROR(VLOOKUP("ヴァニッシュパワー",AR_スキルSL,7,0))=TRUE,"0",VLOOKUP("ヴァニッシュパワー",AR_スキルSL,7,0))*4+COUNTIF(AR_SHEET_スキル,"フィールドバトラー")*5+COUNTIF(AR_SHEET_スキル,"ウェポンマスター")*5+IF(ISERROR(VLOOKUP("突撃部隊",AR_SHEET_ギルドサポート,7,0))=TRUE,"0",VLOOKUP("突撃部隊",AR_SHEET_ギルドサポート,7,0)*3)</f>
        <v>0</v>
      </c>
      <c r="AP4" s="232">
        <f>COUNTIF(AR_SHEET_スキル,"レイザーシャープ")</f>
        <v>0</v>
      </c>
      <c r="AQ4" s="124" t="s">
        <v>50</v>
      </c>
      <c r="AR4" s="233">
        <f>COUNTIF(AR_SHEET_防具,"ストライクシールド")*7</f>
        <v>0</v>
      </c>
      <c r="AS4" s="232">
        <f>COUNTIF(AR_SHEET_防具,"魔骨の兜")+COUNTIF(AR_SHEET_手持,"ボーンシールド")</f>
        <v>0</v>
      </c>
      <c r="AT4" s="234" t="s">
        <v>51</v>
      </c>
      <c r="AU4" s="233">
        <f>SUM(AL4,AO4,AR4)</f>
        <v>10</v>
      </c>
      <c r="AV4" s="235">
        <f>SUM(AM4,AP4,AS4)</f>
        <v>2</v>
      </c>
      <c r="AW4" s="236" t="s">
        <v>50</v>
      </c>
      <c r="AX4" s="81" t="s">
        <v>178</v>
      </c>
      <c r="AY4" s="172">
        <f>COUNTIF(AR_SHEET_スキル,"ストロング")*3+IF(ISERROR(VLOOKUP("アクセルヒット",AR_スキルSL,7,0))=TRUE,"0",VLOOKUP("アクセルヒット",AR_スキルSL,7,0))*5+COUNTIF(AR_SHEET_装備,"ライオンマスク")*5+IF((COUNTIF(AR_SHEET_スキル,"シールドスラム")=1),(IF(ISERROR(VLOOKUP("盾",AR_SHEET_装備データ,3,0))=TRUE,"0",VLOOKUP("盾",AR_SHEET_装備データ,3,0))),0)+IF($G$17="盾",IF(ISERROR(VLOOKUP("シールドストライク",AR_スキルSL,7,0))=TRUE,"0",VLOOKUP("シールドストライク",AR_スキルSL,7,0)),0)</f>
        <v>0</v>
      </c>
      <c r="AZ4" s="237">
        <v>0</v>
      </c>
      <c r="BA4" s="57" t="s">
        <v>51</v>
      </c>
      <c r="BB4" s="172">
        <f>SUM(AU4,AY4)</f>
        <v>10</v>
      </c>
      <c r="BC4" s="238">
        <f>SUM(AV4,AZ4)</f>
        <v>2</v>
      </c>
      <c r="BD4" s="239"/>
      <c r="BE4" s="256" t="s">
        <v>196</v>
      </c>
      <c r="BF4" s="145" t="str">
        <f>"+"&amp;IF(ISERROR(VLOOKUP("ヴァニッシュパワー",AR_スキルSL,7,0))=TRUE,"0",VLOOKUP("ヴァニッシュパワー",AR_スキルSL,7,0))*4&amp;"(+"&amp;+IF(ISERROR(VLOOKUP("グレネードマテリアル",AR_スキルSL,7,0))=TRUE,"0",VLOOKUP("グレネードマテリアル",AR_スキルSL,7,0))+COUNTIF(AR_SHEET_装備,"魔骨の兜")&amp;"D)"</f>
        <v>+0(+0D)</v>
      </c>
      <c r="BG4" s="246"/>
    </row>
    <row r="5" spans="1:59" ht="11.25">
      <c r="A5" s="222"/>
      <c r="B5" s="131" t="s">
        <v>197</v>
      </c>
      <c r="C5" s="131"/>
      <c r="D5" s="257" t="str">
        <f>③レベルアップ!$H$63</f>
        <v>補モンク</v>
      </c>
      <c r="E5" s="257"/>
      <c r="F5" s="257"/>
      <c r="G5" s="258" t="s">
        <v>198</v>
      </c>
      <c r="H5" s="259" t="s">
        <v>199</v>
      </c>
      <c r="I5" s="260" t="s">
        <v>200</v>
      </c>
      <c r="J5" s="261">
        <v>16</v>
      </c>
      <c r="K5" s="262" t="s">
        <v>201</v>
      </c>
      <c r="L5" s="262"/>
      <c r="M5" s="263" t="s">
        <v>202</v>
      </c>
      <c r="N5" s="263"/>
      <c r="O5" s="263"/>
      <c r="P5" s="263"/>
      <c r="Q5" s="263"/>
      <c r="R5" s="263"/>
      <c r="S5" s="264">
        <f>H4</f>
        <v>5</v>
      </c>
      <c r="T5" s="245" t="s">
        <v>203</v>
      </c>
      <c r="U5" s="254"/>
      <c r="V5" s="255"/>
      <c r="W5" s="153"/>
      <c r="X5" s="129"/>
      <c r="Y5" s="129"/>
      <c r="Z5" s="230"/>
      <c r="AA5" s="230"/>
      <c r="AB5" s="230"/>
      <c r="AC5" s="230"/>
      <c r="AD5" s="230"/>
      <c r="AF5" s="83" t="s">
        <v>204</v>
      </c>
      <c r="AG5" s="129"/>
      <c r="AH5" s="129"/>
      <c r="AI5" s="265"/>
      <c r="AJ5" s="81"/>
      <c r="AK5" s="231"/>
      <c r="AL5" s="143"/>
      <c r="AM5" s="232"/>
      <c r="AN5" s="124"/>
      <c r="AO5" s="233"/>
      <c r="AP5" s="232"/>
      <c r="AQ5" s="124"/>
      <c r="AR5" s="233"/>
      <c r="AS5" s="232"/>
      <c r="AT5" s="234"/>
      <c r="AU5" s="233"/>
      <c r="AV5" s="235"/>
      <c r="AW5" s="236"/>
      <c r="AX5" s="83" t="s">
        <v>187</v>
      </c>
      <c r="AY5" s="186">
        <f>IF(ISERROR(VLOOKUP("マークスマン",AR_スキルSL,7,0))=TRUE,"0",VLOOKUP("マークスマン",AR_スキルSL,7,0))*3+COUNTIF(AR_SHEET_スキル,"ハンティングアイ")*3+COUNTIF(AR_SHEET_装備,"鷹の目")*3</f>
        <v>0</v>
      </c>
      <c r="AZ5" s="266">
        <f>IF(ISERROR(VLOOKUP("スナイピング",AR_スキルSL,7,0))=TRUE,"0",VLOOKUP("スナイピング",AR_スキルSL,7,0))+COUNTIF(AR_SHEET_装備,"斬滅環")*2</f>
        <v>0</v>
      </c>
      <c r="BA5" s="151" t="s">
        <v>51</v>
      </c>
      <c r="BB5" s="186">
        <f>SUM(AU4,AY5)</f>
        <v>10</v>
      </c>
      <c r="BC5" s="267">
        <f>SUM(AV4,AZ5)</f>
        <v>2</v>
      </c>
      <c r="BD5" s="239"/>
      <c r="BE5" s="268" t="s">
        <v>205</v>
      </c>
      <c r="BF5" s="269" t="str">
        <f>"-"&amp;0&amp;"(-"&amp;COUNTIF(AR_SHEET_スキル,"ブレットレイブ")+COUNTIF(AR_SHEET_スキル,"スネイクビート")+COUNTIF(AR_SHEET_装備,"クラッチクロウ")+COUNTIF(AR_SHEET_装備,"マルチヘッド")&amp;"D)"</f>
        <v>-0(-0D)</v>
      </c>
      <c r="BG5" s="246"/>
    </row>
    <row r="6" spans="1:59" ht="11.25">
      <c r="A6" s="222"/>
      <c r="B6" s="270" t="s">
        <v>26</v>
      </c>
      <c r="C6" s="270"/>
      <c r="D6" s="270"/>
      <c r="E6" s="270"/>
      <c r="F6" s="270"/>
      <c r="G6" s="270"/>
      <c r="H6" s="270"/>
      <c r="I6" s="270"/>
      <c r="J6" s="270"/>
      <c r="K6" s="118" t="s">
        <v>206</v>
      </c>
      <c r="L6" s="118"/>
      <c r="M6" s="271" t="str">
        <f>①コンストラクション!L27</f>
        <v>ホワイトハニー</v>
      </c>
      <c r="N6" s="271"/>
      <c r="O6" s="271"/>
      <c r="P6" s="271"/>
      <c r="Q6" s="272" t="s">
        <v>207</v>
      </c>
      <c r="R6" s="272"/>
      <c r="S6" s="273">
        <f>'②成長点記録_ギルドレベル'!L5</f>
        <v>2</v>
      </c>
      <c r="T6" s="274" t="s">
        <v>208</v>
      </c>
      <c r="U6" s="275" t="s">
        <v>209</v>
      </c>
      <c r="V6" s="276" t="s">
        <v>210</v>
      </c>
      <c r="W6" s="274" t="s">
        <v>60</v>
      </c>
      <c r="X6" s="277" t="s">
        <v>211</v>
      </c>
      <c r="Y6" s="278" t="s">
        <v>212</v>
      </c>
      <c r="Z6" s="230"/>
      <c r="AA6" s="230"/>
      <c r="AB6" s="230"/>
      <c r="AC6" s="230"/>
      <c r="AD6" s="230"/>
      <c r="AF6" s="212" t="s">
        <v>213</v>
      </c>
      <c r="AG6" s="212"/>
      <c r="AH6" s="212"/>
      <c r="AI6" s="213"/>
      <c r="AJ6" s="81" t="s">
        <v>214</v>
      </c>
      <c r="AK6" s="231" t="s">
        <v>215</v>
      </c>
      <c r="AL6" s="143">
        <f>$H$10+$L$24</f>
        <v>3</v>
      </c>
      <c r="AM6" s="232">
        <v>2</v>
      </c>
      <c r="AN6" s="124" t="s">
        <v>50</v>
      </c>
      <c r="AO6" s="233">
        <f>COUNTIF(AR_SHEET_スキル,"ラピディティ")*2+COUNTIF(AR_SHEET_スキル,"フェイス：ブリガンティア")</f>
        <v>0</v>
      </c>
      <c r="AP6" s="232">
        <f>COUNTIF(AR_SHEET_スキル,"バタフライダンス")+COUNTIF(AR_SHEET_ギルドサポート,"修練：敏捷")</f>
        <v>0</v>
      </c>
      <c r="AQ6" s="124" t="s">
        <v>50</v>
      </c>
      <c r="AR6" s="233">
        <v>0</v>
      </c>
      <c r="AS6" s="232">
        <f>-COUNTIF(AR_SHEET_防具,"ストライクシールド")</f>
        <v>0</v>
      </c>
      <c r="AT6" s="234" t="s">
        <v>51</v>
      </c>
      <c r="AU6" s="233">
        <f>SUM(AL6,AO6,AR6)</f>
        <v>3</v>
      </c>
      <c r="AV6" s="235">
        <f>SUM(AM6,AP6,AS6)</f>
        <v>2</v>
      </c>
      <c r="AW6" s="236"/>
      <c r="BE6" s="279" t="s">
        <v>216</v>
      </c>
      <c r="BF6" s="280" t="str">
        <f>"+"&amp;+IF(ISERROR(VLOOKUP("エフィシエント",AR_スキルSL,7,0))=TRUE,"0",VLOOKUP("エフィシエント",AR_スキルSL,7,0))*2+COUNTIF(AR_SHEET_装備,"ケセドの杖")*10+COUNTIF(AR_SHEET_装備,"ブーストロッド")*2&amp;"(+"&amp;0&amp;"D)"</f>
        <v>+0(+0D)</v>
      </c>
      <c r="BG6" s="246"/>
    </row>
    <row r="7" spans="1:59" ht="11.25">
      <c r="A7" s="222"/>
      <c r="B7" s="281"/>
      <c r="C7" s="282" t="s">
        <v>27</v>
      </c>
      <c r="D7" s="247" t="s">
        <v>20</v>
      </c>
      <c r="E7" s="283" t="s">
        <v>217</v>
      </c>
      <c r="F7" s="283" t="s">
        <v>218</v>
      </c>
      <c r="G7" s="284" t="s">
        <v>28</v>
      </c>
      <c r="H7" s="285" t="s">
        <v>23</v>
      </c>
      <c r="I7" s="286" t="s">
        <v>219</v>
      </c>
      <c r="J7" s="286"/>
      <c r="K7" s="131" t="s">
        <v>220</v>
      </c>
      <c r="L7" s="131"/>
      <c r="M7" s="287" t="s">
        <v>221</v>
      </c>
      <c r="N7" s="287"/>
      <c r="O7" s="287"/>
      <c r="P7" s="287"/>
      <c r="Q7" s="288" t="s">
        <v>80</v>
      </c>
      <c r="R7" s="288"/>
      <c r="S7" s="289">
        <f>'②成長点記録_ギルドレベル'!L7</f>
        <v>16</v>
      </c>
      <c r="T7" s="274"/>
      <c r="U7" s="290">
        <f>AU8</f>
        <v>20</v>
      </c>
      <c r="V7" s="291">
        <f>AU9</f>
        <v>11</v>
      </c>
      <c r="W7" s="274"/>
      <c r="X7" s="292">
        <f>AU10</f>
        <v>8</v>
      </c>
      <c r="Y7" s="293" t="str">
        <f>"+"&amp;IF(ISERROR(VLOOKUP("ライディング",AR_スキルSL,7,0))=TRUE,"0",VLOOKUP("ライディング",AR_スキルSL,7,0))*2</f>
        <v>+0</v>
      </c>
      <c r="Z7" s="230"/>
      <c r="AA7" s="230"/>
      <c r="AB7" s="230"/>
      <c r="AC7" s="230"/>
      <c r="AD7" s="230"/>
      <c r="AF7" s="81" t="s">
        <v>222</v>
      </c>
      <c r="AG7" s="294" t="s">
        <v>223</v>
      </c>
      <c r="AH7" s="294" t="s">
        <v>224</v>
      </c>
      <c r="AI7" s="221"/>
      <c r="AJ7" s="81" t="s">
        <v>225</v>
      </c>
      <c r="AK7" s="231"/>
      <c r="AL7" s="143"/>
      <c r="AM7" s="232"/>
      <c r="AN7" s="124"/>
      <c r="AO7" s="233">
        <f>COUNTIF(AR_SHEET_スキル,"ラピディティ")*2+COUNTIF(AR_SHEET_スキル,"フェイス：ブリガンティア")</f>
        <v>0</v>
      </c>
      <c r="AP7" s="232">
        <f>COUNTIF(AR_SHEET_スキル,"バタフライダンス")+COUNTIF(AR_SHEET_ギルドサポート,"修練：敏捷")</f>
        <v>0</v>
      </c>
      <c r="AQ7" s="295" t="s">
        <v>50</v>
      </c>
      <c r="AR7" s="233">
        <v>0</v>
      </c>
      <c r="AS7" s="232">
        <f>-COUNTIF(AR_SHEET_防具,"ストライクシールド")</f>
        <v>0</v>
      </c>
      <c r="AT7" s="234" t="s">
        <v>51</v>
      </c>
      <c r="AU7" s="233">
        <f>SUM(AL6,AO7,AR7)</f>
        <v>3</v>
      </c>
      <c r="AV7" s="235">
        <f>SUM(AM6,AP7,AS7)</f>
        <v>2</v>
      </c>
      <c r="AW7" s="236"/>
      <c r="BE7" s="296" t="s">
        <v>226</v>
      </c>
      <c r="BF7" s="297" t="str">
        <f>"+"&amp;COUNTIF(AR_SHEET_装備,"フレンドベレー")*5&amp;"(+"&amp;COUNTIF(AR_SHEET_スキル,"グレートサモナー")&amp;"D)"</f>
        <v>+0(+0D)</v>
      </c>
      <c r="BG7" s="298"/>
    </row>
    <row r="8" spans="1:59" ht="11.25">
      <c r="A8" s="222"/>
      <c r="B8" s="81" t="s">
        <v>29</v>
      </c>
      <c r="C8" s="143">
        <f>③レベルアップ!O5</f>
        <v>16</v>
      </c>
      <c r="D8" s="299">
        <f>INT(C8/3)</f>
        <v>5</v>
      </c>
      <c r="E8" s="173">
        <f>VLOOKUP(③レベルアップ!$E$63,リファレンス!$B:$M,2,0)</f>
        <v>1</v>
      </c>
      <c r="F8" s="173">
        <f>VLOOKUP(③レベルアップ!$H$63,リファレンス!$B:$M,2,0)</f>
        <v>1</v>
      </c>
      <c r="G8" s="120">
        <f>COUNTIF(AR_SHEET_手持,"怪力の籠手")*2</f>
        <v>0</v>
      </c>
      <c r="H8" s="33">
        <f>SUM(D8:G8)</f>
        <v>7</v>
      </c>
      <c r="I8" s="300">
        <f>COUNTIF(AR_SHEET_装備,"筋力のナイフ")*2+IF(COUNTIF(AR_SHEET_道具,"使い魔:筋力")&gt;0,2,0)</f>
        <v>0</v>
      </c>
      <c r="J8" s="301">
        <f>2+COUNTIF(AR_SHEET_装備,"怪力の籠手")+COUNTIF(AR_SHEET_ギルドサポート,"修練：筋力")</f>
        <v>2</v>
      </c>
      <c r="K8" s="210" t="s">
        <v>227</v>
      </c>
      <c r="L8" s="210"/>
      <c r="M8" s="210"/>
      <c r="N8" s="210"/>
      <c r="O8" s="210"/>
      <c r="P8" s="210"/>
      <c r="Q8" s="210"/>
      <c r="R8" s="210"/>
      <c r="S8" s="210"/>
      <c r="T8" s="302" t="s">
        <v>228</v>
      </c>
      <c r="U8" s="303">
        <f>IF(ISERROR(VLOOKUP("加護",AR_SHEET_ギルドサポート,7,0))=TRUE,"0",VLOOKUP("加護",AR_SHEET_ギルドサポート,7,0))*2+COUNTIF(AR_SHEET_装備,"古代の冠")*20</f>
        <v>0</v>
      </c>
      <c r="V8" s="304">
        <f>IF(ISERROR(VLOOKUP("加護",AR_SHEET_ギルドサポート,7,0))=TRUE,"0",VLOOKUP("加護",AR_SHEET_ギルドサポート,7,0))*2+COUNTIF(AR_SHEET_装備,"古代の冠")*20</f>
        <v>0</v>
      </c>
      <c r="W8" s="302" t="s">
        <v>229</v>
      </c>
      <c r="X8" s="305">
        <f>AU11</f>
        <v>10</v>
      </c>
      <c r="Y8" s="306">
        <f>X8+IF(ISERROR(VLOOKUP("ライディング",AR_スキルSL,7,0))=TRUE,"0",VLOOKUP("ライディング",AR_スキルSL,7,0))*2+COUNTIF(X26:AD37,"乗用馬")*10+COUNTIF(X26:AD37,"軍馬")*15+COUNTIF(X26:AD37,"名馬")*20+COUNTIF(X26:AD37,"錬金馬")*20+COUNTIF(X26:AD37,"騎竜")*25</f>
        <v>10</v>
      </c>
      <c r="Z8" s="230"/>
      <c r="AA8" s="230"/>
      <c r="AB8" s="230"/>
      <c r="AC8" s="230"/>
      <c r="AD8" s="230"/>
      <c r="AF8" s="307" t="str">
        <f>C16</f>
        <v>ミスリルナックル</v>
      </c>
      <c r="AG8" s="308">
        <f>IF($C16="","",VLOOKUP($C16,AR_アイテム,15,0))</f>
        <v>400</v>
      </c>
      <c r="AH8" s="308"/>
      <c r="AI8" s="221"/>
      <c r="AJ8" s="81" t="s">
        <v>230</v>
      </c>
      <c r="AK8" s="231" t="s">
        <v>195</v>
      </c>
      <c r="AL8" s="231">
        <f>$M$24</f>
        <v>17</v>
      </c>
      <c r="AM8" s="231"/>
      <c r="AN8" s="124" t="s">
        <v>50</v>
      </c>
      <c r="AO8" s="309">
        <f>+COUNTIF(AR_SHEET_スキル,"ファイナルガード")*5+COUNTIF(AR_SHEET_スキル,"レギリアス")*$H$13+IF(ISERROR(VLOOKUP("インプラグナブル",AR_スキルSL,7,0))=TRUE,"0",VLOOKUP("インプラグナブル",AR_スキルSL,7,0))*3+IF(ISERROR(VLOOKUP("サヴァイブ",AR_スキルSL,7,0))=TRUE,"0",(H4+5))+COUNTIF(AR_SHEET_スキル,"セルフディフェンス")*5+COUNTIF(AR_SHEET_スキル,"リンメルコーティング")*5+COUNTIF(AR_SHEET_スキル,"アダマント")*3+COUNTIF(AR_SHEET_スキル,"アセティック")*3+IF(ISERROR(VLOOKUP("オートガード",AR_スキルSL,7,0))=TRUE,"0",VLOOKUP("オートガード",AR_スキルSL,7,0)*2)+IF(ISERROR(VLOOKUP("ハードマッスル",AR_スキルSL,7,0))=TRUE,"0",VLOOKUP("ハードマッスル",AR_スキルSL,7,0)*3)+COUNTIF(AR_SHEET_ギルドサポート,"GH：ギルドフォートレス")*20+IF(ISERROR(VLOOKUP("防衛部隊",AR_SHEET_ギルドサポート,7,0))=TRUE,"0",VLOOKUP("防衛部隊",AR_SHEET_ギルドサポート,7,0)*4)+COUNTIF(AR_SHEET_スキル,"マシンアーマー")*2+COUNTIF(AR_SHEET_スキル,"フェイス：ゴヴァノン")</f>
        <v>3</v>
      </c>
      <c r="AP8" s="309"/>
      <c r="AQ8" s="231" t="s">
        <v>50</v>
      </c>
      <c r="AR8" s="231">
        <f>COUNTIF(X26:AD37,"錬金馬")*5+COUNTIF(AR_SHEET_道具,"リムブースト・メタル")*2</f>
        <v>0</v>
      </c>
      <c r="AS8" s="231"/>
      <c r="AT8" s="231" t="s">
        <v>51</v>
      </c>
      <c r="AU8" s="310">
        <f>SUM(AL8,AO8,AR8)</f>
        <v>20</v>
      </c>
      <c r="AV8" s="310"/>
      <c r="AW8" s="311"/>
      <c r="BE8" s="110" t="s">
        <v>231</v>
      </c>
      <c r="BF8" s="280" t="str">
        <f>"+"&amp;COUNTIF(AR_SHEET_スキル,"ハイプロテクション")*5+IF(ISERROR(VLOOKUP("ハイプロテクション",AR_スキルSL,7,0))=TRUE,"0",VLOOKUP("ハイプロテクション",AR_スキルSL,7,0))*3+IF(ISERROR(VLOOKUP("エフィシエント",AR_スキルSL,7,0))=TRUE,"0",VLOOKUP("エフィシエント",AR_スキルSL,7,0))*2&amp;"(+"&amp;0&amp;"D)"</f>
        <v>+0(+0D)</v>
      </c>
      <c r="BG8" s="202"/>
    </row>
    <row r="9" spans="1:59" ht="11.25">
      <c r="A9" s="222"/>
      <c r="B9" s="81" t="s">
        <v>33</v>
      </c>
      <c r="C9" s="143">
        <f>③レベルアップ!O6</f>
        <v>16</v>
      </c>
      <c r="D9" s="299">
        <f>INT(C9/3)</f>
        <v>5</v>
      </c>
      <c r="E9" s="173">
        <f>VLOOKUP(③レベルアップ!$E$63,リファレンス!$B:$M,3,0)</f>
        <v>1</v>
      </c>
      <c r="F9" s="173">
        <f>VLOOKUP(③レベルアップ!$H$63,リファレンス!$B:$M,3,0)</f>
        <v>0</v>
      </c>
      <c r="G9" s="120">
        <f>COUNTIF(AR_SHEET_装備,"太陽の腕輪")*2</f>
        <v>0</v>
      </c>
      <c r="H9" s="33">
        <f>SUM(D9:G9)</f>
        <v>6</v>
      </c>
      <c r="I9" s="300">
        <f>COUNTIF(AR_SHEET_装備,"器用のナイフ")*2+IF(COUNTIF(AR_SHEET_道具,"使い魔:器用")&gt;0,2,0)</f>
        <v>0</v>
      </c>
      <c r="J9" s="301">
        <f>2+COUNTIF(AR_SHEET_スキル,"アキュレイト")+COUNTIF(AR_SHEET_ギルドサポート,"修練：器用")</f>
        <v>2</v>
      </c>
      <c r="K9" s="312" t="s">
        <v>232</v>
      </c>
      <c r="L9" s="313">
        <f>SUM(①コンストラクション!J23,③レベルアップ!O21)</f>
        <v>69</v>
      </c>
      <c r="M9" s="314"/>
      <c r="N9" s="314"/>
      <c r="O9" s="314"/>
      <c r="P9" s="314"/>
      <c r="Q9" s="314"/>
      <c r="R9" s="314"/>
      <c r="S9" s="314"/>
      <c r="T9" s="210" t="s">
        <v>170</v>
      </c>
      <c r="U9" s="210"/>
      <c r="V9" s="210"/>
      <c r="W9" s="253" t="s">
        <v>233</v>
      </c>
      <c r="X9" s="277" t="s">
        <v>234</v>
      </c>
      <c r="Y9" s="278" t="s">
        <v>235</v>
      </c>
      <c r="Z9" s="230"/>
      <c r="AA9" s="230"/>
      <c r="AB9" s="230"/>
      <c r="AC9" s="230"/>
      <c r="AD9" s="230"/>
      <c r="AF9" s="307">
        <f>C17</f>
        <v>0</v>
      </c>
      <c r="AG9" s="308">
        <f>IF($C17="","",VLOOKUP($C17,AR_アイテム,15,0))</f>
      </c>
      <c r="AH9" s="308"/>
      <c r="AI9" s="221"/>
      <c r="AJ9" s="315" t="s">
        <v>236</v>
      </c>
      <c r="AK9" s="231" t="s">
        <v>237</v>
      </c>
      <c r="AL9" s="231">
        <f>$H$13+$N$24</f>
        <v>8</v>
      </c>
      <c r="AM9" s="231"/>
      <c r="AN9" s="124" t="s">
        <v>50</v>
      </c>
      <c r="AO9" s="231">
        <f>+COUNTIF(AR_SHEET_スキル,"ファイナルガード")*5+COUNTIF(AR_SHEET_スキル,"レギリアス")*$H$13+リファレンス!Q18*リファレンス!Q17+IF(ISERROR(VLOOKUP("インプラグナブル",AR_スキルSL,7,0))=TRUE,"0",VLOOKUP("インプラグナブル",AR_スキルSL,7,0))*3+IF(ISERROR(VLOOKUP("サヴァイブ",AR_スキルSL,7,0))=TRUE,"0",H4)+COUNTIF(AR_SHEET_スキル,"リンメルコーティング")*5+COUNTIF(AR_SHEET_スキル,"マジックレジスト")*3+COUNTIF(AR_SHEET_スキル,"アンチマジック")*5+COUNTIF(AR_SHEET_スキル,"アセティック")*3+IF(ISERROR(VLOOKUP("オートガード",AR_スキルSL,7,0))=TRUE,"0",VLOOKUP("オートガード",AR_スキルSL,7,0))+IF(ISERROR(VLOOKUP("レジストエレメンタル",AR_スキルSL,7,0))=TRUE,"0",VLOOKUP("レジストエレメンタル",AR_スキルSL,7,0)*3)+COUNTIF(AR_SHEET_ギルドサポート,"GH：ギルドカテドラル")*20+IF(ISERROR(VLOOKUP("防衛部隊",AR_SHEET_ギルドサポート,7,0))=TRUE,"0",VLOOKUP("防衛部隊",AR_SHEET_ギルドサポート,7,0)*4)+COUNTIF(AR_SHEET_スキル,"マシンアーマー")+COUNTIF(AR_SHEET_スキル,"フェイス：ゴヴァノン")</f>
        <v>3</v>
      </c>
      <c r="AP9" s="231"/>
      <c r="AQ9" s="231" t="s">
        <v>50</v>
      </c>
      <c r="AR9" s="231">
        <f>+COUNTIF(AR_SHEET_道具,"リムブースト・メタル")*2</f>
        <v>0</v>
      </c>
      <c r="AS9" s="231"/>
      <c r="AT9" s="231" t="s">
        <v>51</v>
      </c>
      <c r="AU9" s="310">
        <f>SUM(AL9,AO9,AR9)</f>
        <v>11</v>
      </c>
      <c r="AV9" s="310"/>
      <c r="AW9" s="311"/>
      <c r="AX9" s="14"/>
      <c r="BE9" s="83" t="s">
        <v>238</v>
      </c>
      <c r="BF9" s="316" t="str">
        <f>"+"&amp;+COUNTIF(AR_SHEET_装備,"癒しの衣")*3+IF(ISERROR(VLOOKUP("エフィシエント",AR_スキルSL,7,0))=TRUE,"0",VLOOKUP("エフィシエント",AR_スキルSL,7,0))*2&amp;"(+"&amp;COUNTIF(AR_SHEET_スキル,"アフェクション")+COUNTIF(AR_SHEET_装備,"ホワイトスタッフ")*3+COUNTIF(AR_SHEET_装備,"聖印")+COUNTIF(AR_SHEET_装備,"高位聖印")*2&amp;"D)"</f>
        <v>+0(+0D)</v>
      </c>
      <c r="BG9" s="298"/>
    </row>
    <row r="10" spans="1:59" ht="13.5">
      <c r="A10" s="222"/>
      <c r="B10" s="81" t="s">
        <v>34</v>
      </c>
      <c r="C10" s="143">
        <f>③レベルアップ!O7</f>
        <v>9</v>
      </c>
      <c r="D10" s="299">
        <f>INT(C10/3)</f>
        <v>3</v>
      </c>
      <c r="E10" s="173">
        <f>VLOOKUP(③レベルアップ!$E$63,リファレンス!$B:$M,4,0)</f>
        <v>1</v>
      </c>
      <c r="F10" s="173">
        <f>VLOOKUP(③レベルアップ!$H$63,リファレンス!$B:$M,4,0)</f>
        <v>1</v>
      </c>
      <c r="G10" s="120">
        <v>0</v>
      </c>
      <c r="H10" s="33">
        <f>SUM(D10:G10)</f>
        <v>5</v>
      </c>
      <c r="I10" s="300">
        <f>COUNTIF(AR_SHEET_装備,"敏捷のナイフ")*2+COUNTIF(AR_SHEET_スキル,"ラピディティ")*2+IF(COUNTIF(AR_SHEET_道具,"使い魔:敏捷")&gt;0,2,0)</f>
        <v>0</v>
      </c>
      <c r="J10" s="301">
        <f>2+COUNTIF(AR_SHEET_ギルドサポート,"修練：敏捷")</f>
        <v>2</v>
      </c>
      <c r="K10" s="312"/>
      <c r="L10" s="313"/>
      <c r="M10" s="317"/>
      <c r="N10" s="317"/>
      <c r="O10" s="317"/>
      <c r="P10" s="317"/>
      <c r="Q10" s="317"/>
      <c r="R10" s="317"/>
      <c r="S10" s="317"/>
      <c r="T10" s="318"/>
      <c r="U10" s="318"/>
      <c r="V10" s="319">
        <f>IF($T10="","",VLOOKUP($T10,$BE$1:$BF$65534,2,0))</f>
      </c>
      <c r="W10" s="245" t="s">
        <v>185</v>
      </c>
      <c r="X10" s="320" t="str">
        <f>AU6&amp;"("&amp;AV6&amp;"D)"</f>
        <v>3(2D)</v>
      </c>
      <c r="Y10" s="321" t="str">
        <f>AU7&amp;"("&amp;AV7&amp;"D)"</f>
        <v>3(2D)</v>
      </c>
      <c r="Z10" s="230"/>
      <c r="AA10" s="230"/>
      <c r="AB10" s="230"/>
      <c r="AC10" s="230"/>
      <c r="AD10" s="230"/>
      <c r="AF10" s="307">
        <f>C18</f>
        <v>0</v>
      </c>
      <c r="AG10" s="308">
        <f>IF($C18="","",VLOOKUP($C18,AR_アイテム,15,0))</f>
      </c>
      <c r="AH10" s="308"/>
      <c r="AI10" s="221"/>
      <c r="AJ10" s="315" t="s">
        <v>60</v>
      </c>
      <c r="AK10" s="231" t="s">
        <v>239</v>
      </c>
      <c r="AL10" s="231">
        <f>$H$10+$H$12+$P$24</f>
        <v>8</v>
      </c>
      <c r="AM10" s="231"/>
      <c r="AN10" s="124" t="s">
        <v>50</v>
      </c>
      <c r="AO10" s="231">
        <f>COUNTIF(AR_SHEET_スキル,"ニンブル")*3+COUNTIF(AR_SHEET_スキル,"ジャッジメント")*2+COUNTIF(AR_SHEET_スキル,"フェイス：ダグデモア")+IF(ISERROR(VLOOKUP("クイックムーブ",AR_スキルSL,7,0))=TRUE,"0",VLOOKUP("クイックムーブ",AR_スキルSL,7,0))*2+COUNTIF(AR_SHEET_スキル,"アクセラレーション")*2+COUNTIF(AR_SHEET_スキル,"オーバーパス")+IF(ISERROR(VLOOKUP("フォアストール",AR_スキルSL,7,0))=TRUE,"0",VLOOKUP("フォアストール",AR_スキルSL,7,0)*2)+IF(ISERROR(VLOOKUP("高機動部隊",AR_SHEET_ギルドサポート,7,0))=TRUE,"0",VLOOKUP("高機動部隊",AR_SHEET_ギルドサポート,7,0)*5)</f>
        <v>0</v>
      </c>
      <c r="AP10" s="231"/>
      <c r="AQ10" s="231" t="s">
        <v>50</v>
      </c>
      <c r="AR10" s="231">
        <f>COUNTIF(AR_SHEET_道具,"リムブースト・リフレクス")*2</f>
        <v>0</v>
      </c>
      <c r="AS10" s="231"/>
      <c r="AT10" s="231" t="s">
        <v>51</v>
      </c>
      <c r="AU10" s="310">
        <f>SUM(AL10,AO10,AR10)</f>
        <v>8</v>
      </c>
      <c r="AV10" s="310"/>
      <c r="AW10" s="311"/>
      <c r="BE10" s="279" t="s">
        <v>240</v>
      </c>
      <c r="BF10" s="280" t="str">
        <f>"+"&amp;COUNTIF(AR_SHEET_スキル,"オフェンシブセンス")*3+COUNTIF(AR_SHEET_防具,"アミュレットハット")*3+IF(ISERROR(VLOOKUP("アンプリフィケイション",AR_スキルSL,7,0))=TRUE,"0",VLOOKUP("アンプリフィケイション",AR_スキルSL,7,0))*4+COUNTIF(AR_SHEET_手持,"赤き斜陽の剣")*2+COUNTIF(AR_SHEET_装備,"フォースワンド")*8+COUNTIF(AR_SHEET_装備,"イレイションローブ")*5+COUNTIF(AR_SHEET_装備,"バニッシュローブ")*10+COUNTIF(AR_SHEET_装備,"グリモア")+IF(ISERROR(VLOOKUP("ヴァニッシュパワー",AR_スキルSL,7,0))=TRUE,"0",VLOOKUP("ヴァニッシュパワー",AR_スキルSL,7,0))*4+IF(ISERROR(VLOOKUP("アグレッシブマジック",AR_スキルSL,7,0))=TRUE,"0",VLOOKUP("アグレッシブマジック",AR_スキルSL,7,0))*3+COUNTIF(AR_SHEET_装備,"トワイライトソード")*6+IF(ISERROR(VLOOKUP("突撃部隊",AR_SHEET_ギルドサポート,7,0))=TRUE,"0",VLOOKUP("突撃部隊",AR_SHEET_ギルドサポート,7,0)*3)&amp;"(+"&amp;COUNTIF(AR_SHEET_装備,"魔骨の兜")+COUNTIF(AR_SHEET_スキル,"マジックゲイザー")+IF(ISERROR(VLOOKUP("マジシャンズマイト",AR_スキルSL,7,0))=TRUE,"0",VLOOKUP("マジシャンズマイト",AR_スキルSL,7,0))&amp;"D)"</f>
        <v>+0(+0D)</v>
      </c>
      <c r="BG10" s="298"/>
    </row>
    <row r="11" spans="1:59" ht="13.5">
      <c r="A11" s="222"/>
      <c r="B11" s="81" t="s">
        <v>35</v>
      </c>
      <c r="C11" s="143">
        <f>③レベルアップ!O8</f>
        <v>6</v>
      </c>
      <c r="D11" s="299">
        <f>INT(C11/3)</f>
        <v>2</v>
      </c>
      <c r="E11" s="173">
        <f>VLOOKUP(③レベルアップ!$E$63,リファレンス!$B:$M,5,0)</f>
        <v>0</v>
      </c>
      <c r="F11" s="173">
        <f>VLOOKUP(③レベルアップ!$H$63,リファレンス!$B:$M,5,0)</f>
        <v>0</v>
      </c>
      <c r="G11" s="120">
        <f>COUNTIF(AR_SHEET_装備,"黒のローブ")</f>
        <v>0</v>
      </c>
      <c r="H11" s="33">
        <f>SUM(D11:G11)</f>
        <v>2</v>
      </c>
      <c r="I11" s="300">
        <f>IF(ISERROR(VLOOKUP("ハイウィズダム",AR_スキルSL,7,0))=TRUE,"0",VLOOKUP("ハイウィズダム",AR_スキルSL,7,0))+COUNTIF(AR_SHEET_装備,"知力のナイフ")*2+COUNTIF(AR_SHEET_装備,"知識の書")+IF(COUNTIF(AR_SHEET_道具,"使い魔:知力")&gt;0,2,0)</f>
        <v>0</v>
      </c>
      <c r="J11" s="301">
        <f>2+COUNTIF(AR_SHEET_スキル,"フィールドワーク")+COUNTIF(AR_SHEET_ギルドサポート,"ライブラリー")+COUNTIF(AR_SHEET_ギルドサポート,"修練：知力")</f>
        <v>2</v>
      </c>
      <c r="K11" s="322" t="s">
        <v>241</v>
      </c>
      <c r="L11" s="168">
        <f>SUM(①コンストラクション!T23,③レベルアップ!O22)</f>
        <v>54</v>
      </c>
      <c r="M11" s="323"/>
      <c r="N11" s="323"/>
      <c r="O11" s="323"/>
      <c r="P11" s="323"/>
      <c r="Q11" s="323"/>
      <c r="R11" s="323"/>
      <c r="S11" s="323"/>
      <c r="T11" s="324"/>
      <c r="U11" s="324"/>
      <c r="V11" s="319">
        <f>IF($T11="","",VLOOKUP($T11,$BE$1:$BF$65534,2,0))</f>
      </c>
      <c r="W11" s="325"/>
      <c r="X11" s="325"/>
      <c r="Y11" s="326">
        <f>IF($W11="","",VLOOKUP($W11,$BE$1:$BF$65534,2,0))</f>
      </c>
      <c r="Z11" s="230"/>
      <c r="AA11" s="230"/>
      <c r="AB11" s="230"/>
      <c r="AC11" s="230"/>
      <c r="AD11" s="230"/>
      <c r="AF11" s="307">
        <f>C19</f>
        <v>0</v>
      </c>
      <c r="AG11" s="308">
        <f>IF($C19="","",VLOOKUP($C19,AR_アイテム,15,0))</f>
      </c>
      <c r="AH11" s="308"/>
      <c r="AI11" s="221"/>
      <c r="AJ11" s="327" t="s">
        <v>229</v>
      </c>
      <c r="AK11" s="328" t="s">
        <v>242</v>
      </c>
      <c r="AL11" s="328">
        <f>H8+Q24+5</f>
        <v>10</v>
      </c>
      <c r="AM11" s="328"/>
      <c r="AN11" s="153" t="s">
        <v>50</v>
      </c>
      <c r="AO11" s="328">
        <f>COUNTIF(AR_SHEET_スキル,"オーバーパス")*5+COUNTIF(AR_SHEET_スキル,"スプリンター")*5+IF(ISERROR(VLOOKUP("フルスピード",AR_スキルSL,7,0))=TRUE,"0",VLOOKUP("フルスピード",AR_スキルSL,7,0))*5+IF(ISERROR(VLOOKUP("俊足部隊",AR_SHEET_ギルドサポート,7,0))=TRUE,"0",VLOOKUP("俊足部隊",AR_SHEET_ギルドサポート,7,0)*5)</f>
        <v>0</v>
      </c>
      <c r="AP11" s="328"/>
      <c r="AQ11" s="328" t="s">
        <v>50</v>
      </c>
      <c r="AR11" s="328">
        <v>0</v>
      </c>
      <c r="AS11" s="328"/>
      <c r="AT11" s="328" t="s">
        <v>51</v>
      </c>
      <c r="AU11" s="329">
        <f>SUM(AL11,AO11,AR11)</f>
        <v>10</v>
      </c>
      <c r="AV11" s="329"/>
      <c r="AW11" s="311"/>
      <c r="BE11" s="279" t="s">
        <v>243</v>
      </c>
      <c r="BF11" s="82" t="str">
        <f>"+"&amp;0+IF(ISERROR(VLOOKUP("フォースブリンガー",AR_スキルSL,7,0))=TRUE,"0",VLOOKUP("フォースブリンガー",AR_スキルSL,7,0)*4)&amp;"(+"&amp;0&amp;"D)"</f>
        <v>+0(+0D)</v>
      </c>
      <c r="BG11" s="298"/>
    </row>
    <row r="12" spans="1:59" ht="13.5">
      <c r="A12" s="222"/>
      <c r="B12" s="81" t="s">
        <v>36</v>
      </c>
      <c r="C12" s="143">
        <f>③レベルアップ!O9</f>
        <v>9</v>
      </c>
      <c r="D12" s="299">
        <f>INT(C12/3)</f>
        <v>3</v>
      </c>
      <c r="E12" s="173">
        <f>VLOOKUP(③レベルアップ!$E$63,リファレンス!$B:$M,6,0)</f>
        <v>0</v>
      </c>
      <c r="F12" s="173">
        <f>VLOOKUP(③レベルアップ!$H$63,リファレンス!$B:$M,6,0)</f>
        <v>0</v>
      </c>
      <c r="G12" s="120">
        <v>0</v>
      </c>
      <c r="H12" s="33">
        <f>SUM(D12:G12)</f>
        <v>3</v>
      </c>
      <c r="I12" s="300">
        <f>COUNTIF(AR_SHEET_スキル,"ワイルドセンス")*2+COUNTIF(AR_SHEET_装備,"感知のナイフ")*2+IF(COUNTIF(AR_SHEET_道具,"使い魔:感知")&gt;0,2,0)</f>
        <v>0</v>
      </c>
      <c r="J12" s="301">
        <f>2+COUNTIF(AR_SHEET_スキル,"インテュイション")+COUNTIF(AR_SHEET_ギルドサポート,"修練：感知")+COUNTIF(AR_SHEET_装備,"飛燕の帽子")*3</f>
        <v>2</v>
      </c>
      <c r="K12" s="322"/>
      <c r="L12" s="168"/>
      <c r="M12" s="330"/>
      <c r="N12" s="330"/>
      <c r="O12" s="330"/>
      <c r="P12" s="330"/>
      <c r="Q12" s="330"/>
      <c r="R12" s="330"/>
      <c r="S12" s="330"/>
      <c r="T12" s="318"/>
      <c r="U12" s="318"/>
      <c r="V12" s="319">
        <f>IF($T12="","",VLOOKUP($T12,$BE$1:$BF$65534,2,0))</f>
      </c>
      <c r="W12" s="331"/>
      <c r="X12" s="331"/>
      <c r="Y12" s="332">
        <f>IF($W12="","",VLOOKUP($W12,$BE$1:$BF$65534,2,0))</f>
      </c>
      <c r="Z12" s="230"/>
      <c r="AA12" s="230"/>
      <c r="AB12" s="230"/>
      <c r="AC12" s="230"/>
      <c r="AD12" s="230"/>
      <c r="AF12" s="307" t="str">
        <f>C20</f>
        <v>グレートヘルム</v>
      </c>
      <c r="AG12" s="308">
        <f>IF($C20="","",VLOOKUP($C20,AR_アイテム,15,0))</f>
        <v>500</v>
      </c>
      <c r="AH12" s="308"/>
      <c r="AI12" s="221"/>
      <c r="AJ12" s="221"/>
      <c r="AK12" s="311"/>
      <c r="AL12" s="221"/>
      <c r="AM12" s="311"/>
      <c r="AN12" s="221"/>
      <c r="AO12" s="311"/>
      <c r="AP12" s="333"/>
      <c r="AQ12" s="221"/>
      <c r="AR12" s="311"/>
      <c r="AS12" s="221"/>
      <c r="AT12" s="221"/>
      <c r="AU12" s="311"/>
      <c r="AV12" s="221"/>
      <c r="AW12" s="221"/>
      <c r="BE12" s="334" t="s">
        <v>244</v>
      </c>
      <c r="BF12" s="335" t="str">
        <f>"+"&amp;IF(ISERROR(VLOOKUP("アースブレイカー",AR_スキルSL,7,0))=TRUE,"0",VLOOKUP("アースブレイカー",AR_スキルSL,7,0)*4)+COUNTIF(AR_SHEET_装備,"竜爪の耳飾り：地")*5&amp;"(+"&amp;COUNTIF(AR_SHEET_装備,"ダオスタッフ")*3+COUNTIF(AR_SHEET_装備,"ガイアスタッフ")&amp;"D)"</f>
        <v>+0(+0D)</v>
      </c>
      <c r="BG12" s="298"/>
    </row>
    <row r="13" spans="1:59" ht="13.5">
      <c r="A13" s="222"/>
      <c r="B13" s="81" t="s">
        <v>37</v>
      </c>
      <c r="C13" s="143">
        <f>③レベルアップ!O10</f>
        <v>17</v>
      </c>
      <c r="D13" s="299">
        <f>INT(C13/3)</f>
        <v>5</v>
      </c>
      <c r="E13" s="173">
        <f>VLOOKUP(③レベルアップ!$E$63,リファレンス!$B:$M,7,0)</f>
        <v>0</v>
      </c>
      <c r="F13" s="173">
        <f>VLOOKUP(③レベルアップ!$H$63,リファレンス!$B:$M,7,0)</f>
        <v>1</v>
      </c>
      <c r="G13" s="120">
        <f>COUNTIF(AR_SHEET_装備,"白のローブ")+COUNTIF(AR_SHEET_装備,"豊穣の花冠")*2+COUNTIF(AR_SHEET_装備,"セイントシールド")*2-COUNTIF(AR_SHEET_装備,"魔性面")+COUNTIF(AR_SHEET_スキル,"マインドアデプト")*2-COUNTIF(AR_SHEET_防具,"専心のアミュレット")</f>
        <v>2</v>
      </c>
      <c r="H13" s="33">
        <f>SUM(D13:G13)</f>
        <v>8</v>
      </c>
      <c r="I13" s="300">
        <f>COUNTIF(AR_SHEET_装備,"精神のナイフ")*2+COUNTIF(AR_SHEET_スキル,"ハードマインド")*2+IF(COUNTIF(AR_SHEET_道具,"使い魔:精神")&gt;0,2,0)</f>
        <v>0</v>
      </c>
      <c r="J13" s="301">
        <f>2+COUNTIF(AR_SHEET_ギルドサポート,"修練：精神")</f>
        <v>2</v>
      </c>
      <c r="K13" s="336" t="s">
        <v>245</v>
      </c>
      <c r="L13" s="187">
        <f>COUNTIF(AR_SHEET_スキル,"ファミリア")*リファレンス!Q2*10+COUNTIF(AR_SHEET_装備,"マナリンクローブ")*30</f>
        <v>0</v>
      </c>
      <c r="M13" s="337"/>
      <c r="N13" s="337"/>
      <c r="O13" s="337"/>
      <c r="P13" s="337"/>
      <c r="Q13" s="337"/>
      <c r="R13" s="337"/>
      <c r="S13" s="337"/>
      <c r="T13" s="318"/>
      <c r="U13" s="318"/>
      <c r="V13" s="319">
        <f>IF($T13="","",VLOOKUP($T13,$BE$1:$BF$65534,2,0))</f>
      </c>
      <c r="W13" s="331"/>
      <c r="X13" s="331"/>
      <c r="Y13" s="332">
        <f>IF($W13="","",VLOOKUP($W13,$BE$1:$BF$65534,2,0))</f>
      </c>
      <c r="Z13" s="338" t="s">
        <v>57</v>
      </c>
      <c r="AA13" s="338"/>
      <c r="AB13" s="338"/>
      <c r="AC13" s="338"/>
      <c r="AD13" s="338"/>
      <c r="AF13" s="307" t="str">
        <f>C21</f>
        <v>クィルブイリ</v>
      </c>
      <c r="AG13" s="308">
        <f>IF($C21="","",VLOOKUP($C21,AR_アイテム,15,0))</f>
        <v>600</v>
      </c>
      <c r="AH13" s="308"/>
      <c r="AI13" s="221"/>
      <c r="AJ13" s="212" t="s">
        <v>246</v>
      </c>
      <c r="AK13" s="212"/>
      <c r="AM13" s="339"/>
      <c r="AN13" s="339"/>
      <c r="AO13" s="339"/>
      <c r="AP13" s="339"/>
      <c r="AQ13" s="339"/>
      <c r="AR13" s="339"/>
      <c r="AS13" s="339"/>
      <c r="AT13" s="340"/>
      <c r="AU13" s="340"/>
      <c r="AV13" s="340"/>
      <c r="AW13" s="221"/>
      <c r="BE13" s="334" t="s">
        <v>247</v>
      </c>
      <c r="BF13" s="335" t="str">
        <f>"+"&amp;IF(ISERROR(VLOOKUP("ウォーターマスター",AR_スキルSL,7,0))=TRUE,"0",VLOOKUP("ウォーターマスター",AR_スキルSL,7,0)*4)+COUNTIF(AR_SHEET_装備,"竜爪の耳飾り：水")*5&amp;"(+"&amp;COUNTIF(AR_SHEET_装備,"アクエリスタッフ")+COUNTIF(AR_SHEET_装備,"マリッドスタッフ")*3&amp;"D)"</f>
        <v>+0(+0D)</v>
      </c>
      <c r="BG13" s="298"/>
    </row>
    <row r="14" spans="1:59" ht="11.25">
      <c r="A14" s="222"/>
      <c r="B14" s="83" t="s">
        <v>38</v>
      </c>
      <c r="C14" s="143">
        <f>③レベルアップ!O11</f>
        <v>7</v>
      </c>
      <c r="D14" s="341">
        <f>INT(C14/3)</f>
        <v>2</v>
      </c>
      <c r="E14" s="173">
        <f>VLOOKUP(③レベルアップ!$E$63,リファレンス!$B:$M,8,0)</f>
        <v>0</v>
      </c>
      <c r="F14" s="187">
        <f>VLOOKUP(③レベルアップ!$H$63,リファレンス!$B:$M,8,0)</f>
        <v>0</v>
      </c>
      <c r="G14" s="133">
        <f>0-COUNTIF(AR_SHEET_装備,"魔骨の兜")</f>
        <v>0</v>
      </c>
      <c r="H14" s="342">
        <f>SUM(D14:G14)</f>
        <v>2</v>
      </c>
      <c r="I14" s="343">
        <f>COUNTIF(AR_SHEET_装備,"幸運のナイフ")*2+COUNTIF(AR_SHEET_防具,"フェザーアーマー")+IF(COUNTIF(AR_SHEET_道具,"使い魔:幸運")&gt;0,2,0)</f>
        <v>0</v>
      </c>
      <c r="J14" s="344">
        <f>COUNTIF(AR_SHEET_スキル,"ラッキースター")+2+COUNTIF(AR_SHEET_ギルドサポート,"修練：幸運")</f>
        <v>2</v>
      </c>
      <c r="K14" s="345" t="s">
        <v>248</v>
      </c>
      <c r="L14" s="346">
        <f>③レベルアップ!O27+IF(ISERROR(VLOOKUP("最後の力",AR_SHEET_ギルドサポート,7,0))=TRUE,"0",VLOOKUP("最後の力",AR_SHEET_ギルドサポート,7,0))</f>
        <v>5</v>
      </c>
      <c r="M14" s="347" t="s">
        <v>249</v>
      </c>
      <c r="N14" s="347"/>
      <c r="O14" s="347"/>
      <c r="P14" s="347"/>
      <c r="Q14" s="347"/>
      <c r="R14" s="347"/>
      <c r="S14" s="347"/>
      <c r="T14" s="154"/>
      <c r="U14" s="154"/>
      <c r="V14" s="319">
        <f>IF($T14="","",VLOOKUP($T14,$BE$1:$BF$65534,2,0))</f>
      </c>
      <c r="W14" s="348"/>
      <c r="X14" s="348"/>
      <c r="Y14" s="349">
        <f>IF($W14="","",VLOOKUP($W14,$BE$1:$BF$65534,2,0))</f>
      </c>
      <c r="Z14" s="129">
        <v>1405</v>
      </c>
      <c r="AA14" s="129"/>
      <c r="AB14" s="129"/>
      <c r="AC14" s="129"/>
      <c r="AD14" s="129"/>
      <c r="AF14" s="307" t="str">
        <f>C22</f>
        <v>ﾌｧｲﾝﾎﾟｲﾝﾄｱｰﾏｰ</v>
      </c>
      <c r="AG14" s="308">
        <f>IF($C22="","",VLOOKUP($C22,AR_アイテム,15,0))</f>
        <v>550</v>
      </c>
      <c r="AH14" s="308"/>
      <c r="AI14" s="221"/>
      <c r="AJ14" s="81" t="s">
        <v>250</v>
      </c>
      <c r="AK14" s="82" t="str">
        <f>"+"&amp;0&amp;"(+"&amp;0&amp;"D)"</f>
        <v>+0(+0D)</v>
      </c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221"/>
      <c r="BE14" s="334" t="s">
        <v>251</v>
      </c>
      <c r="BF14" s="335" t="str">
        <f>"+"&amp;IF(ISERROR(VLOOKUP("ファイアロード",AR_スキルSL,7,0))=TRUE,"0",VLOOKUP("ファイアロード",AR_スキルSL,7,0)*4)+COUNTIF(AR_SHEET_装備,"竜爪の耳飾り：火")*5&amp;"(+"&amp;COUNTIF(AR_SHEET_装備,"フレアスタッフ")+COUNTIF(AR_SHEET_装備,"イフリートスタッフ")*3&amp;"D)"</f>
        <v>+0(+0D)</v>
      </c>
      <c r="BG14" s="298"/>
    </row>
    <row r="15" spans="1:59" ht="11.25">
      <c r="A15" s="222"/>
      <c r="B15" s="214" t="s">
        <v>222</v>
      </c>
      <c r="C15" s="214"/>
      <c r="D15" s="214"/>
      <c r="E15" s="214"/>
      <c r="F15" s="111" t="s">
        <v>252</v>
      </c>
      <c r="G15" s="350" t="s">
        <v>253</v>
      </c>
      <c r="H15" s="111" t="s">
        <v>254</v>
      </c>
      <c r="I15" s="218" t="s">
        <v>255</v>
      </c>
      <c r="J15" s="110" t="s">
        <v>174</v>
      </c>
      <c r="K15" s="111" t="s">
        <v>256</v>
      </c>
      <c r="L15" s="111" t="s">
        <v>233</v>
      </c>
      <c r="M15" s="111" t="s">
        <v>257</v>
      </c>
      <c r="N15" s="111" t="s">
        <v>258</v>
      </c>
      <c r="O15" s="111"/>
      <c r="P15" s="111" t="s">
        <v>259</v>
      </c>
      <c r="Q15" s="111" t="s">
        <v>260</v>
      </c>
      <c r="R15" s="111" t="s">
        <v>261</v>
      </c>
      <c r="S15" s="218" t="s">
        <v>262</v>
      </c>
      <c r="T15" s="218"/>
      <c r="U15" s="218"/>
      <c r="V15" s="218"/>
      <c r="W15" s="218"/>
      <c r="X15" s="214" t="s">
        <v>263</v>
      </c>
      <c r="Y15" s="214"/>
      <c r="Z15" s="216" t="s">
        <v>165</v>
      </c>
      <c r="AA15" s="115" t="s">
        <v>21</v>
      </c>
      <c r="AB15" s="350" t="s">
        <v>195</v>
      </c>
      <c r="AC15" s="218" t="s">
        <v>107</v>
      </c>
      <c r="AD15" s="218"/>
      <c r="AF15" s="307" t="str">
        <f>C23</f>
        <v>秘伝書</v>
      </c>
      <c r="AG15" s="308">
        <f>IF($C23="","",VLOOKUP($C23,AR_アイテム,15,0))</f>
        <v>300</v>
      </c>
      <c r="AH15" s="308"/>
      <c r="AI15" s="221"/>
      <c r="AJ15" s="351" t="s">
        <v>158</v>
      </c>
      <c r="AK15" s="82" t="str">
        <f>"+"&amp;COUNTIF(AR_SHEET_スキル,"ナチュラルウェポン")+COUNTIF(AR_SHEET_装備,"パワーリスト")*-1+IF(ISERROR(VLOOKUP("スペシャライズ：格闘",AR_スキルSL,7,0))=TRUE,"0",VLOOKUP("スペシャライズ：格闘",AR_スキルSL,7,0))&amp;"(+"&amp;COUNTIF(AR_SHEET_スキル,"アームズマスタリー：格闘")+COUNTIF(AR_SHEET_スキル,"アームズロジック：格闘")&amp;"D)"</f>
        <v>+1(+1D)</v>
      </c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221"/>
      <c r="BE15" s="334" t="s">
        <v>264</v>
      </c>
      <c r="BF15" s="335" t="str">
        <f>"+"&amp;IF(ISERROR(VLOOKUP("エアリアルセイバー",AR_スキルSL,7,0))=TRUE,"0",VLOOKUP("エアリアルセイバー",AR_スキルSL,7,0)*4)+COUNTIF(AR_SHEET_装備,"竜爪の耳飾り：風")*5&amp;"(+"&amp;COUNTIF(AR_SHEET_装備,"エアロスタッフ")+COUNTIF(AR_SHEET_装備,"ディジニスタッフ")*3&amp;"D)"</f>
        <v>+0(+0D)</v>
      </c>
      <c r="BG15" s="298"/>
    </row>
    <row r="16" spans="1:59" ht="11.25">
      <c r="A16" s="222"/>
      <c r="B16" s="81" t="s">
        <v>265</v>
      </c>
      <c r="C16" s="129" t="s">
        <v>266</v>
      </c>
      <c r="D16" s="129"/>
      <c r="E16" s="129"/>
      <c r="F16" s="57">
        <f>IF($C16="","",VLOOKUP($C16,AR_アイテム,2,0))</f>
        <v>5</v>
      </c>
      <c r="G16" s="129" t="s">
        <v>158</v>
      </c>
      <c r="H16" s="57" t="str">
        <f>IF($C16="","",VLOOKUP($C16,AR_アイテム,4,0))</f>
        <v>双手</v>
      </c>
      <c r="I16" s="82">
        <f>IF($C16="","",VLOOKUP($C16,AR_アイテム,5,0))</f>
        <v>6</v>
      </c>
      <c r="J16" s="307">
        <f>IF($C16="","",VLOOKUP($C16,AR_アイテム,6,0))</f>
        <v>1</v>
      </c>
      <c r="K16" s="57">
        <f>IF($C16="","",VLOOKUP($C16,AR_アイテム,7,0))</f>
        <v>8</v>
      </c>
      <c r="L16" s="57">
        <f>IF($C16="","",VLOOKUP($C16,AR_アイテム,8,0))</f>
        <v>0</v>
      </c>
      <c r="M16" s="57">
        <f>IF($C16="","",VLOOKUP($C16,AR_アイテム,9,0))</f>
        <v>0</v>
      </c>
      <c r="N16" s="57">
        <f>IF($C16="","",VLOOKUP($C16,AR_アイテム,10,0))</f>
        <v>0</v>
      </c>
      <c r="O16" s="57"/>
      <c r="P16" s="57">
        <f>IF($C16="","",VLOOKUP($C16,AR_アイテム,11,0))</f>
        <v>0</v>
      </c>
      <c r="Q16" s="57">
        <f>IF($C16="","",VLOOKUP($C16,AR_アイテム,12,0))</f>
        <v>0</v>
      </c>
      <c r="R16" s="352" t="str">
        <f>IF($C16="","",VLOOKUP($C16,AR_アイテム,13,0))</f>
        <v>至近</v>
      </c>
      <c r="S16" s="353">
        <f>IF($C16="","",VLOOKUP($C16,AR_アイテム,14,0))</f>
        <v>0</v>
      </c>
      <c r="T16" s="353"/>
      <c r="U16" s="353"/>
      <c r="V16" s="353"/>
      <c r="W16" s="353"/>
      <c r="X16" s="354" t="s">
        <v>267</v>
      </c>
      <c r="Y16" s="354"/>
      <c r="Z16" s="355">
        <f>$H$12</f>
        <v>3</v>
      </c>
      <c r="AA16" s="173">
        <f>COUNTIF(AR_SHEET_スキル,"マイスター：トラップ探知")*2+COUNTIF(AR_SHEET_スキル,"ワイルドセンス")*2+COUNTIF(AR_SHEET_スキル,"アンチトラップ")+IF(ISERROR(VLOOKUP("偵察部隊",AR_SHEET_ギルドサポート,7,0))=TRUE,"0",VLOOKUP("偵察部隊",AR_SHEET_ギルドサポート,7,0)*2)</f>
        <v>0</v>
      </c>
      <c r="AB16" s="225">
        <v>0</v>
      </c>
      <c r="AC16" s="355">
        <f>SUM(Z16:AB16)</f>
        <v>3</v>
      </c>
      <c r="AD16" s="356">
        <f>2+COUNTIF(AR_SHEET_スキル,"ファインドトラップ")+COUNTIF(AR_SHEET_スキル,"インテュイション")+COUNTIF(AR_SHEET_ギルドサポート,"修練：感知")+COUNTIF(AR_SHEET_装備,"飛燕の帽子")*3</f>
        <v>2</v>
      </c>
      <c r="AF16" s="144" t="s">
        <v>107</v>
      </c>
      <c r="AG16" s="357">
        <f>SUM(AG8:AG15)</f>
        <v>2350</v>
      </c>
      <c r="AH16" s="357"/>
      <c r="AI16" s="221"/>
      <c r="AJ16" s="351" t="s">
        <v>268</v>
      </c>
      <c r="AK16" s="82" t="str">
        <f>"+"&amp;0+IF(ISERROR(VLOOKUP("スペシャライズ：短剣",AR_スキルSL,7,0))=TRUE,"0",VLOOKUP("スペシャライズ：短剣",AR_スキルSL,7,0))+IF(ISERROR(VLOOKUP("デスブレイド",AR_スキルSL,7,0))=TRUE,"-2",VLOOKUP("デスブレイド",AR_スキルSL,7,0))+2&amp;"(+"&amp;COUNTIF(AR_SHEET_スキル,"アームズマスタリー：短剣")+COUNTIF(AR_SHEET_スキル,"ツインフェンサー")+COUNTIF(AR_SHEET_スキル,"アームズロジック：短剣")&amp;"D)"</f>
        <v>+0(+0D)</v>
      </c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221"/>
      <c r="BE16" s="334" t="s">
        <v>269</v>
      </c>
      <c r="BF16" s="335" t="str">
        <f>"+"&amp;COUNTIF(AR_SHEET_装備,"竜爪の耳飾り：光")*5&amp;"(+"&amp;IF(ISERROR(VLOOKUP("ミッドナイトサン",AR_スキルSL,7,0))=TRUE,"0",VLOOKUP("ミッドナイトサン",AR_スキルSL,7,0))+COUNTIF(AR_SHEET_装備,"シャインスタッフ")+COUNTIF(AR_SHEET_装備,"マライカスタッフ")*3&amp;"D)"</f>
        <v>+0(+0D)</v>
      </c>
      <c r="BG16" s="298"/>
    </row>
    <row r="17" spans="1:59" ht="11.25">
      <c r="A17" s="222"/>
      <c r="B17" s="81" t="s">
        <v>270</v>
      </c>
      <c r="C17" s="129"/>
      <c r="D17" s="129"/>
      <c r="E17" s="129"/>
      <c r="F17" s="57">
        <f>IF($C17="","",VLOOKUP($C17,AR_アイテム,2,0))</f>
      </c>
      <c r="G17" s="129"/>
      <c r="H17" s="57">
        <f>IF($C17="","",VLOOKUP($C17,AR_アイテム,4,0))</f>
      </c>
      <c r="I17" s="82">
        <f>IF($C17="","",VLOOKUP($C17,AR_アイテム,5,0))</f>
      </c>
      <c r="J17" s="307">
        <f>IF($C17="","",VLOOKUP($C17,AR_アイテム,6,0))</f>
      </c>
      <c r="K17" s="57">
        <f>IF($C17="","",VLOOKUP($C17,AR_アイテム,7,0))</f>
      </c>
      <c r="L17" s="57">
        <f>IF($C17="","",VLOOKUP($C17,AR_アイテム,8,0))</f>
      </c>
      <c r="M17" s="57">
        <f>IF($C17="","",VLOOKUP($C17,AR_アイテム,9,0))</f>
      </c>
      <c r="N17" s="57">
        <f>IF($C17="","",VLOOKUP($C17,AR_アイテム,10,0))</f>
      </c>
      <c r="O17" s="57"/>
      <c r="P17" s="57">
        <f>IF($C17="","",VLOOKUP($C17,AR_アイテム,11,0))</f>
      </c>
      <c r="Q17" s="57">
        <f>IF($C17="","",VLOOKUP($C17,AR_アイテム,12,0))</f>
      </c>
      <c r="R17" s="352">
        <f>IF($C17="","",VLOOKUP($C17,AR_アイテム,13,0))</f>
      </c>
      <c r="S17" s="353">
        <f>IF($C17="","",VLOOKUP($C17,AR_アイテム,14,0))</f>
      </c>
      <c r="T17" s="353"/>
      <c r="U17" s="353"/>
      <c r="V17" s="353"/>
      <c r="W17" s="353"/>
      <c r="X17" s="354" t="s">
        <v>271</v>
      </c>
      <c r="Y17" s="354"/>
      <c r="Z17" s="355">
        <f>IF(COUNTIF(AR_SHEET_スキル,"ディスマントル")=1,キャラクターシート!$H$11,$H$9)</f>
        <v>6</v>
      </c>
      <c r="AA17" s="173">
        <f>IF(ISERROR(VLOOKUP("タイムマジック",AR_スキルSL,7,0))=TRUE,"0",VLOOKUP("タイムマジック",AR_スキルSL,7,0))*2+COUNTIF(AR_SHEET_スキル,"マイスター：トラップ解除")*2+COUNTIF(AR_SHEET_スキル,"アンチトラップ")</f>
        <v>0</v>
      </c>
      <c r="AB17" s="225">
        <f>COUNTIF(AR_SHEET_装備,"シーブズツール")+COUNTIF(AR_SHEET_装備,"セブン・ダブ")*2+COUNTIF(AR_SHEET_装備,"盗賊の籠手")*3+COUNTIF(AR_SHEET_装備,"器用のナイフ")*2</f>
        <v>0</v>
      </c>
      <c r="AC17" s="355">
        <f>SUM(Z17:AB17)</f>
        <v>6</v>
      </c>
      <c r="AD17" s="356">
        <f>2+COUNTIF(AR_SHEET_スキル,"リムーブトラップ")+COUNTIF(AR_SHEET_スキル,"アキュレイト")+COUNTIF(AR_SHEET_ギルドサポート,"修練：器用")</f>
        <v>2</v>
      </c>
      <c r="AF17" s="81" t="s">
        <v>272</v>
      </c>
      <c r="AG17" s="294" t="s">
        <v>255</v>
      </c>
      <c r="AH17" s="294" t="s">
        <v>224</v>
      </c>
      <c r="AI17" s="221"/>
      <c r="AJ17" s="351" t="s">
        <v>273</v>
      </c>
      <c r="AK17" s="82" t="str">
        <f>"+"&amp;0+IF(ISERROR(VLOOKUP("スペシャライズ：長剣",AR_スキルSL,7,0))=TRUE,"0",VLOOKUP("スペシャライズ：長剣",AR_スキルSL,7,0))&amp;"(+"&amp;COUNTIF(AR_SHEET_スキル,"アームズマスタリー：長剣")+COUNTIF(AR_SHEET_スキル,"アームズロジック：長剣")&amp;"D)"</f>
        <v>+0(+0D)</v>
      </c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221"/>
      <c r="BE17" s="334" t="s">
        <v>274</v>
      </c>
      <c r="BF17" s="335" t="str">
        <f>"+"&amp;COUNTIF(AR_SHEET_装備,"竜爪の耳飾り：闇")*5&amp;"(+"&amp;IF(ISERROR(VLOOKUP("ミッドナイトサン",AR_スキルSL,7,0))=TRUE,"0",VLOOKUP("ミッドナイトサン",AR_スキルSL,7,0))+COUNTIF(AR_SHEET_装備,"ダークスタッフ")+COUNTIF(AR_SHEET_装備,"ディアボロススタッフ")*3&amp;"D)"</f>
        <v>+0(+0D)</v>
      </c>
      <c r="BG17" s="298"/>
    </row>
    <row r="18" spans="1:59" ht="11.25">
      <c r="A18" s="222"/>
      <c r="B18" s="81" t="s">
        <v>275</v>
      </c>
      <c r="C18" s="129"/>
      <c r="D18" s="129"/>
      <c r="E18" s="129"/>
      <c r="F18" s="57">
        <f>IF($C18="","",VLOOKUP($C18,AR_アイテム,2,0))</f>
      </c>
      <c r="G18" s="129"/>
      <c r="H18" s="57">
        <f>IF($C18="","",VLOOKUP($C18,AR_アイテム,4,0))</f>
      </c>
      <c r="I18" s="82">
        <f>IF($C18="","",VLOOKUP($C18,AR_アイテム,5,0))</f>
      </c>
      <c r="J18" s="307">
        <f>IF($C18="","",VLOOKUP($C18,AR_アイテム,6,0))</f>
      </c>
      <c r="K18" s="57">
        <f>IF($C18="","",VLOOKUP($C18,AR_アイテム,7,0))</f>
      </c>
      <c r="L18" s="57">
        <f>IF($C18="","",VLOOKUP($C18,AR_アイテム,8,0))</f>
      </c>
      <c r="M18" s="57">
        <f>IF($C18="","",VLOOKUP($C18,AR_アイテム,9,0))</f>
      </c>
      <c r="N18" s="57">
        <f>IF($C18="","",VLOOKUP($C18,AR_アイテム,10,0))</f>
      </c>
      <c r="O18" s="57"/>
      <c r="P18" s="57">
        <f>IF($C18="","",VLOOKUP($C18,AR_アイテム,11,0))</f>
      </c>
      <c r="Q18" s="57">
        <f>IF($C18="","",VLOOKUP($C18,AR_アイテム,12,0))</f>
      </c>
      <c r="R18" s="57">
        <f>IF($C18="","",VLOOKUP($C18,AR_アイテム,13,0))</f>
      </c>
      <c r="S18" s="353">
        <f>IF($C18="","",VLOOKUP($C18,AR_アイテム,14,0))</f>
      </c>
      <c r="T18" s="353"/>
      <c r="U18" s="353"/>
      <c r="V18" s="353"/>
      <c r="W18" s="353"/>
      <c r="X18" s="354" t="s">
        <v>276</v>
      </c>
      <c r="Y18" s="354"/>
      <c r="Z18" s="355">
        <f>$H$12</f>
        <v>3</v>
      </c>
      <c r="AA18" s="173">
        <f>COUNTIF(AR_SHEET_スキル,"マイスター：危険感知")*2+COUNTIF(AR_SHEET_スキル,"ワイルドセンス")*2+COUNTIF(AR_SHEET_スキル,"アンチトラップ")+IF(ISERROR(VLOOKUP("偵察部隊",AR_SHEET_ギルドサポート,7,0))=TRUE,"0",VLOOKUP("偵察部隊",AR_SHEET_ギルドサポート,7,0)*2)</f>
        <v>0</v>
      </c>
      <c r="AB18" s="225">
        <f>COUNTIF(AR_SHEET_装備,"長い棒")</f>
        <v>0</v>
      </c>
      <c r="AC18" s="355">
        <f>SUM(Z18:AB18)</f>
        <v>3</v>
      </c>
      <c r="AD18" s="356">
        <f>2+COUNTIF(AR_SHEET_スキル,"サーチリスク")+COUNTIF(AR_SHEET_スキル,"トラブルセンス")+COUNTIF(AR_SHEET_スキル,"インテュイション")+COUNTIF(AR_SHEET_ギルドサポート,"修練：感知")+COUNTIF(AR_SHEET_装備,"飛燕の帽子")*3</f>
        <v>2</v>
      </c>
      <c r="AF18" s="358" t="s">
        <v>277</v>
      </c>
      <c r="AG18" s="359">
        <f>IF($AF18="","",VLOOKUP($AF18,AR_アイテム,5,0))*AH18</f>
        <v>0</v>
      </c>
      <c r="AH18" s="129">
        <v>1</v>
      </c>
      <c r="AI18" s="221"/>
      <c r="AJ18" s="351" t="s">
        <v>278</v>
      </c>
      <c r="AK18" s="82" t="str">
        <f>"+"&amp;IF(COUNTIF(キャラクターシート!D4:F5,"基アコライト")+COUNTIF(キャラクターシート!D4:F5,"上プリースト")+COUNTIF(キャラクターシート!D4:F5,"上パラディン")&gt;0,COUNTIF(AR_SHEET_装備,"セレスチャルソード"),0)+IF(ISERROR(VLOOKUP("スペシャライズ：両手剣",AR_スキルSL,7,0))=TRUE,"0",VLOOKUP("スペシャライズ：両手剣",AR_スキルSL,7,0))&amp;"(+"&amp;COUNTIF(AR_SHEET_スキル,"アームズマスタリー：両手剣")+COUNTIF(AR_SHEET_スキル,"アームズロジック：両手剣")&amp;"D)"</f>
        <v>+0(+0D)</v>
      </c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221"/>
      <c r="AX18" s="65"/>
      <c r="AY18" s="65"/>
      <c r="AZ18" s="65"/>
      <c r="BA18" s="360"/>
      <c r="BE18" s="296" t="s">
        <v>279</v>
      </c>
      <c r="BF18" s="335" t="str">
        <f>"+"&amp;IF(ISERROR(VLOOKUP("ビリーブ",AR_スキルSL,7,0))=TRUE,"0",VLOOKUP("ビリーブ",AR_スキルSL,7,0))*4&amp;"(+"&amp;0&amp;"D)"</f>
        <v>+0(+0D)</v>
      </c>
      <c r="BG18" s="298"/>
    </row>
    <row r="19" spans="1:59" ht="11.25">
      <c r="A19" s="222"/>
      <c r="B19" s="81" t="s">
        <v>280</v>
      </c>
      <c r="C19" s="129"/>
      <c r="D19" s="129"/>
      <c r="E19" s="129"/>
      <c r="F19" s="57">
        <f>IF($C19="","",VLOOKUP($C19,AR_アイテム,2,0))</f>
      </c>
      <c r="G19" s="129"/>
      <c r="H19" s="57">
        <f>IF($C19="","",VLOOKUP($C19,AR_アイテム,4,0))</f>
      </c>
      <c r="I19" s="82">
        <f>IF($C19="","",VLOOKUP($C19,AR_アイテム,5,0))</f>
      </c>
      <c r="J19" s="307">
        <f>IF($C19="","",VLOOKUP($C19,AR_アイテム,6,0))</f>
      </c>
      <c r="K19" s="57">
        <f>IF($C19="","",VLOOKUP($C19,AR_アイテム,7,0))</f>
      </c>
      <c r="L19" s="57">
        <f>IF($C19="","",VLOOKUP($C19,AR_アイテム,8,0))</f>
      </c>
      <c r="M19" s="57">
        <f>IF($C19="","",VLOOKUP($C19,AR_アイテム,9,0))</f>
      </c>
      <c r="N19" s="57">
        <f>IF($C19="","",VLOOKUP($C19,AR_アイテム,10,0))</f>
      </c>
      <c r="O19" s="57"/>
      <c r="P19" s="57">
        <f>IF($C19="","",VLOOKUP($C19,AR_アイテム,11,0))</f>
      </c>
      <c r="Q19" s="57">
        <f>IF($C19="","",VLOOKUP($C19,AR_アイテム,12,0))</f>
      </c>
      <c r="R19" s="352">
        <f>IF($C19="","",VLOOKUP($C19,AR_アイテム,13,0))</f>
      </c>
      <c r="S19" s="353">
        <f>IF($C19="","",VLOOKUP($C19,AR_アイテム,14,0))</f>
      </c>
      <c r="T19" s="353"/>
      <c r="U19" s="353"/>
      <c r="V19" s="353"/>
      <c r="W19" s="353"/>
      <c r="X19" s="354" t="s">
        <v>281</v>
      </c>
      <c r="Y19" s="354"/>
      <c r="Z19" s="355">
        <f>$H$11</f>
        <v>2</v>
      </c>
      <c r="AA19" s="173">
        <f>IF(ISERROR(VLOOKUP("ハイウィズダム",AR_スキルSL,7,0))=TRUE,"0",VLOOKUP("ハイウィズダム",AR_スキルSL,7,0))+COUNTIF(AR_SHEET_スキル,"マイスター：エネミー識別")*2+IF(ISERROR(VLOOKUP("偵察部隊",AR_SHEET_ギルドサポート,7,0))=TRUE,"0",VLOOKUP("偵察部隊",AR_SHEET_ギルドサポート,7,0)*2)</f>
        <v>0</v>
      </c>
      <c r="AB19" s="225">
        <v>0</v>
      </c>
      <c r="AC19" s="355">
        <f>SUM(Z19:AB19)</f>
        <v>2</v>
      </c>
      <c r="AD19" s="356">
        <f>2+COUNTIF(AR_SHEET_スキル,"フィールドワーク")+COUNTIF(AR_SHEET_ギルドサポート,"ライブラリー")+COUNTIF(AR_SHEET_ギルドサポート,"修練：知力")+COUNTIF(AR_SHEET_スキル,"ナチュラルヒストリー")+COUNTIF(AR_SHEET_スキル,"モンスターロア")</f>
        <v>2</v>
      </c>
      <c r="AF19" s="358" t="s">
        <v>282</v>
      </c>
      <c r="AG19" s="359">
        <f>IF($AF19="","",VLOOKUP($AF19,AR_アイテム,5,0))*AH19</f>
        <v>5</v>
      </c>
      <c r="AH19" s="129">
        <v>1</v>
      </c>
      <c r="AI19" s="221"/>
      <c r="AJ19" s="351" t="s">
        <v>283</v>
      </c>
      <c r="AK19" s="82" t="str">
        <f>"+"&amp;IF(ISERROR(VLOOKUP("スペシャライズ：刀",AR_スキルSL,7,0))=TRUE,"0",VLOOKUP("スペシャライズ：刀",AR_スキルSL,7,0))+COUNTIF(AR_SHEET_スキル,"インサイトブレイド")*3&amp;"(+"&amp;COUNTIF(AR_SHEET_スキル,"アームズマスタリー：刀")+COUNTIF(AR_SHEET_スキル,"アームズロジック：刀")&amp;"D)"</f>
        <v>+0(+0D)</v>
      </c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221"/>
      <c r="AX19" s="65"/>
      <c r="AY19" s="65"/>
      <c r="AZ19" s="65"/>
      <c r="BA19" s="360"/>
      <c r="BE19" s="361" t="s">
        <v>284</v>
      </c>
      <c r="BF19" s="316" t="str">
        <f>"+"&amp;0+IF(ISERROR(VLOOKUP("アトリビュート",AR_スキルSL,7,0))=TRUE,"0",VLOOKUP("アトリビュート",AR_スキルSL,7,0)*4)&amp;"(+"&amp;0&amp;"D)"</f>
        <v>+0(+0D)</v>
      </c>
      <c r="BG19" s="298"/>
    </row>
    <row r="20" spans="1:59" ht="11.25">
      <c r="A20" s="222"/>
      <c r="B20" s="81" t="s">
        <v>285</v>
      </c>
      <c r="C20" s="129" t="s">
        <v>286</v>
      </c>
      <c r="D20" s="129"/>
      <c r="E20" s="129"/>
      <c r="F20" s="57">
        <f>IF($C20="","",VLOOKUP($C20,AR_アイテム,2,0))</f>
        <v>4</v>
      </c>
      <c r="G20" s="57" t="s">
        <v>287</v>
      </c>
      <c r="H20" s="57" t="str">
        <f>IF($C20="","",VLOOKUP($C20,AR_アイテム,4,0))</f>
        <v>戦</v>
      </c>
      <c r="I20" s="82">
        <f>IF($C20="","",VLOOKUP($C20,AR_アイテム,5,0))</f>
        <v>4</v>
      </c>
      <c r="J20" s="307">
        <f>IF($C20="","",VLOOKUP($C20,AR_アイテム,6,0))</f>
        <v>0</v>
      </c>
      <c r="K20" s="57">
        <f>IF($C20="","",VLOOKUP($C20,AR_アイテム,7,0))</f>
        <v>0</v>
      </c>
      <c r="L20" s="57">
        <f>IF($C20="","",VLOOKUP($C20,AR_アイテム,8,0))</f>
        <v>-1</v>
      </c>
      <c r="M20" s="57">
        <f>IF($C20="","",VLOOKUP($C20,AR_アイテム,9,0))</f>
        <v>4</v>
      </c>
      <c r="N20" s="57">
        <f>IF($C20="","",VLOOKUP($C20,AR_アイテム,10,0))</f>
        <v>0</v>
      </c>
      <c r="O20" s="57"/>
      <c r="P20" s="57">
        <f>IF($C20="","",VLOOKUP($C20,AR_アイテム,11,0))</f>
        <v>0</v>
      </c>
      <c r="Q20" s="57">
        <f>IF($C20="","",VLOOKUP($C20,AR_アイテム,12,0))</f>
        <v>0</v>
      </c>
      <c r="R20" s="57" t="str">
        <f>IF($C20="","",VLOOKUP($C20,AR_アイテム,13,0))</f>
        <v>-</v>
      </c>
      <c r="S20" s="353">
        <f>IF($C20="","",VLOOKUP($C20,AR_アイテム,14,0))</f>
        <v>0</v>
      </c>
      <c r="T20" s="353"/>
      <c r="U20" s="353"/>
      <c r="V20" s="353"/>
      <c r="W20" s="353"/>
      <c r="X20" s="354" t="s">
        <v>288</v>
      </c>
      <c r="Y20" s="354"/>
      <c r="Z20" s="355">
        <f>$H$11</f>
        <v>2</v>
      </c>
      <c r="AA20" s="173">
        <f>IF(ISERROR(VLOOKUP("ハイウィズダム",AR_スキルSL,7,0))=TRUE,"0",VLOOKUP("ハイウィズダム",AR_スキルSL,7,0))+COUNTIF(AR_SHEET_スキル,"マイスター：アイテム鑑定")*2</f>
        <v>0</v>
      </c>
      <c r="AB20" s="225">
        <f>COUNTIF(AR_SHEET_装備,"大きな目")*3</f>
        <v>0</v>
      </c>
      <c r="AC20" s="355">
        <f>SUM(Z20:AB20)</f>
        <v>2</v>
      </c>
      <c r="AD20" s="356">
        <f>COUNTIF(AR_SHEET_スキル,"オピニオン")+2+COUNTIF(AR_SHEET_スキル,"フィールドワーク")+COUNTIF(AR_SHEET_スキル,"アイデンティファイ")+COUNTIF(AR_SHEET_ギルドサポート,"ライブラリー")+COUNTIF(AR_SHEET_ギルドサポート,"修練：知力")</f>
        <v>2</v>
      </c>
      <c r="AF20" s="358"/>
      <c r="AG20" s="359" t="e">
        <f>IF($AF20="","",VLOOKUP($AF20,AR_アイテム,5,0))*AH20</f>
        <v>#VALUE!</v>
      </c>
      <c r="AH20" s="129"/>
      <c r="AI20" s="221"/>
      <c r="AJ20" s="351" t="s">
        <v>289</v>
      </c>
      <c r="AK20" s="82" t="str">
        <f>"+"&amp;0+IF(ISERROR(VLOOKUP("スペシャライズ：鞭",AR_スキルSL,7,0))=TRUE,"0",VLOOKUP("スペシャライズ：鞭",AR_スキルSL,7,0))&amp;"(+"&amp;COUNTIF(AR_SHEET_スキル,"アームズマスタリー：鞭")+COUNTIF(AR_SHEET_スキル,"アームズロジック：鞭")&amp;"D)"</f>
        <v>+0(+0D)</v>
      </c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221"/>
      <c r="AX20" s="65"/>
      <c r="AY20" s="65"/>
      <c r="AZ20" s="65"/>
      <c r="BA20" s="360"/>
      <c r="BE20" s="85" t="s">
        <v>290</v>
      </c>
      <c r="BF20" s="362" t="str">
        <f>"+"&amp;COUNTIF(AR_SHEET_装備,"トパーズリング")*3+COUNTIF(AR_SHEET_装備,"地のタリスマン")*2&amp;"(+"&amp;0&amp;"D)"</f>
        <v>+0(+0D)</v>
      </c>
      <c r="BG20" s="298"/>
    </row>
    <row r="21" spans="1:58" ht="13.5">
      <c r="A21" s="222"/>
      <c r="B21" s="81" t="s">
        <v>291</v>
      </c>
      <c r="C21" s="129" t="s">
        <v>292</v>
      </c>
      <c r="D21" s="129"/>
      <c r="E21" s="129"/>
      <c r="F21" s="57">
        <f>IF($C21="","",VLOOKUP($C21,AR_アイテム,2,0))</f>
        <v>4</v>
      </c>
      <c r="G21" s="57" t="s">
        <v>293</v>
      </c>
      <c r="H21" s="57" t="str">
        <f>IF($C21="","",VLOOKUP($C21,AR_アイテム,4,0))</f>
        <v>戦僧</v>
      </c>
      <c r="I21" s="82">
        <f>IF($C21="","",VLOOKUP($C21,AR_アイテム,5,0))</f>
        <v>8</v>
      </c>
      <c r="J21" s="307">
        <f>IF($C21="","",VLOOKUP($C21,AR_アイテム,6,0))</f>
        <v>0</v>
      </c>
      <c r="K21" s="57">
        <f>IF($C21="","",VLOOKUP($C21,AR_アイテム,7,0))</f>
        <v>0</v>
      </c>
      <c r="L21" s="57">
        <f>IF($C21="","",VLOOKUP($C21,AR_アイテム,8,0))</f>
        <v>0</v>
      </c>
      <c r="M21" s="57">
        <f>IF($C21="","",VLOOKUP($C21,AR_アイテム,9,0))</f>
        <v>8</v>
      </c>
      <c r="N21" s="57">
        <f>IF($C21="","",VLOOKUP($C21,AR_アイテム,10,0))</f>
        <v>0</v>
      </c>
      <c r="O21" s="57"/>
      <c r="P21" s="57">
        <f>IF($C21="","",VLOOKUP($C21,AR_アイテム,11,0))</f>
        <v>0</v>
      </c>
      <c r="Q21" s="57">
        <f>IF($C21="","",VLOOKUP($C21,AR_アイテム,12,0))</f>
        <v>-2</v>
      </c>
      <c r="R21" s="57" t="str">
        <f>IF($C21="","",VLOOKUP($C21,AR_アイテム,13,0))</f>
        <v>-</v>
      </c>
      <c r="S21" s="353">
        <f>IF($C21="","",VLOOKUP($C21,AR_アイテム,14,0))</f>
        <v>0</v>
      </c>
      <c r="T21" s="353"/>
      <c r="U21" s="353"/>
      <c r="V21" s="353"/>
      <c r="W21" s="353"/>
      <c r="X21" s="354" t="s">
        <v>294</v>
      </c>
      <c r="Y21" s="354"/>
      <c r="Z21" s="355">
        <f>$H$11</f>
        <v>2</v>
      </c>
      <c r="AA21" s="173">
        <f>COUNTIF(AR_SHEET_スキル,"マジックマスタリー")*2+COUNTIF(AR_SHEET_スキル,"マイスター：魔術判定")*2+COUNTIF(AR_SHEET_スキル,"エルダーマジック")*3+COUNTIF(AR_SHEET_ギルドサポート,"研究資料")*2</f>
        <v>0</v>
      </c>
      <c r="AB21" s="225">
        <f>COUNTIF(AR_SHEET_装備,"クロスブレイド")+COUNTIF(AR_SHEET_手持,"アークスタッフ")*2+COUNTIF(AR_SHEET_装備,"ホーリークロス")+COUNTIF(AR_SHEET_装備,"ハーミットスタッフ")*2+COUNTIF(AR_SHEET_装備,"ビショップワンド")*2+COUNTIF(AR_SHEET_装備,"ウィザードスタッフ")*2+COUNTIF(AR_SHEET_装備,"奥義書")*2+COUNTIF(AR_SHEET_装備,"マジックスタッフ")+COUNTIF(AR_SHEET_手持,"ビギナーズロッド")+COUNTIF(AR_SHEET_防具,"オリハルコンの髪飾り")+COUNTIF(AR_SHEET_防具,"アミュレットハット")+COUNTIF(AR_SHEET_防具,"タリスマン")</f>
        <v>0</v>
      </c>
      <c r="AC21" s="355">
        <f>SUM(Z21:AB21)</f>
        <v>2</v>
      </c>
      <c r="AD21" s="356">
        <f>2+COUNTIF(AR_SHEET_スキル,"コンセントレイション")+COUNTIF(AR_SHEET_スキル,"フィールドワーク")+COUNTIF(AR_SHEET_ギルドサポート,"修練：知力")</f>
        <v>2</v>
      </c>
      <c r="AF21" s="358" t="s">
        <v>295</v>
      </c>
      <c r="AG21" s="359">
        <f>IF($AF21="","",VLOOKUP($AF21,AR_アイテム,5,0))*AH21</f>
        <v>0</v>
      </c>
      <c r="AH21" s="129"/>
      <c r="AI21" s="221"/>
      <c r="AJ21" s="351" t="s">
        <v>296</v>
      </c>
      <c r="AK21" s="82" t="str">
        <f>"+"&amp;COUNTIF(AR_SHEET_スキル,"アックスマスター")*3+IF(ISERROR(VLOOKUP("スペシャライズ：斧",AR_スキルSL,7,0))=TRUE,"0",VLOOKUP("スペシャライズ：斧",AR_スキルSL,7,0))&amp;"(+"&amp;COUNTIF(AR_SHEET_スキル,"アームズマスタリー：斧")+COUNTIF(AR_SHEET_スキル,"アームズロジック：斧")&amp;"D)"</f>
        <v>+0(+0D)</v>
      </c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221"/>
      <c r="AX21" s="65"/>
      <c r="AY21" s="65"/>
      <c r="AZ21" s="65"/>
      <c r="BA21" s="360"/>
      <c r="BE21" s="81" t="s">
        <v>297</v>
      </c>
      <c r="BF21" s="82" t="str">
        <f>"+"&amp;COUNTIF(AR_SHEET_装備,"サファイアリング")*3+COUNTIF(AR_SHEET_装備,"ドラゴンシールド")*10+COUNTIF(AR_SHEET_装備,"水のタリスマン")*2&amp;"(+"&amp;0&amp;"D)"</f>
        <v>+0(+0D)</v>
      </c>
    </row>
    <row r="22" spans="1:58" ht="11.25">
      <c r="A22" s="363"/>
      <c r="B22" s="364" t="s">
        <v>298</v>
      </c>
      <c r="C22" s="365" t="s">
        <v>299</v>
      </c>
      <c r="D22" s="365"/>
      <c r="E22" s="365"/>
      <c r="F22" s="148">
        <f>IF($C22="","",VLOOKUP($C22,AR_アイテム,2,0))</f>
        <v>3</v>
      </c>
      <c r="G22" s="148" t="s">
        <v>300</v>
      </c>
      <c r="H22" s="148" t="str">
        <f>IF($C22="","",VLOOKUP($C22,AR_アイテム,4,0))</f>
        <v>戦僧</v>
      </c>
      <c r="I22" s="366">
        <f>IF($C22="","",VLOOKUP($C22,AR_アイテム,5,0))</f>
        <v>2</v>
      </c>
      <c r="J22" s="367">
        <f>IF($C22="","",VLOOKUP($C22,AR_アイテム,6,0))</f>
        <v>0</v>
      </c>
      <c r="K22" s="148">
        <f>IF($C22="","",VLOOKUP($C22,AR_アイテム,7,0))</f>
        <v>0</v>
      </c>
      <c r="L22" s="148">
        <f>IF($C22="","",VLOOKUP($C22,AR_アイテム,8,0))</f>
        <v>-1</v>
      </c>
      <c r="M22" s="148">
        <f>IF($C22="","",VLOOKUP($C22,AR_アイテム,9,0))</f>
        <v>5</v>
      </c>
      <c r="N22" s="148">
        <f>IF($C22="","",VLOOKUP($C22,AR_アイテム,10,0))</f>
        <v>0</v>
      </c>
      <c r="O22" s="148"/>
      <c r="P22" s="148">
        <f>IF($C22="","",VLOOKUP($C22,AR_アイテム,11,0))</f>
        <v>0</v>
      </c>
      <c r="Q22" s="57">
        <f>IF($C22="","",VLOOKUP($C22,AR_アイテム,12,0))</f>
        <v>0</v>
      </c>
      <c r="R22" s="57" t="str">
        <f>IF($C22="","",VLOOKUP($C22,AR_アイテム,13,0))</f>
        <v>-</v>
      </c>
      <c r="S22" s="353">
        <f>IF($C22="","",VLOOKUP($C22,AR_アイテム,14,0))</f>
        <v>0</v>
      </c>
      <c r="T22" s="353"/>
      <c r="U22" s="353"/>
      <c r="V22" s="353"/>
      <c r="W22" s="353"/>
      <c r="X22" s="354" t="s">
        <v>301</v>
      </c>
      <c r="Y22" s="354"/>
      <c r="Z22" s="355">
        <f>$H$13</f>
        <v>8</v>
      </c>
      <c r="AA22" s="173">
        <f>COUNTIF(AR_SHEET_スキル,"マイスター：呪歌判定")*2+COUNTIF(AR_SHEET_スキル,"ハードマインド")*2+IF(ISERROR(VLOOKUP("アレグロ",AR_スキルSL,7,0))=TRUE,"0",VLOOKUP("アレグロ",AR_スキルSL,7,0)*2)+COUNTIF(AR_SHEET_ギルドサポート,"研究資料")*2</f>
        <v>0</v>
      </c>
      <c r="AB22" s="225">
        <v>0</v>
      </c>
      <c r="AC22" s="355">
        <f>SUM(Z22:AB22)</f>
        <v>8</v>
      </c>
      <c r="AD22" s="356">
        <f>2+COUNTIF(AR_SHEET_スキル,"シルバリィソング")+COUNTIF(AR_SHEET_ギルドサポート,"修練：精神")</f>
        <v>2</v>
      </c>
      <c r="AF22" s="358" t="s">
        <v>302</v>
      </c>
      <c r="AG22" s="359">
        <f>IF($AF22="","",VLOOKUP($AF22,AR_アイテム,5,0))*AH22</f>
        <v>2</v>
      </c>
      <c r="AH22" s="129">
        <v>2</v>
      </c>
      <c r="AI22" s="221"/>
      <c r="AJ22" s="351" t="s">
        <v>303</v>
      </c>
      <c r="AK22" s="82" t="str">
        <f>"+"&amp;0+IF(ISERROR(VLOOKUP("スペシャライズ：打撃",AR_スキルSL,7,0))=TRUE,"0",VLOOKUP("スペシャライズ：打撃",AR_スキルSL,7,0))+IF(ISERROR(VLOOKUP("ディバインアーム",AR_スキルSL,7,0))=TRUE,"0",VLOOKUP("ディバインアーム",AR_スキルSL,7,0)+1)&amp;"(+"&amp;COUNTIF(AR_SHEET_スキル,"アームズマスタリー：打撃")+COUNTIF(AR_SHEET_スキル,"アームズロジック：打撃")&amp;"D)"</f>
        <v>+0(+0D)</v>
      </c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221"/>
      <c r="AX22" s="65"/>
      <c r="AY22" s="65"/>
      <c r="AZ22" s="65"/>
      <c r="BA22" s="360"/>
      <c r="BE22" s="81" t="s">
        <v>304</v>
      </c>
      <c r="BF22" s="82" t="str">
        <f>"+"&amp;COUNTIF(AR_SHEET_装備,"ドラゴンメイル")*10+COUNTIF(AR_SHEET_装備,"炎のタリスマン")*2+COUNTIF(AR_SHEET_装備,"ルビーリング")*3&amp;"(+"&amp;0&amp;"D)"</f>
        <v>+0(+0D)</v>
      </c>
    </row>
    <row r="23" spans="1:58" ht="12">
      <c r="A23" s="368"/>
      <c r="B23" s="364" t="s">
        <v>305</v>
      </c>
      <c r="C23" s="365" t="s">
        <v>306</v>
      </c>
      <c r="D23" s="365"/>
      <c r="E23" s="365"/>
      <c r="F23" s="148">
        <f>IF($C23="","",VLOOKUP($C23,AR_アイテム,2,0))</f>
        <v>2</v>
      </c>
      <c r="G23" s="148" t="s">
        <v>307</v>
      </c>
      <c r="H23" s="148" t="str">
        <f>IF($C23="","",VLOOKUP($C23,AR_アイテム,4,0))</f>
        <v>修</v>
      </c>
      <c r="I23" s="366">
        <f>IF($C23="","",VLOOKUP($C23,AR_アイテム,5,0))</f>
        <v>1</v>
      </c>
      <c r="J23" s="367">
        <f>IF($C23="","",VLOOKUP($C23,AR_アイテム,6,0))</f>
        <v>0</v>
      </c>
      <c r="K23" s="148">
        <f>IF($C23="","",VLOOKUP($C23,AR_アイテム,7,0))</f>
        <v>2</v>
      </c>
      <c r="L23" s="148">
        <f>IF($C23="","",VLOOKUP($C23,AR_アイテム,8,0))</f>
        <v>0</v>
      </c>
      <c r="M23" s="148">
        <f>IF($C23="","",VLOOKUP($C23,AR_アイテム,9,0))</f>
        <v>0</v>
      </c>
      <c r="N23" s="148">
        <f>IF($C23="","",VLOOKUP($C23,AR_アイテム,10,0))</f>
        <v>0</v>
      </c>
      <c r="O23" s="148"/>
      <c r="P23" s="148">
        <f>IF($C23="","",VLOOKUP($C23,AR_アイテム,11,0))</f>
        <v>0</v>
      </c>
      <c r="Q23" s="57">
        <f>IF($C23="","",VLOOKUP($C23,AR_アイテム,12,0))</f>
        <v>0</v>
      </c>
      <c r="R23" s="57" t="str">
        <f>IF($C23="","",VLOOKUP($C23,AR_アイテム,13,0))</f>
        <v>-</v>
      </c>
      <c r="S23" s="353" t="str">
        <f>IF($C23="","",VLOOKUP($C23,AR_アイテム,14,0))</f>
        <v>[格闘]武器のみ効果発揮</v>
      </c>
      <c r="T23" s="353"/>
      <c r="U23" s="353"/>
      <c r="V23" s="353"/>
      <c r="W23" s="353"/>
      <c r="X23" s="354" t="s">
        <v>308</v>
      </c>
      <c r="Y23" s="354"/>
      <c r="Z23" s="369">
        <f>$H$9</f>
        <v>6</v>
      </c>
      <c r="AA23" s="187">
        <f>COUNTIF(AR_SHEET_スキル,"マスターハンド")+COUNTIF(AR_SHEET_スキル,"マイスター：錬金術判定")*2+COUNTIF(AR_SHEET_ギルドサポート,"研究資料")*2</f>
        <v>0</v>
      </c>
      <c r="AB23" s="370">
        <f>COUNTIF(AR_SHEET_装備,"器用のナイフ")*2+COUNTIF(AR_SHEET_装備,"高級研究道具")*2</f>
        <v>0</v>
      </c>
      <c r="AC23" s="369">
        <f>SUM(Z23:AB23)</f>
        <v>6</v>
      </c>
      <c r="AD23" s="371">
        <f>2+COUNTIF(AR_SHEET_スキル,"アルケミカルサークル")+COUNTIF(AR_SHEET_スキル,"アキュレイト")+COUNTIF(AR_SHEET_ギルドサポート,"修練：器用")</f>
        <v>2</v>
      </c>
      <c r="AF23" s="358" t="s">
        <v>309</v>
      </c>
      <c r="AG23" s="359">
        <f>IF($AF23="","",VLOOKUP($AF23,AR_アイテム,5,0))*AH23</f>
        <v>2</v>
      </c>
      <c r="AH23" s="129">
        <v>2</v>
      </c>
      <c r="AI23" s="221"/>
      <c r="AJ23" s="351" t="s">
        <v>310</v>
      </c>
      <c r="AK23" s="82" t="str">
        <f>"+"&amp;0+IF(ISERROR(VLOOKUP("スペシャライズ：槍",AR_スキルSL,7,0))=TRUE,"0",VLOOKUP("スペシャライズ：槍",AR_スキルSL,7,0))&amp;"(+"&amp;COUNTIF(AR_SHEET_スキル,"アームズマスタリー：槍")+COUNTIF(AR_SHEET_スキル,"アームズロジック：槍")&amp;"D)"</f>
        <v>+0(+0D)</v>
      </c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221"/>
      <c r="AX23" s="65"/>
      <c r="AY23" s="65"/>
      <c r="AZ23" s="65"/>
      <c r="BA23" s="360"/>
      <c r="BE23" s="81" t="s">
        <v>311</v>
      </c>
      <c r="BF23" s="82" t="str">
        <f>"+"&amp;COUNTIF(AR_SHEET_装備,"エメラルドリング")*3+COUNTIF(AR_SHEET_装備,"風のタリスマン")*2&amp;"(+"&amp;0&amp;"D)"</f>
        <v>+0(+0D)</v>
      </c>
    </row>
    <row r="24" spans="1:58" ht="11.25">
      <c r="A24" s="372"/>
      <c r="B24" s="373"/>
      <c r="C24" s="374" t="s">
        <v>312</v>
      </c>
      <c r="D24" s="375">
        <f>C8+COUNTIF(AR_SHEET_スキル,"イクイップリミット")*5</f>
        <v>16</v>
      </c>
      <c r="E24" s="376" t="s">
        <v>313</v>
      </c>
      <c r="F24" s="377" t="s">
        <v>314</v>
      </c>
      <c r="G24" s="377">
        <f>SUM(I16:I18)</f>
        <v>6</v>
      </c>
      <c r="H24" s="377" t="s">
        <v>315</v>
      </c>
      <c r="I24" s="378">
        <f>SUM(I20:I23)</f>
        <v>15</v>
      </c>
      <c r="J24" s="379">
        <f>SUM(IF(J16&gt;0,J16,リファレンス!Q10),IF(リファレンス!Q12&gt;0,IF(J17&gt;0,J17,リファレンス!Q15),0),J18,J20:J23)</f>
        <v>1</v>
      </c>
      <c r="K24" s="379">
        <f>SUM(K16,IF(リファレンス!Q12&gt;0,K17,0),K18,K20:K23)</f>
        <v>10</v>
      </c>
      <c r="L24" s="379">
        <f>SUM(L16:L18,L20:L23)</f>
        <v>-2</v>
      </c>
      <c r="M24" s="379">
        <f>SUM(M16:M18,M20:M23)</f>
        <v>17</v>
      </c>
      <c r="N24" s="379">
        <f>SUM(N16:O18,N20:O23)</f>
        <v>0</v>
      </c>
      <c r="O24" s="379"/>
      <c r="P24" s="379">
        <f>SUM(P16,P17,P18,P20:P23)</f>
        <v>0</v>
      </c>
      <c r="Q24" s="380">
        <f>SUM(Q16:Q18)+SUM(Q20:Q23)</f>
        <v>-2</v>
      </c>
      <c r="R24" s="380"/>
      <c r="S24" s="381"/>
      <c r="T24" s="381"/>
      <c r="U24" s="381"/>
      <c r="V24" s="381"/>
      <c r="W24" s="381"/>
      <c r="X24" s="382" t="s">
        <v>316</v>
      </c>
      <c r="Y24" s="382"/>
      <c r="Z24" s="382" t="s">
        <v>317</v>
      </c>
      <c r="AA24" s="382"/>
      <c r="AB24" s="382">
        <f>IF(AD26="★",AC26,AD26*AC26)+IF(AD27="★",AC27,AD27*AC27)+IF(AD28="★",AC28,AD28*AC28)+IF(AD29="★",AC29,AD29*AC29)+IF(AD30="★",AC30,AD30*AC30)+IF(AD31="★",AC31,AD31*AC31)+IF(AD36="★",AC36,AD36*AC36)+IF(AD37="★",AC37,AD37*AC37)+IF(AD38="★",AC38,AD38*AC38)+IF(AD39="★",AC39,AD39*AC39)+IF(AD40="★",AC40,AD40*AC40)+IF(AD41="★",AC41,AD41*AC41)+IF(AD42="★",AC42,AD42*AC42)+IF(AD43="★",AC43,AD43*AC43)+IF(AD44="★",AC44,AD44*AC44)+IF(AD44="★",AC45,AD45*AC45)+IF(AD46="★",AC46,AD46*AC46)+IF(AD47="★",AC47,AD47*AC47)+IF(AD48="★",AC48,AD48*AC48)+IF(AD49="★",AC49,AD49*AC49)+IF(AD50="★",AC50,AD50*AC50)+IF(AD51="★",AC51,AD51*AC51)+IF(AD52="★",AC52,AD52*AC52)+IF(AD53="★",AC53,AD53*AC53)</f>
        <v>3</v>
      </c>
      <c r="AC24" s="382" t="e">
        <f>"/ "&amp;#REF!&amp;" ] "</f>
        <v>#REF!</v>
      </c>
      <c r="AD24" s="382"/>
      <c r="AF24" s="358" t="s">
        <v>318</v>
      </c>
      <c r="AG24" s="359">
        <f>IF($AF24="","",VLOOKUP($AF24,AR_アイテム,5,0))*AH24</f>
        <v>1</v>
      </c>
      <c r="AH24" s="129">
        <v>1</v>
      </c>
      <c r="AI24" s="221"/>
      <c r="AJ24" s="351" t="s">
        <v>319</v>
      </c>
      <c r="AK24" s="82" t="str">
        <f>"+"&amp;0+IF(ISERROR(VLOOKUP("スペシャライズ：弓",AR_スキルSL,7,0))=TRUE,"0",VLOOKUP("スペシャライズ：弓",AR_スキルSL,7,0))&amp;"(+"&amp;COUNTIF(AR_SHEET_スキル,"アームズマスタリー：弓")+COUNTIF(AR_SHEET_スキル,"アームズロジック：弓")&amp;"D)"</f>
        <v>+0(+0D)</v>
      </c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221"/>
      <c r="AX24" s="65"/>
      <c r="AY24" s="65"/>
      <c r="AZ24" s="65"/>
      <c r="BA24" s="360"/>
      <c r="BB24" s="65"/>
      <c r="BC24" s="65"/>
      <c r="BD24" s="65"/>
      <c r="BE24" s="81" t="s">
        <v>320</v>
      </c>
      <c r="BF24" s="82" t="str">
        <f>"+"&amp;COUNTIF(AR_SHEET_装備,"ダイヤモンドリング")*3+COUNTIF(AR_SHEET_装備,"光のタリスマン")*2&amp;"(+"&amp;0&amp;"D)"</f>
        <v>+0(+0D)</v>
      </c>
    </row>
    <row r="25" spans="1:58" ht="11.25">
      <c r="A25" s="372" t="s">
        <v>321</v>
      </c>
      <c r="B25" s="214" t="s">
        <v>167</v>
      </c>
      <c r="C25" s="214"/>
      <c r="D25" s="214"/>
      <c r="E25" s="214"/>
      <c r="F25" s="111" t="s">
        <v>322</v>
      </c>
      <c r="G25" s="111"/>
      <c r="H25" s="111" t="s">
        <v>323</v>
      </c>
      <c r="I25" s="111" t="s">
        <v>324</v>
      </c>
      <c r="J25" s="111"/>
      <c r="K25" s="111" t="s">
        <v>185</v>
      </c>
      <c r="L25" s="111" t="s">
        <v>325</v>
      </c>
      <c r="M25" s="111" t="s">
        <v>261</v>
      </c>
      <c r="N25" s="111" t="s">
        <v>326</v>
      </c>
      <c r="O25" s="111"/>
      <c r="P25" s="111" t="s">
        <v>254</v>
      </c>
      <c r="Q25" s="216" t="s">
        <v>327</v>
      </c>
      <c r="R25" s="383" t="s">
        <v>328</v>
      </c>
      <c r="S25" s="384">
        <f>IF(ISERROR(VLOOKUP("一般スキル",AR_スキルSL,7,0))=TRUE,"0",VLOOKUP("一般スキル",AR_スキルSL,7,0))+SUMPRODUCT((F26:F67="一般スキル")*(H26:H67="★"))</f>
        <v>3</v>
      </c>
      <c r="T25" s="385">
        <f>SUM(H26:H67)+COUNTIF(H26:H67,"★")-S25</f>
        <v>18</v>
      </c>
      <c r="U25" s="385"/>
      <c r="V25" s="385"/>
      <c r="W25" s="386">
        <f>③レベルアップ!O23+COUNTIF(AR_SHEET_スキル,"ハーフブラッド")+COUNTIF(AR_SHEET_スキル,"イモータリティ")+COUNTIF(AR_SHEET_スキル,"マスターハンド")+COUNTIF(AR_SHEET_スキル,"ラーニング")</f>
        <v>18</v>
      </c>
      <c r="X25" s="81" t="s">
        <v>128</v>
      </c>
      <c r="Y25" s="81"/>
      <c r="Z25" s="81"/>
      <c r="AA25" s="387" t="s">
        <v>329</v>
      </c>
      <c r="AB25" s="387"/>
      <c r="AC25" s="117" t="s">
        <v>323</v>
      </c>
      <c r="AD25" s="86" t="s">
        <v>330</v>
      </c>
      <c r="AF25" s="358"/>
      <c r="AG25" s="359" t="e">
        <f>IF($AF25="","",VLOOKUP($AF25,AR_アイテム,5,0))*AH25</f>
        <v>#VALUE!</v>
      </c>
      <c r="AH25" s="129"/>
      <c r="AI25" s="221"/>
      <c r="AJ25" s="351" t="s">
        <v>331</v>
      </c>
      <c r="AK25" s="82" t="str">
        <f>"+"&amp;0+COUNTIF(AR_SHEET_装備,"研究道具")+IF(ISERROR(VLOOKUP("スペシャライズ：錬金銃",AR_スキルSL,7,0))=TRUE,"0",VLOOKUP("スペシャライズ：錬金銃",AR_スキルSL,7,0))&amp;"(+"&amp;COUNTIF(AR_SHEET_スキル,"アームズマスタリー：錬金銃")+COUNTIF(AR_SHEET_スキル,"アームズロジック：銃")&amp;"D)"</f>
        <v>+0(+0D)</v>
      </c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221"/>
      <c r="AX25" s="65"/>
      <c r="AY25" s="65"/>
      <c r="AZ25" s="65"/>
      <c r="BA25" s="65"/>
      <c r="BB25" s="65"/>
      <c r="BC25" s="65"/>
      <c r="BD25" s="65"/>
      <c r="BE25" s="81" t="s">
        <v>332</v>
      </c>
      <c r="BF25" s="82" t="str">
        <f>"+"&amp;COUNTIF(AR_SHEET_装備,"ブラックオニキスリング")*3+COUNTIF(AR_SHEET_装備,"闇のタリスマン")*2&amp;"(+"&amp;0&amp;"D)"</f>
        <v>+0(+0D)</v>
      </c>
    </row>
    <row r="26" spans="1:58" ht="11.25">
      <c r="A26" s="372"/>
      <c r="B26" s="388" t="s">
        <v>131</v>
      </c>
      <c r="C26" s="388"/>
      <c r="D26" s="388"/>
      <c r="E26" s="388"/>
      <c r="F26" s="129" t="str">
        <f>①コンストラクション!M4</f>
        <v>ドゥアン</v>
      </c>
      <c r="G26" s="129"/>
      <c r="H26" s="129" t="str">
        <f>IF($B26="","",VLOOKUP($B26,スキル!$A:$K,3,0))</f>
        <v>★</v>
      </c>
      <c r="I26" s="57" t="str">
        <f>IF($B26="","",VLOOKUP($B26,スキル!$A:$K,4,0))</f>
        <v>パッシヴ/メイキング</v>
      </c>
      <c r="J26" s="57"/>
      <c r="K26" s="57" t="str">
        <f>IF($B26="","",VLOOKUP($B26,スキル!$A:$K,5,0))</f>
        <v>-</v>
      </c>
      <c r="L26" s="57" t="str">
        <f>IF($B26="","",VLOOKUP($B26,スキル!$A:$K,6,0))</f>
        <v>自身</v>
      </c>
      <c r="M26" s="57" t="str">
        <f>IF($B26="","",VLOOKUP($B26,スキル!$A:$K,7,0))</f>
        <v>-</v>
      </c>
      <c r="N26" s="57" t="str">
        <f>IF($B26="","",VLOOKUP($B26,スキル!$A:$K,8,0))</f>
        <v>-</v>
      </c>
      <c r="O26" s="57"/>
      <c r="P26" s="57" t="str">
        <f>IF($B26="","",VLOOKUP($B26,スキル!$A:$K,9,0))</f>
        <v>-</v>
      </c>
      <c r="Q26" s="389" t="str">
        <f>IF($B26="","",VLOOKUP($B26,スキル!$A:$K,10,0))</f>
        <v>牙：素手の[命中]+1、[攻撃力]+3</v>
      </c>
      <c r="R26" s="389"/>
      <c r="S26" s="389"/>
      <c r="T26" s="389"/>
      <c r="U26" s="389"/>
      <c r="V26" s="389"/>
      <c r="W26" s="389"/>
      <c r="X26" s="87" t="s">
        <v>333</v>
      </c>
      <c r="Y26" s="87"/>
      <c r="Z26" s="87"/>
      <c r="AA26" s="231" t="str">
        <f>IF($X26="","",VLOOKUP($X26,スキル!$A:$E,2,0))</f>
        <v>効果参照</v>
      </c>
      <c r="AB26" s="231"/>
      <c r="AC26" s="124">
        <f>IF($X26="","0",VLOOKUP($X26,スキル!$A:$E,3,0))</f>
        <v>1</v>
      </c>
      <c r="AD26" s="335" t="str">
        <f>IF($X26="","0",VLOOKUP($X26,スキル!$A:$E,4,0))</f>
        <v>★</v>
      </c>
      <c r="AF26" s="358"/>
      <c r="AG26" s="359" t="e">
        <f>IF($AF26="","",VLOOKUP($AF26,AR_アイテム,5,0))*AH26</f>
        <v>#VALUE!</v>
      </c>
      <c r="AH26" s="129"/>
      <c r="AI26" s="221"/>
      <c r="AJ26" s="351" t="s">
        <v>334</v>
      </c>
      <c r="AK26" s="82" t="str">
        <f>"+"&amp;0+COUNTIF(AR_SHEET_装備,"研究道具")+IF(ISERROR(VLOOKUP("スペシャライズ：錬金術",AR_スキルSL,7,0))=TRUE,"0",VLOOKUP("スペシャライズ：錬金術",AR_スキルSL,7,0))&amp;"(+"&amp;0&amp;"D)"</f>
        <v>+0(+0D)</v>
      </c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221"/>
      <c r="AX26" s="65"/>
      <c r="AY26" s="65"/>
      <c r="AZ26" s="65"/>
      <c r="BA26" s="65"/>
      <c r="BB26" s="390"/>
      <c r="BC26" s="65"/>
      <c r="BD26" s="65"/>
      <c r="BE26" s="81" t="s">
        <v>335</v>
      </c>
      <c r="BF26" s="335" t="str">
        <f>"+"&amp;0&amp;"(+"&amp;IF(ISERROR(VLOOKUP("ジュエルスキン：地",AR_スキルSL,7,0))=TRUE,"0",VLOOKUP("ジュエルスキン：地",AR_スキルSL,7,0))&amp;"D)"</f>
        <v>+0(+0D)</v>
      </c>
    </row>
    <row r="27" spans="1:58" ht="11.25">
      <c r="A27" s="372"/>
      <c r="B27" s="388" t="s">
        <v>152</v>
      </c>
      <c r="C27" s="388"/>
      <c r="D27" s="388"/>
      <c r="E27" s="388"/>
      <c r="F27" s="129" t="s">
        <v>15</v>
      </c>
      <c r="G27" s="129"/>
      <c r="H27" s="129" t="str">
        <f>IF($B27="","",VLOOKUP($B27,スキル!$A:$K,3,0))</f>
        <v>★</v>
      </c>
      <c r="I27" s="57" t="str">
        <f>IF($B27="","",VLOOKUP($B27,スキル!$A:$K,4,0))</f>
        <v>パッシヴ</v>
      </c>
      <c r="J27" s="57"/>
      <c r="K27" s="57" t="str">
        <f>IF($B27="","",VLOOKUP($B27,スキル!$A:$K,5,0))</f>
        <v>-</v>
      </c>
      <c r="L27" s="57" t="str">
        <f>IF($B27="","",VLOOKUP($B27,スキル!$A:$K,6,0))</f>
        <v>自身</v>
      </c>
      <c r="M27" s="57" t="str">
        <f>IF($B27="","",VLOOKUP($B27,スキル!$A:$K,7,0))</f>
        <v>-</v>
      </c>
      <c r="N27" s="57" t="str">
        <f>IF($B27="","",VLOOKUP($B27,スキル!$A:$K,8,0))</f>
        <v>-</v>
      </c>
      <c r="O27" s="57"/>
      <c r="P27" s="57" t="str">
        <f>IF($B27="","",VLOOKUP($B27,スキル!$A:$K,9,0))</f>
        <v>-</v>
      </c>
      <c r="Q27" s="389" t="str">
        <f>IF($B27="","",VLOOKUP($B27,スキル!$A:$K,10,0))</f>
        <v>[物理防御力]+3、[魔法防御力]+3、CL5以上</v>
      </c>
      <c r="R27" s="389"/>
      <c r="S27" s="389"/>
      <c r="T27" s="389"/>
      <c r="U27" s="389"/>
      <c r="V27" s="389"/>
      <c r="W27" s="389"/>
      <c r="X27" s="87" t="s">
        <v>336</v>
      </c>
      <c r="Y27" s="87"/>
      <c r="Z27" s="87"/>
      <c r="AA27" s="124" t="str">
        <f>IF($X27="","",VLOOKUP($X27,スキル!$A:$E,2,0))</f>
        <v>効果参照</v>
      </c>
      <c r="AB27" s="124"/>
      <c r="AC27" s="124">
        <f>IF($X27="","0",VLOOKUP($X27,スキル!$A:$E,3,0))</f>
        <v>1</v>
      </c>
      <c r="AD27" s="335" t="str">
        <f>IF($X27="","0",VLOOKUP($X27,スキル!$A:$E,4,0))</f>
        <v>★</v>
      </c>
      <c r="AF27" s="358"/>
      <c r="AG27" s="359" t="e">
        <f>IF($AF27="","",VLOOKUP($AF27,AR_アイテム,5,0))*AH27</f>
        <v>#VALUE!</v>
      </c>
      <c r="AH27" s="129"/>
      <c r="AI27" s="221"/>
      <c r="AJ27" s="391" t="s">
        <v>337</v>
      </c>
      <c r="AK27" s="84" t="str">
        <f>"+"&amp;0+IF(ISERROR(VLOOKUP("スペシャライズ：魔導銃",AR_スキルSL,7,0))=TRUE,"0",VLOOKUP("スペシャライズ：魔導銃",AR_スキルSL,7,0))&amp;"(+"&amp;COUNTIF(AR_SHEET_スキル,"アームズマスタリー：魔導銃")+COUNTIF(AR_SHEET_スキル,"アームズロジック：魔導銃")&amp;"D)"</f>
        <v>+0(+0D)</v>
      </c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221"/>
      <c r="AX27" s="65"/>
      <c r="AY27" s="65"/>
      <c r="AZ27" s="65"/>
      <c r="BA27" s="65"/>
      <c r="BB27" s="390"/>
      <c r="BC27" s="65"/>
      <c r="BD27" s="65"/>
      <c r="BE27" s="81" t="s">
        <v>338</v>
      </c>
      <c r="BF27" s="335" t="str">
        <f>"+"&amp;0&amp;"(+"&amp;IF(ISERROR(VLOOKUP("ジュエルスキン：水",AR_スキルSL,7,0))=TRUE,"0",VLOOKUP("ジュエルスキン：水",AR_スキルSL,7,0))&amp;"D)"</f>
        <v>+0(+0D)</v>
      </c>
    </row>
    <row r="28" spans="1:59" ht="11.25">
      <c r="A28" s="372"/>
      <c r="B28" s="388" t="s">
        <v>135</v>
      </c>
      <c r="C28" s="388"/>
      <c r="D28" s="388"/>
      <c r="E28" s="388"/>
      <c r="F28" s="129" t="s">
        <v>13</v>
      </c>
      <c r="G28" s="129"/>
      <c r="H28" s="129" t="str">
        <f>IF($B28="","",VLOOKUP($B28,スキル!$A:$K,3,0))</f>
        <v>★</v>
      </c>
      <c r="I28" s="57" t="str">
        <f>IF($B28="","",VLOOKUP($B28,スキル!$A:$K,4,0))</f>
        <v>DR直前</v>
      </c>
      <c r="J28" s="57"/>
      <c r="K28" s="57" t="str">
        <f>IF($B28="","",VLOOKUP($B28,スキル!$A:$K,5,0))</f>
        <v>自動</v>
      </c>
      <c r="L28" s="57" t="str">
        <f>IF($B28="","",VLOOKUP($B28,スキル!$A:$K,6,0))</f>
        <v>単体</v>
      </c>
      <c r="M28" s="57" t="str">
        <f>IF($B28="","",VLOOKUP($B28,スキル!$A:$K,7,0))</f>
        <v>至近</v>
      </c>
      <c r="N28" s="57">
        <f>IF($B28="","",VLOOKUP($B28,スキル!$A:$K,8,0))</f>
        <v>2</v>
      </c>
      <c r="O28" s="57"/>
      <c r="P28" s="57" t="str">
        <f>IF($B28="","",VLOOKUP($B28,スキル!$A:$K,9,0))</f>
        <v>-</v>
      </c>
      <c r="Q28" s="389" t="str">
        <f>IF($B28="","",VLOOKUP($B28,スキル!$A:$K,10,0))</f>
        <v>対象に[他人をかばう]を行う行動済みでも可能、使用しても行動済みにならないメインプロセスに1回</v>
      </c>
      <c r="R28" s="389"/>
      <c r="S28" s="389"/>
      <c r="T28" s="389"/>
      <c r="U28" s="389"/>
      <c r="V28" s="389"/>
      <c r="W28" s="389"/>
      <c r="X28" s="87" t="s">
        <v>339</v>
      </c>
      <c r="Y28" s="87"/>
      <c r="Z28" s="87"/>
      <c r="AA28" s="124" t="str">
        <f>IF($X28="","",VLOOKUP($X28,スキル!$A:$E,2,0))</f>
        <v>パッシヴ</v>
      </c>
      <c r="AB28" s="124"/>
      <c r="AC28" s="124">
        <f>IF($X28="","0",VLOOKUP($X28,スキル!$A:$E,3,0))</f>
        <v>1</v>
      </c>
      <c r="AD28" s="335">
        <f>IF($X28="","0",VLOOKUP($X28,スキル!$A:$E,4,0))</f>
        <v>1</v>
      </c>
      <c r="AF28" s="358"/>
      <c r="AG28" s="359" t="e">
        <f>IF($AF28="","",VLOOKUP($AF28,AR_アイテム,5,0))*AH28</f>
        <v>#VALUE!</v>
      </c>
      <c r="AH28" s="129"/>
      <c r="AI28" s="221"/>
      <c r="AJ28" s="65"/>
      <c r="AK28" s="11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221"/>
      <c r="AX28" s="65"/>
      <c r="AY28" s="65"/>
      <c r="AZ28" s="65"/>
      <c r="BA28" s="65"/>
      <c r="BB28" s="390"/>
      <c r="BC28" s="65"/>
      <c r="BD28" s="65"/>
      <c r="BE28" s="81" t="s">
        <v>340</v>
      </c>
      <c r="BF28" s="335" t="str">
        <f>"+"&amp;0&amp;"(+"&amp;IF(ISERROR(VLOOKUP("ジュエルスキン：火",AR_スキルSL,7,0))=TRUE,"0",VLOOKUP("ジュエルスキン：火",AR_スキルSL,7,0))&amp;"D)"</f>
        <v>+0(+0D)</v>
      </c>
      <c r="BG28" s="298"/>
    </row>
    <row r="29" spans="1:59" ht="11.25">
      <c r="A29" s="372"/>
      <c r="B29" s="388" t="s">
        <v>147</v>
      </c>
      <c r="C29" s="388"/>
      <c r="D29" s="388"/>
      <c r="E29" s="388"/>
      <c r="F29" s="129" t="s">
        <v>13</v>
      </c>
      <c r="G29" s="129"/>
      <c r="H29" s="129">
        <f>IF($B29="","",VLOOKUP($B29,スキル!$A:$K,3,0))</f>
        <v>1</v>
      </c>
      <c r="I29" s="57" t="str">
        <f>IF($B29="","",VLOOKUP($B29,スキル!$A:$K,4,0))</f>
        <v>ｶﾊﾞｰﾘﾝｸﾞ</v>
      </c>
      <c r="J29" s="57"/>
      <c r="K29" s="57" t="str">
        <f>IF($B29="","",VLOOKUP($B29,スキル!$A:$K,5,0))</f>
        <v>自動</v>
      </c>
      <c r="L29" s="57" t="str">
        <f>IF($B29="","",VLOOKUP($B29,スキル!$A:$K,6,0))</f>
        <v>自身</v>
      </c>
      <c r="M29" s="57" t="str">
        <f>IF($B29="","",VLOOKUP($B29,スキル!$A:$K,7,0))</f>
        <v>-</v>
      </c>
      <c r="N29" s="57">
        <f>IF($B29="","",VLOOKUP($B29,スキル!$A:$K,8,0))</f>
        <v>4</v>
      </c>
      <c r="O29" s="57"/>
      <c r="P29" s="57" t="str">
        <f>IF($B29="","",VLOOKUP($B29,スキル!$A:$K,9,0))</f>
        <v>SL/S</v>
      </c>
      <c r="Q29" s="389" t="str">
        <f>IF($B29="","",VLOOKUP($B29,スキル!$A:$K,10,0))</f>
        <v>カバーリングを射程20ｍにする、1シーンSL回</v>
      </c>
      <c r="R29" s="389"/>
      <c r="S29" s="389"/>
      <c r="T29" s="389"/>
      <c r="U29" s="389"/>
      <c r="V29" s="389"/>
      <c r="W29" s="389"/>
      <c r="X29" s="87"/>
      <c r="Y29" s="87"/>
      <c r="Z29" s="87"/>
      <c r="AA29" s="124">
        <f>IF($X29="","",VLOOKUP($X29,スキル!$A:$E,2,0))</f>
      </c>
      <c r="AB29" s="124"/>
      <c r="AC29" s="124" t="str">
        <f>IF($X29="","0",VLOOKUP($X29,スキル!$A:$E,3,0))</f>
        <v>0</v>
      </c>
      <c r="AD29" s="335" t="str">
        <f>IF($X29="","0",VLOOKUP($X29,スキル!$A:$E,4,0))</f>
        <v>0</v>
      </c>
      <c r="AF29" s="358"/>
      <c r="AG29" s="359" t="e">
        <f>IF($AF29="","",VLOOKUP($AF29,AR_アイテム,5,0))*AH29</f>
        <v>#VALUE!</v>
      </c>
      <c r="AH29" s="129"/>
      <c r="AI29" s="221"/>
      <c r="AJ29" s="392" t="s">
        <v>341</v>
      </c>
      <c r="AK29" s="392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221"/>
      <c r="AX29" s="65"/>
      <c r="AY29" s="65"/>
      <c r="AZ29" s="65"/>
      <c r="BA29" s="65"/>
      <c r="BB29" s="390"/>
      <c r="BC29" s="65"/>
      <c r="BD29" s="65"/>
      <c r="BE29" s="81" t="s">
        <v>342</v>
      </c>
      <c r="BF29" s="335" t="str">
        <f>"+"&amp;0&amp;"(+"&amp;IF(ISERROR(VLOOKUP("ジュエルスキン：風",AR_スキルSL,7,0))=TRUE,"0",VLOOKUP("ジュエルスキン：風",AR_スキルSL,7,0))&amp;"D)"</f>
        <v>+0(+0D)</v>
      </c>
      <c r="BG29" s="298"/>
    </row>
    <row r="30" spans="1:59" ht="11.25">
      <c r="A30" s="372"/>
      <c r="B30" s="388" t="s">
        <v>132</v>
      </c>
      <c r="C30" s="388"/>
      <c r="D30" s="388"/>
      <c r="E30" s="388"/>
      <c r="F30" s="129" t="s">
        <v>13</v>
      </c>
      <c r="G30" s="129"/>
      <c r="H30" s="129">
        <f>IF($B30="","",VLOOKUP($B30,スキル!$A:$K,3,0))</f>
        <v>1</v>
      </c>
      <c r="I30" s="57" t="str">
        <f>IF($B30="","",VLOOKUP($B30,スキル!$A:$K,4,0))</f>
        <v>ｾｯﾄｱｯﾌﾟ</v>
      </c>
      <c r="J30" s="57"/>
      <c r="K30" s="57" t="str">
        <f>IF($B30="","",VLOOKUP($B30,スキル!$A:$K,5,0))</f>
        <v>筋力</v>
      </c>
      <c r="L30" s="57" t="str">
        <f>IF($B30="","",VLOOKUP($B30,スキル!$A:$K,6,0))</f>
        <v>単体</v>
      </c>
      <c r="M30" s="57" t="str">
        <f>IF($B30="","",VLOOKUP($B30,スキル!$A:$K,7,0))</f>
        <v>10m</v>
      </c>
      <c r="N30" s="57">
        <f>IF($B30="","",VLOOKUP($B30,スキル!$A:$K,8,0))</f>
        <v>4</v>
      </c>
      <c r="O30" s="57"/>
      <c r="P30" s="57" t="str">
        <f>IF($B30="","",VLOOKUP($B30,スキル!$A:$K,9,0))</f>
        <v>-</v>
      </c>
      <c r="Q30" s="389" t="str">
        <f>IF($B30="","",VLOOKUP($B30,スキル!$A:$K,10,0))</f>
        <v>対象の精神と対決、達成値に+[SL*2]、対象に[逆上]</v>
      </c>
      <c r="R30" s="389"/>
      <c r="S30" s="389"/>
      <c r="T30" s="389"/>
      <c r="U30" s="389"/>
      <c r="V30" s="389"/>
      <c r="W30" s="389"/>
      <c r="X30" s="87"/>
      <c r="Y30" s="87"/>
      <c r="Z30" s="87"/>
      <c r="AA30" s="124">
        <f>IF($X30="","",VLOOKUP($X30,スキル!$A:$E,2,0))</f>
      </c>
      <c r="AB30" s="124"/>
      <c r="AC30" s="124" t="str">
        <f>IF($X30="","0",VLOOKUP($X30,スキル!$A:$E,3,0))</f>
        <v>0</v>
      </c>
      <c r="AD30" s="335" t="str">
        <f>IF($X30="","0",VLOOKUP($X30,スキル!$A:$E,4,0))</f>
        <v>0</v>
      </c>
      <c r="AF30" s="358"/>
      <c r="AG30" s="359" t="e">
        <f>IF($AF30="","",VLOOKUP($AF30,AR_アイテム,5,0))*AH30</f>
        <v>#VALUE!</v>
      </c>
      <c r="AH30" s="129"/>
      <c r="AI30" s="221"/>
      <c r="AJ30" s="81" t="s">
        <v>250</v>
      </c>
      <c r="AK30" s="82" t="str">
        <f>"+"&amp;0&amp;"(+"&amp;0&amp;"D)"</f>
        <v>+0(+0D)</v>
      </c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221"/>
      <c r="AX30" s="65"/>
      <c r="AY30" s="65"/>
      <c r="AZ30" s="65"/>
      <c r="BA30" s="65"/>
      <c r="BB30" s="390"/>
      <c r="BC30" s="65"/>
      <c r="BD30" s="65"/>
      <c r="BE30" s="81" t="s">
        <v>343</v>
      </c>
      <c r="BF30" s="335" t="str">
        <f>"+"&amp;0&amp;"(+"&amp;IF(ISERROR(VLOOKUP("ジュエルスキン：光",AR_スキルSL,7,0))=TRUE,"0",VLOOKUP("ジュエルスキン：光",AR_スキルSL,7,0))&amp;"D)"</f>
        <v>+0(+0D)</v>
      </c>
      <c r="BG30" s="298"/>
    </row>
    <row r="31" spans="1:59" ht="11.25">
      <c r="A31" s="372"/>
      <c r="B31" s="388" t="s">
        <v>146</v>
      </c>
      <c r="C31" s="388"/>
      <c r="D31" s="388"/>
      <c r="E31" s="388"/>
      <c r="F31" s="129" t="s">
        <v>13</v>
      </c>
      <c r="G31" s="129"/>
      <c r="H31" s="129" t="str">
        <f>IF($B31="","",VLOOKUP($B31,スキル!$A:$K,3,0))</f>
        <v>★</v>
      </c>
      <c r="I31" s="57" t="str">
        <f>IF($B31="","",VLOOKUP($B31,スキル!$A:$K,4,0))</f>
        <v>効果参照</v>
      </c>
      <c r="J31" s="57"/>
      <c r="K31" s="57" t="str">
        <f>IF($B31="","",VLOOKUP($B31,スキル!$A:$K,5,0))</f>
        <v>自動</v>
      </c>
      <c r="L31" s="57" t="str">
        <f>IF($B31="","",VLOOKUP($B31,スキル!$A:$K,6,0))</f>
        <v>自身</v>
      </c>
      <c r="M31" s="57" t="str">
        <f>IF($B31="","",VLOOKUP($B31,スキル!$A:$K,7,0))</f>
        <v>-</v>
      </c>
      <c r="N31" s="57" t="str">
        <f>IF($B31="","",VLOOKUP($B31,スキル!$A:$K,8,0))</f>
        <v>-</v>
      </c>
      <c r="O31" s="57"/>
      <c r="P31" s="57">
        <f>IF($B31="","",VLOOKUP($B31,スキル!$A:$K,9,0))</f>
        <v>1</v>
      </c>
      <c r="Q31" s="389" t="str">
        <f>IF($B31="","",VLOOKUP($B31,スキル!$A:$K,10,0))</f>
        <v>武器攻撃を単体にし、ダメージロールに+[(CL)*10]する。1シナリオ1回</v>
      </c>
      <c r="R31" s="389"/>
      <c r="S31" s="389"/>
      <c r="T31" s="389"/>
      <c r="U31" s="389"/>
      <c r="V31" s="389"/>
      <c r="W31" s="389"/>
      <c r="X31" s="393"/>
      <c r="Y31" s="393"/>
      <c r="Z31" s="393"/>
      <c r="AA31" s="394">
        <f>IF($X31="","",VLOOKUP($X31,スキル!$A:$E,2,0))</f>
      </c>
      <c r="AB31" s="394"/>
      <c r="AC31" s="394" t="str">
        <f>IF($X31="","0",VLOOKUP($X31,スキル!$A:$E,3,0))</f>
        <v>0</v>
      </c>
      <c r="AD31" s="395" t="str">
        <f>IF($X31="","0",VLOOKUP($X31,スキル!$A:$E,4,0))</f>
        <v>0</v>
      </c>
      <c r="AF31" s="358"/>
      <c r="AG31" s="359" t="e">
        <f>IF($AF31="","",VLOOKUP($AF31,AR_アイテム,5,0))*AH31</f>
        <v>#VALUE!</v>
      </c>
      <c r="AH31" s="129"/>
      <c r="AI31" s="221"/>
      <c r="AJ31" s="351" t="s">
        <v>158</v>
      </c>
      <c r="AK31" s="82" t="str">
        <f>"+"&amp;COUNTIF(AR_SHEET_スキル,"ナチュラルウェポン")*3+COUNTIF(AR_SHEET_スキル,"アイアンフィスト")*$H$13+IF(ISERROR(VLOOKUP("スペシャライズ：格闘",AR_スキルSL,7,0))=TRUE,"0",VLOOKUP("スペシャライズ：格闘",AR_スキルSL,7,0))+COUNTIF(AR_SHEET_スキル,"ウェポンフォーカス：格闘")*5+COUNTIF(AR_SHEET_装備,"パワーリスト")*3+COUNTIF(AR_SHEET_装備,"キックブーツ")*3&amp;"(+"&amp;COUNTIF(AR_SHEET_スキル,"ウェポンエキスパート：格闘")+COUNTIF(AR_SHEET_スキル,"メタルマッスル")*2&amp;"D)"</f>
        <v>+11(+0D)</v>
      </c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221"/>
      <c r="AX31" s="65"/>
      <c r="AY31" s="65"/>
      <c r="AZ31" s="65"/>
      <c r="BA31" s="65"/>
      <c r="BB31" s="390"/>
      <c r="BC31" s="65"/>
      <c r="BD31" s="65"/>
      <c r="BE31" s="364" t="s">
        <v>344</v>
      </c>
      <c r="BF31" s="297" t="str">
        <f>"+"&amp;0&amp;"(+"&amp;IF(ISERROR(VLOOKUP("ジュエルスキン：闇",AR_スキルSL,7,0))=TRUE,"0",VLOOKUP("ジュエルスキン：闇",AR_スキルSL,7,0))&amp;"D)"</f>
        <v>+0(+0D)</v>
      </c>
      <c r="BG31" s="298"/>
    </row>
    <row r="32" spans="1:59" ht="11.25">
      <c r="A32" s="372"/>
      <c r="B32" s="388" t="s">
        <v>134</v>
      </c>
      <c r="C32" s="388"/>
      <c r="D32" s="388"/>
      <c r="E32" s="388"/>
      <c r="F32" s="129" t="s">
        <v>13</v>
      </c>
      <c r="G32" s="129"/>
      <c r="H32" s="129">
        <f>IF($B32="","",VLOOKUP($B32,スキル!$A:$K,3,0))</f>
        <v>1</v>
      </c>
      <c r="I32" s="57" t="str">
        <f>IF($B32="","",VLOOKUP($B32,スキル!$A:$K,4,0))</f>
        <v>メジャー</v>
      </c>
      <c r="J32" s="57"/>
      <c r="K32" s="57" t="str">
        <f>IF($B32="","",VLOOKUP($B32,スキル!$A:$K,5,0))</f>
        <v>命中</v>
      </c>
      <c r="L32" s="57" t="str">
        <f>IF($B32="","",VLOOKUP($B32,スキル!$A:$K,6,0))</f>
        <v>単体</v>
      </c>
      <c r="M32" s="57" t="str">
        <f>IF($B32="","",VLOOKUP($B32,スキル!$A:$K,7,0))</f>
        <v>武器</v>
      </c>
      <c r="N32" s="57">
        <f>IF($B32="","",VLOOKUP($B32,スキル!$A:$K,8,0))</f>
        <v>4</v>
      </c>
      <c r="O32" s="57"/>
      <c r="P32" s="57" t="str">
        <f>IF($B32="","",VLOOKUP($B32,スキル!$A:$K,9,0))</f>
        <v>-</v>
      </c>
      <c r="Q32" s="389" t="str">
        <f>IF($B32="","",VLOOKUP($B32,スキル!$A:$K,10,0))</f>
        <v>対象に武器攻撃を行う。ダメージロールに+[(SL)D]</v>
      </c>
      <c r="R32" s="389"/>
      <c r="S32" s="389"/>
      <c r="T32" s="389"/>
      <c r="U32" s="389"/>
      <c r="V32" s="389"/>
      <c r="W32" s="389"/>
      <c r="X32" s="393"/>
      <c r="Y32" s="393"/>
      <c r="Z32" s="393"/>
      <c r="AA32" s="394">
        <f>IF($X32="","",VLOOKUP($X32,スキル!$A:$E,2,0))</f>
      </c>
      <c r="AB32" s="394"/>
      <c r="AC32" s="394" t="str">
        <f>IF($X32="","0",VLOOKUP($X32,スキル!$A:$E,3,0))</f>
        <v>0</v>
      </c>
      <c r="AD32" s="395" t="str">
        <f>IF($X32="","0",VLOOKUP($X32,スキル!$A:$E,4,0))</f>
        <v>0</v>
      </c>
      <c r="AF32" s="358"/>
      <c r="AG32" s="359" t="e">
        <f>IF($AF32="","",VLOOKUP($AF32,AR_アイテム,5,0))*AH32</f>
        <v>#VALUE!</v>
      </c>
      <c r="AH32" s="129"/>
      <c r="AI32" s="221"/>
      <c r="AJ32" s="351" t="s">
        <v>268</v>
      </c>
      <c r="AK32" s="82" t="str">
        <f>"+"&amp;IF(ISERROR(VLOOKUP("ヴォーパルアーツ",AR_スキルSL,7,0))=TRUE,"0",VLOOKUP("ヴォーパルアーツ",AR_スキルSL,7,0))*3+IF(ISERROR(VLOOKUP("スペシャライズ：短剣",AR_スキルSL,7,0))=TRUE,"0",VLOOKUP("スペシャライズ：短剣",AR_スキルSL,7,0))+COUNTIF(AR_SHEET_スキル,"ウェポンフォーカス：短剣")*5&amp;"(+"&amp;COUNTIF(AR_SHEET_スキル,"ウェポンエキスパート：短剣")*2&amp;"D)"</f>
        <v>+0(+0D)</v>
      </c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221"/>
      <c r="AX32" s="65"/>
      <c r="AY32" s="65"/>
      <c r="AZ32" s="65"/>
      <c r="BA32" s="65"/>
      <c r="BB32" s="390"/>
      <c r="BC32" s="65"/>
      <c r="BD32" s="65"/>
      <c r="BE32" s="396" t="s">
        <v>345</v>
      </c>
      <c r="BF32" s="397" t="str">
        <f>"+"&amp;COUNTIF(AR_SHEET_ギルドサポート,"宿敵：植物")*2&amp;"(+"&amp;0&amp;"D)"</f>
        <v>+0(+0D)</v>
      </c>
      <c r="BG32" s="298"/>
    </row>
    <row r="33" spans="1:59" ht="13.5">
      <c r="A33" s="372"/>
      <c r="B33" s="388" t="s">
        <v>149</v>
      </c>
      <c r="C33" s="388"/>
      <c r="D33" s="388"/>
      <c r="E33" s="388"/>
      <c r="F33" s="129" t="s">
        <v>13</v>
      </c>
      <c r="G33" s="129"/>
      <c r="H33" s="129">
        <f>IF($B33="","",VLOOKUP($B33,スキル!$A:$K,3,0))</f>
        <v>1</v>
      </c>
      <c r="I33" s="57" t="str">
        <f>IF($B33="","",VLOOKUP($B33,スキル!$A:$K,4,0))</f>
        <v>パッシヴ</v>
      </c>
      <c r="J33" s="57"/>
      <c r="K33" s="57" t="str">
        <f>IF($B33="","",VLOOKUP($B33,スキル!$A:$K,5,0))</f>
        <v>-</v>
      </c>
      <c r="L33" s="57" t="str">
        <f>IF($B33="","",VLOOKUP($B33,スキル!$A:$K,6,0))</f>
        <v>自身</v>
      </c>
      <c r="M33" s="57" t="str">
        <f>IF($B33="","",VLOOKUP($B33,スキル!$A:$K,7,0))</f>
        <v>-</v>
      </c>
      <c r="N33" s="57" t="str">
        <f>IF($B33="","",VLOOKUP($B33,スキル!$A:$K,8,0))</f>
        <v>-</v>
      </c>
      <c r="O33" s="57"/>
      <c r="P33" s="57" t="str">
        <f>IF($B33="","",VLOOKUP($B33,スキル!$A:$K,9,0))</f>
        <v>-</v>
      </c>
      <c r="Q33" s="389" t="str">
        <f>IF($B33="","",VLOOKUP($B33,スキル!$A:$K,10,0))</f>
        <v>武器攻撃の命中判定に+[SL+1]</v>
      </c>
      <c r="R33" s="389"/>
      <c r="S33" s="389"/>
      <c r="T33" s="389"/>
      <c r="U33" s="389"/>
      <c r="V33" s="389"/>
      <c r="W33" s="389"/>
      <c r="X33" s="393"/>
      <c r="Y33" s="393"/>
      <c r="Z33" s="393"/>
      <c r="AA33" s="394">
        <f>IF($X33="","",VLOOKUP($X33,スキル!$A:$E,2,0))</f>
      </c>
      <c r="AB33" s="394"/>
      <c r="AC33" s="394" t="str">
        <f>IF($X33="","0",VLOOKUP($X33,スキル!$A:$E,3,0))</f>
        <v>0</v>
      </c>
      <c r="AD33" s="395" t="str">
        <f>IF($X33="","0",VLOOKUP($X33,スキル!$A:$E,4,0))</f>
        <v>0</v>
      </c>
      <c r="AE33" s="11" t="s">
        <v>346</v>
      </c>
      <c r="AF33" s="358"/>
      <c r="AG33" s="359" t="e">
        <f>IF($AF33="","",VLOOKUP($AF33,AR_アイテム,5,0))*AH33</f>
        <v>#VALUE!</v>
      </c>
      <c r="AH33" s="129"/>
      <c r="AI33" s="221"/>
      <c r="AJ33" s="351" t="s">
        <v>273</v>
      </c>
      <c r="AK33" s="82" t="str">
        <f>"+"&amp;0+IF(ISERROR(VLOOKUP("スペシャライズ：長剣",AR_スキルSL,7,0))=TRUE,"0",VLOOKUP("スペシャライズ：長剣",AR_スキルSL,7,0))+COUNTIF(AR_SHEET_スキル,"ウェポンフォーカス：長剣")*5&amp;"(+"&amp;COUNTIF(AR_SHEET_スキル,"ウェポンエキスパート：長剣")*2&amp;"D)"</f>
        <v>+0(+0D)</v>
      </c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221"/>
      <c r="AX33" s="65"/>
      <c r="AY33" s="65"/>
      <c r="AZ33" s="65"/>
      <c r="BA33" s="65"/>
      <c r="BB33" s="390"/>
      <c r="BC33" s="65"/>
      <c r="BD33" s="65"/>
      <c r="BE33" s="398" t="s">
        <v>347</v>
      </c>
      <c r="BF33" s="335" t="str">
        <f>"+"&amp;0+COUNTIF(AR_SHEET_ギルドサポート,"宿敵：動物")*2&amp;"(+"&amp;COUNTIF(AR_SHEET_スキル,"ビーストキラー")&amp;"D)"</f>
        <v>+0(+0D)</v>
      </c>
      <c r="BG33" s="298"/>
    </row>
    <row r="34" spans="1:59" ht="13.5">
      <c r="A34" s="372"/>
      <c r="B34" s="388" t="s">
        <v>150</v>
      </c>
      <c r="C34" s="388"/>
      <c r="D34" s="388"/>
      <c r="E34" s="388"/>
      <c r="F34" s="129" t="s">
        <v>13</v>
      </c>
      <c r="G34" s="129"/>
      <c r="H34" s="129" t="s">
        <v>348</v>
      </c>
      <c r="I34" s="57" t="str">
        <f>IF($B34="","",VLOOKUP($B34,スキル!$A:$K,4,0))</f>
        <v>マイナー</v>
      </c>
      <c r="J34" s="57"/>
      <c r="K34" s="57" t="str">
        <f>IF($B34="","",VLOOKUP($B34,スキル!$A:$K,5,0))</f>
        <v>自動</v>
      </c>
      <c r="L34" s="57" t="str">
        <f>IF($B34="","",VLOOKUP($B34,スキル!$A:$K,6,0))</f>
        <v>自身</v>
      </c>
      <c r="M34" s="57" t="str">
        <f>IF($B34="","",VLOOKUP($B34,スキル!$A:$K,7,0))</f>
        <v>-</v>
      </c>
      <c r="N34" s="57">
        <f>IF($B34="","",VLOOKUP($B34,スキル!$A:$K,8,0))</f>
        <v>5</v>
      </c>
      <c r="O34" s="57"/>
      <c r="P34" s="57" t="str">
        <f>IF($B34="","",VLOOKUP($B34,スキル!$A:$K,9,0))</f>
        <v>-</v>
      </c>
      <c r="Q34" s="389" t="str">
        <f>IF($B34="","",VLOOKUP($B34,スキル!$A:$K,10,0))</f>
        <v>メインプロセスで行う白兵ダメージに+[筋力]</v>
      </c>
      <c r="R34" s="389"/>
      <c r="S34" s="389"/>
      <c r="T34" s="389"/>
      <c r="U34" s="389"/>
      <c r="V34" s="389"/>
      <c r="W34" s="389"/>
      <c r="X34" s="393"/>
      <c r="Y34" s="393"/>
      <c r="Z34" s="393"/>
      <c r="AA34" s="394">
        <f>IF($X34="","",VLOOKUP($X34,スキル!$A:$E,2,0))</f>
      </c>
      <c r="AB34" s="394"/>
      <c r="AC34" s="394" t="str">
        <f>IF($X34="","0",VLOOKUP($X34,スキル!$A:$E,3,0))</f>
        <v>0</v>
      </c>
      <c r="AD34" s="395" t="str">
        <f>IF($X34="","0",VLOOKUP($X34,スキル!$A:$E,4,0))</f>
        <v>0</v>
      </c>
      <c r="AF34" s="358"/>
      <c r="AG34" s="359" t="e">
        <f>IF($AF34="","",VLOOKUP($AF34,AR_アイテム,5,0))*AH34</f>
        <v>#VALUE!</v>
      </c>
      <c r="AH34" s="129"/>
      <c r="AI34" s="221"/>
      <c r="AJ34" s="351" t="s">
        <v>278</v>
      </c>
      <c r="AK34" s="82" t="str">
        <f>"+"&amp;0+IF(ISERROR(VLOOKUP("スペシャライズ：両手剣",AR_スキルSL,7,0))=TRUE,"0",VLOOKUP("スペシャライズ：両手剣",AR_スキルSL,7,0))+COUNTIF(AR_SHEET_スキル,"ウェポンフォーカス：両手剣")*5&amp;"(+"&amp;COUNTIF(AR_SHEET_スキル,"ウェポンエキスパート：両手剣")*2&amp;"D)"</f>
        <v>+0(+0D)</v>
      </c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221"/>
      <c r="AX34" s="65"/>
      <c r="AY34" s="65"/>
      <c r="AZ34" s="65"/>
      <c r="BA34" s="65"/>
      <c r="BB34" s="390"/>
      <c r="BC34" s="65"/>
      <c r="BD34" s="65"/>
      <c r="BE34" s="398" t="s">
        <v>349</v>
      </c>
      <c r="BF34" s="82" t="str">
        <f>"+"&amp;COUNTIF(AR_SHEET_ギルドサポート,"宿敵：人間")*2&amp;"(+"&amp;0&amp;"D)"</f>
        <v>+0(+0D)</v>
      </c>
      <c r="BG34" s="246"/>
    </row>
    <row r="35" spans="1:59" ht="13.5">
      <c r="A35" s="372"/>
      <c r="B35" s="388" t="s">
        <v>138</v>
      </c>
      <c r="C35" s="388"/>
      <c r="D35" s="388"/>
      <c r="E35" s="388"/>
      <c r="F35" s="129" t="s">
        <v>17</v>
      </c>
      <c r="G35" s="129"/>
      <c r="H35" s="129">
        <v>3</v>
      </c>
      <c r="I35" s="57" t="str">
        <f>IF($B35="","",VLOOKUP($B35,スキル!$A:$K,4,0))</f>
        <v>パッシヴ</v>
      </c>
      <c r="J35" s="57"/>
      <c r="K35" s="57" t="str">
        <f>IF($B35="","",VLOOKUP($B35,スキル!$A:$K,5,0))</f>
        <v>-</v>
      </c>
      <c r="L35" s="57" t="str">
        <f>IF($B35="","",VLOOKUP($B35,スキル!$A:$K,6,0))</f>
        <v>自身</v>
      </c>
      <c r="M35" s="57" t="str">
        <f>IF($B35="","",VLOOKUP($B35,スキル!$A:$K,7,0))</f>
        <v>-</v>
      </c>
      <c r="N35" s="57" t="str">
        <f>IF($B35="","",VLOOKUP($B35,スキル!$A:$K,8,0))</f>
        <v>-</v>
      </c>
      <c r="O35" s="57"/>
      <c r="P35" s="57" t="str">
        <f>IF($B35="","",VLOOKUP($B35,スキル!$A:$K,9,0))</f>
        <v>-</v>
      </c>
      <c r="Q35" s="389" t="str">
        <f>IF($B35="","",VLOOKUP($B35,スキル!$A:$K,10,0))</f>
        <v>「種別：格闘」の白兵攻撃の対象がバッドステータスを受けていた場合ダメージロールに+[SL×2D]</v>
      </c>
      <c r="R35" s="389"/>
      <c r="S35" s="389"/>
      <c r="T35" s="389"/>
      <c r="U35" s="389"/>
      <c r="V35" s="389"/>
      <c r="W35" s="389"/>
      <c r="X35" s="393"/>
      <c r="Y35" s="393"/>
      <c r="Z35" s="393"/>
      <c r="AA35" s="394">
        <f>IF($X35="","",VLOOKUP($X35,スキル!$A:$E,2,0))</f>
      </c>
      <c r="AB35" s="394"/>
      <c r="AC35" s="394" t="str">
        <f>IF($X35="","0",VLOOKUP($X35,スキル!$A:$E,3,0))</f>
        <v>0</v>
      </c>
      <c r="AD35" s="395" t="str">
        <f>IF($X35="","0",VLOOKUP($X35,スキル!$A:$E,4,0))</f>
        <v>0</v>
      </c>
      <c r="AF35" s="358"/>
      <c r="AG35" s="359" t="e">
        <f>IF($AF35="","",VLOOKUP($AF35,AR_アイテム,5,0))*AH35</f>
        <v>#VALUE!</v>
      </c>
      <c r="AH35" s="129"/>
      <c r="AI35" s="221"/>
      <c r="AJ35" s="351" t="s">
        <v>283</v>
      </c>
      <c r="AK35" s="82" t="str">
        <f>"+"&amp;0+IF(ISERROR(VLOOKUP("スペシャライズ：刀",AR_スキルSL,7,0))=TRUE,"0",VLOOKUP("スペシャライズ：刀",AR_スキルSL,7,0))+COUNTIF(AR_SHEET_スキル,"ウェポンフォーカス：刀")*5&amp;"(+"&amp;IF(ISERROR(VLOOKUP("トゥーハンドアタック",AR_スキルSL,7,0))=TRUE,"0",VLOOKUP("トゥーハンドアタック",AR_スキルSL,7,0))+COUNTIF(AR_SHEET_スキル,"ウェポンエキスパート：刀")*2&amp;"D)"</f>
        <v>+0(+0D)</v>
      </c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221"/>
      <c r="AX35" s="65"/>
      <c r="AY35" s="65"/>
      <c r="AZ35" s="65"/>
      <c r="BA35" s="65"/>
      <c r="BB35" s="390"/>
      <c r="BC35" s="65"/>
      <c r="BD35" s="65"/>
      <c r="BE35" s="398" t="s">
        <v>350</v>
      </c>
      <c r="BF35" s="82" t="str">
        <f>"+"&amp;COUNTIF(AR_SHEET_ギルドサポート,"宿敵：妖精")*2&amp;"(+"&amp;0&amp;"D)"</f>
        <v>+0(+0D)</v>
      </c>
      <c r="BG35" s="246"/>
    </row>
    <row r="36" spans="1:59" ht="13.5">
      <c r="A36" s="372"/>
      <c r="B36" s="388" t="s">
        <v>144</v>
      </c>
      <c r="C36" s="388"/>
      <c r="D36" s="388"/>
      <c r="E36" s="388"/>
      <c r="F36" s="129" t="s">
        <v>17</v>
      </c>
      <c r="G36" s="129"/>
      <c r="H36" s="129" t="str">
        <f>IF($B36="","",VLOOKUP($B36,スキル!$A:$K,3,0))</f>
        <v>★</v>
      </c>
      <c r="I36" s="57" t="str">
        <f>IF($B36="","",VLOOKUP($B36,スキル!$A:$K,4,0))</f>
        <v>効果参照</v>
      </c>
      <c r="J36" s="57"/>
      <c r="K36" s="57" t="str">
        <f>IF($B36="","",VLOOKUP($B36,スキル!$A:$K,5,0))</f>
        <v>自動</v>
      </c>
      <c r="L36" s="57" t="str">
        <f>IF($B36="","",VLOOKUP($B36,スキル!$A:$K,6,0))</f>
        <v>自身</v>
      </c>
      <c r="M36" s="57" t="str">
        <f>IF($B36="","",VLOOKUP($B36,スキル!$A:$K,7,0))</f>
        <v>-</v>
      </c>
      <c r="N36" s="57">
        <f>IF($B36="","",VLOOKUP($B36,スキル!$A:$K,8,0))</f>
        <v>5</v>
      </c>
      <c r="O36" s="57"/>
      <c r="P36" s="57" t="str">
        <f>IF($B36="","",VLOOKUP($B36,スキル!$A:$K,9,0))</f>
        <v>-</v>
      </c>
      <c r="Q36" s="389" t="str">
        <f>IF($B36="","",VLOOKUP($B36,スキル!$A:$K,10,0))</f>
        <v>バッドステータスを受けた直後に使用する。受けたバッドステータスを全て回復する。1メインプロセスに1回使用可能</v>
      </c>
      <c r="R36" s="389"/>
      <c r="S36" s="389"/>
      <c r="T36" s="389"/>
      <c r="U36" s="389"/>
      <c r="V36" s="389"/>
      <c r="W36" s="389"/>
      <c r="X36" s="393"/>
      <c r="Y36" s="393"/>
      <c r="Z36" s="393"/>
      <c r="AA36" s="394">
        <f>IF($X36="","",VLOOKUP($X36,スキル!$A:$E,2,0))</f>
      </c>
      <c r="AB36" s="394"/>
      <c r="AC36" s="394" t="str">
        <f>IF($X36="","0",VLOOKUP($X36,スキル!$A:$E,3,0))</f>
        <v>0</v>
      </c>
      <c r="AD36" s="395" t="str">
        <f>IF($X36="","0",VLOOKUP($X36,スキル!$A:$E,4,0))</f>
        <v>0</v>
      </c>
      <c r="AF36" s="358"/>
      <c r="AG36" s="359" t="e">
        <f>IF($AF36="","",VLOOKUP($AF36,AR_アイテム,5,0))*AH36</f>
        <v>#VALUE!</v>
      </c>
      <c r="AH36" s="129"/>
      <c r="AI36" s="221"/>
      <c r="AJ36" s="351" t="s">
        <v>289</v>
      </c>
      <c r="AK36" s="82" t="str">
        <f>"+"&amp;0+IF(ISERROR(VLOOKUP("スペシャライズ：鞭",AR_スキルSL,7,0))=TRUE,"0",VLOOKUP("スペシャライズ：鞭",AR_スキルSL,7,0))+COUNTIF(AR_SHEET_スキル,"ウェポンフォーカス：鞭")*5&amp;"(+"&amp;COUNTIF(AR_SHEET_スキル,"ウェポンエキスパート：鞭")*2&amp;"D)"</f>
        <v>+0(+0D)</v>
      </c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221"/>
      <c r="AX36" s="65"/>
      <c r="AY36" s="65"/>
      <c r="AZ36" s="65"/>
      <c r="BA36" s="65"/>
      <c r="BB36" s="390"/>
      <c r="BC36" s="65"/>
      <c r="BD36" s="65"/>
      <c r="BE36" s="398" t="s">
        <v>351</v>
      </c>
      <c r="BF36" s="82" t="str">
        <f>"+"&amp;COUNTIF(AR_SHEET_ギルドサポート,"宿敵：妖魔")*2&amp;"(+"&amp;0&amp;"D)"</f>
        <v>+0(+0D)</v>
      </c>
      <c r="BG36" s="246"/>
    </row>
    <row r="37" spans="1:59" ht="13.5">
      <c r="A37" s="372"/>
      <c r="B37" s="388" t="s">
        <v>143</v>
      </c>
      <c r="C37" s="388"/>
      <c r="D37" s="388"/>
      <c r="E37" s="388"/>
      <c r="F37" s="129" t="s">
        <v>17</v>
      </c>
      <c r="G37" s="129"/>
      <c r="H37" s="129" t="str">
        <f>IF($B37="","",VLOOKUP($B37,スキル!$A:$K,3,0))</f>
        <v>★</v>
      </c>
      <c r="I37" s="57" t="str">
        <f>IF($B37="","",VLOOKUP($B37,スキル!$A:$K,4,0))</f>
        <v>パッシヴ</v>
      </c>
      <c r="J37" s="57"/>
      <c r="K37" s="57" t="str">
        <f>IF($B37="","",VLOOKUP($B37,スキル!$A:$K,5,0))</f>
        <v>-</v>
      </c>
      <c r="L37" s="57" t="str">
        <f>IF($B37="","",VLOOKUP($B37,スキル!$A:$K,6,0))</f>
        <v>自身</v>
      </c>
      <c r="M37" s="57" t="str">
        <f>IF($B37="","",VLOOKUP($B37,スキル!$A:$K,7,0))</f>
        <v>-</v>
      </c>
      <c r="N37" s="57" t="str">
        <f>IF($B37="","",VLOOKUP($B37,スキル!$A:$K,8,0))</f>
        <v>-</v>
      </c>
      <c r="O37" s="57"/>
      <c r="P37" s="57" t="str">
        <f>IF($B37="","",VLOOKUP($B37,スキル!$A:$K,9,0))</f>
        <v>-</v>
      </c>
      <c r="Q37" s="389" t="str">
        <f>IF($B37="","",VLOOKUP($B37,スキル!$A:$K,10,0))</f>
        <v>「種別：格闘」の白兵攻撃のダメージに+[精神]</v>
      </c>
      <c r="R37" s="389"/>
      <c r="S37" s="389"/>
      <c r="T37" s="389"/>
      <c r="U37" s="389"/>
      <c r="V37" s="389"/>
      <c r="W37" s="389"/>
      <c r="X37" s="393"/>
      <c r="Y37" s="393"/>
      <c r="Z37" s="393"/>
      <c r="AA37" s="394">
        <f>IF($X37="","",VLOOKUP($X37,スキル!$A:$E,2,0))</f>
      </c>
      <c r="AB37" s="394"/>
      <c r="AC37" s="394" t="str">
        <f>IF($X37="","0",VLOOKUP($X37,スキル!$A:$E,3,0))</f>
        <v>0</v>
      </c>
      <c r="AD37" s="395" t="str">
        <f>IF($X37="","0",VLOOKUP($X37,スキル!$A:$E,4,0))</f>
        <v>0</v>
      </c>
      <c r="AF37" s="358"/>
      <c r="AG37" s="359" t="e">
        <f>IF($AF37="","",VLOOKUP($AF37,AR_アイテム,5,0))*AH37</f>
        <v>#VALUE!</v>
      </c>
      <c r="AH37" s="129"/>
      <c r="AI37" s="221"/>
      <c r="AJ37" s="351" t="s">
        <v>296</v>
      </c>
      <c r="AK37" s="82" t="str">
        <f>"+"&amp;0+IF(ISERROR(VLOOKUP("スペシャライズ：斧",AR_スキルSL,7,0))=TRUE,"0",VLOOKUP("スペシャライズ：斧",AR_スキルSL,7,0))+COUNTIF(AR_SHEET_スキル,"ウェポンフォーカス：斧")*5+COUNTIF(AR_SHEET_スキル,"アックスアデプト")*5&amp;"(+"&amp;COUNTIF(AR_SHEET_スキル,"ウェポンエキスパート：斧")*2&amp;"D)"</f>
        <v>+0(+0D)</v>
      </c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221"/>
      <c r="AX37" s="65"/>
      <c r="AY37" s="65"/>
      <c r="AZ37" s="65"/>
      <c r="BA37" s="65"/>
      <c r="BB37" s="390"/>
      <c r="BC37" s="65"/>
      <c r="BD37" s="65"/>
      <c r="BE37" s="398" t="s">
        <v>352</v>
      </c>
      <c r="BF37" s="82" t="str">
        <f>"+"&amp;COUNTIF(AR_SHEET_ギルドサポート,"宿敵：ｱﾝﾃﾞｯﾄﾞ")*2&amp;"(+"&amp;0&amp;"D)"</f>
        <v>+0(+0D)</v>
      </c>
      <c r="BG37" s="246"/>
    </row>
    <row r="38" spans="1:59" ht="13.5">
      <c r="A38" s="372"/>
      <c r="B38" s="388" t="s">
        <v>145</v>
      </c>
      <c r="C38" s="388"/>
      <c r="D38" s="388"/>
      <c r="E38" s="388"/>
      <c r="F38" s="129" t="s">
        <v>17</v>
      </c>
      <c r="G38" s="129"/>
      <c r="H38" s="129" t="str">
        <f>IF($B38="","",VLOOKUP($B38,スキル!$A:$K,3,0))</f>
        <v>★</v>
      </c>
      <c r="I38" s="57" t="str">
        <f>IF($B38="","",VLOOKUP($B38,スキル!$A:$K,4,0))</f>
        <v>パッシヴ</v>
      </c>
      <c r="J38" s="57"/>
      <c r="K38" s="57" t="str">
        <f>IF($B38="","",VLOOKUP($B38,スキル!$A:$K,5,0))</f>
        <v>-</v>
      </c>
      <c r="L38" s="57" t="str">
        <f>IF($B38="","",VLOOKUP($B38,スキル!$A:$K,6,0))</f>
        <v>自身</v>
      </c>
      <c r="M38" s="57" t="str">
        <f>IF($B38="","",VLOOKUP($B38,スキル!$A:$K,7,0))</f>
        <v>-</v>
      </c>
      <c r="N38" s="57" t="str">
        <f>IF($B38="","",VLOOKUP($B38,スキル!$A:$K,8,0))</f>
        <v>-</v>
      </c>
      <c r="O38" s="57"/>
      <c r="P38" s="57" t="str">
        <f>IF($B38="","",VLOOKUP($B38,スキル!$A:$K,9,0))</f>
        <v>-</v>
      </c>
      <c r="Q38" s="389" t="str">
        <f>IF($B38="","",VLOOKUP($B38,スキル!$A:$K,10,0))</f>
        <v>[精神]+2</v>
      </c>
      <c r="R38" s="389"/>
      <c r="S38" s="389"/>
      <c r="T38" s="389"/>
      <c r="U38" s="389"/>
      <c r="V38" s="389"/>
      <c r="W38" s="389"/>
      <c r="X38" s="393"/>
      <c r="Y38" s="393"/>
      <c r="Z38" s="393"/>
      <c r="AA38" s="394">
        <f>IF($X38="","",VLOOKUP($X38,スキル!$A:$E,2,0))</f>
      </c>
      <c r="AB38" s="394"/>
      <c r="AC38" s="394" t="str">
        <f>IF($X38="","0",VLOOKUP($X38,スキル!$A:$E,3,0))</f>
        <v>0</v>
      </c>
      <c r="AD38" s="395" t="str">
        <f>IF($X38="","0",VLOOKUP($X38,スキル!$A:$E,4,0))</f>
        <v>0</v>
      </c>
      <c r="AF38" s="358"/>
      <c r="AG38" s="359" t="e">
        <f>IF($AF38="","",VLOOKUP($AF38,AR_アイテム,5,0))*AH38</f>
        <v>#VALUE!</v>
      </c>
      <c r="AH38" s="129"/>
      <c r="AI38" s="221"/>
      <c r="AJ38" s="351" t="s">
        <v>303</v>
      </c>
      <c r="AK38" s="82" t="str">
        <f>"+"&amp;0+IF(ISERROR(VLOOKUP("スペシャライズ：打撃",AR_スキルSL,7,0))=TRUE,"0",VLOOKUP("スペシャライズ：打撃",AR_スキルSL,7,0))+COUNTIF(AR_SHEET_スキル,"ウェポンフォーカス：打撃")*5&amp;"(+"&amp;COUNTIF(AR_SHEET_スキル,"ウェポンエキスパート：打撃")*2&amp;"D)"</f>
        <v>+0(+0D)</v>
      </c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221"/>
      <c r="AX38" s="65"/>
      <c r="AY38" s="65"/>
      <c r="AZ38" s="65"/>
      <c r="BA38" s="65"/>
      <c r="BB38" s="390"/>
      <c r="BC38" s="65"/>
      <c r="BD38" s="65"/>
      <c r="BE38" s="398" t="s">
        <v>353</v>
      </c>
      <c r="BF38" s="82" t="str">
        <f>"+"&amp;COUNTIF(AR_SHEET_ギルドサポート,"宿敵：精霊")*2&amp;"(+"&amp;0&amp;"D)"</f>
        <v>+0(+0D)</v>
      </c>
      <c r="BG38" s="246"/>
    </row>
    <row r="39" spans="1:59" ht="13.5">
      <c r="A39" s="372"/>
      <c r="B39" s="388" t="s">
        <v>148</v>
      </c>
      <c r="C39" s="388"/>
      <c r="D39" s="388"/>
      <c r="E39" s="388"/>
      <c r="F39" s="129" t="s">
        <v>17</v>
      </c>
      <c r="G39" s="129"/>
      <c r="H39" s="129" t="str">
        <f>IF($B39="","",VLOOKUP($B39,スキル!$A:$K,3,0))</f>
        <v>★</v>
      </c>
      <c r="I39" s="57" t="str">
        <f>IF($B39="","",VLOOKUP($B39,スキル!$A:$K,4,0))</f>
        <v>効果参照</v>
      </c>
      <c r="J39" s="57"/>
      <c r="K39" s="57" t="str">
        <f>IF($B39="","",VLOOKUP($B39,スキル!$A:$K,5,0))</f>
        <v>自動</v>
      </c>
      <c r="L39" s="57" t="str">
        <f>IF($B39="","",VLOOKUP($B39,スキル!$A:$K,6,0))</f>
        <v>単体</v>
      </c>
      <c r="M39" s="57" t="str">
        <f>IF($B39="","",VLOOKUP($B39,スキル!$A:$K,7,0))</f>
        <v>効果</v>
      </c>
      <c r="N39" s="57" t="str">
        <f>IF($B39="","",VLOOKUP($B39,スキル!$A:$K,8,0))</f>
        <v>-</v>
      </c>
      <c r="O39" s="57"/>
      <c r="P39" s="57">
        <f>IF($B39="","",VLOOKUP($B39,スキル!$A:$K,9,0))</f>
        <v>1</v>
      </c>
      <c r="Q39" s="389" t="str">
        <f>IF($B39="","",VLOOKUP($B39,スキル!$A:$K,10,0))</f>
        <v>ダメージを受けた直後に使用する。受けたHPダメージと同じ値だけ、対象にHPロスを与える。最大、自分の最大HP</v>
      </c>
      <c r="R39" s="389"/>
      <c r="S39" s="389"/>
      <c r="T39" s="389"/>
      <c r="U39" s="389"/>
      <c r="V39" s="389"/>
      <c r="W39" s="389"/>
      <c r="X39" s="393"/>
      <c r="Y39" s="393"/>
      <c r="Z39" s="393"/>
      <c r="AA39" s="394">
        <f>IF($X39="","",VLOOKUP($X39,スキル!$A:$E,2,0))</f>
      </c>
      <c r="AB39" s="394"/>
      <c r="AC39" s="394" t="str">
        <f>IF($X39="","0",VLOOKUP($X39,スキル!$A:$E,3,0))</f>
        <v>0</v>
      </c>
      <c r="AD39" s="395" t="str">
        <f>IF($X39="","0",VLOOKUP($X39,スキル!$A:$E,4,0))</f>
        <v>0</v>
      </c>
      <c r="AF39" s="358"/>
      <c r="AG39" s="359" t="e">
        <f>IF($AF39="","",VLOOKUP($AF39,AR_アイテム,5,0))*AH39</f>
        <v>#VALUE!</v>
      </c>
      <c r="AH39" s="129"/>
      <c r="AI39" s="221"/>
      <c r="AJ39" s="351" t="s">
        <v>310</v>
      </c>
      <c r="AK39" s="82" t="str">
        <f>"+"&amp;0+IF(ISERROR(VLOOKUP("スペシャライズ：槍",AR_スキルSL,7,0))=TRUE,"0",VLOOKUP("スペシャライズ：槍",AR_スキルSL,7,0))+COUNTIF(AR_SHEET_スキル,"ウェポンフォーカス：槍")*5&amp;"(+"&amp;COUNTIF(AR_SHEET_スキル,"ウェポンエキスパート：槍")*2+COUNTIF(AR_SHEET_装備,"マイティランス")*3&amp;"D)"</f>
        <v>+0(+0D)</v>
      </c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221"/>
      <c r="AX39" s="65"/>
      <c r="AY39" s="65"/>
      <c r="AZ39" s="65"/>
      <c r="BA39" s="65"/>
      <c r="BB39" s="390"/>
      <c r="BC39" s="65"/>
      <c r="BD39" s="65"/>
      <c r="BE39" s="398" t="s">
        <v>354</v>
      </c>
      <c r="BF39" s="82" t="str">
        <f>"+"&amp;COUNTIF(AR_SHEET_ギルドサポート,"宿敵：人造生物")*2&amp;"(+"&amp;0&amp;"D)"</f>
        <v>+0(+0D)</v>
      </c>
      <c r="BG39" s="298"/>
    </row>
    <row r="40" spans="1:59" ht="13.5">
      <c r="A40" s="372"/>
      <c r="B40" s="388" t="s">
        <v>142</v>
      </c>
      <c r="C40" s="388"/>
      <c r="D40" s="388"/>
      <c r="E40" s="388"/>
      <c r="F40" s="129" t="s">
        <v>17</v>
      </c>
      <c r="G40" s="129"/>
      <c r="H40" s="129" t="str">
        <f>IF($B40="","",VLOOKUP($B40,スキル!$A:$K,3,0))</f>
        <v>★</v>
      </c>
      <c r="I40" s="57" t="str">
        <f>IF($B40="","",VLOOKUP($B40,スキル!$A:$K,4,0))</f>
        <v>パッシヴ</v>
      </c>
      <c r="J40" s="57"/>
      <c r="K40" s="57" t="str">
        <f>IF($B40="","",VLOOKUP($B40,スキル!$A:$K,5,0))</f>
        <v>-</v>
      </c>
      <c r="L40" s="57" t="str">
        <f>IF($B40="","",VLOOKUP($B40,スキル!$A:$K,6,0))</f>
        <v>自身</v>
      </c>
      <c r="M40" s="57" t="str">
        <f>IF($B40="","",VLOOKUP($B40,スキル!$A:$K,7,0))</f>
        <v>-</v>
      </c>
      <c r="N40" s="57" t="str">
        <f>IF($B40="","",VLOOKUP($B40,スキル!$A:$K,8,0))</f>
        <v>-</v>
      </c>
      <c r="O40" s="57"/>
      <c r="P40" s="57" t="str">
        <f>IF($B40="","",VLOOKUP($B40,スキル!$A:$K,9,0))</f>
        <v>-</v>
      </c>
      <c r="Q40" s="389" t="str">
        <f>IF($B40="","",VLOOKUP($B40,スキル!$A:$K,10,0))</f>
        <v>「種別：格闘」の白兵攻撃の命中に+1Ｄ</v>
      </c>
      <c r="R40" s="389"/>
      <c r="S40" s="389"/>
      <c r="T40" s="389"/>
      <c r="U40" s="389"/>
      <c r="V40" s="389"/>
      <c r="W40" s="389"/>
      <c r="X40" s="393"/>
      <c r="Y40" s="393"/>
      <c r="Z40" s="393"/>
      <c r="AA40" s="394">
        <f>IF($X40="","",VLOOKUP($X40,スキル!$A:$E,2,0))</f>
      </c>
      <c r="AB40" s="394"/>
      <c r="AC40" s="394" t="str">
        <f>IF($X40="","0",VLOOKUP($X40,スキル!$A:$E,3,0))</f>
        <v>0</v>
      </c>
      <c r="AD40" s="395" t="str">
        <f>IF($X40="","0",VLOOKUP($X40,スキル!$A:$E,4,0))</f>
        <v>0</v>
      </c>
      <c r="AF40" s="358"/>
      <c r="AG40" s="359" t="e">
        <f>IF($AF40="","",VLOOKUP($AF40,AR_アイテム,5,0))*AH40</f>
        <v>#VALUE!</v>
      </c>
      <c r="AH40" s="129"/>
      <c r="AI40" s="221"/>
      <c r="AJ40" s="351" t="s">
        <v>319</v>
      </c>
      <c r="AK40" s="82" t="str">
        <f>"+"&amp;0+IF(ISERROR(VLOOKUP("スペシャライズ：弓",AR_スキルSL,7,0))=TRUE,"0",VLOOKUP("スペシャライズ：弓",AR_スキルSL,7,0))+COUNTIF(AR_SHEET_スキル,"ウェポンフォーカス：弓")*5&amp;"(+"&amp;COUNTIF(AR_SHEET_スキル,"ウェポンエキスパート：弓")*2&amp;"D)"</f>
        <v>+0(+0D)</v>
      </c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221"/>
      <c r="AX40" s="65"/>
      <c r="AY40" s="65"/>
      <c r="AZ40" s="65"/>
      <c r="BA40" s="65"/>
      <c r="BB40" s="390"/>
      <c r="BC40" s="65"/>
      <c r="BD40" s="65"/>
      <c r="BE40" s="398" t="s">
        <v>355</v>
      </c>
      <c r="BF40" s="82" t="str">
        <f>"+"&amp;COUNTIF(AR_SHEET_ギルドサポート,"宿敵：機械")*2&amp;"(+"&amp;0&amp;"D)"</f>
        <v>+0(+0D)</v>
      </c>
      <c r="BG40" s="399"/>
    </row>
    <row r="41" spans="1:59" ht="13.5">
      <c r="A41" s="372"/>
      <c r="B41" s="388" t="s">
        <v>137</v>
      </c>
      <c r="C41" s="388"/>
      <c r="D41" s="388"/>
      <c r="E41" s="388"/>
      <c r="F41" s="129" t="s">
        <v>17</v>
      </c>
      <c r="G41" s="129"/>
      <c r="H41" s="129" t="str">
        <f>IF($B41="","",VLOOKUP($B41,スキル!$A:$K,3,0))</f>
        <v>★</v>
      </c>
      <c r="I41" s="57" t="str">
        <f>IF($B41="","",VLOOKUP($B41,スキル!$A:$K,4,0))</f>
        <v>メジャー</v>
      </c>
      <c r="J41" s="57"/>
      <c r="K41" s="57" t="str">
        <f>IF($B41="","",VLOOKUP($B41,スキル!$A:$K,5,0))</f>
        <v>命中</v>
      </c>
      <c r="L41" s="57" t="str">
        <f>IF($B41="","",VLOOKUP($B41,スキル!$A:$K,6,0))</f>
        <v>単体</v>
      </c>
      <c r="M41" s="57" t="str">
        <f>IF($B41="","",VLOOKUP($B41,スキル!$A:$K,7,0))</f>
        <v>武器</v>
      </c>
      <c r="N41" s="57">
        <f>IF($B41="","",VLOOKUP($B41,スキル!$A:$K,8,0))</f>
        <v>6</v>
      </c>
      <c r="O41" s="57"/>
      <c r="P41" s="57" t="str">
        <f>IF($B41="","",VLOOKUP($B41,スキル!$A:$K,9,0))</f>
        <v>-</v>
      </c>
      <c r="Q41" s="389" t="str">
        <f>IF($B41="","",VLOOKUP($B41,スキル!$A:$K,10,0))</f>
        <v>「種別：格闘」の白兵攻撃のダメージロールは対象の[物理防御力][魔法防御力]を0として与える</v>
      </c>
      <c r="R41" s="389"/>
      <c r="S41" s="389"/>
      <c r="T41" s="389"/>
      <c r="U41" s="389"/>
      <c r="V41" s="389"/>
      <c r="W41" s="389"/>
      <c r="X41" s="393"/>
      <c r="Y41" s="393"/>
      <c r="Z41" s="393"/>
      <c r="AA41" s="394">
        <f>IF($X41="","",VLOOKUP($X41,スキル!$A:$E,2,0))</f>
      </c>
      <c r="AB41" s="394"/>
      <c r="AC41" s="394" t="str">
        <f>IF($X41="","0",VLOOKUP($X41,スキル!$A:$E,3,0))</f>
        <v>0</v>
      </c>
      <c r="AD41" s="395" t="str">
        <f>IF($X41="","0",VLOOKUP($X41,スキル!$A:$E,4,0))</f>
        <v>0</v>
      </c>
      <c r="AF41" s="358"/>
      <c r="AG41" s="359" t="e">
        <f>IF($AF41="","",VLOOKUP($AF41,AR_アイテム,5,0))*AH41</f>
        <v>#VALUE!</v>
      </c>
      <c r="AH41" s="129"/>
      <c r="AI41" s="221"/>
      <c r="AJ41" s="351" t="s">
        <v>331</v>
      </c>
      <c r="AK41" s="82" t="str">
        <f>"+"&amp;0+IF(ISERROR(VLOOKUP("スペシャライズ：錬金銃",AR_スキルSL,7,0))=TRUE,"0",VLOOKUP("スペシャライズ：錬金銃",AR_スキルSL,7,0))+IF(ISERROR(VLOOKUP("ラピス・フィロソフォルム",AR_スキルSL,7,0))=TRUE,"0",VLOOKUP("ラピス・フィロソフォルム",AR_スキルSL,7,0)*2)+COUNTIF(AR_SHEET_スキル,"ウェポンフォーカス：錬金銃")*5&amp;"(+"&amp;COUNTIF(AR_SHEET_スキル,"ウェポンエキスパート：錬金銃")*2&amp;"D)"</f>
        <v>+0(+0D)</v>
      </c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221"/>
      <c r="AX41" s="65"/>
      <c r="AY41" s="65"/>
      <c r="AZ41" s="65"/>
      <c r="BA41" s="65"/>
      <c r="BB41" s="390"/>
      <c r="BC41" s="65"/>
      <c r="BD41" s="65"/>
      <c r="BE41" s="398" t="s">
        <v>356</v>
      </c>
      <c r="BF41" s="82" t="str">
        <f>"+"&amp;COUNTIF(AR_SHEET_ギルドサポート,"宿敵：魔獣")*2&amp;"(+"&amp;0&amp;"D)"</f>
        <v>+0(+0D)</v>
      </c>
      <c r="BG41" s="399"/>
    </row>
    <row r="42" spans="1:59" ht="13.5">
      <c r="A42" s="372"/>
      <c r="B42" s="388"/>
      <c r="C42" s="388"/>
      <c r="D42" s="388"/>
      <c r="E42" s="388"/>
      <c r="F42" s="129"/>
      <c r="G42" s="129"/>
      <c r="H42" s="129">
        <f>IF($B42="","",VLOOKUP($B42,スキル!$A:$K,3,0))</f>
      </c>
      <c r="I42" s="57">
        <f>IF($B42="","",VLOOKUP($B42,スキル!$A:$K,4,0))</f>
      </c>
      <c r="J42" s="57"/>
      <c r="K42" s="57">
        <f>IF($B42="","",VLOOKUP($B42,スキル!$A:$K,5,0))</f>
      </c>
      <c r="L42" s="57">
        <f>IF($B42="","",VLOOKUP($B42,スキル!$A:$K,6,0))</f>
      </c>
      <c r="M42" s="57">
        <f>IF($B42="","",VLOOKUP($B42,スキル!$A:$K,7,0))</f>
      </c>
      <c r="N42" s="57">
        <f>IF($B42="","",VLOOKUP($B42,スキル!$A:$K,8,0))</f>
      </c>
      <c r="O42" s="57"/>
      <c r="P42" s="57">
        <f>IF($B42="","",VLOOKUP($B42,スキル!$A:$K,9,0))</f>
      </c>
      <c r="Q42" s="389">
        <f>IF($B42="","",VLOOKUP($B42,スキル!$A:$K,10,0))</f>
      </c>
      <c r="R42" s="389"/>
      <c r="S42" s="389"/>
      <c r="T42" s="389"/>
      <c r="U42" s="389"/>
      <c r="V42" s="389"/>
      <c r="W42" s="389"/>
      <c r="X42" s="393"/>
      <c r="Y42" s="393"/>
      <c r="Z42" s="393"/>
      <c r="AA42" s="394">
        <f>IF($X42="","",VLOOKUP($X42,スキル!$A:$E,2,0))</f>
      </c>
      <c r="AB42" s="394"/>
      <c r="AC42" s="394" t="str">
        <f>IF($X42="","0",VLOOKUP($X42,スキル!$A:$E,3,0))</f>
        <v>0</v>
      </c>
      <c r="AD42" s="395" t="str">
        <f>IF($X42="","0",VLOOKUP($X42,スキル!$A:$E,4,0))</f>
        <v>0</v>
      </c>
      <c r="AF42" s="358"/>
      <c r="AG42" s="359" t="e">
        <f>IF($AF42="","",VLOOKUP($AF42,AR_アイテム,5,0))*AH42</f>
        <v>#VALUE!</v>
      </c>
      <c r="AH42" s="129"/>
      <c r="AI42" s="221"/>
      <c r="AJ42" s="351" t="s">
        <v>334</v>
      </c>
      <c r="AK42" s="82" t="str">
        <f>"+"&amp;0+IF(ISERROR(VLOOKUP("ラピス・フィロソフォルム",AR_スキルSL,7,0))=TRUE,"0",VLOOKUP("ラピス・フィロソフォルム",AR_スキルSL,7,0)*2)+IF(ISERROR(VLOOKUP("スペシャライズ：錬金術",AR_スキルSL,7,0))=TRUE,"0",VLOOKUP("スペシャライズ：錬金術",AR_スキルSL,7,0))+COUNTIF(AR_SHEET_スキル,"ウェポンフォーカス：錬金術")*5&amp;"(+"&amp;0&amp;"D)"</f>
        <v>+0(+0D)</v>
      </c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221"/>
      <c r="AX42" s="65"/>
      <c r="AY42" s="65"/>
      <c r="AZ42" s="65"/>
      <c r="BA42" s="65"/>
      <c r="BB42" s="390"/>
      <c r="BC42" s="65"/>
      <c r="BD42" s="65"/>
      <c r="BE42" s="398" t="s">
        <v>357</v>
      </c>
      <c r="BF42" s="82" t="str">
        <f>"+"&amp;COUNTIF(AR_SHEET_ギルドサポート,"宿敵：霊獣")*2&amp;"(+"&amp;0&amp;"D)"</f>
        <v>+0(+0D)</v>
      </c>
      <c r="BG42" s="246"/>
    </row>
    <row r="43" spans="1:59" ht="13.5">
      <c r="A43" s="372"/>
      <c r="B43" s="388" t="s">
        <v>358</v>
      </c>
      <c r="C43" s="388"/>
      <c r="D43" s="388"/>
      <c r="E43" s="388"/>
      <c r="F43" s="129" t="s">
        <v>139</v>
      </c>
      <c r="G43" s="129"/>
      <c r="H43" s="129"/>
      <c r="I43" s="57" t="str">
        <f>IF($B43="","",VLOOKUP($B43,スキル!$A:$K,4,0))</f>
        <v>パッシヴ</v>
      </c>
      <c r="J43" s="57"/>
      <c r="K43" s="57" t="str">
        <f>IF($B43="","",VLOOKUP($B43,スキル!$A:$K,5,0))</f>
        <v>-</v>
      </c>
      <c r="L43" s="57" t="str">
        <f>IF($B43="","",VLOOKUP($B43,スキル!$A:$K,6,0))</f>
        <v>自身</v>
      </c>
      <c r="M43" s="57" t="str">
        <f>IF($B43="","",VLOOKUP($B43,スキル!$A:$K,7,0))</f>
        <v>-</v>
      </c>
      <c r="N43" s="57" t="str">
        <f>IF($B43="","",VLOOKUP($B43,スキル!$A:$K,8,0))</f>
        <v>-</v>
      </c>
      <c r="O43" s="57"/>
      <c r="P43" s="57" t="str">
        <f>IF($B43="","",VLOOKUP($B43,スキル!$A:$K,9,0))</f>
        <v>-</v>
      </c>
      <c r="Q43" s="389" t="str">
        <f>IF($B43="","",VLOOKUP($B43,スキル!$A:$K,10,0))</f>
        <v>能力基本値に+3</v>
      </c>
      <c r="R43" s="389"/>
      <c r="S43" s="389"/>
      <c r="T43" s="389"/>
      <c r="U43" s="389"/>
      <c r="V43" s="389"/>
      <c r="W43" s="389"/>
      <c r="X43" s="393"/>
      <c r="Y43" s="393"/>
      <c r="Z43" s="393"/>
      <c r="AA43" s="394">
        <f>IF($X43="","",VLOOKUP($X43,スキル!$A:$E,2,0))</f>
      </c>
      <c r="AB43" s="394"/>
      <c r="AC43" s="394" t="str">
        <f>IF($X43="","0",VLOOKUP($X43,スキル!$A:$E,3,0))</f>
        <v>0</v>
      </c>
      <c r="AD43" s="395" t="str">
        <f>IF($X43="","0",VLOOKUP($X43,スキル!$A:$E,4,0))</f>
        <v>0</v>
      </c>
      <c r="AF43" s="358"/>
      <c r="AG43" s="359" t="e">
        <f>IF($AF43="","",VLOOKUP($AF43,AR_アイテム,5,0))*AH43</f>
        <v>#VALUE!</v>
      </c>
      <c r="AH43" s="129"/>
      <c r="AJ43" s="391" t="s">
        <v>337</v>
      </c>
      <c r="AK43" s="84" t="str">
        <f>"+"&amp;0+IF(ISERROR(VLOOKUP("スペシャライズ：魔導銃",AR_スキルSL,7,0))=TRUE,"0",VLOOKUP("スペシャライズ：魔導銃",AR_スキルSL,7,0))+COUNTIF(AR_SHEET_スキル,"ウェポンフォーカス：魔導銃")*5&amp;"(+"&amp;COUNTIF(AR_SHEET_スキル,"ウェポンエキスパート：魔導銃")*2&amp;"D)"</f>
        <v>+0(+0D)</v>
      </c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221"/>
      <c r="BB43" s="390"/>
      <c r="BC43" s="65"/>
      <c r="BD43" s="65"/>
      <c r="BE43" s="398" t="s">
        <v>359</v>
      </c>
      <c r="BF43" s="82" t="str">
        <f>"+"&amp;COUNTIF(AR_SHEET_ギルドサポート,"宿敵：巨人")*2&amp;"(+"&amp;0&amp;"D)"</f>
        <v>+0(+0D)</v>
      </c>
      <c r="BG43" s="298"/>
    </row>
    <row r="44" spans="1:58" ht="13.5">
      <c r="A44" s="372"/>
      <c r="B44" s="388" t="s">
        <v>360</v>
      </c>
      <c r="C44" s="388"/>
      <c r="D44" s="388"/>
      <c r="E44" s="388"/>
      <c r="F44" s="129" t="s">
        <v>139</v>
      </c>
      <c r="G44" s="129"/>
      <c r="H44" s="129" t="str">
        <f>IF($B44="","",VLOOKUP($B44,スキル!$A:$K,3,0))</f>
        <v>★</v>
      </c>
      <c r="I44" s="57" t="str">
        <f>IF($B44="","",VLOOKUP($B44,スキル!$A:$K,4,0))</f>
        <v>パッシヴ</v>
      </c>
      <c r="J44" s="57"/>
      <c r="K44" s="57" t="str">
        <f>IF($B44="","",VLOOKUP($B44,スキル!$A:$K,5,0))</f>
        <v>-</v>
      </c>
      <c r="L44" s="57" t="str">
        <f>IF($B44="","",VLOOKUP($B44,スキル!$A:$K,6,0))</f>
        <v>自身</v>
      </c>
      <c r="M44" s="57" t="str">
        <f>IF($B44="","",VLOOKUP($B44,スキル!$A:$K,7,0))</f>
        <v>-</v>
      </c>
      <c r="N44" s="57" t="str">
        <f>IF($B44="","",VLOOKUP($B44,スキル!$A:$K,8,0))</f>
        <v>-</v>
      </c>
      <c r="O44" s="57"/>
      <c r="P44" s="57" t="str">
        <f>IF($B44="","",VLOOKUP($B44,スキル!$A:$K,9,0))</f>
        <v>-</v>
      </c>
      <c r="Q44" s="389" t="str">
        <f>IF($B44="","",VLOOKUP($B44,スキル!$A:$K,10,0))</f>
        <v>能力基本値に+3</v>
      </c>
      <c r="R44" s="389"/>
      <c r="S44" s="389"/>
      <c r="T44" s="389"/>
      <c r="U44" s="389"/>
      <c r="V44" s="389"/>
      <c r="W44" s="389"/>
      <c r="X44" s="393"/>
      <c r="Y44" s="393"/>
      <c r="Z44" s="393"/>
      <c r="AA44" s="394">
        <f>IF($X44="","",VLOOKUP($X44,スキル!$A:$E,2,0))</f>
      </c>
      <c r="AB44" s="394"/>
      <c r="AC44" s="394" t="str">
        <f>IF($X44="","0",VLOOKUP($X44,スキル!$A:$E,3,0))</f>
        <v>0</v>
      </c>
      <c r="AD44" s="395" t="str">
        <f>IF($X44="","0",VLOOKUP($X44,スキル!$A:$E,4,0))</f>
        <v>0</v>
      </c>
      <c r="AF44" s="358"/>
      <c r="AG44" s="359" t="e">
        <f>IF($AF44="","",VLOOKUP($AF44,AR_アイテム,5,0))*AH44</f>
        <v>#VALUE!</v>
      </c>
      <c r="AH44" s="129"/>
      <c r="AI44" s="213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221"/>
      <c r="BB44" s="390"/>
      <c r="BC44" s="65"/>
      <c r="BD44" s="65"/>
      <c r="BE44" s="398" t="s">
        <v>361</v>
      </c>
      <c r="BF44" s="82" t="str">
        <f>"+"&amp;COUNTIF(AR_SHEET_ギルドサポート,"宿敵：竜")*2&amp;"(+"&amp;0&amp;"D)"</f>
        <v>+0(+0D)</v>
      </c>
    </row>
    <row r="45" spans="1:58" ht="13.5">
      <c r="A45" s="372"/>
      <c r="B45" s="388" t="s">
        <v>362</v>
      </c>
      <c r="C45" s="388"/>
      <c r="D45" s="388"/>
      <c r="E45" s="388"/>
      <c r="F45" s="129" t="s">
        <v>139</v>
      </c>
      <c r="G45" s="129"/>
      <c r="H45" s="129" t="str">
        <f>IF($B45="","",VLOOKUP($B45,スキル!$A:$K,3,0))</f>
        <v>★</v>
      </c>
      <c r="I45" s="57" t="str">
        <f>IF($B45="","",VLOOKUP($B45,スキル!$A:$K,4,0))</f>
        <v>パッシヴ</v>
      </c>
      <c r="J45" s="57"/>
      <c r="K45" s="57" t="str">
        <f>IF($B45="","",VLOOKUP($B45,スキル!$A:$K,5,0))</f>
        <v>-</v>
      </c>
      <c r="L45" s="57" t="str">
        <f>IF($B45="","",VLOOKUP($B45,スキル!$A:$K,6,0))</f>
        <v>自身</v>
      </c>
      <c r="M45" s="57" t="str">
        <f>IF($B45="","",VLOOKUP($B45,スキル!$A:$K,7,0))</f>
        <v>-</v>
      </c>
      <c r="N45" s="57" t="str">
        <f>IF($B45="","",VLOOKUP($B45,スキル!$A:$K,8,0))</f>
        <v>-</v>
      </c>
      <c r="O45" s="57"/>
      <c r="P45" s="57" t="str">
        <f>IF($B45="","",VLOOKUP($B45,スキル!$A:$K,9,0))</f>
        <v>-</v>
      </c>
      <c r="Q45" s="389">
        <f>IF($B45="","",VLOOKUP($B45,スキル!$A:$K,10,0))</f>
        <v>0</v>
      </c>
      <c r="R45" s="389"/>
      <c r="S45" s="389"/>
      <c r="T45" s="389"/>
      <c r="U45" s="389"/>
      <c r="V45" s="389"/>
      <c r="W45" s="389"/>
      <c r="X45" s="393"/>
      <c r="Y45" s="393"/>
      <c r="Z45" s="393"/>
      <c r="AA45" s="394">
        <f>IF($X45="","",VLOOKUP($X45,スキル!$A:$E,2,0))</f>
      </c>
      <c r="AB45" s="394"/>
      <c r="AC45" s="394" t="str">
        <f>IF($X45="","0",VLOOKUP($X45,スキル!$A:$E,3,0))</f>
        <v>0</v>
      </c>
      <c r="AD45" s="395" t="str">
        <f>IF($X45="","0",VLOOKUP($X45,スキル!$A:$E,4,0))</f>
        <v>0</v>
      </c>
      <c r="AF45" s="358"/>
      <c r="AG45" s="359" t="e">
        <f>IF($AF45="","",VLOOKUP($AF45,AR_アイテム,5,0))*AH45</f>
        <v>#VALUE!</v>
      </c>
      <c r="AH45" s="129"/>
      <c r="AI45" s="213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BB45" s="390"/>
      <c r="BC45" s="65"/>
      <c r="BD45" s="65"/>
      <c r="BE45" s="400" t="s">
        <v>363</v>
      </c>
      <c r="BF45" s="82" t="str">
        <f>"+"&amp;COUNTIF(AR_SHEET_ギルドサポート,"宿敵：魔族")*2&amp;"(+"&amp;0&amp;"D)"</f>
        <v>+0(+0D)</v>
      </c>
    </row>
    <row r="46" spans="1:58" ht="12" customHeight="1">
      <c r="A46" s="372"/>
      <c r="B46" s="401" t="s">
        <v>141</v>
      </c>
      <c r="C46" s="401"/>
      <c r="D46" s="401"/>
      <c r="E46" s="401"/>
      <c r="F46" s="402" t="s">
        <v>139</v>
      </c>
      <c r="G46" s="402"/>
      <c r="H46" s="402" t="str">
        <f>IF($B46="","",VLOOKUP($B46,スキル!$A:$K,3,0))</f>
        <v>★</v>
      </c>
      <c r="I46" s="151" t="str">
        <f>IF($B46="","",VLOOKUP($B46,スキル!$A:$K,4,0))</f>
        <v>パッシヴ</v>
      </c>
      <c r="J46" s="151"/>
      <c r="K46" s="151" t="str">
        <f>IF($B46="","",VLOOKUP($B46,スキル!$A:$K,5,0))</f>
        <v>-</v>
      </c>
      <c r="L46" s="151" t="str">
        <f>IF($B46="","",VLOOKUP($B46,スキル!$A:$K,6,0))</f>
        <v>自身</v>
      </c>
      <c r="M46" s="151" t="str">
        <f>IF($B46="","",VLOOKUP($B46,スキル!$A:$K,7,0))</f>
        <v>-</v>
      </c>
      <c r="N46" s="151" t="str">
        <f>IF($B46="","",VLOOKUP($B46,スキル!$A:$K,8,0))</f>
        <v>-</v>
      </c>
      <c r="O46" s="151"/>
      <c r="P46" s="151" t="str">
        <f>IF($B46="","",VLOOKUP($B46,スキル!$A:$K,9,0))</f>
        <v>-</v>
      </c>
      <c r="Q46" s="403">
        <f>IF($B46="","",VLOOKUP($B46,スキル!$A:$K,10,0))</f>
        <v>0</v>
      </c>
      <c r="R46" s="403"/>
      <c r="S46" s="403"/>
      <c r="T46" s="403"/>
      <c r="U46" s="403"/>
      <c r="V46" s="403"/>
      <c r="W46" s="403"/>
      <c r="X46" s="95"/>
      <c r="Y46" s="95"/>
      <c r="Z46" s="95"/>
      <c r="AA46" s="153">
        <f>IF($X46="","",VLOOKUP($X46,スキル!$A:$E,2,0))</f>
      </c>
      <c r="AB46" s="153"/>
      <c r="AC46" s="153" t="str">
        <f>IF($X46="","0",VLOOKUP($X46,スキル!$A:$E,3,0))</f>
        <v>0</v>
      </c>
      <c r="AD46" s="316" t="str">
        <f>IF($X46="","0",VLOOKUP($X46,スキル!$A:$E,4,0))</f>
        <v>0</v>
      </c>
      <c r="AF46" s="358"/>
      <c r="AG46" s="359" t="e">
        <f>IF($AF46="","",VLOOKUP($AF46,AR_アイテム,5,0))*AH46</f>
        <v>#VALUE!</v>
      </c>
      <c r="AH46" s="129"/>
      <c r="AI46" s="221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213"/>
      <c r="BB46" s="390"/>
      <c r="BC46" s="65"/>
      <c r="BD46" s="65"/>
      <c r="BE46" s="85" t="s">
        <v>364</v>
      </c>
      <c r="BF46" s="362" t="str">
        <f>"+"&amp;0&amp;"(+"&amp;COUNTIF(AR_SHEET_装備,"ウィンディソード")+COUNTIF(AR_SHEET_ギルドサポート,"風の紋章")&amp;"D)"</f>
        <v>+0(+0D)</v>
      </c>
    </row>
    <row r="47" spans="32:58" ht="13.5">
      <c r="AF47" s="358"/>
      <c r="AG47" s="359" t="e">
        <f>IF($AF47="","",VLOOKUP($AF47,AR_アイテム,5,0))*AH47</f>
        <v>#VALUE!</v>
      </c>
      <c r="AH47" s="12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213"/>
      <c r="BB47" s="390"/>
      <c r="BC47" s="65"/>
      <c r="BD47" s="65"/>
      <c r="BE47" s="81" t="s">
        <v>365</v>
      </c>
      <c r="BF47" s="82" t="str">
        <f>"+"&amp;0&amp;"(+"&amp;COUNTIF(AR_SHEET_装備,"ヒートソード")+COUNTIF(AR_SHEET_ギルドサポート,"火の紋章")&amp;"D)"</f>
        <v>+0(+0D)</v>
      </c>
    </row>
    <row r="48" spans="2:58" ht="11.25">
      <c r="B48" s="404" t="s">
        <v>366</v>
      </c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5" t="s">
        <v>367</v>
      </c>
      <c r="Y48" s="405"/>
      <c r="Z48" s="405"/>
      <c r="AA48" s="405"/>
      <c r="AB48" s="405"/>
      <c r="AC48" s="405"/>
      <c r="AD48" s="405"/>
      <c r="AE48" s="406"/>
      <c r="AF48" s="407" t="s">
        <v>368</v>
      </c>
      <c r="AG48" s="407"/>
      <c r="AH48" s="407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221"/>
      <c r="BB48" s="390"/>
      <c r="BC48" s="65"/>
      <c r="BD48" s="65"/>
      <c r="BE48" s="81" t="s">
        <v>369</v>
      </c>
      <c r="BF48" s="82" t="str">
        <f>"+"&amp;0&amp;"(+"&amp;COUNTIF(AR_SHEET_装備,"コールドソード")+COUNTIF(AR_SHEET_ギルドサポート,"水の紋章")&amp;"D)"</f>
        <v>+0(+0D)</v>
      </c>
    </row>
    <row r="49" spans="2:58" ht="11.25">
      <c r="B49" s="110" t="s">
        <v>128</v>
      </c>
      <c r="C49" s="110"/>
      <c r="D49" s="110"/>
      <c r="E49" s="110"/>
      <c r="F49" s="111" t="s">
        <v>322</v>
      </c>
      <c r="G49" s="111"/>
      <c r="H49" s="111" t="s">
        <v>323</v>
      </c>
      <c r="I49" s="111" t="s">
        <v>324</v>
      </c>
      <c r="J49" s="111"/>
      <c r="K49" s="111" t="s">
        <v>185</v>
      </c>
      <c r="L49" s="111" t="s">
        <v>325</v>
      </c>
      <c r="M49" s="111" t="s">
        <v>261</v>
      </c>
      <c r="N49" s="111" t="s">
        <v>326</v>
      </c>
      <c r="O49" s="111"/>
      <c r="P49" s="111" t="s">
        <v>254</v>
      </c>
      <c r="Q49" s="216" t="s">
        <v>327</v>
      </c>
      <c r="R49" s="216"/>
      <c r="S49" s="216"/>
      <c r="T49" s="408"/>
      <c r="U49" s="408"/>
      <c r="V49" s="409"/>
      <c r="W49" s="410"/>
      <c r="X49" s="81" t="s">
        <v>128</v>
      </c>
      <c r="Y49" s="81"/>
      <c r="Z49" s="81"/>
      <c r="AA49" s="387" t="s">
        <v>329</v>
      </c>
      <c r="AB49" s="387"/>
      <c r="AC49" s="117" t="s">
        <v>323</v>
      </c>
      <c r="AD49" s="86" t="s">
        <v>330</v>
      </c>
      <c r="AE49" s="406"/>
      <c r="AF49" s="358"/>
      <c r="AG49" s="359" t="e">
        <f>IF($AF49="","",VLOOKUP($AF49,AR_アイテム,5,0))*AH49</f>
        <v>#VALUE!</v>
      </c>
      <c r="AH49" s="129"/>
      <c r="AM49" s="411"/>
      <c r="AN49" s="412"/>
      <c r="AO49" s="411"/>
      <c r="AP49" s="412"/>
      <c r="AQ49" s="412"/>
      <c r="AR49" s="411"/>
      <c r="AS49" s="412"/>
      <c r="AT49" s="412"/>
      <c r="AU49" s="411"/>
      <c r="AV49" s="412"/>
      <c r="BB49" s="390"/>
      <c r="BC49" s="65"/>
      <c r="BD49" s="65"/>
      <c r="BE49" s="81" t="s">
        <v>370</v>
      </c>
      <c r="BF49" s="82" t="str">
        <f>"+"&amp;0&amp;"(+"&amp;COUNTIF(AR_SHEET_装備,"ソイルソード")+COUNTIF(AR_SHEET_ギルドサポート,"土の紋章")&amp;"D)"</f>
        <v>+0(+0D)</v>
      </c>
    </row>
    <row r="50" spans="2:59" ht="11.25">
      <c r="B50" s="388"/>
      <c r="C50" s="388"/>
      <c r="D50" s="388"/>
      <c r="E50" s="388"/>
      <c r="F50" s="129">
        <f>IF($B50="","",VLOOKUP($B50,スキル!$A:$K,2,0))</f>
      </c>
      <c r="G50" s="129"/>
      <c r="H50" s="129">
        <f>IF($B50="","",VLOOKUP($B50,スキル!$A:$K,3,0))</f>
      </c>
      <c r="I50" s="57">
        <f>IF($B50="","",VLOOKUP($B50,スキル!$A:$K,4,0))</f>
      </c>
      <c r="J50" s="57"/>
      <c r="K50" s="57">
        <f>IF($B50="","",VLOOKUP($B50,スキル!$A:$K,5,0))</f>
      </c>
      <c r="L50" s="57">
        <f>IF($B50="","",VLOOKUP($B50,スキル!$A:$K,6,0))</f>
      </c>
      <c r="M50" s="57">
        <f>IF($B50="","",VLOOKUP($B50,スキル!$A:$K,7,0))</f>
      </c>
      <c r="N50" s="57">
        <f>IF($B50="","",VLOOKUP($B50,スキル!$A:$K,8,0))</f>
      </c>
      <c r="O50" s="57"/>
      <c r="P50" s="57">
        <f>IF($B50="","",VLOOKUP($B50,スキル!$A:$K,9,0))</f>
      </c>
      <c r="Q50" s="389">
        <f>IF($B50="","",VLOOKUP($B50,スキル!$A:$K,10,0))</f>
      </c>
      <c r="R50" s="389"/>
      <c r="S50" s="389"/>
      <c r="T50" s="389"/>
      <c r="U50" s="389"/>
      <c r="V50" s="389"/>
      <c r="W50" s="389"/>
      <c r="X50" s="87"/>
      <c r="Y50" s="87"/>
      <c r="Z50" s="87"/>
      <c r="AA50" s="124">
        <f>IF($X50="","",VLOOKUP($X50,スキル!$A:$E,2,0))</f>
      </c>
      <c r="AB50" s="124"/>
      <c r="AC50" s="124" t="str">
        <f>IF($X50="","0",VLOOKUP($X50,スキル!$A:$E,3,0))</f>
        <v>0</v>
      </c>
      <c r="AD50" s="335" t="str">
        <f>IF($X50="","0",VLOOKUP($X50,スキル!$A:$E,4,0))</f>
        <v>0</v>
      </c>
      <c r="AE50" s="406"/>
      <c r="AF50" s="358"/>
      <c r="AG50" s="359" t="e">
        <f>IF($AF50="","",VLOOKUP($AF50,AR_アイテム,5,0))*AH50</f>
        <v>#VALUE!</v>
      </c>
      <c r="AH50" s="129"/>
      <c r="BB50" s="390"/>
      <c r="BC50" s="65"/>
      <c r="BD50" s="65"/>
      <c r="BE50" s="81" t="s">
        <v>371</v>
      </c>
      <c r="BF50" s="82" t="str">
        <f>"+"&amp;COUNTIF(AR_SHEET_装備,"神魔の手甲")*5&amp;"(+"&amp;COUNTIF(AR_SHEET_装備,"シャドウソード")+COUNTIF(AR_SHEET_ギルドサポート,"闇の紋章")&amp;"D)"</f>
        <v>+0(+0D)</v>
      </c>
      <c r="BG50" s="202"/>
    </row>
    <row r="51" spans="2:59" ht="11.25">
      <c r="B51" s="388"/>
      <c r="C51" s="388"/>
      <c r="D51" s="388"/>
      <c r="E51" s="388"/>
      <c r="F51" s="129">
        <f>IF($B51="","",VLOOKUP($B51,スキル!$A:$K,2,0))</f>
      </c>
      <c r="G51" s="129"/>
      <c r="H51" s="129">
        <f>IF($B51="","",VLOOKUP($B51,スキル!$A:$K,3,0))</f>
      </c>
      <c r="I51" s="57">
        <f>IF($B51="","",VLOOKUP($B51,スキル!$A:$K,4,0))</f>
      </c>
      <c r="J51" s="57"/>
      <c r="K51" s="57">
        <f>IF($B51="","",VLOOKUP($B51,スキル!$A:$K,5,0))</f>
      </c>
      <c r="L51" s="57">
        <f>IF($B51="","",VLOOKUP($B51,スキル!$A:$K,6,0))</f>
      </c>
      <c r="M51" s="57">
        <f>IF($B51="","",VLOOKUP($B51,スキル!$A:$K,7,0))</f>
      </c>
      <c r="N51" s="57">
        <f>IF($B51="","",VLOOKUP($B51,スキル!$A:$K,8,0))</f>
      </c>
      <c r="O51" s="57"/>
      <c r="P51" s="57">
        <f>IF($B51="","",VLOOKUP($B51,スキル!$A:$K,9,0))</f>
      </c>
      <c r="Q51" s="389">
        <f>IF($B51="","",VLOOKUP($B51,スキル!$A:$K,10,0))</f>
      </c>
      <c r="R51" s="389"/>
      <c r="S51" s="389"/>
      <c r="T51" s="389"/>
      <c r="U51" s="389"/>
      <c r="V51" s="389"/>
      <c r="W51" s="389"/>
      <c r="X51" s="87"/>
      <c r="Y51" s="87"/>
      <c r="Z51" s="87"/>
      <c r="AA51" s="124">
        <f>IF($X51="","",VLOOKUP($X51,スキル!$A:$E,2,0))</f>
      </c>
      <c r="AB51" s="124"/>
      <c r="AC51" s="124" t="str">
        <f>IF($X51="","0",VLOOKUP($X51,スキル!$A:$E,3,0))</f>
        <v>0</v>
      </c>
      <c r="AD51" s="335" t="str">
        <f>IF($X51="","0",VLOOKUP($X51,スキル!$A:$E,4,0))</f>
        <v>0</v>
      </c>
      <c r="AE51" s="406"/>
      <c r="AF51" s="358"/>
      <c r="AG51" s="359" t="e">
        <f>IF($AF51="","",VLOOKUP($AF51,AR_アイテム,5,0))*AH51</f>
        <v>#VALUE!</v>
      </c>
      <c r="AH51" s="129"/>
      <c r="BE51" s="81" t="s">
        <v>372</v>
      </c>
      <c r="BF51" s="82" t="str">
        <f>"+"&amp;COUNTIF(AR_SHEET_装備,"神魔の手甲")*5&amp;"(+"&amp;COUNTIF(AR_SHEET_装備,"ブライトソード")+COUNTIF(AR_SHEET_ギルドサポート,"光の紋章")&amp;"D)"</f>
        <v>+0(+0D)</v>
      </c>
      <c r="BG51" s="298"/>
    </row>
    <row r="52" spans="2:59" ht="11.25">
      <c r="B52" s="388"/>
      <c r="C52" s="388"/>
      <c r="D52" s="388"/>
      <c r="E52" s="388"/>
      <c r="F52" s="129">
        <f>IF($B52="","",VLOOKUP($B52,スキル!$A:$K,2,0))</f>
      </c>
      <c r="G52" s="129"/>
      <c r="H52" s="129">
        <f>IF($B52="","",VLOOKUP($B52,スキル!$A:$K,3,0))</f>
      </c>
      <c r="I52" s="57">
        <f>IF($B52="","",VLOOKUP($B52,スキル!$A:$K,4,0))</f>
      </c>
      <c r="J52" s="57"/>
      <c r="K52" s="57">
        <f>IF($B52="","",VLOOKUP($B52,スキル!$A:$K,5,0))</f>
      </c>
      <c r="L52" s="57">
        <f>IF($B52="","",VLOOKUP($B52,スキル!$A:$K,6,0))</f>
      </c>
      <c r="M52" s="57">
        <f>IF($B52="","",VLOOKUP($B52,スキル!$A:$K,7,0))</f>
      </c>
      <c r="N52" s="57">
        <f>IF($B52="","",VLOOKUP($B52,スキル!$A:$K,8,0))</f>
      </c>
      <c r="O52" s="57"/>
      <c r="P52" s="57">
        <f>IF($B52="","",VLOOKUP($B52,スキル!$A:$K,9,0))</f>
      </c>
      <c r="Q52" s="389">
        <f>IF($B52="","",VLOOKUP($B52,スキル!$A:$K,10,0))</f>
      </c>
      <c r="R52" s="389"/>
      <c r="S52" s="389"/>
      <c r="T52" s="389"/>
      <c r="U52" s="389"/>
      <c r="V52" s="389"/>
      <c r="W52" s="389"/>
      <c r="X52" s="87"/>
      <c r="Y52" s="87"/>
      <c r="Z52" s="87"/>
      <c r="AA52" s="124">
        <f>IF($X52="","",VLOOKUP($X52,スキル!$A:$E,2,0))</f>
      </c>
      <c r="AB52" s="124"/>
      <c r="AC52" s="124" t="str">
        <f>IF($X52="","0",VLOOKUP($X52,スキル!$A:$E,3,0))</f>
        <v>0</v>
      </c>
      <c r="AD52" s="335" t="str">
        <f>IF($X52="","0",VLOOKUP($X52,スキル!$A:$E,4,0))</f>
        <v>0</v>
      </c>
      <c r="AE52" s="406"/>
      <c r="AF52" s="358"/>
      <c r="AG52" s="359" t="e">
        <f>IF($AF52="","",VLOOKUP($AF52,AR_アイテム,5,0))*AH52</f>
        <v>#VALUE!</v>
      </c>
      <c r="AH52" s="129"/>
      <c r="BE52" s="351" t="s">
        <v>373</v>
      </c>
      <c r="BF52" s="335" t="str">
        <f>"+"&amp;COUNTIF(AR_SHEET_装備,"ハンターアクス")*15&amp;"(+"&amp;0&amp;"D)"</f>
        <v>+0(+0D)</v>
      </c>
      <c r="BG52" s="298"/>
    </row>
    <row r="53" spans="2:59" ht="11.25">
      <c r="B53" s="388"/>
      <c r="C53" s="388"/>
      <c r="D53" s="388"/>
      <c r="E53" s="388"/>
      <c r="F53" s="129">
        <f>IF($B53="","",VLOOKUP($B53,スキル!$A:$K,2,0))</f>
      </c>
      <c r="G53" s="129"/>
      <c r="H53" s="129">
        <f>IF($B53="","",VLOOKUP($B53,スキル!$A:$K,3,0))</f>
      </c>
      <c r="I53" s="57">
        <f>IF($B53="","",VLOOKUP($B53,スキル!$A:$K,4,0))</f>
      </c>
      <c r="J53" s="57"/>
      <c r="K53" s="57">
        <f>IF($B53="","",VLOOKUP($B53,スキル!$A:$K,5,0))</f>
      </c>
      <c r="L53" s="57">
        <f>IF($B53="","",VLOOKUP($B53,スキル!$A:$K,6,0))</f>
      </c>
      <c r="M53" s="57">
        <f>IF($B53="","",VLOOKUP($B53,スキル!$A:$K,7,0))</f>
      </c>
      <c r="N53" s="57">
        <f>IF($B53="","",VLOOKUP($B53,スキル!$A:$K,8,0))</f>
      </c>
      <c r="O53" s="57"/>
      <c r="P53" s="57">
        <f>IF($B53="","",VLOOKUP($B53,スキル!$A:$K,9,0))</f>
      </c>
      <c r="Q53" s="389">
        <f>IF($B53="","",VLOOKUP($B53,スキル!$A:$K,10,0))</f>
      </c>
      <c r="R53" s="389"/>
      <c r="S53" s="389"/>
      <c r="T53" s="389"/>
      <c r="U53" s="389"/>
      <c r="V53" s="389"/>
      <c r="W53" s="389"/>
      <c r="X53" s="87"/>
      <c r="Y53" s="87"/>
      <c r="Z53" s="87"/>
      <c r="AA53" s="124">
        <f>IF($X53="","",VLOOKUP($X53,スキル!$A:$E,2,0))</f>
      </c>
      <c r="AB53" s="124"/>
      <c r="AC53" s="124" t="str">
        <f>IF($X53="","0",VLOOKUP($X53,スキル!$A:$E,3,0))</f>
        <v>0</v>
      </c>
      <c r="AD53" s="335" t="str">
        <f>IF($X53="","0",VLOOKUP($X53,スキル!$A:$E,4,0))</f>
        <v>0</v>
      </c>
      <c r="AE53" s="406"/>
      <c r="AF53" s="358"/>
      <c r="AG53" s="359" t="e">
        <f>IF($AF53="","",VLOOKUP($AF53,AR_アイテム,5,0))*AH53</f>
        <v>#VALUE!</v>
      </c>
      <c r="AH53" s="129"/>
      <c r="BE53" s="351" t="s">
        <v>374</v>
      </c>
      <c r="BF53" s="335" t="str">
        <f>"+"&amp;IF(ISERROR(VLOOKUP("ビーストキラー",AR_スキルSL,7,0))=TRUE,"0",VLOOKUP("ビーストキラー",AR_スキルSL,7,0))*3+COUNTIF(AR_SHEET_装備,"ハンターアクス")*15&amp;"(+"&amp;0&amp;"D)"</f>
        <v>+0(+0D)</v>
      </c>
      <c r="BG53" s="298"/>
    </row>
    <row r="54" spans="2:59" ht="11.25">
      <c r="B54" s="388"/>
      <c r="C54" s="388"/>
      <c r="D54" s="388"/>
      <c r="E54" s="388"/>
      <c r="F54" s="129">
        <f>IF($B54="","",VLOOKUP($B54,スキル!$A:$K,2,0))</f>
      </c>
      <c r="G54" s="129"/>
      <c r="H54" s="129">
        <f>IF($B54="","",VLOOKUP($B54,スキル!$A:$K,3,0))</f>
      </c>
      <c r="I54" s="57">
        <f>IF($B54="","",VLOOKUP($B54,スキル!$A:$K,4,0))</f>
      </c>
      <c r="J54" s="57"/>
      <c r="K54" s="57">
        <f>IF($B54="","",VLOOKUP($B54,スキル!$A:$K,5,0))</f>
      </c>
      <c r="L54" s="57">
        <f>IF($B54="","",VLOOKUP($B54,スキル!$A:$K,6,0))</f>
      </c>
      <c r="M54" s="57">
        <f>IF($B54="","",VLOOKUP($B54,スキル!$A:$K,7,0))</f>
      </c>
      <c r="N54" s="57">
        <f>IF($B54="","",VLOOKUP($B54,スキル!$A:$K,8,0))</f>
      </c>
      <c r="O54" s="57"/>
      <c r="P54" s="57">
        <f>IF($B54="","",VLOOKUP($B54,スキル!$A:$K,9,0))</f>
      </c>
      <c r="Q54" s="389">
        <f>IF($B54="","",VLOOKUP($B54,スキル!$A:$K,10,0))</f>
      </c>
      <c r="R54" s="389"/>
      <c r="S54" s="389"/>
      <c r="T54" s="389"/>
      <c r="U54" s="389"/>
      <c r="V54" s="389"/>
      <c r="W54" s="389"/>
      <c r="X54" s="87"/>
      <c r="Y54" s="87"/>
      <c r="Z54" s="87"/>
      <c r="AA54" s="124">
        <f>IF($X54="","",VLOOKUP($X54,スキル!$A:$E,2,0))</f>
      </c>
      <c r="AB54" s="124"/>
      <c r="AC54" s="124" t="str">
        <f>IF($X54="","0",VLOOKUP($X54,スキル!$A:$E,3,0))</f>
        <v>0</v>
      </c>
      <c r="AD54" s="335" t="str">
        <f>IF($X54="","0",VLOOKUP($X54,スキル!$A:$E,4,0))</f>
        <v>0</v>
      </c>
      <c r="AF54" s="358"/>
      <c r="AG54" s="359" t="e">
        <f>IF($AF54="","",VLOOKUP($AF54,AR_アイテム,5,0))*AH54</f>
        <v>#VALUE!</v>
      </c>
      <c r="AH54" s="129"/>
      <c r="BE54" s="351" t="s">
        <v>375</v>
      </c>
      <c r="BF54" s="335" t="str">
        <f>"+"&amp;0&amp;"(+"&amp;0&amp;"D)"</f>
        <v>+0(+0D)</v>
      </c>
      <c r="BG54" s="202"/>
    </row>
    <row r="55" spans="2:59" ht="11.25">
      <c r="B55" s="388"/>
      <c r="C55" s="388"/>
      <c r="D55" s="388"/>
      <c r="E55" s="388"/>
      <c r="F55" s="129">
        <f>IF($B55="","",VLOOKUP($B55,スキル!$A:$K,2,0))</f>
      </c>
      <c r="G55" s="129"/>
      <c r="H55" s="129">
        <f>IF($B55="","",VLOOKUP($B55,スキル!$A:$K,3,0))</f>
      </c>
      <c r="I55" s="57">
        <f>IF($B55="","",VLOOKUP($B55,スキル!$A:$K,4,0))</f>
      </c>
      <c r="J55" s="57"/>
      <c r="K55" s="57">
        <f>IF($B55="","",VLOOKUP($B55,スキル!$A:$K,5,0))</f>
      </c>
      <c r="L55" s="57">
        <f>IF($B55="","",VLOOKUP($B55,スキル!$A:$K,6,0))</f>
      </c>
      <c r="M55" s="57">
        <f>IF($B55="","",VLOOKUP($B55,スキル!$A:$K,7,0))</f>
      </c>
      <c r="N55" s="57">
        <f>IF($B55="","",VLOOKUP($B55,スキル!$A:$K,8,0))</f>
      </c>
      <c r="O55" s="57"/>
      <c r="P55" s="57">
        <f>IF($B55="","",VLOOKUP($B55,スキル!$A:$K,9,0))</f>
      </c>
      <c r="Q55" s="389">
        <f>IF($B55="","",VLOOKUP($B55,スキル!$A:$K,10,0))</f>
      </c>
      <c r="R55" s="389"/>
      <c r="S55" s="389"/>
      <c r="T55" s="389"/>
      <c r="U55" s="389"/>
      <c r="V55" s="389"/>
      <c r="W55" s="389"/>
      <c r="X55" s="87"/>
      <c r="Y55" s="87"/>
      <c r="Z55" s="87"/>
      <c r="AA55" s="124">
        <f>IF($X55="","",VLOOKUP($X55,スキル!$A:$E,2,0))</f>
      </c>
      <c r="AB55" s="124"/>
      <c r="AC55" s="124" t="str">
        <f>IF($X55="","0",VLOOKUP($X55,スキル!$A:$E,3,0))</f>
        <v>0</v>
      </c>
      <c r="AD55" s="335" t="str">
        <f>IF($X55="","0",VLOOKUP($X55,スキル!$A:$E,4,0))</f>
        <v>0</v>
      </c>
      <c r="AF55" s="358"/>
      <c r="AG55" s="359" t="e">
        <f>IF($AF55="","",VLOOKUP($AF55,AR_アイテム,5,0))*AH55</f>
        <v>#VALUE!</v>
      </c>
      <c r="AH55" s="129"/>
      <c r="BE55" s="351" t="s">
        <v>376</v>
      </c>
      <c r="BF55" s="335" t="str">
        <f>"+"&amp;0&amp;"(+"&amp;0&amp;"D)"</f>
        <v>+0(+0D)</v>
      </c>
      <c r="BG55" s="202"/>
    </row>
    <row r="56" spans="2:59" ht="11.25">
      <c r="B56" s="388"/>
      <c r="C56" s="388"/>
      <c r="D56" s="388"/>
      <c r="E56" s="388"/>
      <c r="F56" s="129">
        <f>IF($B56="","",VLOOKUP($B56,スキル!$A:$K,2,0))</f>
      </c>
      <c r="G56" s="129"/>
      <c r="H56" s="129">
        <f>IF($B56="","",VLOOKUP($B56,スキル!$A:$K,3,0))</f>
      </c>
      <c r="I56" s="57">
        <f>IF($B56="","",VLOOKUP($B56,スキル!$A:$K,4,0))</f>
      </c>
      <c r="J56" s="57"/>
      <c r="K56" s="57">
        <f>IF($B56="","",VLOOKUP($B56,スキル!$A:$K,5,0))</f>
      </c>
      <c r="L56" s="57">
        <f>IF($B56="","",VLOOKUP($B56,スキル!$A:$K,6,0))</f>
      </c>
      <c r="M56" s="57">
        <f>IF($B56="","",VLOOKUP($B56,スキル!$A:$K,7,0))</f>
      </c>
      <c r="N56" s="57">
        <f>IF($B56="","",VLOOKUP($B56,スキル!$A:$K,8,0))</f>
      </c>
      <c r="O56" s="57"/>
      <c r="P56" s="57">
        <f>IF($B56="","",VLOOKUP($B56,スキル!$A:$K,9,0))</f>
      </c>
      <c r="Q56" s="389">
        <f>IF($B56="","",VLOOKUP($B56,スキル!$A:$K,10,0))</f>
      </c>
      <c r="R56" s="389"/>
      <c r="S56" s="389"/>
      <c r="T56" s="389"/>
      <c r="U56" s="389"/>
      <c r="V56" s="389"/>
      <c r="W56" s="389"/>
      <c r="X56" s="87"/>
      <c r="Y56" s="87"/>
      <c r="Z56" s="87"/>
      <c r="AA56" s="124">
        <f>IF($X56="","",VLOOKUP($X56,スキル!$A:$E,2,0))</f>
      </c>
      <c r="AB56" s="124"/>
      <c r="AC56" s="124" t="str">
        <f>IF($X56="","0",VLOOKUP($X56,スキル!$A:$E,3,0))</f>
        <v>0</v>
      </c>
      <c r="AD56" s="335" t="str">
        <f>IF($X56="","0",VLOOKUP($X56,スキル!$A:$E,4,0))</f>
        <v>0</v>
      </c>
      <c r="AF56" s="358"/>
      <c r="AG56" s="359" t="e">
        <f>IF($AF56="","",VLOOKUP($AF56,AR_アイテム,5,0))*AH56</f>
        <v>#VALUE!</v>
      </c>
      <c r="AH56" s="129"/>
      <c r="BE56" s="351" t="s">
        <v>377</v>
      </c>
      <c r="BF56" s="335" t="str">
        <f>"+"&amp;IF(ISERROR(VLOOKUP("ドラゴンバスター",AR_スキルSL,7,0))=TRUE,"0",VLOOKUP("ドラゴンバスター",AR_スキルSL,7,0))*3+IF(ISERROR(VLOOKUP("エクソシズム",AR_スキルSL,7,0))=TRUE,"0",VLOOKUP("エクソシズム",AR_スキルSL,7,0))*5+COUNTIF(AR_SHEET_装備,"セレスチャルソード")*5&amp;"(+"&amp;0+COUNTIF(AR_SHEET_装備,"神罰者の紋章")*3&amp;"D)"</f>
        <v>+0(+0D)</v>
      </c>
      <c r="BG56" s="298"/>
    </row>
    <row r="57" spans="2:58" ht="11.25">
      <c r="B57" s="388"/>
      <c r="C57" s="388"/>
      <c r="D57" s="388"/>
      <c r="E57" s="388"/>
      <c r="F57" s="129">
        <f>IF($B57="","",VLOOKUP($B57,スキル!$A:$K,2,0))</f>
      </c>
      <c r="G57" s="129"/>
      <c r="H57" s="129">
        <f>IF($B57="","",VLOOKUP($B57,スキル!$A:$K,3,0))</f>
      </c>
      <c r="I57" s="57">
        <f>IF($B57="","",VLOOKUP($B57,スキル!$A:$K,4,0))</f>
      </c>
      <c r="J57" s="57"/>
      <c r="K57" s="57">
        <f>IF($B57="","",VLOOKUP($B57,スキル!$A:$K,5,0))</f>
      </c>
      <c r="L57" s="57">
        <f>IF($B57="","",VLOOKUP($B57,スキル!$A:$K,6,0))</f>
      </c>
      <c r="M57" s="57">
        <f>IF($B57="","",VLOOKUP($B57,スキル!$A:$K,7,0))</f>
      </c>
      <c r="N57" s="57">
        <f>IF($B57="","",VLOOKUP($B57,スキル!$A:$K,8,0))</f>
      </c>
      <c r="O57" s="57"/>
      <c r="P57" s="57">
        <f>IF($B57="","",VLOOKUP($B57,スキル!$A:$K,9,0))</f>
      </c>
      <c r="Q57" s="389">
        <f>IF($B57="","",VLOOKUP($B57,スキル!$A:$K,10,0))</f>
      </c>
      <c r="R57" s="389"/>
      <c r="S57" s="389"/>
      <c r="T57" s="389"/>
      <c r="U57" s="389"/>
      <c r="V57" s="389"/>
      <c r="W57" s="389"/>
      <c r="X57" s="87"/>
      <c r="Y57" s="87"/>
      <c r="Z57" s="87"/>
      <c r="AA57" s="124">
        <f>IF($X57="","",VLOOKUP($X57,スキル!$A:$E,2,0))</f>
      </c>
      <c r="AB57" s="124"/>
      <c r="AC57" s="124" t="str">
        <f>IF($X57="","0",VLOOKUP($X57,スキル!$A:$E,3,0))</f>
        <v>0</v>
      </c>
      <c r="AD57" s="335" t="str">
        <f>IF($X57="","0",VLOOKUP($X57,スキル!$A:$E,4,0))</f>
        <v>0</v>
      </c>
      <c r="AF57" s="358"/>
      <c r="AG57" s="359" t="e">
        <f>IF($AF57="","",VLOOKUP($AF57,AR_アイテム,5,0))*AH57</f>
        <v>#VALUE!</v>
      </c>
      <c r="AH57" s="129"/>
      <c r="BE57" s="351" t="s">
        <v>378</v>
      </c>
      <c r="BF57" s="335" t="str">
        <f>"+"&amp;IF(ISERROR(VLOOKUP("エクソシズム",AR_スキルSL,7,0))=TRUE,"0",VLOOKUP("エクソシズム",AR_スキルSL,7,0))*5+COUNTIF(AR_SHEET_装備,"セレスチャルソード")*5&amp;"(+"&amp;0&amp;"D)"</f>
        <v>+0(+0D)</v>
      </c>
    </row>
    <row r="58" spans="2:58" ht="13.5">
      <c r="B58" s="413"/>
      <c r="C58" s="413"/>
      <c r="D58" s="413"/>
      <c r="E58" s="413"/>
      <c r="F58" s="365">
        <f>IF($B58="","",VLOOKUP($B58,スキル!$A:$K,2,0))</f>
      </c>
      <c r="G58" s="365"/>
      <c r="H58" s="365">
        <f>IF($B58="","",VLOOKUP($B58,スキル!$A:$K,3,0))</f>
      </c>
      <c r="I58" s="148">
        <f>IF($B58="","",VLOOKUP($B58,スキル!$A:$K,4,0))</f>
      </c>
      <c r="J58" s="148"/>
      <c r="K58" s="148">
        <f>IF($B58="","",VLOOKUP($B58,スキル!$A:$K,5,0))</f>
      </c>
      <c r="L58" s="148">
        <f>IF($B58="","",VLOOKUP($B58,スキル!$A:$K,6,0))</f>
      </c>
      <c r="M58" s="148">
        <f>IF($B58="","",VLOOKUP($B58,スキル!$A:$K,7,0))</f>
      </c>
      <c r="N58" s="148">
        <f>IF($B58="","",VLOOKUP($B58,スキル!$A:$K,8,0))</f>
      </c>
      <c r="O58" s="148"/>
      <c r="P58" s="148">
        <f>IF($B58="","",VLOOKUP($B58,スキル!$A:$K,9,0))</f>
      </c>
      <c r="Q58" s="414">
        <f>IF($B58="","",VLOOKUP($B58,スキル!$A:$K,10,0))</f>
      </c>
      <c r="R58" s="414"/>
      <c r="S58" s="414"/>
      <c r="T58" s="414"/>
      <c r="U58" s="414"/>
      <c r="V58" s="414"/>
      <c r="W58" s="414"/>
      <c r="X58" s="87"/>
      <c r="Y58" s="87"/>
      <c r="Z58" s="87"/>
      <c r="AA58" s="150">
        <f>IF($X58="","",VLOOKUP($X58,スキル!$A:$E,2,0))</f>
      </c>
      <c r="AB58" s="150"/>
      <c r="AC58" s="150" t="str">
        <f>IF($X58="","0",VLOOKUP($X58,スキル!$A:$E,3,0))</f>
        <v>0</v>
      </c>
      <c r="AD58" s="297" t="str">
        <f>IF($X58="","0",VLOOKUP($X58,スキル!$A:$E,4,0))</f>
        <v>0</v>
      </c>
      <c r="AF58" s="358"/>
      <c r="AG58" s="359" t="e">
        <f>IF($AF58="","",VLOOKUP($AF58,AR_アイテム,5,0))*AH58</f>
        <v>#VALUE!</v>
      </c>
      <c r="AH58" s="129"/>
      <c r="BE58" s="351" t="s">
        <v>379</v>
      </c>
      <c r="BF58" s="335" t="str">
        <f>"+"&amp;0&amp;"(+"&amp;0&amp;"D)"</f>
        <v>+0(+0D)</v>
      </c>
    </row>
    <row r="59" spans="2:58" ht="13.5">
      <c r="B59" s="388"/>
      <c r="C59" s="388"/>
      <c r="D59" s="388"/>
      <c r="E59" s="388"/>
      <c r="F59" s="129">
        <f>IF($B59="","",VLOOKUP($B59,スキル!$A:$K,2,0))</f>
      </c>
      <c r="G59" s="129"/>
      <c r="H59" s="129">
        <f>IF($B59="","",VLOOKUP($B59,スキル!$A:$K,3,0))</f>
      </c>
      <c r="I59" s="57">
        <f>IF($B59="","",VLOOKUP($B59,スキル!$A:$K,4,0))</f>
      </c>
      <c r="J59" s="57"/>
      <c r="K59" s="57">
        <f>IF($B59="","",VLOOKUP($B59,スキル!$A:$K,5,0))</f>
      </c>
      <c r="L59" s="57">
        <f>IF($B59="","",VLOOKUP($B59,スキル!$A:$K,6,0))</f>
      </c>
      <c r="M59" s="57">
        <f>IF($B59="","",VLOOKUP($B59,スキル!$A:$K,7,0))</f>
      </c>
      <c r="N59" s="57">
        <f>IF($B59="","",VLOOKUP($B59,スキル!$A:$K,8,0))</f>
      </c>
      <c r="O59" s="57"/>
      <c r="P59" s="57">
        <f>IF($B59="","",VLOOKUP($B59,スキル!$A:$K,9,0))</f>
      </c>
      <c r="Q59" s="389">
        <f>IF($B59="","",VLOOKUP($B59,スキル!$A:$K,10,0))</f>
      </c>
      <c r="R59" s="389"/>
      <c r="S59" s="389"/>
      <c r="T59" s="389"/>
      <c r="U59" s="389"/>
      <c r="V59" s="389"/>
      <c r="W59" s="389"/>
      <c r="X59" s="87"/>
      <c r="Y59" s="87"/>
      <c r="Z59" s="87"/>
      <c r="AA59" s="124">
        <f>IF($X59="","",VLOOKUP($X59,スキル!$A:$E,2,0))</f>
      </c>
      <c r="AB59" s="124"/>
      <c r="AC59" s="124" t="str">
        <f>IF($X59="","0",VLOOKUP($X59,スキル!$A:$E,3,0))</f>
        <v>0</v>
      </c>
      <c r="AD59" s="335" t="str">
        <f>IF($X59="","0",VLOOKUP($X59,スキル!$A:$E,4,0))</f>
        <v>0</v>
      </c>
      <c r="AF59" s="358"/>
      <c r="AG59" s="359" t="e">
        <f>IF($AF59="","",VLOOKUP($AF59,AR_アイテム,5,0))*AH59</f>
        <v>#VALUE!</v>
      </c>
      <c r="AH59" s="129"/>
      <c r="BE59" s="351" t="s">
        <v>380</v>
      </c>
      <c r="BF59" s="335" t="str">
        <f>"+"&amp;0&amp;"(+"&amp;0&amp;"D)"</f>
        <v>+0(+0D)</v>
      </c>
    </row>
    <row r="60" spans="2:58" ht="13.5">
      <c r="B60" s="388"/>
      <c r="C60" s="388"/>
      <c r="D60" s="388"/>
      <c r="E60" s="388"/>
      <c r="F60" s="129">
        <f>IF($B60="","",VLOOKUP($B60,スキル!$A:$K,2,0))</f>
      </c>
      <c r="G60" s="129"/>
      <c r="H60" s="129">
        <f>IF($B60="","",VLOOKUP($B60,スキル!$A:$K,3,0))</f>
      </c>
      <c r="I60" s="57">
        <f>IF($B60="","",VLOOKUP($B60,スキル!$A:$K,4,0))</f>
      </c>
      <c r="J60" s="57"/>
      <c r="K60" s="57">
        <f>IF($B60="","",VLOOKUP($B60,スキル!$A:$K,5,0))</f>
      </c>
      <c r="L60" s="57">
        <f>IF($B60="","",VLOOKUP($B60,スキル!$A:$K,6,0))</f>
      </c>
      <c r="M60" s="57">
        <f>IF($B60="","",VLOOKUP($B60,スキル!$A:$K,7,0))</f>
      </c>
      <c r="N60" s="57">
        <f>IF($B60="","",VLOOKUP($B60,スキル!$A:$K,8,0))</f>
      </c>
      <c r="O60" s="57"/>
      <c r="P60" s="57">
        <f>IF($B60="","",VLOOKUP($B60,スキル!$A:$K,9,0))</f>
      </c>
      <c r="Q60" s="389">
        <f>IF($B60="","",VLOOKUP($B60,スキル!$A:$K,10,0))</f>
      </c>
      <c r="R60" s="389"/>
      <c r="S60" s="389"/>
      <c r="T60" s="389"/>
      <c r="U60" s="389"/>
      <c r="V60" s="389"/>
      <c r="W60" s="389"/>
      <c r="X60" s="87"/>
      <c r="Y60" s="87"/>
      <c r="Z60" s="87"/>
      <c r="AA60" s="124">
        <f>IF($X60="","",VLOOKUP($X60,スキル!$A:$E,2,0))</f>
      </c>
      <c r="AB60" s="124"/>
      <c r="AC60" s="124" t="str">
        <f>IF($X60="","0",VLOOKUP($X60,スキル!$A:$E,3,0))</f>
        <v>0</v>
      </c>
      <c r="AD60" s="335" t="str">
        <f>IF($X60="","0",VLOOKUP($X60,スキル!$A:$E,4,0))</f>
        <v>0</v>
      </c>
      <c r="AF60" s="358"/>
      <c r="AG60" s="359" t="e">
        <f>IF($AF60="","",VLOOKUP($AF60,AR_アイテム,5,0))*AH60</f>
        <v>#VALUE!</v>
      </c>
      <c r="AH60" s="129"/>
      <c r="BE60" s="351" t="s">
        <v>381</v>
      </c>
      <c r="BF60" s="335" t="str">
        <f>"+"&amp;0&amp;"(+"&amp;0&amp;"D)"</f>
        <v>+0(+0D)</v>
      </c>
    </row>
    <row r="61" spans="2:58" ht="13.5">
      <c r="B61" s="388"/>
      <c r="C61" s="388"/>
      <c r="D61" s="388"/>
      <c r="E61" s="388"/>
      <c r="F61" s="129">
        <f>IF($B61="","",VLOOKUP($B61,スキル!$A:$K,2,0))</f>
      </c>
      <c r="G61" s="129"/>
      <c r="H61" s="129">
        <f>IF($B61="","",VLOOKUP($B61,スキル!$A:$K,3,0))</f>
      </c>
      <c r="I61" s="57">
        <f>IF($B61="","",VLOOKUP($B61,スキル!$A:$K,4,0))</f>
      </c>
      <c r="J61" s="57"/>
      <c r="K61" s="57">
        <f>IF($B61="","",VLOOKUP($B61,スキル!$A:$K,5,0))</f>
      </c>
      <c r="L61" s="57">
        <f>IF($B61="","",VLOOKUP($B61,スキル!$A:$K,6,0))</f>
      </c>
      <c r="M61" s="57">
        <f>IF($B61="","",VLOOKUP($B61,スキル!$A:$K,7,0))</f>
      </c>
      <c r="N61" s="57">
        <f>IF($B61="","",VLOOKUP($B61,スキル!$A:$K,8,0))</f>
      </c>
      <c r="O61" s="57"/>
      <c r="P61" s="57">
        <f>IF($B61="","",VLOOKUP($B61,スキル!$A:$K,9,0))</f>
      </c>
      <c r="Q61" s="389">
        <f>IF($B61="","",VLOOKUP($B61,スキル!$A:$K,10,0))</f>
      </c>
      <c r="R61" s="389"/>
      <c r="S61" s="389"/>
      <c r="T61" s="389"/>
      <c r="U61" s="389"/>
      <c r="V61" s="389"/>
      <c r="W61" s="389"/>
      <c r="X61" s="87"/>
      <c r="Y61" s="87"/>
      <c r="Z61" s="87"/>
      <c r="AA61" s="124">
        <f>IF($X61="","",VLOOKUP($X61,スキル!$A:$E,2,0))</f>
      </c>
      <c r="AB61" s="124"/>
      <c r="AC61" s="124" t="str">
        <f>IF($X61="","0",VLOOKUP($X61,スキル!$A:$E,3,0))</f>
        <v>0</v>
      </c>
      <c r="AD61" s="335" t="str">
        <f>IF($X61="","0",VLOOKUP($X61,スキル!$A:$E,4,0))</f>
        <v>0</v>
      </c>
      <c r="AF61" s="358"/>
      <c r="AG61" s="359" t="e">
        <f>IF($AF61="","",VLOOKUP($AF61,AR_アイテム,5,0))*AH61</f>
        <v>#VALUE!</v>
      </c>
      <c r="AH61" s="129"/>
      <c r="BE61" s="351" t="s">
        <v>382</v>
      </c>
      <c r="BF61" s="335" t="str">
        <f>"+"&amp;IF(ISERROR(VLOOKUP("ビーストキラー",AR_スキルSL,7,0))=TRUE,"0",VLOOKUP("ビーストキラー",AR_スキルSL,7,0))*3&amp;"(+"&amp;0&amp;"D)"</f>
        <v>+0(+0D)</v>
      </c>
    </row>
    <row r="62" spans="2:58" ht="13.5">
      <c r="B62" s="388"/>
      <c r="C62" s="388"/>
      <c r="D62" s="388"/>
      <c r="E62" s="388"/>
      <c r="F62" s="129">
        <f>IF($B62="","",VLOOKUP($B62,スキル!$A:$K,2,0))</f>
      </c>
      <c r="G62" s="129"/>
      <c r="H62" s="129">
        <f>IF($B62="","",VLOOKUP($B62,スキル!$A:$K,3,0))</f>
      </c>
      <c r="I62" s="57">
        <f>IF($B62="","",VLOOKUP($B62,スキル!$A:$K,4,0))</f>
      </c>
      <c r="J62" s="57"/>
      <c r="K62" s="57">
        <f>IF($B62="","",VLOOKUP($B62,スキル!$A:$K,5,0))</f>
      </c>
      <c r="L62" s="57">
        <f>IF($B62="","",VLOOKUP($B62,スキル!$A:$K,6,0))</f>
      </c>
      <c r="M62" s="57">
        <f>IF($B62="","",VLOOKUP($B62,スキル!$A:$K,7,0))</f>
      </c>
      <c r="N62" s="57">
        <f>IF($B62="","",VLOOKUP($B62,スキル!$A:$K,8,0))</f>
      </c>
      <c r="O62" s="57"/>
      <c r="P62" s="57">
        <f>IF($B62="","",VLOOKUP($B62,スキル!$A:$K,9,0))</f>
      </c>
      <c r="Q62" s="389">
        <f>IF($B62="","",VLOOKUP($B62,スキル!$A:$K,10,0))</f>
      </c>
      <c r="R62" s="389"/>
      <c r="S62" s="389"/>
      <c r="T62" s="389"/>
      <c r="U62" s="389"/>
      <c r="V62" s="389"/>
      <c r="W62" s="389"/>
      <c r="X62" s="87"/>
      <c r="Y62" s="87"/>
      <c r="Z62" s="87"/>
      <c r="AA62" s="124">
        <f>IF($X62="","",VLOOKUP($X62,スキル!$A:$E,2,0))</f>
      </c>
      <c r="AB62" s="124"/>
      <c r="AC62" s="124" t="str">
        <f>IF($X62="","0",VLOOKUP($X62,スキル!$A:$E,3,0))</f>
        <v>0</v>
      </c>
      <c r="AD62" s="335" t="str">
        <f>IF($X62="","0",VLOOKUP($X62,スキル!$A:$E,4,0))</f>
        <v>0</v>
      </c>
      <c r="AF62" s="358"/>
      <c r="AG62" s="359" t="e">
        <f>IF($AF62="","",VLOOKUP($AF62,AR_アイテム,5,0))*AH62</f>
        <v>#VALUE!</v>
      </c>
      <c r="AH62" s="129"/>
      <c r="BE62" s="351" t="s">
        <v>383</v>
      </c>
      <c r="BF62" s="335" t="str">
        <f>"+"&amp;IF(ISERROR(VLOOKUP("ビーストキラー",AR_スキルSL,7,0))=TRUE,"0",VLOOKUP("ビーストキラー",AR_スキルSL,7,0))*3&amp;"(+"&amp;0&amp;"D)"</f>
        <v>+0(+0D)</v>
      </c>
    </row>
    <row r="63" spans="2:58" ht="13.5">
      <c r="B63" s="388"/>
      <c r="C63" s="388"/>
      <c r="D63" s="388"/>
      <c r="E63" s="388"/>
      <c r="F63" s="129">
        <f>IF($B63="","",VLOOKUP($B63,スキル!$A:$K,2,0))</f>
      </c>
      <c r="G63" s="129"/>
      <c r="H63" s="129">
        <f>IF($B63="","",VLOOKUP($B63,スキル!$A:$K,3,0))</f>
      </c>
      <c r="I63" s="57">
        <f>IF($B63="","",VLOOKUP($B63,スキル!$A:$K,4,0))</f>
      </c>
      <c r="J63" s="57"/>
      <c r="K63" s="57">
        <f>IF($B63="","",VLOOKUP($B63,スキル!$A:$K,5,0))</f>
      </c>
      <c r="L63" s="57">
        <f>IF($B63="","",VLOOKUP($B63,スキル!$A:$K,6,0))</f>
      </c>
      <c r="M63" s="57">
        <f>IF($B63="","",VLOOKUP($B63,スキル!$A:$K,7,0))</f>
      </c>
      <c r="N63" s="57">
        <f>IF($B63="","",VLOOKUP($B63,スキル!$A:$K,8,0))</f>
      </c>
      <c r="O63" s="57"/>
      <c r="P63" s="57">
        <f>IF($B63="","",VLOOKUP($B63,スキル!$A:$K,9,0))</f>
      </c>
      <c r="Q63" s="389">
        <f>IF($B63="","",VLOOKUP($B63,スキル!$A:$K,10,0))</f>
      </c>
      <c r="R63" s="389"/>
      <c r="S63" s="389"/>
      <c r="T63" s="389"/>
      <c r="U63" s="389"/>
      <c r="V63" s="389"/>
      <c r="W63" s="389"/>
      <c r="X63" s="87"/>
      <c r="Y63" s="87"/>
      <c r="Z63" s="87"/>
      <c r="AA63" s="124">
        <f>IF($X63="","",VLOOKUP($X63,スキル!$A:$E,2,0))</f>
      </c>
      <c r="AB63" s="124"/>
      <c r="AC63" s="124" t="str">
        <f>IF($X63="","0",VLOOKUP($X63,スキル!$A:$E,3,0))</f>
        <v>0</v>
      </c>
      <c r="AD63" s="335" t="str">
        <f>IF($X63="","0",VLOOKUP($X63,スキル!$A:$E,4,0))</f>
        <v>0</v>
      </c>
      <c r="AF63" s="358"/>
      <c r="AG63" s="359" t="e">
        <f>IF($AF63="","",VLOOKUP($AF63,AR_アイテム,5,0))*AH63</f>
        <v>#VALUE!</v>
      </c>
      <c r="AH63" s="129"/>
      <c r="BE63" s="351" t="s">
        <v>384</v>
      </c>
      <c r="BF63" s="335" t="str">
        <f>"+"&amp;0&amp;"(+"&amp;0&amp;"D)"</f>
        <v>+0(+0D)</v>
      </c>
    </row>
    <row r="64" spans="2:58" ht="13.5">
      <c r="B64" s="388"/>
      <c r="C64" s="388"/>
      <c r="D64" s="388"/>
      <c r="E64" s="388"/>
      <c r="F64" s="129">
        <f>IF($B64="","",VLOOKUP($B64,スキル!$A:$K,2,0))</f>
      </c>
      <c r="G64" s="129"/>
      <c r="H64" s="129">
        <f>IF($B64="","",VLOOKUP($B64,スキル!$A:$K,3,0))</f>
      </c>
      <c r="I64" s="57">
        <f>IF($B64="","",VLOOKUP($B64,スキル!$A:$K,4,0))</f>
      </c>
      <c r="J64" s="57"/>
      <c r="K64" s="57">
        <f>IF($B64="","",VLOOKUP($B64,スキル!$A:$K,5,0))</f>
      </c>
      <c r="L64" s="57">
        <f>IF($B64="","",VLOOKUP($B64,スキル!$A:$K,6,0))</f>
      </c>
      <c r="M64" s="57">
        <f>IF($B64="","",VLOOKUP($B64,スキル!$A:$K,7,0))</f>
      </c>
      <c r="N64" s="57">
        <f>IF($B64="","",VLOOKUP($B64,スキル!$A:$K,8,0))</f>
      </c>
      <c r="O64" s="57"/>
      <c r="P64" s="57">
        <f>IF($B64="","",VLOOKUP($B64,スキル!$A:$K,9,0))</f>
      </c>
      <c r="Q64" s="389">
        <f>IF($B64="","",VLOOKUP($B64,スキル!$A:$K,10,0))</f>
      </c>
      <c r="R64" s="389"/>
      <c r="S64" s="389"/>
      <c r="T64" s="389"/>
      <c r="U64" s="389"/>
      <c r="V64" s="389"/>
      <c r="W64" s="389"/>
      <c r="X64" s="87"/>
      <c r="Y64" s="87"/>
      <c r="Z64" s="87"/>
      <c r="AA64" s="124">
        <f>IF($X64="","",VLOOKUP($X64,スキル!$A:$E,2,0))</f>
      </c>
      <c r="AB64" s="124"/>
      <c r="AC64" s="124" t="str">
        <f>IF($X64="","0",VLOOKUP($X64,スキル!$A:$E,3,0))</f>
        <v>0</v>
      </c>
      <c r="AD64" s="335" t="str">
        <f>IF($X64="","0",VLOOKUP($X64,スキル!$A:$E,4,0))</f>
        <v>0</v>
      </c>
      <c r="AF64" s="358"/>
      <c r="AG64" s="359" t="e">
        <f>IF($AF64="","",VLOOKUP($AF64,AR_アイテム,5,0))*AH64</f>
        <v>#VALUE!</v>
      </c>
      <c r="AH64" s="129"/>
      <c r="BE64" s="351" t="s">
        <v>385</v>
      </c>
      <c r="BF64" s="335" t="str">
        <f>"+"&amp;IF(ISERROR(VLOOKUP("ドラゴンバスター",AR_スキルSL,7,0))=TRUE,"0",VLOOKUP("ドラゴンバスター",AR_スキルSL,7,0))*3&amp;"(+"&amp;0&amp;"D)"</f>
        <v>+0(+0D)</v>
      </c>
    </row>
    <row r="65" spans="2:58" ht="13.5">
      <c r="B65" s="388"/>
      <c r="C65" s="388"/>
      <c r="D65" s="388"/>
      <c r="E65" s="388"/>
      <c r="F65" s="129">
        <f>IF($B65="","",VLOOKUP($B65,スキル!$A:$K,2,0))</f>
      </c>
      <c r="G65" s="129"/>
      <c r="H65" s="129">
        <f>IF($B65="","",VLOOKUP($B65,スキル!$A:$K,3,0))</f>
      </c>
      <c r="I65" s="57">
        <f>IF($B65="","",VLOOKUP($B65,スキル!$A:$K,4,0))</f>
      </c>
      <c r="J65" s="57"/>
      <c r="K65" s="57">
        <f>IF($B65="","",VLOOKUP($B65,スキル!$A:$K,5,0))</f>
      </c>
      <c r="L65" s="57">
        <f>IF($B65="","",VLOOKUP($B65,スキル!$A:$K,6,0))</f>
      </c>
      <c r="M65" s="57">
        <f>IF($B65="","",VLOOKUP($B65,スキル!$A:$K,7,0))</f>
      </c>
      <c r="N65" s="57">
        <f>IF($B65="","",VLOOKUP($B65,スキル!$A:$K,8,0))</f>
      </c>
      <c r="O65" s="57"/>
      <c r="P65" s="57">
        <f>IF($B65="","",VLOOKUP($B65,スキル!$A:$K,9,0))</f>
      </c>
      <c r="Q65" s="389">
        <f>IF($B65="","",VLOOKUP($B65,スキル!$A:$K,10,0))</f>
      </c>
      <c r="R65" s="389"/>
      <c r="S65" s="389"/>
      <c r="T65" s="389"/>
      <c r="U65" s="389"/>
      <c r="V65" s="389"/>
      <c r="W65" s="389"/>
      <c r="X65" s="87"/>
      <c r="Y65" s="87"/>
      <c r="Z65" s="87"/>
      <c r="AA65" s="124">
        <f>IF($X65="","",VLOOKUP($X65,スキル!$A:$E,2,0))</f>
      </c>
      <c r="AB65" s="124"/>
      <c r="AC65" s="124" t="str">
        <f>IF($X65="","0",VLOOKUP($X65,スキル!$A:$E,3,0))</f>
        <v>0</v>
      </c>
      <c r="AD65" s="335" t="str">
        <f>IF($X65="","0",VLOOKUP($X65,スキル!$A:$E,4,0))</f>
        <v>0</v>
      </c>
      <c r="AF65" s="358"/>
      <c r="AG65" s="359" t="e">
        <f>IF($AF65="","",VLOOKUP($AF65,AR_アイテム,5,0))*AH65</f>
        <v>#VALUE!</v>
      </c>
      <c r="AH65" s="129"/>
      <c r="BE65" s="351" t="s">
        <v>386</v>
      </c>
      <c r="BF65" s="335" t="str">
        <f>"+"&amp;IF(ISERROR(VLOOKUP("ドラゴンバスター",AR_スキルSL,7,0))=TRUE,"0",VLOOKUP("ドラゴンバスター",AR_スキルSL,7,0))*3+IF(ISERROR(VLOOKUP("エクソシズム",AR_スキルSL,7,0))=TRUE,"0",VLOOKUP("エクソシズム",AR_スキルSL,7,0))*5+COUNTIF(AR_SHEET_装備,"セレスチャルソード")*5&amp;"(+"&amp;0+COUNTIF(AR_SHEET_装備,"神罰者の紋章")*3&amp;"D)"</f>
        <v>+0(+0D)</v>
      </c>
    </row>
    <row r="66" spans="2:58" ht="13.5">
      <c r="B66" s="388"/>
      <c r="C66" s="388"/>
      <c r="D66" s="388"/>
      <c r="E66" s="388"/>
      <c r="F66" s="129">
        <f>IF($B66="","",VLOOKUP($B66,スキル!$A:$K,2,0))</f>
      </c>
      <c r="G66" s="129"/>
      <c r="H66" s="129">
        <f>IF($B66="","",VLOOKUP($B66,スキル!$A:$K,3,0))</f>
      </c>
      <c r="I66" s="57">
        <f>IF($B66="","",VLOOKUP($B66,スキル!$A:$K,4,0))</f>
      </c>
      <c r="J66" s="57"/>
      <c r="K66" s="57">
        <f>IF($B66="","",VLOOKUP($B66,スキル!$A:$K,5,0))</f>
      </c>
      <c r="L66" s="57">
        <f>IF($B66="","",VLOOKUP($B66,スキル!$A:$K,6,0))</f>
      </c>
      <c r="M66" s="57">
        <f>IF($B66="","",VLOOKUP($B66,スキル!$A:$K,7,0))</f>
      </c>
      <c r="N66" s="57">
        <f>IF($B66="","",VLOOKUP($B66,スキル!$A:$K,8,0))</f>
      </c>
      <c r="O66" s="57"/>
      <c r="P66" s="57">
        <f>IF($B66="","",VLOOKUP($B66,スキル!$A:$K,9,0))</f>
      </c>
      <c r="Q66" s="389">
        <f>IF($B66="","",VLOOKUP($B66,スキル!$A:$K,10,0))</f>
      </c>
      <c r="R66" s="389"/>
      <c r="S66" s="389"/>
      <c r="T66" s="389"/>
      <c r="U66" s="389"/>
      <c r="V66" s="389"/>
      <c r="W66" s="389"/>
      <c r="X66" s="87"/>
      <c r="Y66" s="87"/>
      <c r="Z66" s="87"/>
      <c r="AA66" s="124">
        <f>IF($X66="","",VLOOKUP($X66,スキル!$A:$E,2,0))</f>
      </c>
      <c r="AB66" s="124"/>
      <c r="AC66" s="124" t="str">
        <f>IF($X66="","0",VLOOKUP($X66,スキル!$A:$E,3,0))</f>
        <v>0</v>
      </c>
      <c r="AD66" s="335" t="str">
        <f>IF($X66="","0",VLOOKUP($X66,スキル!$A:$E,4,0))</f>
        <v>0</v>
      </c>
      <c r="AF66" s="358"/>
      <c r="AG66" s="359" t="e">
        <f>IF($AF66="","",VLOOKUP($AF66,AR_アイテム,5,0))*AH66</f>
        <v>#VALUE!</v>
      </c>
      <c r="AH66" s="129"/>
      <c r="BE66" s="364" t="s">
        <v>387</v>
      </c>
      <c r="BF66" s="297" t="str">
        <f>"+"&amp;IF(ISERROR(VLOOKUP("ブラインドサイド",AR_スキルSL,7,0))=TRUE,"0",VLOOKUP("ブラインドサイド",AR_スキルSL,7,0))*2&amp;"(+"&amp;0&amp;"D)"</f>
        <v>+0(+0D)</v>
      </c>
    </row>
    <row r="67" spans="2:58" ht="13.5">
      <c r="B67" s="401"/>
      <c r="C67" s="401"/>
      <c r="D67" s="401"/>
      <c r="E67" s="401"/>
      <c r="F67" s="402">
        <f>IF($B67="","",VLOOKUP($B67,スキル!$A:$K,2,0))</f>
      </c>
      <c r="G67" s="402"/>
      <c r="H67" s="402">
        <f>IF($B67="","",VLOOKUP($B67,スキル!$A:$K,3,0))</f>
      </c>
      <c r="I67" s="151">
        <f>IF($B67="","",VLOOKUP($B67,スキル!$A:$K,4,0))</f>
      </c>
      <c r="J67" s="151"/>
      <c r="K67" s="151">
        <f>IF($B67="","",VLOOKUP($B67,スキル!$A:$K,5,0))</f>
      </c>
      <c r="L67" s="151">
        <f>IF($B67="","",VLOOKUP($B67,スキル!$A:$K,6,0))</f>
      </c>
      <c r="M67" s="151">
        <f>IF($B67="","",VLOOKUP($B67,スキル!$A:$K,7,0))</f>
      </c>
      <c r="N67" s="151">
        <f>IF($B67="","",VLOOKUP($B67,スキル!$A:$K,8,0))</f>
      </c>
      <c r="O67" s="151"/>
      <c r="P67" s="151">
        <f>IF($B67="","",VLOOKUP($B67,スキル!$A:$K,9,0))</f>
      </c>
      <c r="Q67" s="403">
        <f>IF($B67="","",VLOOKUP($B67,スキル!$A:$K,10,0))</f>
      </c>
      <c r="R67" s="403"/>
      <c r="S67" s="403"/>
      <c r="T67" s="403"/>
      <c r="U67" s="403"/>
      <c r="V67" s="403"/>
      <c r="W67" s="403"/>
      <c r="X67" s="95"/>
      <c r="Y67" s="95"/>
      <c r="Z67" s="95"/>
      <c r="AA67" s="153">
        <f>IF($X67="","",VLOOKUP($X67,スキル!$A:$E,2,0))</f>
      </c>
      <c r="AB67" s="153"/>
      <c r="AC67" s="153" t="str">
        <f>IF($X67="","0",VLOOKUP($X67,スキル!$A:$E,3,0))</f>
        <v>0</v>
      </c>
      <c r="AD67" s="316" t="str">
        <f>IF($X67="","0",VLOOKUP($X67,スキル!$A:$E,4,0))</f>
        <v>0</v>
      </c>
      <c r="AF67" s="144" t="s">
        <v>107</v>
      </c>
      <c r="AG67" s="415" t="e">
        <f>SUM(AG18:AG47)&amp;"/"&amp;$C$8+COUNTIF(AR_SHEET_スキル,"エンラージリミット")*($C$8)+COUNTIF(AR_SHEET_道具,"ベルトポーチ")*2+COUNTIF(AR_SHEET_道具,"バックパック")*5+COUNTIF(AR_SHEET_道具,"異次元バッグ")*10+COUNTIF(AR_SHEET_装備,"手提げバッグ")*3+IF(ISERROR(VLOOKUP("容量拡大",AR_SHEET_ギルドサポート,7,0))=TRUE,"0",VLOOKUP("容量拡大",AR_SHEET_ギルドサポート,7,0))*5+COUNTIF(AB68:AH79,"乗用馬")*10+COUNTIF(AB68:AH79,"軍馬")*15+COUNTIF(AB68:AH79,"名馬")*10+COUNTIF(AB68:AH79,"錬金馬")*25+COUNTIF(AB68:AH79,"騎竜")*20+COUNTIF(AB68:AH79,"馬車")*40</f>
        <v>#VALUE!</v>
      </c>
      <c r="AH67" s="416"/>
      <c r="BE67" s="279" t="s">
        <v>388</v>
      </c>
      <c r="BF67" s="397" t="str">
        <f>"+"&amp;COUNTIF(AR_SHEET_装備,"シャープダガー")*10+COUNTIF(AR_SHEET_装備,"紫電剣")*$H$10&amp;"(+"&amp;IF(ISERROR(VLOOKUP("マーダースキル",AR_スキルSL,7,0))=TRUE,"0",VLOOKUP("マーダースキル",AR_スキルSL,7,0))+COUNTIF(AR_SHEET_装備,"レイジハンマー")+COUNTIF(AR_SHEET_装備,"クンフーマスター")&amp;"D)"</f>
        <v>+0(+0D)</v>
      </c>
    </row>
    <row r="68" spans="57:58" ht="13.5">
      <c r="BE68" s="361" t="s">
        <v>389</v>
      </c>
      <c r="BF68" s="84" t="str">
        <f>"-"&amp;COUNTIF(AR_SHEET_装備,"モノブレード")*10+COUNTIF(AR_SHEET_装備,"アルトエッジ")*5+COUNTIF(AR_SHEET_装備,"ブラインドウィップ")*10&amp;"(-"&amp;0&amp;"D)"</f>
        <v>-0(-0D)</v>
      </c>
    </row>
    <row r="69" spans="57:58" ht="13.5">
      <c r="BE69" s="256" t="s">
        <v>390</v>
      </c>
      <c r="BF69" s="146" t="str">
        <f>"+"&amp;0&amp;"(+"&amp;COUNTIF(AR_SHEET_ギルドサポート,"目利き")&amp;"D)"</f>
        <v>+0(+1D)</v>
      </c>
    </row>
    <row r="70" spans="57:58" ht="13.5">
      <c r="BE70" s="144" t="s">
        <v>391</v>
      </c>
      <c r="BF70" s="146" t="str">
        <f>"+"&amp;IF(ISERROR(VLOOKUP("ストライクスロー",AR_スキルSL,7,0))=TRUE,"0",VLOOKUP("ストライクスロー",AR_スキルSL,7,0))*4&amp;"(+"&amp;0&amp;"D)"</f>
        <v>+0(+0D)</v>
      </c>
    </row>
  </sheetData>
  <mergeCells count="463">
    <mergeCell ref="A1:L1"/>
    <mergeCell ref="M1:S1"/>
    <mergeCell ref="Z1:AD1"/>
    <mergeCell ref="AF1:AG1"/>
    <mergeCell ref="AO1:AP1"/>
    <mergeCell ref="AR1:AS1"/>
    <mergeCell ref="AU1:AV1"/>
    <mergeCell ref="AY1:AZ1"/>
    <mergeCell ref="BB1:BC1"/>
    <mergeCell ref="BE1:BF1"/>
    <mergeCell ref="A2:A21"/>
    <mergeCell ref="B2:C2"/>
    <mergeCell ref="D2:G2"/>
    <mergeCell ref="I2:L2"/>
    <mergeCell ref="N2:P2"/>
    <mergeCell ref="U2:U3"/>
    <mergeCell ref="V2:V3"/>
    <mergeCell ref="W2:W3"/>
    <mergeCell ref="Z2:AD12"/>
    <mergeCell ref="AG2:AH2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B3:C3"/>
    <mergeCell ref="D3:G3"/>
    <mergeCell ref="I3:L3"/>
    <mergeCell ref="N3:P3"/>
    <mergeCell ref="AG3:AH3"/>
    <mergeCell ref="B4:C4"/>
    <mergeCell ref="D4:F4"/>
    <mergeCell ref="J4:L4"/>
    <mergeCell ref="M4:O4"/>
    <mergeCell ref="P4:S4"/>
    <mergeCell ref="U4:U5"/>
    <mergeCell ref="V4:V5"/>
    <mergeCell ref="W4:W5"/>
    <mergeCell ref="AG4:AH4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B5:C5"/>
    <mergeCell ref="D5:F5"/>
    <mergeCell ref="K5:L5"/>
    <mergeCell ref="M5:Q5"/>
    <mergeCell ref="AG5:AH5"/>
    <mergeCell ref="B6:J6"/>
    <mergeCell ref="K6:L6"/>
    <mergeCell ref="M6:P6"/>
    <mergeCell ref="T6:T7"/>
    <mergeCell ref="W6:W7"/>
    <mergeCell ref="AF6:AG6"/>
    <mergeCell ref="AK6:AK7"/>
    <mergeCell ref="AL6:AL7"/>
    <mergeCell ref="AM6:AM7"/>
    <mergeCell ref="AN6:AN7"/>
    <mergeCell ref="I7:J7"/>
    <mergeCell ref="K7:L7"/>
    <mergeCell ref="M7:P7"/>
    <mergeCell ref="AG7:AH7"/>
    <mergeCell ref="K8:S8"/>
    <mergeCell ref="AG8:AH8"/>
    <mergeCell ref="AL8:AM8"/>
    <mergeCell ref="AO8:AP8"/>
    <mergeCell ref="AR8:AS8"/>
    <mergeCell ref="AU8:AV8"/>
    <mergeCell ref="K9:K10"/>
    <mergeCell ref="L9:L10"/>
    <mergeCell ref="M9:S9"/>
    <mergeCell ref="T9:V9"/>
    <mergeCell ref="AG9:AH9"/>
    <mergeCell ref="AL9:AM9"/>
    <mergeCell ref="AO9:AP9"/>
    <mergeCell ref="AR9:AS9"/>
    <mergeCell ref="AU9:AV9"/>
    <mergeCell ref="M10:S10"/>
    <mergeCell ref="T10:U10"/>
    <mergeCell ref="AG10:AH10"/>
    <mergeCell ref="AL10:AM10"/>
    <mergeCell ref="AO10:AP10"/>
    <mergeCell ref="AR10:AS10"/>
    <mergeCell ref="AU10:AV10"/>
    <mergeCell ref="K11:K12"/>
    <mergeCell ref="L11:L12"/>
    <mergeCell ref="M11:S11"/>
    <mergeCell ref="T11:U11"/>
    <mergeCell ref="W11:X11"/>
    <mergeCell ref="AG11:AH11"/>
    <mergeCell ref="AL11:AM11"/>
    <mergeCell ref="AO11:AP11"/>
    <mergeCell ref="AR11:AS11"/>
    <mergeCell ref="AU11:AV11"/>
    <mergeCell ref="M12:S12"/>
    <mergeCell ref="T12:U12"/>
    <mergeCell ref="W12:X12"/>
    <mergeCell ref="AG12:AH12"/>
    <mergeCell ref="M13:S13"/>
    <mergeCell ref="T13:U13"/>
    <mergeCell ref="W13:X13"/>
    <mergeCell ref="Z13:AD13"/>
    <mergeCell ref="AG13:AH13"/>
    <mergeCell ref="AJ13:AK13"/>
    <mergeCell ref="M14:S14"/>
    <mergeCell ref="T14:U14"/>
    <mergeCell ref="W14:X14"/>
    <mergeCell ref="Z14:AD14"/>
    <mergeCell ref="AG14:AH14"/>
    <mergeCell ref="B15:E15"/>
    <mergeCell ref="N15:O15"/>
    <mergeCell ref="S15:W15"/>
    <mergeCell ref="X15:Y15"/>
    <mergeCell ref="AC15:AD15"/>
    <mergeCell ref="AG15:AH15"/>
    <mergeCell ref="C16:E16"/>
    <mergeCell ref="N16:O16"/>
    <mergeCell ref="S16:W16"/>
    <mergeCell ref="X16:Y16"/>
    <mergeCell ref="AG16:AH16"/>
    <mergeCell ref="C17:E17"/>
    <mergeCell ref="N17:O17"/>
    <mergeCell ref="S17:W17"/>
    <mergeCell ref="X17:Y17"/>
    <mergeCell ref="C18:E18"/>
    <mergeCell ref="N18:O18"/>
    <mergeCell ref="S18:W18"/>
    <mergeCell ref="X18:Y18"/>
    <mergeCell ref="C19:E19"/>
    <mergeCell ref="N19:O19"/>
    <mergeCell ref="S19:W19"/>
    <mergeCell ref="X19:Y19"/>
    <mergeCell ref="C20:E20"/>
    <mergeCell ref="N20:O20"/>
    <mergeCell ref="S20:W20"/>
    <mergeCell ref="X20:Y20"/>
    <mergeCell ref="C21:E21"/>
    <mergeCell ref="N21:O21"/>
    <mergeCell ref="S21:W21"/>
    <mergeCell ref="X21:Y21"/>
    <mergeCell ref="C22:E22"/>
    <mergeCell ref="N22:O22"/>
    <mergeCell ref="S22:W22"/>
    <mergeCell ref="X22:Y22"/>
    <mergeCell ref="C23:E23"/>
    <mergeCell ref="N23:O23"/>
    <mergeCell ref="S23:W23"/>
    <mergeCell ref="X23:Y23"/>
    <mergeCell ref="N24:O24"/>
    <mergeCell ref="S24:W24"/>
    <mergeCell ref="X24:AD24"/>
    <mergeCell ref="A25:A46"/>
    <mergeCell ref="B25:E25"/>
    <mergeCell ref="F25:G25"/>
    <mergeCell ref="I25:J25"/>
    <mergeCell ref="N25:O25"/>
    <mergeCell ref="T25:V25"/>
    <mergeCell ref="X25:Z25"/>
    <mergeCell ref="AA25:AB25"/>
    <mergeCell ref="B26:E26"/>
    <mergeCell ref="F26:G26"/>
    <mergeCell ref="I26:J26"/>
    <mergeCell ref="N26:O26"/>
    <mergeCell ref="Q26:W26"/>
    <mergeCell ref="X26:Z26"/>
    <mergeCell ref="AA26:AB26"/>
    <mergeCell ref="B27:E27"/>
    <mergeCell ref="F27:G27"/>
    <mergeCell ref="I27:J27"/>
    <mergeCell ref="N27:O27"/>
    <mergeCell ref="Q27:W27"/>
    <mergeCell ref="X27:Z27"/>
    <mergeCell ref="AA27:AB27"/>
    <mergeCell ref="B28:E28"/>
    <mergeCell ref="F28:G28"/>
    <mergeCell ref="I28:J28"/>
    <mergeCell ref="N28:O28"/>
    <mergeCell ref="Q28:W28"/>
    <mergeCell ref="X28:Z28"/>
    <mergeCell ref="AA28:AB28"/>
    <mergeCell ref="B29:E29"/>
    <mergeCell ref="F29:G29"/>
    <mergeCell ref="I29:J29"/>
    <mergeCell ref="N29:O29"/>
    <mergeCell ref="Q29:W29"/>
    <mergeCell ref="X29:Z29"/>
    <mergeCell ref="AA29:AB29"/>
    <mergeCell ref="AJ29:AK29"/>
    <mergeCell ref="B30:E30"/>
    <mergeCell ref="F30:G30"/>
    <mergeCell ref="I30:J30"/>
    <mergeCell ref="N30:O30"/>
    <mergeCell ref="Q30:W30"/>
    <mergeCell ref="X30:Z30"/>
    <mergeCell ref="AA30:AB30"/>
    <mergeCell ref="B31:E31"/>
    <mergeCell ref="F31:G31"/>
    <mergeCell ref="I31:J31"/>
    <mergeCell ref="N31:O31"/>
    <mergeCell ref="Q31:W31"/>
    <mergeCell ref="X31:Z31"/>
    <mergeCell ref="AA31:AB31"/>
    <mergeCell ref="B32:E32"/>
    <mergeCell ref="F32:G32"/>
    <mergeCell ref="I32:J32"/>
    <mergeCell ref="N32:O32"/>
    <mergeCell ref="Q32:W32"/>
    <mergeCell ref="X32:Z32"/>
    <mergeCell ref="AA32:AB32"/>
    <mergeCell ref="B33:E33"/>
    <mergeCell ref="F33:G33"/>
    <mergeCell ref="I33:J33"/>
    <mergeCell ref="N33:O33"/>
    <mergeCell ref="Q33:W33"/>
    <mergeCell ref="X33:Z33"/>
    <mergeCell ref="AA33:AB33"/>
    <mergeCell ref="B34:E34"/>
    <mergeCell ref="F34:G34"/>
    <mergeCell ref="I34:J34"/>
    <mergeCell ref="N34:O34"/>
    <mergeCell ref="Q34:W34"/>
    <mergeCell ref="X34:Z34"/>
    <mergeCell ref="AA34:AB34"/>
    <mergeCell ref="B35:E35"/>
    <mergeCell ref="F35:G35"/>
    <mergeCell ref="I35:J35"/>
    <mergeCell ref="N35:O35"/>
    <mergeCell ref="Q35:W35"/>
    <mergeCell ref="X35:Z35"/>
    <mergeCell ref="AA35:AB35"/>
    <mergeCell ref="B36:E36"/>
    <mergeCell ref="F36:G36"/>
    <mergeCell ref="I36:J36"/>
    <mergeCell ref="N36:O36"/>
    <mergeCell ref="Q36:W36"/>
    <mergeCell ref="X36:Z36"/>
    <mergeCell ref="AA36:AB36"/>
    <mergeCell ref="B37:E37"/>
    <mergeCell ref="F37:G37"/>
    <mergeCell ref="I37:J37"/>
    <mergeCell ref="N37:O37"/>
    <mergeCell ref="Q37:W37"/>
    <mergeCell ref="X37:Z37"/>
    <mergeCell ref="AA37:AB37"/>
    <mergeCell ref="B38:E38"/>
    <mergeCell ref="F38:G38"/>
    <mergeCell ref="I38:J38"/>
    <mergeCell ref="N38:O38"/>
    <mergeCell ref="Q38:W38"/>
    <mergeCell ref="X38:Z38"/>
    <mergeCell ref="AA38:AB38"/>
    <mergeCell ref="B39:E39"/>
    <mergeCell ref="F39:G39"/>
    <mergeCell ref="I39:J39"/>
    <mergeCell ref="N39:O39"/>
    <mergeCell ref="Q39:W39"/>
    <mergeCell ref="X39:Z39"/>
    <mergeCell ref="AA39:AB39"/>
    <mergeCell ref="B40:E40"/>
    <mergeCell ref="F40:G40"/>
    <mergeCell ref="I40:J40"/>
    <mergeCell ref="N40:O40"/>
    <mergeCell ref="Q40:W40"/>
    <mergeCell ref="X40:Z40"/>
    <mergeCell ref="AA40:AB40"/>
    <mergeCell ref="B41:E41"/>
    <mergeCell ref="F41:G41"/>
    <mergeCell ref="I41:J41"/>
    <mergeCell ref="N41:O41"/>
    <mergeCell ref="Q41:W41"/>
    <mergeCell ref="X41:Z41"/>
    <mergeCell ref="AA41:AB41"/>
    <mergeCell ref="B42:E42"/>
    <mergeCell ref="F42:G42"/>
    <mergeCell ref="I42:J42"/>
    <mergeCell ref="N42:O42"/>
    <mergeCell ref="Q42:W42"/>
    <mergeCell ref="X42:Z42"/>
    <mergeCell ref="AA42:AB42"/>
    <mergeCell ref="B43:E43"/>
    <mergeCell ref="F43:G43"/>
    <mergeCell ref="I43:J43"/>
    <mergeCell ref="N43:O43"/>
    <mergeCell ref="Q43:W43"/>
    <mergeCell ref="X43:Z43"/>
    <mergeCell ref="AA43:AB43"/>
    <mergeCell ref="B44:E44"/>
    <mergeCell ref="F44:G44"/>
    <mergeCell ref="I44:J44"/>
    <mergeCell ref="N44:O44"/>
    <mergeCell ref="Q44:W44"/>
    <mergeCell ref="X44:Z44"/>
    <mergeCell ref="AA44:AB44"/>
    <mergeCell ref="B45:E45"/>
    <mergeCell ref="F45:G45"/>
    <mergeCell ref="I45:J45"/>
    <mergeCell ref="N45:O45"/>
    <mergeCell ref="Q45:W45"/>
    <mergeCell ref="X45:Z45"/>
    <mergeCell ref="AA45:AB45"/>
    <mergeCell ref="B46:E46"/>
    <mergeCell ref="F46:G46"/>
    <mergeCell ref="I46:J46"/>
    <mergeCell ref="N46:O46"/>
    <mergeCell ref="Q46:W46"/>
    <mergeCell ref="X46:Z46"/>
    <mergeCell ref="AA46:AB46"/>
    <mergeCell ref="B48:W48"/>
    <mergeCell ref="X48:AD48"/>
    <mergeCell ref="AF48:AH48"/>
    <mergeCell ref="B49:E49"/>
    <mergeCell ref="F49:G49"/>
    <mergeCell ref="I49:J49"/>
    <mergeCell ref="N49:O49"/>
    <mergeCell ref="Q49:S49"/>
    <mergeCell ref="T49:U49"/>
    <mergeCell ref="X49:Z49"/>
    <mergeCell ref="AA49:AB49"/>
    <mergeCell ref="B50:E50"/>
    <mergeCell ref="F50:G50"/>
    <mergeCell ref="I50:J50"/>
    <mergeCell ref="N50:O50"/>
    <mergeCell ref="Q50:W50"/>
    <mergeCell ref="X50:Z50"/>
    <mergeCell ref="AA50:AB50"/>
    <mergeCell ref="B51:E51"/>
    <mergeCell ref="F51:G51"/>
    <mergeCell ref="I51:J51"/>
    <mergeCell ref="N51:O51"/>
    <mergeCell ref="Q51:W51"/>
    <mergeCell ref="X51:Z51"/>
    <mergeCell ref="AA51:AB51"/>
    <mergeCell ref="B52:E52"/>
    <mergeCell ref="F52:G52"/>
    <mergeCell ref="I52:J52"/>
    <mergeCell ref="N52:O52"/>
    <mergeCell ref="Q52:W52"/>
    <mergeCell ref="X52:Z52"/>
    <mergeCell ref="AA52:AB52"/>
    <mergeCell ref="B53:E53"/>
    <mergeCell ref="F53:G53"/>
    <mergeCell ref="I53:J53"/>
    <mergeCell ref="N53:O53"/>
    <mergeCell ref="Q53:W53"/>
    <mergeCell ref="X53:Z53"/>
    <mergeCell ref="AA53:AB53"/>
    <mergeCell ref="B54:E54"/>
    <mergeCell ref="F54:G54"/>
    <mergeCell ref="I54:J54"/>
    <mergeCell ref="N54:O54"/>
    <mergeCell ref="Q54:W54"/>
    <mergeCell ref="X54:Z54"/>
    <mergeCell ref="AA54:AB54"/>
    <mergeCell ref="B55:E55"/>
    <mergeCell ref="F55:G55"/>
    <mergeCell ref="I55:J55"/>
    <mergeCell ref="N55:O55"/>
    <mergeCell ref="Q55:W55"/>
    <mergeCell ref="X55:Z55"/>
    <mergeCell ref="AA55:AB55"/>
    <mergeCell ref="B56:E56"/>
    <mergeCell ref="F56:G56"/>
    <mergeCell ref="I56:J56"/>
    <mergeCell ref="N56:O56"/>
    <mergeCell ref="Q56:W56"/>
    <mergeCell ref="X56:Z56"/>
    <mergeCell ref="AA56:AB56"/>
    <mergeCell ref="B57:E57"/>
    <mergeCell ref="F57:G57"/>
    <mergeCell ref="I57:J57"/>
    <mergeCell ref="N57:O57"/>
    <mergeCell ref="Q57:W57"/>
    <mergeCell ref="X57:Z57"/>
    <mergeCell ref="AA57:AB57"/>
    <mergeCell ref="B58:E58"/>
    <mergeCell ref="F58:G58"/>
    <mergeCell ref="I58:J58"/>
    <mergeCell ref="N58:O58"/>
    <mergeCell ref="Q58:W58"/>
    <mergeCell ref="X58:Z58"/>
    <mergeCell ref="AA58:AB58"/>
    <mergeCell ref="B59:E59"/>
    <mergeCell ref="F59:G59"/>
    <mergeCell ref="I59:J59"/>
    <mergeCell ref="N59:O59"/>
    <mergeCell ref="Q59:W59"/>
    <mergeCell ref="X59:Z59"/>
    <mergeCell ref="AA59:AB59"/>
    <mergeCell ref="B60:E60"/>
    <mergeCell ref="F60:G60"/>
    <mergeCell ref="I60:J60"/>
    <mergeCell ref="N60:O60"/>
    <mergeCell ref="Q60:W60"/>
    <mergeCell ref="X60:Z60"/>
    <mergeCell ref="AA60:AB60"/>
    <mergeCell ref="B61:E61"/>
    <mergeCell ref="F61:G61"/>
    <mergeCell ref="I61:J61"/>
    <mergeCell ref="N61:O61"/>
    <mergeCell ref="Q61:W61"/>
    <mergeCell ref="X61:Z61"/>
    <mergeCell ref="AA61:AB61"/>
    <mergeCell ref="B62:E62"/>
    <mergeCell ref="F62:G62"/>
    <mergeCell ref="I62:J62"/>
    <mergeCell ref="N62:O62"/>
    <mergeCell ref="Q62:W62"/>
    <mergeCell ref="X62:Z62"/>
    <mergeCell ref="AA62:AB62"/>
    <mergeCell ref="B63:E63"/>
    <mergeCell ref="F63:G63"/>
    <mergeCell ref="I63:J63"/>
    <mergeCell ref="N63:O63"/>
    <mergeCell ref="Q63:W63"/>
    <mergeCell ref="X63:Z63"/>
    <mergeCell ref="AA63:AB63"/>
    <mergeCell ref="B64:E64"/>
    <mergeCell ref="F64:G64"/>
    <mergeCell ref="I64:J64"/>
    <mergeCell ref="N64:O64"/>
    <mergeCell ref="Q64:W64"/>
    <mergeCell ref="X64:Z64"/>
    <mergeCell ref="AA64:AB64"/>
    <mergeCell ref="B65:E65"/>
    <mergeCell ref="F65:G65"/>
    <mergeCell ref="I65:J65"/>
    <mergeCell ref="N65:O65"/>
    <mergeCell ref="Q65:W65"/>
    <mergeCell ref="X65:Z65"/>
    <mergeCell ref="AA65:AB65"/>
    <mergeCell ref="B66:E66"/>
    <mergeCell ref="F66:G66"/>
    <mergeCell ref="I66:J66"/>
    <mergeCell ref="N66:O66"/>
    <mergeCell ref="Q66:W66"/>
    <mergeCell ref="X66:Z66"/>
    <mergeCell ref="AA66:AB66"/>
    <mergeCell ref="B67:E67"/>
    <mergeCell ref="F67:G67"/>
    <mergeCell ref="I67:J67"/>
    <mergeCell ref="N67:O67"/>
    <mergeCell ref="Q67:W67"/>
    <mergeCell ref="X67:Z67"/>
    <mergeCell ref="AA67:AB67"/>
  </mergeCells>
  <dataValidations count="16">
    <dataValidation type="list" operator="equal" allowBlank="1" showErrorMessage="1" sqref="W1">
      <formula1>AR_武器種別2</formula1>
    </dataValidation>
    <dataValidation type="list" operator="equal" allowBlank="1" showErrorMessage="1" sqref="I3:L3">
      <formula1>AR_部族</formula1>
    </dataValidation>
    <dataValidation type="list" operator="equal" allowBlank="1" sqref="T10:U14">
      <formula1>AR_各種効果</formula1>
    </dataValidation>
    <dataValidation type="list" operator="equal" allowBlank="1" sqref="W11:X14">
      <formula1>AR_各種効果</formula1>
    </dataValidation>
    <dataValidation type="list" operator="equal" allowBlank="1" sqref="C16:E23">
      <formula1>INDIRECT($G16)</formula1>
    </dataValidation>
    <dataValidation type="list" operator="equal" allowBlank="1" sqref="G16:G19">
      <formula1>AR_武器種別</formula1>
    </dataValidation>
    <dataValidation type="list" operator="equal" allowBlank="1" sqref="AF18:AF48 AF50:AF66">
      <formula1>所持品</formula1>
    </dataValidation>
    <dataValidation type="list" operator="equal" allowBlank="1" sqref="B26:E46 B50:E67">
      <formula1>INDIRECT(F26)</formula1>
    </dataValidation>
    <dataValidation type="list" operator="equal" allowBlank="1" sqref="G26:G46 F27:G46 F50:G67">
      <formula1>AR_スキル</formula1>
    </dataValidation>
    <dataValidation type="list" operator="equal" allowBlank="1" sqref="H26:H46 AD26:AD46 H50:H67">
      <formula1>スキルレベル選択</formula1>
    </dataValidation>
    <dataValidation type="list" operator="equal" allowBlank="1" sqref="X26:Z46 X50:Z67">
      <formula1>AR_獲得済ギルドスキル</formula1>
    </dataValidation>
    <dataValidation type="list" operator="equal" allowBlank="1" sqref="AD50:AD67">
      <formula1>スキルレベル選択</formula1>
    </dataValidation>
    <dataValidation operator="equal" allowBlank="1" sqref="AH18:AH66">
      <formula1>スキルレベル選択</formula1>
    </dataValidation>
    <dataValidation operator="equal" allowBlank="1" sqref="AG2:AH5 Z14">
      <formula1>スキルレベル選択</formula1>
    </dataValidation>
    <dataValidation operator="equal" allowBlank="1" sqref="X2:Y5">
      <formula1>スキルレベル選択</formula1>
    </dataValidation>
    <dataValidation type="list" operator="equal" allowBlank="1" sqref="AF49">
      <formula1>所持品</formula1>
    </dataValidation>
  </dataValidations>
  <printOptions/>
  <pageMargins left="0.5902777777777778" right="0.5902777777777778" top="0.7875" bottom="0.78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1">
      <selection activeCell="M2" sqref="M2"/>
    </sheetView>
  </sheetViews>
  <sheetFormatPr defaultColWidth="9.00390625" defaultRowHeight="13.5"/>
  <cols>
    <col min="1" max="1" width="3.00390625" style="11" customWidth="1"/>
    <col min="2" max="2" width="12.50390625" style="11" customWidth="1"/>
    <col min="3" max="3" width="8.625" style="11" customWidth="1"/>
    <col min="4" max="4" width="3.875" style="11" customWidth="1"/>
    <col min="5" max="5" width="6.25390625" style="11" customWidth="1"/>
    <col min="6" max="6" width="5.625" style="11" customWidth="1"/>
    <col min="7" max="7" width="4.125" style="11" customWidth="1"/>
    <col min="8" max="9" width="4.375" style="11" customWidth="1"/>
    <col min="10" max="10" width="4.00390625" style="11" customWidth="1"/>
    <col min="11" max="11" width="9.875" style="11" customWidth="1"/>
    <col min="12" max="12" width="6.50390625" style="11" customWidth="1"/>
    <col min="13" max="13" width="8.00390625" style="11" customWidth="1"/>
    <col min="14" max="14" width="5.625" style="11" customWidth="1"/>
    <col min="15" max="16384" width="9.00390625" style="11" customWidth="1"/>
  </cols>
  <sheetData>
    <row r="1" spans="1:14" ht="13.5">
      <c r="A1" s="417" t="s">
        <v>392</v>
      </c>
      <c r="B1" s="417"/>
      <c r="C1" s="417"/>
      <c r="D1" s="417"/>
      <c r="E1" s="417"/>
      <c r="F1" s="418" t="s">
        <v>393</v>
      </c>
      <c r="G1" s="418"/>
      <c r="H1" s="418"/>
      <c r="I1" s="418"/>
      <c r="J1" s="418"/>
      <c r="K1" s="418"/>
      <c r="L1" s="418"/>
      <c r="M1" s="418"/>
      <c r="N1" s="418"/>
    </row>
    <row r="2" spans="1:14" ht="13.5" customHeight="1">
      <c r="A2" s="85" t="s">
        <v>206</v>
      </c>
      <c r="B2" s="85"/>
      <c r="C2" s="419" t="str">
        <f>①コンストラクション!L27</f>
        <v>ホワイトハニー</v>
      </c>
      <c r="D2" s="419"/>
      <c r="E2" s="419"/>
      <c r="F2" s="117" t="s">
        <v>394</v>
      </c>
      <c r="G2" s="117"/>
      <c r="H2" s="419">
        <f>'②成長点記録_ギルドレベル'!L5</f>
        <v>2</v>
      </c>
      <c r="I2" s="117" t="s">
        <v>395</v>
      </c>
      <c r="J2" s="117"/>
      <c r="K2" s="419">
        <f>'②成長点記録_ギルドレベル'!F30</f>
        <v>26</v>
      </c>
      <c r="L2" s="117" t="s">
        <v>80</v>
      </c>
      <c r="M2" s="362">
        <f>'②成長点記録_ギルドレベル'!L7</f>
        <v>16</v>
      </c>
      <c r="N2" s="362"/>
    </row>
    <row r="3" spans="1:14" ht="13.5">
      <c r="A3" s="83" t="s">
        <v>396</v>
      </c>
      <c r="B3" s="83"/>
      <c r="C3" s="151">
        <f>キャラクターシート!M7</f>
        <v>0</v>
      </c>
      <c r="D3" s="151"/>
      <c r="E3" s="151"/>
      <c r="F3" s="420" t="s">
        <v>397</v>
      </c>
      <c r="G3" s="420"/>
      <c r="H3" s="421"/>
      <c r="I3" s="421"/>
      <c r="J3" s="421"/>
      <c r="K3" s="421"/>
      <c r="L3" s="421"/>
      <c r="M3" s="421"/>
      <c r="N3" s="421"/>
    </row>
    <row r="4" spans="1:14" ht="13.5">
      <c r="A4" s="214" t="s">
        <v>398</v>
      </c>
      <c r="B4" s="214"/>
      <c r="C4" s="111" t="s">
        <v>324</v>
      </c>
      <c r="D4" s="111" t="s">
        <v>323</v>
      </c>
      <c r="E4" s="111" t="s">
        <v>399</v>
      </c>
      <c r="F4" s="218" t="s">
        <v>327</v>
      </c>
      <c r="G4" s="218"/>
      <c r="H4" s="218"/>
      <c r="I4" s="218"/>
      <c r="J4" s="218"/>
      <c r="K4" s="218"/>
      <c r="L4" s="218"/>
      <c r="M4" s="218"/>
      <c r="N4" s="218"/>
    </row>
    <row r="5" spans="1:14" ht="13.5">
      <c r="A5" s="81" t="s">
        <v>400</v>
      </c>
      <c r="B5" s="129"/>
      <c r="C5" s="419">
        <f>IF($B5="","",VLOOKUP($B5,スキル!$A:$K,2,0))</f>
      </c>
      <c r="D5" s="419">
        <f>IF($B5="","",VLOOKUP($B5,スキル!$A:$K,3,0))</f>
      </c>
      <c r="E5" s="419">
        <f>IF($B5="","",VLOOKUP($B5,スキル!$A:$K,4,0))</f>
      </c>
      <c r="F5" s="353">
        <f>IF($B5="","",VLOOKUP($B5,スキル!$A:$K,5,0))</f>
      </c>
      <c r="G5" s="353"/>
      <c r="H5" s="353"/>
      <c r="I5" s="353"/>
      <c r="J5" s="353"/>
      <c r="K5" s="353"/>
      <c r="L5" s="353"/>
      <c r="M5" s="353"/>
      <c r="N5" s="353"/>
    </row>
    <row r="6" spans="1:14" ht="13.5">
      <c r="A6" s="81" t="s">
        <v>400</v>
      </c>
      <c r="B6" s="129"/>
      <c r="C6" s="419">
        <f>IF($B6="","",VLOOKUP($B6,スキル!$A:$K,2,0))</f>
      </c>
      <c r="D6" s="419">
        <f>IF($B6="","",VLOOKUP($B6,スキル!$A:$K,3,0))</f>
      </c>
      <c r="E6" s="419">
        <f>IF($B6="","",VLOOKUP($B6,スキル!$A:$K,4,0))</f>
      </c>
      <c r="F6" s="353">
        <f>IF($B6="","",VLOOKUP($B6,スキル!$A:$K,5,0))</f>
      </c>
      <c r="G6" s="353"/>
      <c r="H6" s="353"/>
      <c r="I6" s="353"/>
      <c r="J6" s="353"/>
      <c r="K6" s="353"/>
      <c r="L6" s="353"/>
      <c r="M6" s="353"/>
      <c r="N6" s="353"/>
    </row>
    <row r="7" spans="1:14" ht="13.5">
      <c r="A7" s="81">
        <v>2</v>
      </c>
      <c r="B7" s="129"/>
      <c r="C7" s="419">
        <f>IF($B7="","",VLOOKUP($B7,スキル!$A:$K,2,0))</f>
      </c>
      <c r="D7" s="419">
        <f>IF($B7="","",VLOOKUP($B7,スキル!$A:$K,3,0))</f>
      </c>
      <c r="E7" s="419">
        <f>IF($B7="","",VLOOKUP($B7,スキル!$A:$K,4,0))</f>
      </c>
      <c r="F7" s="353">
        <f>IF($B7="","",VLOOKUP($B7,スキル!$A:$K,5,0))</f>
      </c>
      <c r="G7" s="353"/>
      <c r="H7" s="353"/>
      <c r="I7" s="353"/>
      <c r="J7" s="353"/>
      <c r="K7" s="353"/>
      <c r="L7" s="353"/>
      <c r="M7" s="353"/>
      <c r="N7" s="353"/>
    </row>
    <row r="8" spans="1:14" ht="13.5">
      <c r="A8" s="81">
        <v>3</v>
      </c>
      <c r="B8" s="129"/>
      <c r="C8" s="419">
        <f>IF($B8="","",VLOOKUP($B8,スキル!$A:$K,2,0))</f>
      </c>
      <c r="D8" s="419">
        <f>IF($B8="","",VLOOKUP($B8,スキル!$A:$K,3,0))</f>
      </c>
      <c r="E8" s="419">
        <f>IF($B8="","",VLOOKUP($B8,スキル!$A:$K,4,0))</f>
      </c>
      <c r="F8" s="353">
        <f>IF($B8="","",VLOOKUP($B8,スキル!$A:$K,5,0))</f>
      </c>
      <c r="G8" s="353"/>
      <c r="H8" s="353"/>
      <c r="I8" s="353"/>
      <c r="J8" s="353"/>
      <c r="K8" s="353"/>
      <c r="L8" s="353"/>
      <c r="M8" s="353"/>
      <c r="N8" s="353"/>
    </row>
    <row r="9" spans="1:14" ht="13.5">
      <c r="A9" s="81">
        <v>4</v>
      </c>
      <c r="B9" s="129"/>
      <c r="C9" s="419">
        <f>IF($B9="","",VLOOKUP($B9,スキル!$A:$K,2,0))</f>
      </c>
      <c r="D9" s="419">
        <f>IF($B9="","",VLOOKUP($B9,スキル!$A:$K,3,0))</f>
      </c>
      <c r="E9" s="419">
        <f>IF($B9="","",VLOOKUP($B9,スキル!$A:$K,4,0))</f>
      </c>
      <c r="F9" s="353">
        <f>IF($B9="","",VLOOKUP($B9,スキル!$A:$K,5,0))</f>
      </c>
      <c r="G9" s="353"/>
      <c r="H9" s="353"/>
      <c r="I9" s="353"/>
      <c r="J9" s="353"/>
      <c r="K9" s="353"/>
      <c r="L9" s="353"/>
      <c r="M9" s="353"/>
      <c r="N9" s="353"/>
    </row>
    <row r="10" spans="1:14" ht="13.5">
      <c r="A10" s="81">
        <v>5</v>
      </c>
      <c r="B10" s="129"/>
      <c r="C10" s="419">
        <f>IF($B10="","",VLOOKUP($B10,スキル!$A:$K,2,0))</f>
      </c>
      <c r="D10" s="419">
        <f>IF($B10="","",VLOOKUP($B10,スキル!$A:$K,3,0))</f>
      </c>
      <c r="E10" s="419">
        <f>IF($B10="","",VLOOKUP($B10,スキル!$A:$K,4,0))</f>
      </c>
      <c r="F10" s="353">
        <f>IF($B10="","",VLOOKUP($B10,スキル!$A:$K,5,0))</f>
      </c>
      <c r="G10" s="353"/>
      <c r="H10" s="353"/>
      <c r="I10" s="353"/>
      <c r="J10" s="353"/>
      <c r="K10" s="353"/>
      <c r="L10" s="353"/>
      <c r="M10" s="353"/>
      <c r="N10" s="353"/>
    </row>
    <row r="11" spans="1:14" ht="13.5">
      <c r="A11" s="81">
        <v>6</v>
      </c>
      <c r="B11" s="129"/>
      <c r="C11" s="419">
        <f>IF($B11="","",VLOOKUP($B11,スキル!$A:$K,2,0))</f>
      </c>
      <c r="D11" s="419">
        <f>IF($B11="","",VLOOKUP($B11,スキル!$A:$K,3,0))</f>
      </c>
      <c r="E11" s="419">
        <f>IF($B11="","",VLOOKUP($B11,スキル!$A:$K,4,0))</f>
      </c>
      <c r="F11" s="353">
        <f>IF($B11="","",VLOOKUP($B11,スキル!$A:$K,5,0))</f>
      </c>
      <c r="G11" s="353"/>
      <c r="H11" s="353"/>
      <c r="I11" s="353"/>
      <c r="J11" s="353"/>
      <c r="K11" s="353"/>
      <c r="L11" s="353"/>
      <c r="M11" s="353"/>
      <c r="N11" s="353"/>
    </row>
    <row r="12" spans="1:14" ht="13.5">
      <c r="A12" s="81">
        <v>7</v>
      </c>
      <c r="B12" s="129"/>
      <c r="C12" s="419">
        <f>IF($B12="","",VLOOKUP($B12,スキル!$A:$K,2,0))</f>
      </c>
      <c r="D12" s="419">
        <f>IF($B12="","",VLOOKUP($B12,スキル!$A:$K,3,0))</f>
      </c>
      <c r="E12" s="419">
        <f>IF($B12="","",VLOOKUP($B12,スキル!$A:$K,4,0))</f>
      </c>
      <c r="F12" s="353">
        <f>IF($B12="","",VLOOKUP($B12,スキル!$A:$K,5,0))</f>
      </c>
      <c r="G12" s="353"/>
      <c r="H12" s="353"/>
      <c r="I12" s="353"/>
      <c r="J12" s="353"/>
      <c r="K12" s="353"/>
      <c r="L12" s="353"/>
      <c r="M12" s="353"/>
      <c r="N12" s="353"/>
    </row>
    <row r="13" spans="1:14" ht="13.5">
      <c r="A13" s="81">
        <v>8</v>
      </c>
      <c r="B13" s="129"/>
      <c r="C13" s="419">
        <f>IF($B13="","",VLOOKUP($B13,スキル!$A:$K,2,0))</f>
      </c>
      <c r="D13" s="419">
        <f>IF($B13="","",VLOOKUP($B13,スキル!$A:$K,3,0))</f>
      </c>
      <c r="E13" s="419">
        <f>IF($B13="","",VLOOKUP($B13,スキル!$A:$K,4,0))</f>
      </c>
      <c r="F13" s="353">
        <f>IF($B13="","",VLOOKUP($B13,スキル!$A:$K,5,0))</f>
      </c>
      <c r="G13" s="353"/>
      <c r="H13" s="353"/>
      <c r="I13" s="353"/>
      <c r="J13" s="353"/>
      <c r="K13" s="353"/>
      <c r="L13" s="353"/>
      <c r="M13" s="353"/>
      <c r="N13" s="353"/>
    </row>
    <row r="14" spans="1:14" ht="13.5">
      <c r="A14" s="81">
        <v>9</v>
      </c>
      <c r="B14" s="129"/>
      <c r="C14" s="419">
        <f>IF($B14="","",VLOOKUP($B14,スキル!$A:$K,2,0))</f>
      </c>
      <c r="D14" s="419">
        <f>IF($B14="","",VLOOKUP($B14,スキル!$A:$K,3,0))</f>
      </c>
      <c r="E14" s="419">
        <f>IF($B14="","",VLOOKUP($B14,スキル!$A:$K,4,0))</f>
      </c>
      <c r="F14" s="353">
        <f>IF($B14="","",VLOOKUP($B14,スキル!$A:$K,5,0))</f>
      </c>
      <c r="G14" s="353"/>
      <c r="H14" s="353"/>
      <c r="I14" s="353"/>
      <c r="J14" s="353"/>
      <c r="K14" s="353"/>
      <c r="L14" s="353"/>
      <c r="M14" s="353"/>
      <c r="N14" s="353"/>
    </row>
    <row r="15" spans="1:14" ht="13.5">
      <c r="A15" s="81">
        <v>10</v>
      </c>
      <c r="B15" s="129"/>
      <c r="C15" s="419">
        <f>IF($B15="","",VLOOKUP($B15,スキル!$A:$K,2,0))</f>
      </c>
      <c r="D15" s="419">
        <f>IF($B15="","",VLOOKUP($B15,スキル!$A:$K,3,0))</f>
      </c>
      <c r="E15" s="419">
        <f>IF($B15="","",VLOOKUP($B15,スキル!$A:$K,4,0))</f>
      </c>
      <c r="F15" s="353">
        <f>IF($B15="","",VLOOKUP($B15,スキル!$A:$K,5,0))</f>
      </c>
      <c r="G15" s="353"/>
      <c r="H15" s="353"/>
      <c r="I15" s="353"/>
      <c r="J15" s="353"/>
      <c r="K15" s="353"/>
      <c r="L15" s="353"/>
      <c r="M15" s="353"/>
      <c r="N15" s="353"/>
    </row>
    <row r="16" spans="1:14" ht="13.5">
      <c r="A16" s="81">
        <v>11</v>
      </c>
      <c r="B16" s="129"/>
      <c r="C16" s="419">
        <f>IF($B16="","",VLOOKUP($B16,スキル!$A:$K,2,0))</f>
      </c>
      <c r="D16" s="419">
        <f>IF($B16="","",VLOOKUP($B16,スキル!$A:$K,3,0))</f>
      </c>
      <c r="E16" s="419">
        <f>IF($B16="","",VLOOKUP($B16,スキル!$A:$K,4,0))</f>
      </c>
      <c r="F16" s="353">
        <f>IF($B16="","",VLOOKUP($B16,スキル!$A:$K,5,0))</f>
      </c>
      <c r="G16" s="353"/>
      <c r="H16" s="353"/>
      <c r="I16" s="353"/>
      <c r="J16" s="353"/>
      <c r="K16" s="353"/>
      <c r="L16" s="353"/>
      <c r="M16" s="353"/>
      <c r="N16" s="353"/>
    </row>
    <row r="17" spans="1:14" ht="13.5">
      <c r="A17" s="81">
        <v>12</v>
      </c>
      <c r="B17" s="129"/>
      <c r="C17" s="419">
        <f>IF($B17="","",VLOOKUP($B17,スキル!$A:$K,2,0))</f>
      </c>
      <c r="D17" s="419">
        <f>IF($B17="","",VLOOKUP($B17,スキル!$A:$K,3,0))</f>
      </c>
      <c r="E17" s="419">
        <f>IF($B17="","",VLOOKUP($B17,スキル!$A:$K,4,0))</f>
      </c>
      <c r="F17" s="353">
        <f>IF($B17="","",VLOOKUP($B17,スキル!$A:$K,5,0))</f>
      </c>
      <c r="G17" s="353"/>
      <c r="H17" s="353"/>
      <c r="I17" s="353"/>
      <c r="J17" s="353"/>
      <c r="K17" s="353"/>
      <c r="L17" s="353"/>
      <c r="M17" s="353"/>
      <c r="N17" s="353"/>
    </row>
    <row r="18" spans="1:14" ht="13.5">
      <c r="A18" s="81">
        <v>13</v>
      </c>
      <c r="B18" s="129"/>
      <c r="C18" s="419">
        <f>IF($B18="","",VLOOKUP($B18,スキル!$A:$K,2,0))</f>
      </c>
      <c r="D18" s="419">
        <f>IF($B18="","",VLOOKUP($B18,スキル!$A:$K,3,0))</f>
      </c>
      <c r="E18" s="419">
        <f>IF($B18="","",VLOOKUP($B18,スキル!$A:$K,4,0))</f>
      </c>
      <c r="F18" s="353">
        <f>IF($B18="","",VLOOKUP($B18,スキル!$A:$K,5,0))</f>
      </c>
      <c r="G18" s="353"/>
      <c r="H18" s="353"/>
      <c r="I18" s="353"/>
      <c r="J18" s="353"/>
      <c r="K18" s="353"/>
      <c r="L18" s="353"/>
      <c r="M18" s="353"/>
      <c r="N18" s="353"/>
    </row>
    <row r="19" spans="1:14" ht="13.5">
      <c r="A19" s="81">
        <v>14</v>
      </c>
      <c r="B19" s="129"/>
      <c r="C19" s="419">
        <f>IF($B19="","",VLOOKUP($B19,スキル!$A:$K,2,0))</f>
      </c>
      <c r="D19" s="419">
        <f>IF($B19="","",VLOOKUP($B19,スキル!$A:$K,3,0))</f>
      </c>
      <c r="E19" s="419">
        <f>IF($B19="","",VLOOKUP($B19,スキル!$A:$K,4,0))</f>
      </c>
      <c r="F19" s="353">
        <f>IF($B19="","",VLOOKUP($B19,スキル!$A:$K,5,0))</f>
      </c>
      <c r="G19" s="353"/>
      <c r="H19" s="353"/>
      <c r="I19" s="353"/>
      <c r="J19" s="353"/>
      <c r="K19" s="353"/>
      <c r="L19" s="353"/>
      <c r="M19" s="353"/>
      <c r="N19" s="353"/>
    </row>
    <row r="20" spans="1:14" ht="13.5">
      <c r="A20" s="81">
        <v>15</v>
      </c>
      <c r="B20" s="129"/>
      <c r="C20" s="419">
        <f>IF($B20="","",VLOOKUP($B20,スキル!$A:$K,2,0))</f>
      </c>
      <c r="D20" s="419">
        <f>IF($B20="","",VLOOKUP($B20,スキル!$A:$K,3,0))</f>
      </c>
      <c r="E20" s="419">
        <f>IF($B20="","",VLOOKUP($B20,スキル!$A:$K,4,0))</f>
      </c>
      <c r="F20" s="353">
        <f>IF($B20="","",VLOOKUP($B20,スキル!$A:$K,5,0))</f>
      </c>
      <c r="G20" s="353"/>
      <c r="H20" s="353"/>
      <c r="I20" s="353"/>
      <c r="J20" s="353"/>
      <c r="K20" s="353"/>
      <c r="L20" s="353"/>
      <c r="M20" s="353"/>
      <c r="N20" s="353"/>
    </row>
    <row r="21" spans="1:14" ht="13.5">
      <c r="A21" s="81">
        <v>16</v>
      </c>
      <c r="B21" s="129"/>
      <c r="C21" s="419">
        <f>IF($B21="","",VLOOKUP($B21,スキル!$A:$K,2,0))</f>
      </c>
      <c r="D21" s="419">
        <f>IF($B21="","",VLOOKUP($B21,スキル!$A:$K,3,0))</f>
      </c>
      <c r="E21" s="419">
        <f>IF($B21="","",VLOOKUP($B21,スキル!$A:$K,4,0))</f>
      </c>
      <c r="F21" s="353">
        <f>IF($B21="","",VLOOKUP($B21,スキル!$A:$K,5,0))</f>
      </c>
      <c r="G21" s="353"/>
      <c r="H21" s="353"/>
      <c r="I21" s="353"/>
      <c r="J21" s="353"/>
      <c r="K21" s="353"/>
      <c r="L21" s="353"/>
      <c r="M21" s="353"/>
      <c r="N21" s="353"/>
    </row>
    <row r="22" spans="1:14" ht="13.5">
      <c r="A22" s="81">
        <v>17</v>
      </c>
      <c r="B22" s="129"/>
      <c r="C22" s="419">
        <f>IF($B22="","",VLOOKUP($B22,スキル!$A:$K,2,0))</f>
      </c>
      <c r="D22" s="419">
        <f>IF($B22="","",VLOOKUP($B22,スキル!$A:$K,3,0))</f>
      </c>
      <c r="E22" s="419">
        <f>IF($B22="","",VLOOKUP($B22,スキル!$A:$K,4,0))</f>
      </c>
      <c r="F22" s="353">
        <f>IF($B22="","",VLOOKUP($B22,スキル!$A:$K,5,0))</f>
      </c>
      <c r="G22" s="353"/>
      <c r="H22" s="353"/>
      <c r="I22" s="353"/>
      <c r="J22" s="353"/>
      <c r="K22" s="353"/>
      <c r="L22" s="353"/>
      <c r="M22" s="353"/>
      <c r="N22" s="353"/>
    </row>
    <row r="23" spans="1:14" ht="13.5">
      <c r="A23" s="81">
        <v>18</v>
      </c>
      <c r="B23" s="129"/>
      <c r="C23" s="419">
        <f>IF($B23="","",VLOOKUP($B23,スキル!$A:$K,2,0))</f>
      </c>
      <c r="D23" s="419">
        <f>IF($B23="","",VLOOKUP($B23,スキル!$A:$K,3,0))</f>
      </c>
      <c r="E23" s="419">
        <f>IF($B23="","",VLOOKUP($B23,スキル!$A:$K,4,0))</f>
      </c>
      <c r="F23" s="353">
        <f>IF($B23="","",VLOOKUP($B23,スキル!$A:$K,5,0))</f>
      </c>
      <c r="G23" s="353"/>
      <c r="H23" s="353"/>
      <c r="I23" s="353"/>
      <c r="J23" s="353"/>
      <c r="K23" s="353"/>
      <c r="L23" s="353"/>
      <c r="M23" s="353"/>
      <c r="N23" s="353"/>
    </row>
    <row r="24" spans="1:14" ht="13.5">
      <c r="A24" s="81">
        <v>19</v>
      </c>
      <c r="B24" s="129"/>
      <c r="C24" s="419">
        <f>IF($B24="","",VLOOKUP($B24,スキル!$A:$K,2,0))</f>
      </c>
      <c r="D24" s="419">
        <f>IF($B24="","",VLOOKUP($B24,スキル!$A:$K,3,0))</f>
      </c>
      <c r="E24" s="419">
        <f>IF($B24="","",VLOOKUP($B24,スキル!$A:$K,4,0))</f>
      </c>
      <c r="F24" s="353">
        <f>IF($B24="","",VLOOKUP($B24,スキル!$A:$K,5,0))</f>
      </c>
      <c r="G24" s="353"/>
      <c r="H24" s="353"/>
      <c r="I24" s="353"/>
      <c r="J24" s="353"/>
      <c r="K24" s="353"/>
      <c r="L24" s="353"/>
      <c r="M24" s="353"/>
      <c r="N24" s="353"/>
    </row>
    <row r="25" spans="1:14" ht="13.5">
      <c r="A25" s="81">
        <v>20</v>
      </c>
      <c r="B25" s="129"/>
      <c r="C25" s="419">
        <f>IF($B25="","",VLOOKUP($B25,スキル!$A:$K,2,0))</f>
      </c>
      <c r="D25" s="419">
        <f>IF($B25="","",VLOOKUP($B25,スキル!$A:$K,3,0))</f>
      </c>
      <c r="E25" s="419">
        <f>IF($B25="","",VLOOKUP($B25,スキル!$A:$K,4,0))</f>
      </c>
      <c r="F25" s="353">
        <f>IF($B25="","",VLOOKUP($B25,スキル!$A:$K,5,0))</f>
      </c>
      <c r="G25" s="353"/>
      <c r="H25" s="353"/>
      <c r="I25" s="353"/>
      <c r="J25" s="353"/>
      <c r="K25" s="353"/>
      <c r="L25" s="353"/>
      <c r="M25" s="353"/>
      <c r="N25" s="353"/>
    </row>
    <row r="26" spans="1:14" ht="13.5">
      <c r="A26" s="81">
        <v>21</v>
      </c>
      <c r="B26" s="129"/>
      <c r="C26" s="419">
        <f>IF($B26="","",VLOOKUP($B26,スキル!$A:$K,2,0))</f>
      </c>
      <c r="D26" s="419">
        <f>IF($B26="","",VLOOKUP($B26,スキル!$A:$K,3,0))</f>
      </c>
      <c r="E26" s="419">
        <f>IF($B26="","",VLOOKUP($B26,スキル!$A:$K,4,0))</f>
      </c>
      <c r="F26" s="353">
        <f>IF($B26="","",VLOOKUP($B26,スキル!$A:$K,5,0))</f>
      </c>
      <c r="G26" s="353"/>
      <c r="H26" s="353"/>
      <c r="I26" s="353"/>
      <c r="J26" s="353"/>
      <c r="K26" s="353"/>
      <c r="L26" s="353"/>
      <c r="M26" s="353"/>
      <c r="N26" s="353"/>
    </row>
    <row r="27" spans="1:14" ht="13.5">
      <c r="A27" s="81">
        <v>22</v>
      </c>
      <c r="B27" s="129"/>
      <c r="C27" s="419">
        <f>IF($B27="","",VLOOKUP($B27,スキル!$A:$K,2,0))</f>
      </c>
      <c r="D27" s="419">
        <f>IF($B27="","",VLOOKUP($B27,スキル!$A:$K,3,0))</f>
      </c>
      <c r="E27" s="419">
        <f>IF($B27="","",VLOOKUP($B27,スキル!$A:$K,4,0))</f>
      </c>
      <c r="F27" s="353">
        <f>IF($B27="","",VLOOKUP($B27,スキル!$A:$K,5,0))</f>
      </c>
      <c r="G27" s="353"/>
      <c r="H27" s="353"/>
      <c r="I27" s="353"/>
      <c r="J27" s="353"/>
      <c r="K27" s="353"/>
      <c r="L27" s="353"/>
      <c r="M27" s="353"/>
      <c r="N27" s="353"/>
    </row>
    <row r="28" spans="1:14" ht="13.5">
      <c r="A28" s="81">
        <v>23</v>
      </c>
      <c r="B28" s="129"/>
      <c r="C28" s="419">
        <f>IF($B28="","",VLOOKUP($B28,スキル!$A:$K,2,0))</f>
      </c>
      <c r="D28" s="419">
        <f>IF($B28="","",VLOOKUP($B28,スキル!$A:$K,3,0))</f>
      </c>
      <c r="E28" s="419">
        <f>IF($B28="","",VLOOKUP($B28,スキル!$A:$K,4,0))</f>
      </c>
      <c r="F28" s="353">
        <f>IF($B28="","",VLOOKUP($B28,スキル!$A:$K,5,0))</f>
      </c>
      <c r="G28" s="353"/>
      <c r="H28" s="353"/>
      <c r="I28" s="353"/>
      <c r="J28" s="353"/>
      <c r="K28" s="353"/>
      <c r="L28" s="353"/>
      <c r="M28" s="353"/>
      <c r="N28" s="353"/>
    </row>
    <row r="29" spans="1:14" ht="13.5">
      <c r="A29" s="81">
        <v>24</v>
      </c>
      <c r="B29" s="129"/>
      <c r="C29" s="419">
        <f>IF($B29="","",VLOOKUP($B29,スキル!$A:$K,2,0))</f>
      </c>
      <c r="D29" s="419">
        <f>IF($B29="","",VLOOKUP($B29,スキル!$A:$K,3,0))</f>
      </c>
      <c r="E29" s="419">
        <f>IF($B29="","",VLOOKUP($B29,スキル!$A:$K,4,0))</f>
      </c>
      <c r="F29" s="353">
        <f>IF($B29="","",VLOOKUP($B29,スキル!$A:$K,5,0))</f>
      </c>
      <c r="G29" s="353"/>
      <c r="H29" s="353"/>
      <c r="I29" s="353"/>
      <c r="J29" s="353"/>
      <c r="K29" s="353"/>
      <c r="L29" s="353"/>
      <c r="M29" s="353"/>
      <c r="N29" s="353"/>
    </row>
    <row r="30" spans="1:14" ht="13.5" customHeight="1">
      <c r="A30" s="422" t="s">
        <v>401</v>
      </c>
      <c r="B30" s="422"/>
      <c r="C30" s="111" t="s">
        <v>324</v>
      </c>
      <c r="D30" s="111" t="s">
        <v>323</v>
      </c>
      <c r="E30" s="111" t="s">
        <v>399</v>
      </c>
      <c r="F30" s="216" t="s">
        <v>327</v>
      </c>
      <c r="G30" s="409"/>
      <c r="H30" s="409" t="s">
        <v>402</v>
      </c>
      <c r="I30" s="409"/>
      <c r="J30" s="409"/>
      <c r="K30" s="409"/>
      <c r="L30" s="409"/>
      <c r="M30" s="423" t="str">
        <f>キャラクターシート!AB38&amp;"  /  "&amp;キャラクターシート!S5</f>
        <v>  /  5</v>
      </c>
      <c r="N30" s="424" t="s">
        <v>403</v>
      </c>
    </row>
    <row r="31" spans="1:14" ht="13.5">
      <c r="A31" s="85">
        <v>1</v>
      </c>
      <c r="B31" s="425">
        <f>キャラクターシート!X40</f>
        <v>0</v>
      </c>
      <c r="C31" s="419">
        <f>キャラクターシート!AA40</f>
      </c>
      <c r="D31" s="419" t="str">
        <f>キャラクターシート!AC40</f>
        <v>0</v>
      </c>
      <c r="E31" s="419" t="str">
        <f>キャラクターシート!AD40</f>
        <v>0</v>
      </c>
      <c r="F31" s="353">
        <f>IF($B31="","",VLOOKUP($B31,スキル!$A:$K,5,0))</f>
      </c>
      <c r="G31" s="353"/>
      <c r="H31" s="353"/>
      <c r="I31" s="353"/>
      <c r="J31" s="353"/>
      <c r="K31" s="353"/>
      <c r="L31" s="353"/>
      <c r="M31" s="353"/>
      <c r="N31" s="353"/>
    </row>
    <row r="32" spans="1:14" ht="13.5">
      <c r="A32" s="81">
        <v>2</v>
      </c>
      <c r="B32" s="425">
        <f>キャラクターシート!X41</f>
        <v>0</v>
      </c>
      <c r="C32" s="419">
        <f>キャラクターシート!AA41</f>
      </c>
      <c r="D32" s="419" t="str">
        <f>キャラクターシート!AC41</f>
        <v>0</v>
      </c>
      <c r="E32" s="419" t="str">
        <f>キャラクターシート!AD41</f>
        <v>0</v>
      </c>
      <c r="F32" s="353">
        <f>IF($B32="","",VLOOKUP($B32,スキル!$A:$K,5,0))</f>
      </c>
      <c r="G32" s="353"/>
      <c r="H32" s="353"/>
      <c r="I32" s="353"/>
      <c r="J32" s="353"/>
      <c r="K32" s="353"/>
      <c r="L32" s="353"/>
      <c r="M32" s="353"/>
      <c r="N32" s="353"/>
    </row>
    <row r="33" spans="1:14" ht="13.5">
      <c r="A33" s="81">
        <v>3</v>
      </c>
      <c r="B33" s="425">
        <f>キャラクターシート!X42</f>
        <v>0</v>
      </c>
      <c r="C33" s="419">
        <f>キャラクターシート!AA42</f>
      </c>
      <c r="D33" s="419" t="str">
        <f>キャラクターシート!AC42</f>
        <v>0</v>
      </c>
      <c r="E33" s="419" t="str">
        <f>キャラクターシート!AD42</f>
        <v>0</v>
      </c>
      <c r="F33" s="353">
        <f>IF($B33="","",VLOOKUP($B33,スキル!$A:$K,5,0))</f>
      </c>
      <c r="G33" s="353"/>
      <c r="H33" s="353"/>
      <c r="I33" s="353"/>
      <c r="J33" s="353"/>
      <c r="K33" s="353"/>
      <c r="L33" s="353"/>
      <c r="M33" s="353"/>
      <c r="N33" s="353"/>
    </row>
    <row r="34" spans="1:14" ht="13.5">
      <c r="A34" s="81">
        <v>4</v>
      </c>
      <c r="B34" s="425">
        <f>キャラクターシート!X43</f>
        <v>0</v>
      </c>
      <c r="C34" s="419">
        <f>キャラクターシート!AA43</f>
      </c>
      <c r="D34" s="419" t="str">
        <f>キャラクターシート!AC43</f>
        <v>0</v>
      </c>
      <c r="E34" s="419" t="str">
        <f>キャラクターシート!AD43</f>
        <v>0</v>
      </c>
      <c r="F34" s="353">
        <f>IF($B34="","",VLOOKUP($B34,スキル!$A:$K,5,0))</f>
      </c>
      <c r="G34" s="353"/>
      <c r="H34" s="353"/>
      <c r="I34" s="353"/>
      <c r="J34" s="353"/>
      <c r="K34" s="353"/>
      <c r="L34" s="353"/>
      <c r="M34" s="353"/>
      <c r="N34" s="353"/>
    </row>
    <row r="35" spans="1:14" ht="13.5">
      <c r="A35" s="81">
        <v>5</v>
      </c>
      <c r="B35" s="425">
        <f>キャラクターシート!X44</f>
        <v>0</v>
      </c>
      <c r="C35" s="419">
        <f>キャラクターシート!AA44</f>
      </c>
      <c r="D35" s="419" t="str">
        <f>キャラクターシート!AC44</f>
        <v>0</v>
      </c>
      <c r="E35" s="419" t="str">
        <f>キャラクターシート!AD44</f>
        <v>0</v>
      </c>
      <c r="F35" s="353">
        <f>IF($B35="","",VLOOKUP($B35,スキル!$A:$K,5,0))</f>
      </c>
      <c r="G35" s="353"/>
      <c r="H35" s="353"/>
      <c r="I35" s="353"/>
      <c r="J35" s="353"/>
      <c r="K35" s="353"/>
      <c r="L35" s="353"/>
      <c r="M35" s="353"/>
      <c r="N35" s="353"/>
    </row>
    <row r="36" spans="1:14" ht="13.5">
      <c r="A36" s="364">
        <v>6</v>
      </c>
      <c r="B36" s="426">
        <f>キャラクターシート!X45</f>
        <v>0</v>
      </c>
      <c r="C36" s="427">
        <f>キャラクターシート!AA45</f>
      </c>
      <c r="D36" s="427" t="str">
        <f>キャラクターシート!AC45</f>
        <v>0</v>
      </c>
      <c r="E36" s="427" t="str">
        <f>キャラクターシート!AD45</f>
        <v>0</v>
      </c>
      <c r="F36" s="428">
        <f>IF($B36="","",VLOOKUP($B36,スキル!$A:$K,5,0))</f>
      </c>
      <c r="G36" s="428"/>
      <c r="H36" s="428"/>
      <c r="I36" s="428"/>
      <c r="J36" s="428"/>
      <c r="K36" s="428"/>
      <c r="L36" s="428"/>
      <c r="M36" s="428"/>
      <c r="N36" s="428"/>
    </row>
    <row r="37" spans="1:14" ht="13.5">
      <c r="A37" s="110">
        <v>7</v>
      </c>
      <c r="B37" s="429">
        <f>キャラクターシート!X50</f>
        <v>0</v>
      </c>
      <c r="C37" s="430">
        <f>キャラクターシート!AA50</f>
      </c>
      <c r="D37" s="430" t="str">
        <f>キャラクターシート!AC50</f>
        <v>0</v>
      </c>
      <c r="E37" s="430" t="str">
        <f>キャラクターシート!AD50</f>
        <v>0</v>
      </c>
      <c r="F37" s="431">
        <f>IF($B37="","",VLOOKUP($B37,スキル!$A:$K,5,0))</f>
      </c>
      <c r="G37" s="431"/>
      <c r="H37" s="431"/>
      <c r="I37" s="431"/>
      <c r="J37" s="431"/>
      <c r="K37" s="431"/>
      <c r="L37" s="431"/>
      <c r="M37" s="431"/>
      <c r="N37" s="431"/>
    </row>
    <row r="38" spans="1:14" ht="13.5">
      <c r="A38" s="81">
        <v>8</v>
      </c>
      <c r="B38" s="425">
        <f>キャラクターシート!X51</f>
        <v>0</v>
      </c>
      <c r="C38" s="419">
        <f>キャラクターシート!AA51</f>
      </c>
      <c r="D38" s="419" t="str">
        <f>キャラクターシート!AC51</f>
        <v>0</v>
      </c>
      <c r="E38" s="419" t="str">
        <f>キャラクターシート!AD51</f>
        <v>0</v>
      </c>
      <c r="F38" s="353">
        <f>IF($B38="","",VLOOKUP($B38,スキル!$A:$K,5,0))</f>
      </c>
      <c r="G38" s="353"/>
      <c r="H38" s="353"/>
      <c r="I38" s="353"/>
      <c r="J38" s="353"/>
      <c r="K38" s="353"/>
      <c r="L38" s="353"/>
      <c r="M38" s="353"/>
      <c r="N38" s="353"/>
    </row>
    <row r="39" spans="1:14" ht="13.5">
      <c r="A39" s="81">
        <v>9</v>
      </c>
      <c r="B39" s="425">
        <f>キャラクターシート!X52</f>
        <v>0</v>
      </c>
      <c r="C39" s="419">
        <f>キャラクターシート!AA52</f>
      </c>
      <c r="D39" s="419" t="str">
        <f>キャラクターシート!AC52</f>
        <v>0</v>
      </c>
      <c r="E39" s="419" t="str">
        <f>キャラクターシート!AD52</f>
        <v>0</v>
      </c>
      <c r="F39" s="353">
        <f>IF($B39="","",VLOOKUP($B39,スキル!$A:$K,5,0))</f>
      </c>
      <c r="G39" s="353"/>
      <c r="H39" s="353"/>
      <c r="I39" s="353"/>
      <c r="J39" s="353"/>
      <c r="K39" s="353"/>
      <c r="L39" s="353"/>
      <c r="M39" s="353"/>
      <c r="N39" s="353"/>
    </row>
    <row r="40" spans="1:14" ht="13.5">
      <c r="A40" s="81">
        <v>10</v>
      </c>
      <c r="B40" s="425">
        <f>キャラクターシート!X53</f>
        <v>0</v>
      </c>
      <c r="C40" s="419">
        <f>キャラクターシート!AA53</f>
      </c>
      <c r="D40" s="419" t="str">
        <f>キャラクターシート!AC53</f>
        <v>0</v>
      </c>
      <c r="E40" s="419" t="str">
        <f>キャラクターシート!AD53</f>
        <v>0</v>
      </c>
      <c r="F40" s="353">
        <f>IF($B40="","",VLOOKUP($B40,スキル!$A:$K,5,0))</f>
      </c>
      <c r="G40" s="353"/>
      <c r="H40" s="353"/>
      <c r="I40" s="353"/>
      <c r="J40" s="353"/>
      <c r="K40" s="353"/>
      <c r="L40" s="353"/>
      <c r="M40" s="353"/>
      <c r="N40" s="353"/>
    </row>
    <row r="41" spans="1:14" ht="13.5">
      <c r="A41" s="81">
        <v>11</v>
      </c>
      <c r="B41" s="425">
        <f>キャラクターシート!X54</f>
        <v>0</v>
      </c>
      <c r="C41" s="419">
        <f>キャラクターシート!AA54</f>
      </c>
      <c r="D41" s="419" t="str">
        <f>キャラクターシート!AC54</f>
        <v>0</v>
      </c>
      <c r="E41" s="419" t="str">
        <f>キャラクターシート!AD54</f>
        <v>0</v>
      </c>
      <c r="F41" s="353">
        <f>IF($B41="","",VLOOKUP($B41,スキル!$A:$K,5,0))</f>
      </c>
      <c r="G41" s="353"/>
      <c r="H41" s="353"/>
      <c r="I41" s="353"/>
      <c r="J41" s="353"/>
      <c r="K41" s="353"/>
      <c r="L41" s="353"/>
      <c r="M41" s="353"/>
      <c r="N41" s="353"/>
    </row>
    <row r="42" spans="1:14" ht="13.5">
      <c r="A42" s="81">
        <v>12</v>
      </c>
      <c r="B42" s="425">
        <f>キャラクターシート!X55</f>
        <v>0</v>
      </c>
      <c r="C42" s="419">
        <f>キャラクターシート!AA55</f>
      </c>
      <c r="D42" s="419" t="str">
        <f>キャラクターシート!AC55</f>
        <v>0</v>
      </c>
      <c r="E42" s="419" t="str">
        <f>キャラクターシート!AD55</f>
        <v>0</v>
      </c>
      <c r="F42" s="353">
        <f>IF($B42="","",VLOOKUP($B42,スキル!$A:$K,5,0))</f>
      </c>
      <c r="G42" s="353"/>
      <c r="H42" s="353"/>
      <c r="I42" s="353"/>
      <c r="J42" s="353"/>
      <c r="K42" s="353"/>
      <c r="L42" s="353"/>
      <c r="M42" s="353"/>
      <c r="N42" s="353"/>
    </row>
    <row r="43" spans="1:14" ht="13.5">
      <c r="A43" s="81">
        <v>13</v>
      </c>
      <c r="B43" s="425">
        <f>キャラクターシート!X56</f>
        <v>0</v>
      </c>
      <c r="C43" s="419">
        <f>キャラクターシート!AA56</f>
      </c>
      <c r="D43" s="419" t="str">
        <f>キャラクターシート!AC56</f>
        <v>0</v>
      </c>
      <c r="E43" s="419" t="str">
        <f>キャラクターシート!AD56</f>
        <v>0</v>
      </c>
      <c r="F43" s="353">
        <f>IF($B43="","",VLOOKUP($B43,スキル!$A:$K,5,0))</f>
      </c>
      <c r="G43" s="353"/>
      <c r="H43" s="353"/>
      <c r="I43" s="353"/>
      <c r="J43" s="353"/>
      <c r="K43" s="353"/>
      <c r="L43" s="353"/>
      <c r="M43" s="353"/>
      <c r="N43" s="353"/>
    </row>
    <row r="44" spans="1:14" ht="13.5">
      <c r="A44" s="81">
        <v>14</v>
      </c>
      <c r="B44" s="425">
        <f>キャラクターシート!X57</f>
        <v>0</v>
      </c>
      <c r="C44" s="419">
        <f>キャラクターシート!AA57</f>
      </c>
      <c r="D44" s="419" t="str">
        <f>キャラクターシート!AC57</f>
        <v>0</v>
      </c>
      <c r="E44" s="419" t="str">
        <f>キャラクターシート!AD57</f>
        <v>0</v>
      </c>
      <c r="F44" s="353">
        <f>IF($B44="","",VLOOKUP($B44,スキル!$A:$K,5,0))</f>
      </c>
      <c r="G44" s="353"/>
      <c r="H44" s="353"/>
      <c r="I44" s="353"/>
      <c r="J44" s="353"/>
      <c r="K44" s="353"/>
      <c r="L44" s="353"/>
      <c r="M44" s="353"/>
      <c r="N44" s="353"/>
    </row>
    <row r="45" spans="1:14" ht="13.5">
      <c r="A45" s="81">
        <v>15</v>
      </c>
      <c r="B45" s="124">
        <f>キャラクターシート!X58</f>
        <v>0</v>
      </c>
      <c r="C45" s="57">
        <f>キャラクターシート!AA58</f>
      </c>
      <c r="D45" s="57" t="str">
        <f>キャラクターシート!AC58</f>
        <v>0</v>
      </c>
      <c r="E45" s="57" t="str">
        <f>キャラクターシート!AD58</f>
        <v>0</v>
      </c>
      <c r="F45" s="353">
        <f>IF($B45="","",VLOOKUP($B45,スキル!$A:$K,5,0))</f>
      </c>
      <c r="G45" s="353"/>
      <c r="H45" s="353"/>
      <c r="I45" s="353"/>
      <c r="J45" s="353"/>
      <c r="K45" s="353"/>
      <c r="L45" s="353"/>
      <c r="M45" s="353"/>
      <c r="N45" s="353"/>
    </row>
    <row r="46" spans="1:14" ht="13.5">
      <c r="A46" s="81">
        <v>16</v>
      </c>
      <c r="B46" s="124">
        <f>キャラクターシート!X59</f>
        <v>0</v>
      </c>
      <c r="C46" s="57">
        <f>キャラクターシート!AA59</f>
      </c>
      <c r="D46" s="57" t="str">
        <f>キャラクターシート!AC59</f>
        <v>0</v>
      </c>
      <c r="E46" s="57" t="str">
        <f>キャラクターシート!AD59</f>
        <v>0</v>
      </c>
      <c r="F46" s="353">
        <f>IF($B46="","",VLOOKUP($B46,スキル!$A:$K,5,0))</f>
      </c>
      <c r="G46" s="353"/>
      <c r="H46" s="353"/>
      <c r="I46" s="353"/>
      <c r="J46" s="353"/>
      <c r="K46" s="353"/>
      <c r="L46" s="353"/>
      <c r="M46" s="353"/>
      <c r="N46" s="353"/>
    </row>
    <row r="47" spans="1:14" ht="13.5">
      <c r="A47" s="81">
        <v>17</v>
      </c>
      <c r="B47" s="124">
        <f>キャラクターシート!X60</f>
        <v>0</v>
      </c>
      <c r="C47" s="57">
        <f>キャラクターシート!AA60</f>
      </c>
      <c r="D47" s="57" t="str">
        <f>キャラクターシート!AC60</f>
        <v>0</v>
      </c>
      <c r="E47" s="57" t="str">
        <f>キャラクターシート!AD60</f>
        <v>0</v>
      </c>
      <c r="F47" s="353">
        <f>IF($B47="","",VLOOKUP($B47,スキル!$A:$K,5,0))</f>
      </c>
      <c r="G47" s="353"/>
      <c r="H47" s="353"/>
      <c r="I47" s="353"/>
      <c r="J47" s="353"/>
      <c r="K47" s="353"/>
      <c r="L47" s="353"/>
      <c r="M47" s="353"/>
      <c r="N47" s="353"/>
    </row>
    <row r="48" spans="1:14" ht="13.5">
      <c r="A48" s="81">
        <v>18</v>
      </c>
      <c r="B48" s="124">
        <f>キャラクターシート!X61</f>
        <v>0</v>
      </c>
      <c r="C48" s="57">
        <f>キャラクターシート!AA61</f>
      </c>
      <c r="D48" s="57" t="str">
        <f>キャラクターシート!AC61</f>
        <v>0</v>
      </c>
      <c r="E48" s="57" t="str">
        <f>キャラクターシート!AD61</f>
        <v>0</v>
      </c>
      <c r="F48" s="353">
        <f>IF($B48="","",VLOOKUP($B48,スキル!$A:$K,5,0))</f>
      </c>
      <c r="G48" s="353"/>
      <c r="H48" s="353"/>
      <c r="I48" s="353"/>
      <c r="J48" s="353"/>
      <c r="K48" s="353"/>
      <c r="L48" s="353"/>
      <c r="M48" s="353"/>
      <c r="N48" s="353"/>
    </row>
    <row r="49" spans="1:14" ht="13.5">
      <c r="A49" s="81">
        <v>19</v>
      </c>
      <c r="B49" s="124">
        <f>キャラクターシート!X62</f>
        <v>0</v>
      </c>
      <c r="C49" s="57">
        <f>キャラクターシート!AA62</f>
      </c>
      <c r="D49" s="57" t="str">
        <f>キャラクターシート!AC62</f>
        <v>0</v>
      </c>
      <c r="E49" s="57" t="str">
        <f>キャラクターシート!AD62</f>
        <v>0</v>
      </c>
      <c r="F49" s="353">
        <f>IF($B49="","",VLOOKUP($B49,スキル!$A:$K,5,0))</f>
      </c>
      <c r="G49" s="353"/>
      <c r="H49" s="353"/>
      <c r="I49" s="353"/>
      <c r="J49" s="353"/>
      <c r="K49" s="353"/>
      <c r="L49" s="353"/>
      <c r="M49" s="353"/>
      <c r="N49" s="353"/>
    </row>
    <row r="50" spans="1:14" ht="13.5">
      <c r="A50" s="81">
        <v>20</v>
      </c>
      <c r="B50" s="124">
        <f>キャラクターシート!X63</f>
        <v>0</v>
      </c>
      <c r="C50" s="57">
        <f>キャラクターシート!AA63</f>
      </c>
      <c r="D50" s="57" t="str">
        <f>キャラクターシート!AC63</f>
        <v>0</v>
      </c>
      <c r="E50" s="57" t="str">
        <f>キャラクターシート!AD63</f>
        <v>0</v>
      </c>
      <c r="F50" s="353">
        <f>IF($B50="","",VLOOKUP($B50,スキル!$A:$K,5,0))</f>
      </c>
      <c r="G50" s="353"/>
      <c r="H50" s="353"/>
      <c r="I50" s="353"/>
      <c r="J50" s="353"/>
      <c r="K50" s="353"/>
      <c r="L50" s="353"/>
      <c r="M50" s="353"/>
      <c r="N50" s="353"/>
    </row>
    <row r="51" spans="1:14" ht="13.5">
      <c r="A51" s="81">
        <v>21</v>
      </c>
      <c r="B51" s="124">
        <f>キャラクターシート!X64</f>
        <v>0</v>
      </c>
      <c r="C51" s="57">
        <f>キャラクターシート!AA64</f>
      </c>
      <c r="D51" s="57" t="str">
        <f>キャラクターシート!AC64</f>
        <v>0</v>
      </c>
      <c r="E51" s="57" t="str">
        <f>キャラクターシート!AD64</f>
        <v>0</v>
      </c>
      <c r="F51" s="353">
        <f>IF($B51="","",VLOOKUP($B51,スキル!$A:$K,5,0))</f>
      </c>
      <c r="G51" s="353"/>
      <c r="H51" s="353"/>
      <c r="I51" s="353"/>
      <c r="J51" s="353"/>
      <c r="K51" s="353"/>
      <c r="L51" s="353"/>
      <c r="M51" s="353"/>
      <c r="N51" s="353"/>
    </row>
    <row r="52" spans="1:14" ht="13.5">
      <c r="A52" s="81">
        <v>22</v>
      </c>
      <c r="B52" s="124">
        <f>キャラクターシート!X65</f>
        <v>0</v>
      </c>
      <c r="C52" s="57">
        <f>キャラクターシート!AA65</f>
      </c>
      <c r="D52" s="57" t="str">
        <f>キャラクターシート!AC65</f>
        <v>0</v>
      </c>
      <c r="E52" s="57" t="str">
        <f>キャラクターシート!AD65</f>
        <v>0</v>
      </c>
      <c r="F52" s="353">
        <f>IF($B52="","",VLOOKUP($B52,スキル!$A:$K,5,0))</f>
      </c>
      <c r="G52" s="353"/>
      <c r="H52" s="353"/>
      <c r="I52" s="353"/>
      <c r="J52" s="353"/>
      <c r="K52" s="353"/>
      <c r="L52" s="353"/>
      <c r="M52" s="353"/>
      <c r="N52" s="353"/>
    </row>
    <row r="53" spans="1:14" ht="13.5">
      <c r="A53" s="81">
        <v>23</v>
      </c>
      <c r="B53" s="124">
        <f>キャラクターシート!X66</f>
        <v>0</v>
      </c>
      <c r="C53" s="57">
        <f>キャラクターシート!AA66</f>
      </c>
      <c r="D53" s="57" t="str">
        <f>キャラクターシート!AC66</f>
        <v>0</v>
      </c>
      <c r="E53" s="57" t="str">
        <f>キャラクターシート!AD66</f>
        <v>0</v>
      </c>
      <c r="F53" s="353">
        <f>IF($B53="","",VLOOKUP($B53,スキル!$A:$K,5,0))</f>
      </c>
      <c r="G53" s="353"/>
      <c r="H53" s="353"/>
      <c r="I53" s="353"/>
      <c r="J53" s="353"/>
      <c r="K53" s="353"/>
      <c r="L53" s="353"/>
      <c r="M53" s="353"/>
      <c r="N53" s="353"/>
    </row>
    <row r="54" spans="1:14" ht="13.5">
      <c r="A54" s="83">
        <v>24</v>
      </c>
      <c r="B54" s="153">
        <f>キャラクターシート!X67</f>
        <v>0</v>
      </c>
      <c r="C54" s="151">
        <f>キャラクターシート!AA67</f>
      </c>
      <c r="D54" s="151" t="str">
        <f>キャラクターシート!AC67</f>
        <v>0</v>
      </c>
      <c r="E54" s="151" t="str">
        <f>キャラクターシート!AD67</f>
        <v>0</v>
      </c>
      <c r="F54" s="432">
        <f>IF($B54="","",VLOOKUP($B54,スキル!$A:$K,5,0))</f>
      </c>
      <c r="G54" s="432"/>
      <c r="H54" s="432"/>
      <c r="I54" s="432"/>
      <c r="J54" s="432"/>
      <c r="K54" s="432"/>
      <c r="L54" s="432"/>
      <c r="M54" s="432"/>
      <c r="N54" s="432"/>
    </row>
    <row r="55" spans="1:14" ht="13.5">
      <c r="A55" s="213"/>
      <c r="B55" s="213"/>
      <c r="C55" s="19"/>
      <c r="D55" s="19"/>
      <c r="E55" s="19"/>
      <c r="F55" s="433"/>
      <c r="G55" s="433"/>
      <c r="H55" s="433"/>
      <c r="I55" s="433"/>
      <c r="J55" s="433"/>
      <c r="K55" s="433"/>
      <c r="L55" s="433"/>
      <c r="M55" s="433"/>
      <c r="N55" s="433"/>
    </row>
    <row r="56" spans="1:14" ht="13.5">
      <c r="A56" s="213"/>
      <c r="B56" s="213"/>
      <c r="C56" s="19"/>
      <c r="D56" s="19"/>
      <c r="E56" s="19"/>
      <c r="F56" s="433"/>
      <c r="G56" s="433"/>
      <c r="H56" s="433"/>
      <c r="I56" s="433"/>
      <c r="J56" s="433"/>
      <c r="K56" s="433"/>
      <c r="L56" s="433"/>
      <c r="M56" s="433"/>
      <c r="N56" s="433"/>
    </row>
    <row r="57" spans="1:14" ht="13.5">
      <c r="A57" s="213"/>
      <c r="B57" s="213"/>
      <c r="C57" s="19"/>
      <c r="D57" s="19"/>
      <c r="E57" s="19"/>
      <c r="F57" s="433"/>
      <c r="G57" s="433"/>
      <c r="H57" s="433"/>
      <c r="I57" s="433"/>
      <c r="J57" s="433"/>
      <c r="K57" s="433"/>
      <c r="L57" s="433"/>
      <c r="M57" s="433"/>
      <c r="N57" s="433"/>
    </row>
    <row r="58" spans="1:14" ht="13.5">
      <c r="A58" s="213"/>
      <c r="B58" s="213"/>
      <c r="C58" s="19"/>
      <c r="D58" s="19"/>
      <c r="E58" s="19"/>
      <c r="F58" s="433"/>
      <c r="G58" s="433"/>
      <c r="H58" s="433"/>
      <c r="I58" s="433"/>
      <c r="J58" s="433"/>
      <c r="K58" s="433"/>
      <c r="L58" s="433"/>
      <c r="M58" s="433"/>
      <c r="N58" s="433"/>
    </row>
    <row r="59" spans="1:14" ht="13.5">
      <c r="A59" s="213"/>
      <c r="B59" s="213"/>
      <c r="C59" s="19"/>
      <c r="D59" s="19"/>
      <c r="E59" s="19"/>
      <c r="F59" s="433"/>
      <c r="G59" s="433"/>
      <c r="H59" s="433"/>
      <c r="I59" s="433"/>
      <c r="J59" s="433"/>
      <c r="K59" s="433"/>
      <c r="L59" s="433"/>
      <c r="M59" s="433"/>
      <c r="N59" s="433"/>
    </row>
    <row r="60" spans="1:14" ht="13.5">
      <c r="A60" s="213"/>
      <c r="B60" s="213"/>
      <c r="C60" s="19"/>
      <c r="D60" s="19"/>
      <c r="E60" s="19"/>
      <c r="F60" s="433"/>
      <c r="G60" s="433"/>
      <c r="H60" s="433"/>
      <c r="I60" s="433"/>
      <c r="J60" s="433"/>
      <c r="K60" s="433"/>
      <c r="L60" s="433"/>
      <c r="M60" s="433"/>
      <c r="N60" s="433"/>
    </row>
    <row r="61" spans="1:14" ht="13.5">
      <c r="A61" s="213"/>
      <c r="B61" s="213"/>
      <c r="C61" s="19"/>
      <c r="D61" s="19"/>
      <c r="E61" s="19"/>
      <c r="F61" s="433"/>
      <c r="G61" s="433"/>
      <c r="H61" s="433"/>
      <c r="I61" s="433"/>
      <c r="J61" s="433"/>
      <c r="K61" s="433"/>
      <c r="L61" s="433"/>
      <c r="M61" s="433"/>
      <c r="N61" s="433"/>
    </row>
    <row r="62" spans="1:14" ht="13.5">
      <c r="A62" s="213"/>
      <c r="B62" s="213"/>
      <c r="C62" s="19"/>
      <c r="D62" s="19"/>
      <c r="E62" s="19"/>
      <c r="F62" s="433"/>
      <c r="G62" s="433"/>
      <c r="H62" s="433"/>
      <c r="I62" s="433"/>
      <c r="J62" s="433"/>
      <c r="K62" s="433"/>
      <c r="L62" s="433"/>
      <c r="M62" s="433"/>
      <c r="N62" s="433"/>
    </row>
    <row r="63" spans="1:14" ht="13.5">
      <c r="A63" s="213"/>
      <c r="B63" s="213"/>
      <c r="C63" s="19"/>
      <c r="D63" s="19"/>
      <c r="E63" s="19"/>
      <c r="F63" s="433"/>
      <c r="G63" s="433"/>
      <c r="H63" s="433"/>
      <c r="I63" s="433"/>
      <c r="J63" s="433"/>
      <c r="K63" s="433"/>
      <c r="L63" s="433"/>
      <c r="M63" s="433"/>
      <c r="N63" s="433"/>
    </row>
    <row r="64" spans="1:14" ht="13.5">
      <c r="A64" s="213"/>
      <c r="B64" s="213"/>
      <c r="C64" s="19"/>
      <c r="D64" s="19"/>
      <c r="E64" s="19"/>
      <c r="F64" s="433"/>
      <c r="G64" s="433"/>
      <c r="H64" s="433"/>
      <c r="I64" s="433"/>
      <c r="J64" s="433"/>
      <c r="K64" s="433"/>
      <c r="L64" s="433"/>
      <c r="M64" s="433"/>
      <c r="N64" s="433"/>
    </row>
    <row r="65" spans="1:14" ht="13.5">
      <c r="A65" s="213"/>
      <c r="B65" s="213"/>
      <c r="C65" s="19"/>
      <c r="D65" s="19"/>
      <c r="E65" s="19"/>
      <c r="F65" s="433"/>
      <c r="G65" s="433"/>
      <c r="H65" s="433"/>
      <c r="I65" s="433"/>
      <c r="J65" s="433"/>
      <c r="K65" s="433"/>
      <c r="L65" s="433"/>
      <c r="M65" s="433"/>
      <c r="N65" s="433"/>
    </row>
    <row r="66" spans="1:14" ht="13.5">
      <c r="A66" s="213"/>
      <c r="B66" s="213"/>
      <c r="C66" s="19"/>
      <c r="D66" s="19"/>
      <c r="E66" s="19"/>
      <c r="F66" s="433"/>
      <c r="G66" s="433"/>
      <c r="H66" s="433"/>
      <c r="I66" s="433"/>
      <c r="J66" s="433"/>
      <c r="K66" s="433"/>
      <c r="L66" s="433"/>
      <c r="M66" s="433"/>
      <c r="N66" s="433"/>
    </row>
    <row r="67" spans="1:14" ht="13.5">
      <c r="A67" s="417" t="s">
        <v>404</v>
      </c>
      <c r="B67" s="417"/>
      <c r="C67" s="417"/>
      <c r="D67" s="417"/>
      <c r="E67" s="417"/>
      <c r="F67" s="418" t="s">
        <v>405</v>
      </c>
      <c r="G67" s="418"/>
      <c r="H67" s="418"/>
      <c r="I67" s="418"/>
      <c r="J67" s="418"/>
      <c r="K67" s="418"/>
      <c r="L67" s="418"/>
      <c r="M67" s="418"/>
      <c r="N67" s="418"/>
    </row>
    <row r="68" spans="1:14" ht="13.5" customHeight="1">
      <c r="A68" s="214" t="s">
        <v>167</v>
      </c>
      <c r="B68" s="214"/>
      <c r="C68" s="111" t="s">
        <v>322</v>
      </c>
      <c r="D68" s="111" t="s">
        <v>323</v>
      </c>
      <c r="E68" s="111" t="s">
        <v>329</v>
      </c>
      <c r="F68" s="111" t="s">
        <v>185</v>
      </c>
      <c r="G68" s="111" t="s">
        <v>325</v>
      </c>
      <c r="H68" s="111" t="s">
        <v>261</v>
      </c>
      <c r="I68" s="111" t="s">
        <v>326</v>
      </c>
      <c r="J68" s="111" t="s">
        <v>254</v>
      </c>
      <c r="K68" s="218" t="s">
        <v>327</v>
      </c>
      <c r="L68" s="218"/>
      <c r="M68" s="218"/>
      <c r="N68" s="218"/>
    </row>
    <row r="69" spans="1:14" ht="11.25">
      <c r="A69" s="434" t="str">
        <f>キャラクターシート!B26</f>
        <v>ナチュラルウェポン</v>
      </c>
      <c r="B69" s="434"/>
      <c r="C69" s="124" t="str">
        <f>キャラクターシート!F26</f>
        <v>ドゥアン</v>
      </c>
      <c r="D69" s="124" t="str">
        <f>キャラクターシート!H26</f>
        <v>★</v>
      </c>
      <c r="E69" s="124" t="str">
        <f>キャラクターシート!I26</f>
        <v>パッシヴ/メイキング</v>
      </c>
      <c r="F69" s="57" t="str">
        <f>キャラクターシート!K26</f>
        <v>-</v>
      </c>
      <c r="G69" s="57" t="str">
        <f>キャラクターシート!L26</f>
        <v>自身</v>
      </c>
      <c r="H69" s="57" t="str">
        <f>キャラクターシート!M26</f>
        <v>-</v>
      </c>
      <c r="I69" s="57" t="str">
        <f>キャラクターシート!N26</f>
        <v>-</v>
      </c>
      <c r="J69" s="57" t="str">
        <f>キャラクターシート!P26</f>
        <v>-</v>
      </c>
      <c r="K69" s="389" t="str">
        <f>キャラクターシート!Q26</f>
        <v>牙：素手の[命中]+1、[攻撃力]+3</v>
      </c>
      <c r="L69" s="389"/>
      <c r="M69" s="389"/>
      <c r="N69" s="389"/>
    </row>
    <row r="70" spans="1:14" ht="11.25">
      <c r="A70" s="434" t="str">
        <f>キャラクターシート!B27</f>
        <v>アセティック</v>
      </c>
      <c r="B70" s="434"/>
      <c r="C70" s="124" t="str">
        <f>キャラクターシート!F27</f>
        <v>ドゥアン</v>
      </c>
      <c r="D70" s="124" t="str">
        <f>キャラクターシート!H27</f>
        <v>★</v>
      </c>
      <c r="E70" s="124" t="str">
        <f>キャラクターシート!I27</f>
        <v>パッシヴ</v>
      </c>
      <c r="F70" s="57" t="str">
        <f>キャラクターシート!K27</f>
        <v>-</v>
      </c>
      <c r="G70" s="57" t="str">
        <f>キャラクターシート!L27</f>
        <v>自身</v>
      </c>
      <c r="H70" s="57" t="str">
        <f>キャラクターシート!M27</f>
        <v>-</v>
      </c>
      <c r="I70" s="57" t="str">
        <f>キャラクターシート!N27</f>
        <v>-</v>
      </c>
      <c r="J70" s="57" t="str">
        <f>キャラクターシート!P27</f>
        <v>-</v>
      </c>
      <c r="K70" s="389" t="str">
        <f>キャラクターシート!Q27</f>
        <v>[物理防御力]+3、[魔法防御力]+3、CL5以上</v>
      </c>
      <c r="L70" s="389"/>
      <c r="M70" s="389"/>
      <c r="N70" s="389"/>
    </row>
    <row r="71" spans="1:14" ht="11.25">
      <c r="A71" s="434" t="str">
        <f>キャラクターシート!B28</f>
        <v>カバーリング</v>
      </c>
      <c r="B71" s="434"/>
      <c r="C71" s="124" t="str">
        <f>キャラクターシート!F28</f>
        <v>基ウォーリア</v>
      </c>
      <c r="D71" s="124" t="str">
        <f>キャラクターシート!H28</f>
        <v>★</v>
      </c>
      <c r="E71" s="124" t="str">
        <f>キャラクターシート!I28</f>
        <v>DR直前</v>
      </c>
      <c r="F71" s="57" t="str">
        <f>キャラクターシート!K28</f>
        <v>自動</v>
      </c>
      <c r="G71" s="57" t="str">
        <f>キャラクターシート!L28</f>
        <v>単体</v>
      </c>
      <c r="H71" s="57" t="str">
        <f>キャラクターシート!M28</f>
        <v>至近</v>
      </c>
      <c r="I71" s="57">
        <f>キャラクターシート!N28</f>
        <v>2</v>
      </c>
      <c r="J71" s="57" t="str">
        <f>キャラクターシート!P28</f>
        <v>-</v>
      </c>
      <c r="K71" s="389" t="str">
        <f>キャラクターシート!Q28</f>
        <v>対象に[他人をかばう]を行う行動済みでも可能、使用しても行動済みにならないメインプロセスに1回</v>
      </c>
      <c r="L71" s="389"/>
      <c r="M71" s="389"/>
      <c r="N71" s="389"/>
    </row>
    <row r="72" spans="1:14" ht="11.25">
      <c r="A72" s="434" t="str">
        <f>キャラクターシート!B29</f>
        <v>カバームーブ</v>
      </c>
      <c r="B72" s="434"/>
      <c r="C72" s="124" t="str">
        <f>キャラクターシート!F29</f>
        <v>基ウォーリア</v>
      </c>
      <c r="D72" s="124">
        <f>キャラクターシート!H29</f>
        <v>1</v>
      </c>
      <c r="E72" s="124" t="str">
        <f>キャラクターシート!I29</f>
        <v>ｶﾊﾞｰﾘﾝｸﾞ</v>
      </c>
      <c r="F72" s="57" t="str">
        <f>キャラクターシート!K29</f>
        <v>自動</v>
      </c>
      <c r="G72" s="57" t="str">
        <f>キャラクターシート!L29</f>
        <v>自身</v>
      </c>
      <c r="H72" s="57" t="str">
        <f>キャラクターシート!M29</f>
        <v>-</v>
      </c>
      <c r="I72" s="57">
        <f>キャラクターシート!N29</f>
        <v>4</v>
      </c>
      <c r="J72" s="57" t="str">
        <f>キャラクターシート!P29</f>
        <v>SL/S</v>
      </c>
      <c r="K72" s="389" t="str">
        <f>キャラクターシート!Q29</f>
        <v>カバーリングを射程20ｍにする、1シーンSL回</v>
      </c>
      <c r="L72" s="389"/>
      <c r="M72" s="389"/>
      <c r="N72" s="389"/>
    </row>
    <row r="73" spans="1:14" ht="11.25">
      <c r="A73" s="434" t="str">
        <f>キャラクターシート!B30</f>
        <v>プロボック</v>
      </c>
      <c r="B73" s="434"/>
      <c r="C73" s="124" t="str">
        <f>キャラクターシート!F30</f>
        <v>基ウォーリア</v>
      </c>
      <c r="D73" s="124">
        <f>キャラクターシート!H30</f>
        <v>1</v>
      </c>
      <c r="E73" s="124" t="str">
        <f>キャラクターシート!I30</f>
        <v>ｾｯﾄｱｯﾌﾟ</v>
      </c>
      <c r="F73" s="57" t="str">
        <f>キャラクターシート!K30</f>
        <v>筋力</v>
      </c>
      <c r="G73" s="57" t="str">
        <f>キャラクターシート!L30</f>
        <v>単体</v>
      </c>
      <c r="H73" s="57" t="str">
        <f>キャラクターシート!M30</f>
        <v>10m</v>
      </c>
      <c r="I73" s="57">
        <f>キャラクターシート!N30</f>
        <v>4</v>
      </c>
      <c r="J73" s="57" t="str">
        <f>キャラクターシート!P30</f>
        <v>-</v>
      </c>
      <c r="K73" s="389" t="str">
        <f>キャラクターシート!Q30</f>
        <v>対象の精神と対決、達成値に+[SL*2]、対象に[逆上]</v>
      </c>
      <c r="L73" s="389"/>
      <c r="M73" s="389"/>
      <c r="N73" s="389"/>
    </row>
    <row r="74" spans="1:14" ht="11.25">
      <c r="A74" s="434" t="str">
        <f>キャラクターシート!B31</f>
        <v>ボルテクスアタック</v>
      </c>
      <c r="B74" s="434"/>
      <c r="C74" s="124" t="str">
        <f>キャラクターシート!F31</f>
        <v>基ウォーリア</v>
      </c>
      <c r="D74" s="124" t="str">
        <f>キャラクターシート!H31</f>
        <v>★</v>
      </c>
      <c r="E74" s="124" t="str">
        <f>キャラクターシート!I31</f>
        <v>効果参照</v>
      </c>
      <c r="F74" s="57" t="str">
        <f>キャラクターシート!K31</f>
        <v>自動</v>
      </c>
      <c r="G74" s="57" t="str">
        <f>キャラクターシート!L31</f>
        <v>自身</v>
      </c>
      <c r="H74" s="57" t="str">
        <f>キャラクターシート!M31</f>
        <v>-</v>
      </c>
      <c r="I74" s="57" t="str">
        <f>キャラクターシート!N31</f>
        <v>-</v>
      </c>
      <c r="J74" s="57">
        <f>キャラクターシート!P31</f>
        <v>1</v>
      </c>
      <c r="K74" s="389" t="str">
        <f>キャラクターシート!Q31</f>
        <v>武器攻撃を単体にし、ダメージロールに+[(CL)*10]する。1シナリオ1回</v>
      </c>
      <c r="L74" s="389"/>
      <c r="M74" s="389"/>
      <c r="N74" s="389"/>
    </row>
    <row r="75" spans="1:14" ht="11.25">
      <c r="A75" s="434" t="str">
        <f>キャラクターシート!B32</f>
        <v>バッシュ</v>
      </c>
      <c r="B75" s="434"/>
      <c r="C75" s="124" t="str">
        <f>キャラクターシート!F32</f>
        <v>基ウォーリア</v>
      </c>
      <c r="D75" s="124">
        <f>キャラクターシート!H32</f>
        <v>1</v>
      </c>
      <c r="E75" s="124" t="str">
        <f>キャラクターシート!I32</f>
        <v>メジャー</v>
      </c>
      <c r="F75" s="57" t="str">
        <f>キャラクターシート!K32</f>
        <v>命中</v>
      </c>
      <c r="G75" s="57" t="str">
        <f>キャラクターシート!L32</f>
        <v>単体</v>
      </c>
      <c r="H75" s="57" t="str">
        <f>キャラクターシート!M32</f>
        <v>武器</v>
      </c>
      <c r="I75" s="57">
        <f>キャラクターシート!N32</f>
        <v>4</v>
      </c>
      <c r="J75" s="57" t="str">
        <f>キャラクターシート!P32</f>
        <v>-</v>
      </c>
      <c r="K75" s="389" t="str">
        <f>キャラクターシート!Q32</f>
        <v>対象に武器攻撃を行う。ダメージロールに+[(SL)D]</v>
      </c>
      <c r="L75" s="389"/>
      <c r="M75" s="389"/>
      <c r="N75" s="389"/>
    </row>
    <row r="76" spans="1:14" ht="11.25">
      <c r="A76" s="434" t="str">
        <f>キャラクターシート!B33</f>
        <v>ウェポンルーラー</v>
      </c>
      <c r="B76" s="434"/>
      <c r="C76" s="124" t="str">
        <f>キャラクターシート!F33</f>
        <v>基ウォーリア</v>
      </c>
      <c r="D76" s="124">
        <f>キャラクターシート!H33</f>
        <v>1</v>
      </c>
      <c r="E76" s="124" t="str">
        <f>キャラクターシート!I33</f>
        <v>パッシヴ</v>
      </c>
      <c r="F76" s="57" t="str">
        <f>キャラクターシート!K33</f>
        <v>-</v>
      </c>
      <c r="G76" s="57" t="str">
        <f>キャラクターシート!L33</f>
        <v>自身</v>
      </c>
      <c r="H76" s="57" t="str">
        <f>キャラクターシート!M33</f>
        <v>-</v>
      </c>
      <c r="I76" s="57" t="str">
        <f>キャラクターシート!N33</f>
        <v>-</v>
      </c>
      <c r="J76" s="57" t="str">
        <f>キャラクターシート!P33</f>
        <v>-</v>
      </c>
      <c r="K76" s="389" t="str">
        <f>キャラクターシート!Q33</f>
        <v>武器攻撃の命中判定に+[SL+1]</v>
      </c>
      <c r="L76" s="389"/>
      <c r="M76" s="389"/>
      <c r="N76" s="389"/>
    </row>
    <row r="77" spans="1:14" ht="11.25">
      <c r="A77" s="434" t="str">
        <f>キャラクターシート!B34</f>
        <v>スマッシュ</v>
      </c>
      <c r="B77" s="434"/>
      <c r="C77" s="124" t="str">
        <f>キャラクターシート!F34</f>
        <v>基ウォーリア</v>
      </c>
      <c r="D77" s="124" t="str">
        <f>キャラクターシート!H34</f>
        <v>★</v>
      </c>
      <c r="E77" s="124" t="str">
        <f>キャラクターシート!I34</f>
        <v>マイナー</v>
      </c>
      <c r="F77" s="57" t="str">
        <f>キャラクターシート!K34</f>
        <v>自動</v>
      </c>
      <c r="G77" s="57" t="str">
        <f>キャラクターシート!L34</f>
        <v>自身</v>
      </c>
      <c r="H77" s="57" t="str">
        <f>キャラクターシート!M34</f>
        <v>-</v>
      </c>
      <c r="I77" s="57">
        <f>キャラクターシート!N34</f>
        <v>5</v>
      </c>
      <c r="J77" s="57" t="str">
        <f>キャラクターシート!P34</f>
        <v>-</v>
      </c>
      <c r="K77" s="389" t="str">
        <f>キャラクターシート!Q34</f>
        <v>メインプロセスで行う白兵ダメージに+[筋力]</v>
      </c>
      <c r="L77" s="389"/>
      <c r="M77" s="389"/>
      <c r="N77" s="389"/>
    </row>
    <row r="78" spans="1:14" ht="13.5">
      <c r="A78" s="434" t="str">
        <f>キャラクターシート!B35</f>
        <v>アディショナルブロウ</v>
      </c>
      <c r="B78" s="434"/>
      <c r="C78" s="124" t="str">
        <f>キャラクターシート!F35</f>
        <v>補モンク</v>
      </c>
      <c r="D78" s="124">
        <f>キャラクターシート!H35</f>
        <v>3</v>
      </c>
      <c r="E78" s="124" t="str">
        <f>キャラクターシート!I35</f>
        <v>パッシヴ</v>
      </c>
      <c r="F78" s="57" t="str">
        <f>キャラクターシート!K35</f>
        <v>-</v>
      </c>
      <c r="G78" s="57" t="str">
        <f>キャラクターシート!L35</f>
        <v>自身</v>
      </c>
      <c r="H78" s="57" t="str">
        <f>キャラクターシート!M35</f>
        <v>-</v>
      </c>
      <c r="I78" s="57" t="str">
        <f>キャラクターシート!N35</f>
        <v>-</v>
      </c>
      <c r="J78" s="57" t="str">
        <f>キャラクターシート!P35</f>
        <v>-</v>
      </c>
      <c r="K78" s="389" t="str">
        <f>キャラクターシート!Q35</f>
        <v>「種別：格闘」の白兵攻撃の対象がバッドステータスを受けていた場合ダメージロールに+[SL×2D]</v>
      </c>
      <c r="L78" s="389"/>
      <c r="M78" s="389"/>
      <c r="N78" s="389"/>
    </row>
    <row r="79" spans="1:14" ht="13.5">
      <c r="A79" s="434" t="str">
        <f>キャラクターシート!B36</f>
        <v>インデュア</v>
      </c>
      <c r="B79" s="434"/>
      <c r="C79" s="124" t="str">
        <f>キャラクターシート!F36</f>
        <v>補モンク</v>
      </c>
      <c r="D79" s="124" t="str">
        <f>キャラクターシート!H36</f>
        <v>★</v>
      </c>
      <c r="E79" s="124" t="str">
        <f>キャラクターシート!I36</f>
        <v>効果参照</v>
      </c>
      <c r="F79" s="57" t="str">
        <f>キャラクターシート!K36</f>
        <v>自動</v>
      </c>
      <c r="G79" s="57" t="str">
        <f>キャラクターシート!L36</f>
        <v>自身</v>
      </c>
      <c r="H79" s="57" t="str">
        <f>キャラクターシート!M36</f>
        <v>-</v>
      </c>
      <c r="I79" s="57">
        <f>キャラクターシート!N36</f>
        <v>5</v>
      </c>
      <c r="J79" s="57" t="str">
        <f>キャラクターシート!P36</f>
        <v>-</v>
      </c>
      <c r="K79" s="389" t="str">
        <f>キャラクターシート!Q36</f>
        <v>バッドステータスを受けた直後に使用する。受けたバッドステータスを全て回復する。1メインプロセスに1回使用可能</v>
      </c>
      <c r="L79" s="389"/>
      <c r="M79" s="389"/>
      <c r="N79" s="389"/>
    </row>
    <row r="80" spans="1:14" ht="13.5">
      <c r="A80" s="434" t="str">
        <f>キャラクターシート!B37</f>
        <v>アイアンフィスト</v>
      </c>
      <c r="B80" s="434"/>
      <c r="C80" s="124" t="str">
        <f>キャラクターシート!F37</f>
        <v>補モンク</v>
      </c>
      <c r="D80" s="124" t="str">
        <f>キャラクターシート!H37</f>
        <v>★</v>
      </c>
      <c r="E80" s="124" t="str">
        <f>キャラクターシート!I37</f>
        <v>パッシヴ</v>
      </c>
      <c r="F80" s="57" t="str">
        <f>キャラクターシート!K37</f>
        <v>-</v>
      </c>
      <c r="G80" s="57" t="str">
        <f>キャラクターシート!L37</f>
        <v>自身</v>
      </c>
      <c r="H80" s="57" t="str">
        <f>キャラクターシート!M37</f>
        <v>-</v>
      </c>
      <c r="I80" s="57" t="str">
        <f>キャラクターシート!N37</f>
        <v>-</v>
      </c>
      <c r="J80" s="57" t="str">
        <f>キャラクターシート!P37</f>
        <v>-</v>
      </c>
      <c r="K80" s="389" t="str">
        <f>キャラクターシート!Q37</f>
        <v>「種別：格闘」の白兵攻撃のダメージに+[精神]</v>
      </c>
      <c r="L80" s="389"/>
      <c r="M80" s="389"/>
      <c r="N80" s="389"/>
    </row>
    <row r="81" spans="1:14" ht="13.5">
      <c r="A81" s="434" t="str">
        <f>キャラクターシート!B38</f>
        <v>マインドアデプト</v>
      </c>
      <c r="B81" s="434"/>
      <c r="C81" s="124" t="str">
        <f>キャラクターシート!F38</f>
        <v>補モンク</v>
      </c>
      <c r="D81" s="124" t="str">
        <f>キャラクターシート!H38</f>
        <v>★</v>
      </c>
      <c r="E81" s="124" t="str">
        <f>キャラクターシート!I38</f>
        <v>パッシヴ</v>
      </c>
      <c r="F81" s="57" t="str">
        <f>キャラクターシート!K38</f>
        <v>-</v>
      </c>
      <c r="G81" s="57" t="str">
        <f>キャラクターシート!L38</f>
        <v>自身</v>
      </c>
      <c r="H81" s="57" t="str">
        <f>キャラクターシート!M38</f>
        <v>-</v>
      </c>
      <c r="I81" s="57" t="str">
        <f>キャラクターシート!N38</f>
        <v>-</v>
      </c>
      <c r="J81" s="57" t="str">
        <f>キャラクターシート!P38</f>
        <v>-</v>
      </c>
      <c r="K81" s="389" t="str">
        <f>キャラクターシート!Q38</f>
        <v>[精神]+2</v>
      </c>
      <c r="L81" s="389"/>
      <c r="M81" s="389"/>
      <c r="N81" s="389"/>
    </row>
    <row r="82" spans="1:14" ht="13.5">
      <c r="A82" s="434" t="str">
        <f>キャラクターシート!B39</f>
        <v>ソウルバスター</v>
      </c>
      <c r="B82" s="434"/>
      <c r="C82" s="124" t="str">
        <f>キャラクターシート!F39</f>
        <v>補モンク</v>
      </c>
      <c r="D82" s="124" t="str">
        <f>キャラクターシート!H39</f>
        <v>★</v>
      </c>
      <c r="E82" s="124" t="str">
        <f>キャラクターシート!I39</f>
        <v>効果参照</v>
      </c>
      <c r="F82" s="57" t="str">
        <f>キャラクターシート!K39</f>
        <v>自動</v>
      </c>
      <c r="G82" s="57" t="str">
        <f>キャラクターシート!L39</f>
        <v>単体</v>
      </c>
      <c r="H82" s="57" t="str">
        <f>キャラクターシート!M39</f>
        <v>効果</v>
      </c>
      <c r="I82" s="57" t="str">
        <f>キャラクターシート!N39</f>
        <v>-</v>
      </c>
      <c r="J82" s="57">
        <f>キャラクターシート!P39</f>
        <v>1</v>
      </c>
      <c r="K82" s="389" t="str">
        <f>キャラクターシート!Q39</f>
        <v>ダメージを受けた直後に使用する。受けたHPダメージと同じ値だけ、対象にHPロスを与える。最大、自分の最大HP</v>
      </c>
      <c r="L82" s="389"/>
      <c r="M82" s="389"/>
      <c r="N82" s="389"/>
    </row>
    <row r="83" spans="1:14" ht="13.5">
      <c r="A83" s="434" t="str">
        <f>キャラクターシート!B40</f>
        <v>アームズマスタリー：格闘</v>
      </c>
      <c r="B83" s="434"/>
      <c r="C83" s="124" t="str">
        <f>キャラクターシート!F40</f>
        <v>補モンク</v>
      </c>
      <c r="D83" s="124" t="str">
        <f>キャラクターシート!H40</f>
        <v>★</v>
      </c>
      <c r="E83" s="124" t="str">
        <f>キャラクターシート!I40</f>
        <v>パッシヴ</v>
      </c>
      <c r="F83" s="57" t="str">
        <f>キャラクターシート!K40</f>
        <v>-</v>
      </c>
      <c r="G83" s="57" t="str">
        <f>キャラクターシート!L40</f>
        <v>自身</v>
      </c>
      <c r="H83" s="57" t="str">
        <f>キャラクターシート!M40</f>
        <v>-</v>
      </c>
      <c r="I83" s="57" t="str">
        <f>キャラクターシート!N40</f>
        <v>-</v>
      </c>
      <c r="J83" s="57" t="str">
        <f>キャラクターシート!P40</f>
        <v>-</v>
      </c>
      <c r="K83" s="389" t="str">
        <f>キャラクターシート!Q40</f>
        <v>「種別：格闘」の白兵攻撃の命中に+1Ｄ</v>
      </c>
      <c r="L83" s="389"/>
      <c r="M83" s="389"/>
      <c r="N83" s="389"/>
    </row>
    <row r="84" spans="1:14" ht="13.5">
      <c r="A84" s="434" t="str">
        <f>キャラクターシート!B41</f>
        <v>ペネトレイトブロウ</v>
      </c>
      <c r="B84" s="434"/>
      <c r="C84" s="124" t="str">
        <f>キャラクターシート!F41</f>
        <v>補モンク</v>
      </c>
      <c r="D84" s="124" t="str">
        <f>キャラクターシート!H41</f>
        <v>★</v>
      </c>
      <c r="E84" s="124" t="str">
        <f>キャラクターシート!I41</f>
        <v>メジャー</v>
      </c>
      <c r="F84" s="57" t="str">
        <f>キャラクターシート!K41</f>
        <v>命中</v>
      </c>
      <c r="G84" s="57" t="str">
        <f>キャラクターシート!L41</f>
        <v>単体</v>
      </c>
      <c r="H84" s="57" t="str">
        <f>キャラクターシート!M41</f>
        <v>武器</v>
      </c>
      <c r="I84" s="57">
        <f>キャラクターシート!N41</f>
        <v>6</v>
      </c>
      <c r="J84" s="57" t="str">
        <f>キャラクターシート!P41</f>
        <v>-</v>
      </c>
      <c r="K84" s="389" t="str">
        <f>キャラクターシート!Q41</f>
        <v>「種別：格闘」の白兵攻撃のダメージロールは対象の[物理防御力][魔法防御力]を0として与える</v>
      </c>
      <c r="L84" s="389"/>
      <c r="M84" s="389"/>
      <c r="N84" s="389"/>
    </row>
    <row r="85" spans="1:14" ht="13.5">
      <c r="A85" s="434">
        <f>キャラクターシート!B42</f>
      </c>
      <c r="B85" s="434"/>
      <c r="C85" s="124">
        <f>キャラクターシート!F42</f>
        <v>0</v>
      </c>
      <c r="D85" s="124">
        <f>キャラクターシート!H42</f>
      </c>
      <c r="E85" s="124">
        <f>キャラクターシート!I42</f>
      </c>
      <c r="F85" s="57">
        <f>キャラクターシート!K42</f>
      </c>
      <c r="G85" s="57">
        <f>キャラクターシート!L42</f>
      </c>
      <c r="H85" s="57">
        <f>キャラクターシート!M42</f>
      </c>
      <c r="I85" s="57">
        <f>キャラクターシート!N42</f>
      </c>
      <c r="J85" s="57">
        <f>キャラクターシート!P42</f>
      </c>
      <c r="K85" s="389">
        <f>キャラクターシート!Q42</f>
      </c>
      <c r="L85" s="389"/>
      <c r="M85" s="389"/>
      <c r="N85" s="389"/>
    </row>
    <row r="86" spans="1:14" ht="13.5">
      <c r="A86" s="434" t="str">
        <f>キャラクターシート!B43</f>
        <v>トレーニング：器用</v>
      </c>
      <c r="B86" s="434"/>
      <c r="C86" s="124" t="str">
        <f>キャラクターシート!F43</f>
        <v>一般スキル</v>
      </c>
      <c r="D86" s="124">
        <f>キャラクターシート!H43</f>
        <v>0</v>
      </c>
      <c r="E86" s="124" t="str">
        <f>キャラクターシート!I43</f>
        <v>パッシヴ</v>
      </c>
      <c r="F86" s="57" t="str">
        <f>キャラクターシート!K43</f>
        <v>-</v>
      </c>
      <c r="G86" s="57" t="str">
        <f>キャラクターシート!L43</f>
        <v>自身</v>
      </c>
      <c r="H86" s="57" t="str">
        <f>キャラクターシート!M43</f>
        <v>-</v>
      </c>
      <c r="I86" s="57" t="str">
        <f>キャラクターシート!N43</f>
        <v>-</v>
      </c>
      <c r="J86" s="57" t="str">
        <f>キャラクターシート!P43</f>
        <v>-</v>
      </c>
      <c r="K86" s="389" t="str">
        <f>キャラクターシート!Q43</f>
        <v>能力基本値に+3</v>
      </c>
      <c r="L86" s="389"/>
      <c r="M86" s="389"/>
      <c r="N86" s="389"/>
    </row>
    <row r="87" spans="1:14" ht="13.5">
      <c r="A87" s="434" t="str">
        <f>キャラクターシート!B44</f>
        <v>トレーニング：精神</v>
      </c>
      <c r="B87" s="434"/>
      <c r="C87" s="124" t="str">
        <f>キャラクターシート!F44</f>
        <v>一般スキル</v>
      </c>
      <c r="D87" s="124" t="str">
        <f>キャラクターシート!H44</f>
        <v>★</v>
      </c>
      <c r="E87" s="124" t="str">
        <f>キャラクターシート!I44</f>
        <v>パッシヴ</v>
      </c>
      <c r="F87" s="57" t="str">
        <f>キャラクターシート!K44</f>
        <v>-</v>
      </c>
      <c r="G87" s="57" t="str">
        <f>キャラクターシート!L44</f>
        <v>自身</v>
      </c>
      <c r="H87" s="57" t="str">
        <f>キャラクターシート!M44</f>
        <v>-</v>
      </c>
      <c r="I87" s="57" t="str">
        <f>キャラクターシート!N44</f>
        <v>-</v>
      </c>
      <c r="J87" s="57" t="str">
        <f>キャラクターシート!P44</f>
        <v>-</v>
      </c>
      <c r="K87" s="389" t="str">
        <f>キャラクターシート!Q44</f>
        <v>能力基本値に+3</v>
      </c>
      <c r="L87" s="389"/>
      <c r="M87" s="389"/>
      <c r="N87" s="389"/>
    </row>
    <row r="88" spans="1:14" ht="13.5">
      <c r="A88" s="434" t="str">
        <f>キャラクターシート!B45</f>
        <v>インサイト</v>
      </c>
      <c r="B88" s="434"/>
      <c r="C88" s="124" t="str">
        <f>キャラクターシート!F45</f>
        <v>一般スキル</v>
      </c>
      <c r="D88" s="124" t="str">
        <f>キャラクターシート!H45</f>
        <v>★</v>
      </c>
      <c r="E88" s="124" t="str">
        <f>キャラクターシート!I45</f>
        <v>パッシヴ</v>
      </c>
      <c r="F88" s="57" t="str">
        <f>キャラクターシート!K45</f>
        <v>-</v>
      </c>
      <c r="G88" s="57" t="str">
        <f>キャラクターシート!L45</f>
        <v>自身</v>
      </c>
      <c r="H88" s="57" t="str">
        <f>キャラクターシート!M45</f>
        <v>-</v>
      </c>
      <c r="I88" s="57" t="str">
        <f>キャラクターシート!N45</f>
        <v>-</v>
      </c>
      <c r="J88" s="57" t="str">
        <f>キャラクターシート!P45</f>
        <v>-</v>
      </c>
      <c r="K88" s="389">
        <f>キャラクターシート!Q45</f>
        <v>0</v>
      </c>
      <c r="L88" s="389"/>
      <c r="M88" s="389"/>
      <c r="N88" s="389"/>
    </row>
    <row r="89" spans="1:14" ht="13.5">
      <c r="A89" s="435" t="str">
        <f>キャラクターシート!B46</f>
        <v>アスレチック</v>
      </c>
      <c r="B89" s="435"/>
      <c r="C89" s="150" t="str">
        <f>キャラクターシート!F46</f>
        <v>一般スキル</v>
      </c>
      <c r="D89" s="150" t="str">
        <f>キャラクターシート!H46</f>
        <v>★</v>
      </c>
      <c r="E89" s="150" t="str">
        <f>キャラクターシート!I46</f>
        <v>パッシヴ</v>
      </c>
      <c r="F89" s="148" t="str">
        <f>キャラクターシート!K46</f>
        <v>-</v>
      </c>
      <c r="G89" s="148" t="str">
        <f>キャラクターシート!L46</f>
        <v>自身</v>
      </c>
      <c r="H89" s="148" t="str">
        <f>キャラクターシート!M46</f>
        <v>-</v>
      </c>
      <c r="I89" s="148" t="str">
        <f>キャラクターシート!N46</f>
        <v>-</v>
      </c>
      <c r="J89" s="148" t="str">
        <f>キャラクターシート!P46</f>
        <v>-</v>
      </c>
      <c r="K89" s="414">
        <f>キャラクターシート!Q46</f>
        <v>0</v>
      </c>
      <c r="L89" s="414"/>
      <c r="M89" s="414"/>
      <c r="N89" s="414"/>
    </row>
    <row r="90" spans="1:14" ht="13.5">
      <c r="A90" s="436">
        <f>キャラクターシート!B50</f>
      </c>
      <c r="B90" s="436"/>
      <c r="C90" s="429">
        <f>キャラクターシート!F50</f>
      </c>
      <c r="D90" s="429">
        <f>キャラクターシート!H50</f>
      </c>
      <c r="E90" s="429">
        <f>キャラクターシート!I50</f>
      </c>
      <c r="F90" s="430">
        <f>キャラクターシート!K50</f>
      </c>
      <c r="G90" s="430">
        <f>キャラクターシート!L50</f>
      </c>
      <c r="H90" s="430">
        <f>キャラクターシート!M50</f>
      </c>
      <c r="I90" s="430">
        <f>キャラクターシート!N50</f>
      </c>
      <c r="J90" s="430">
        <f>キャラクターシート!P50</f>
      </c>
      <c r="K90" s="437">
        <f>キャラクターシート!Q50</f>
      </c>
      <c r="L90" s="437"/>
      <c r="M90" s="437"/>
      <c r="N90" s="437"/>
    </row>
    <row r="91" spans="1:14" ht="13.5">
      <c r="A91" s="434">
        <f>キャラクターシート!B51</f>
      </c>
      <c r="B91" s="434"/>
      <c r="C91" s="124">
        <f>キャラクターシート!F51</f>
      </c>
      <c r="D91" s="124">
        <f>キャラクターシート!H51</f>
      </c>
      <c r="E91" s="124">
        <f>キャラクターシート!I51</f>
      </c>
      <c r="F91" s="57">
        <f>キャラクターシート!K51</f>
      </c>
      <c r="G91" s="57">
        <f>キャラクターシート!L51</f>
      </c>
      <c r="H91" s="57">
        <f>キャラクターシート!M51</f>
      </c>
      <c r="I91" s="57">
        <f>キャラクターシート!N51</f>
      </c>
      <c r="J91" s="57">
        <f>キャラクターシート!P51</f>
      </c>
      <c r="K91" s="389">
        <f>キャラクターシート!Q51</f>
      </c>
      <c r="L91" s="389"/>
      <c r="M91" s="389"/>
      <c r="N91" s="389"/>
    </row>
    <row r="92" spans="1:14" ht="13.5">
      <c r="A92" s="434">
        <f>キャラクターシート!B52</f>
      </c>
      <c r="B92" s="434"/>
      <c r="C92" s="124">
        <f>キャラクターシート!F52</f>
      </c>
      <c r="D92" s="124">
        <f>キャラクターシート!H52</f>
      </c>
      <c r="E92" s="124">
        <f>キャラクターシート!I52</f>
      </c>
      <c r="F92" s="57">
        <f>キャラクターシート!K52</f>
      </c>
      <c r="G92" s="57">
        <f>キャラクターシート!L52</f>
      </c>
      <c r="H92" s="57">
        <f>キャラクターシート!M52</f>
      </c>
      <c r="I92" s="57">
        <f>キャラクターシート!N52</f>
      </c>
      <c r="J92" s="57">
        <f>キャラクターシート!P52</f>
      </c>
      <c r="K92" s="389">
        <f>キャラクターシート!Q52</f>
      </c>
      <c r="L92" s="389"/>
      <c r="M92" s="389"/>
      <c r="N92" s="389"/>
    </row>
    <row r="93" spans="1:14" ht="13.5">
      <c r="A93" s="434">
        <f>キャラクターシート!B53</f>
      </c>
      <c r="B93" s="434"/>
      <c r="C93" s="124">
        <f>キャラクターシート!F53</f>
      </c>
      <c r="D93" s="124">
        <f>キャラクターシート!H53</f>
      </c>
      <c r="E93" s="124">
        <f>キャラクターシート!I53</f>
      </c>
      <c r="F93" s="57">
        <f>キャラクターシート!K53</f>
      </c>
      <c r="G93" s="57">
        <f>キャラクターシート!L53</f>
      </c>
      <c r="H93" s="57">
        <f>キャラクターシート!M53</f>
      </c>
      <c r="I93" s="57">
        <f>キャラクターシート!N53</f>
      </c>
      <c r="J93" s="57">
        <f>キャラクターシート!P53</f>
      </c>
      <c r="K93" s="389">
        <f>キャラクターシート!Q53</f>
      </c>
      <c r="L93" s="389"/>
      <c r="M93" s="389"/>
      <c r="N93" s="389"/>
    </row>
    <row r="94" spans="1:14" ht="13.5">
      <c r="A94" s="434">
        <f>キャラクターシート!B54</f>
      </c>
      <c r="B94" s="434"/>
      <c r="C94" s="124">
        <f>キャラクターシート!F54</f>
      </c>
      <c r="D94" s="124">
        <f>キャラクターシート!H54</f>
      </c>
      <c r="E94" s="124">
        <f>キャラクターシート!I54</f>
      </c>
      <c r="F94" s="57">
        <f>キャラクターシート!K54</f>
      </c>
      <c r="G94" s="57">
        <f>キャラクターシート!L54</f>
      </c>
      <c r="H94" s="57">
        <f>キャラクターシート!M54</f>
      </c>
      <c r="I94" s="57">
        <f>キャラクターシート!N54</f>
      </c>
      <c r="J94" s="57">
        <f>キャラクターシート!P54</f>
      </c>
      <c r="K94" s="389">
        <f>キャラクターシート!Q54</f>
      </c>
      <c r="L94" s="389"/>
      <c r="M94" s="389"/>
      <c r="N94" s="389"/>
    </row>
    <row r="95" spans="1:14" ht="13.5">
      <c r="A95" s="434">
        <f>キャラクターシート!B55</f>
      </c>
      <c r="B95" s="434"/>
      <c r="C95" s="124">
        <f>キャラクターシート!F55</f>
      </c>
      <c r="D95" s="124">
        <f>キャラクターシート!H55</f>
      </c>
      <c r="E95" s="124">
        <f>キャラクターシート!I55</f>
      </c>
      <c r="F95" s="57">
        <f>キャラクターシート!K55</f>
      </c>
      <c r="G95" s="57">
        <f>キャラクターシート!L55</f>
      </c>
      <c r="H95" s="57">
        <f>キャラクターシート!M55</f>
      </c>
      <c r="I95" s="57">
        <f>キャラクターシート!N55</f>
      </c>
      <c r="J95" s="57">
        <f>キャラクターシート!P55</f>
      </c>
      <c r="K95" s="389">
        <f>キャラクターシート!Q55</f>
      </c>
      <c r="L95" s="389"/>
      <c r="M95" s="389"/>
      <c r="N95" s="389"/>
    </row>
    <row r="96" spans="1:14" ht="13.5">
      <c r="A96" s="434">
        <f>キャラクターシート!B56</f>
      </c>
      <c r="B96" s="434"/>
      <c r="C96" s="124">
        <f>キャラクターシート!F56</f>
      </c>
      <c r="D96" s="124">
        <f>キャラクターシート!H56</f>
      </c>
      <c r="E96" s="124">
        <f>キャラクターシート!I56</f>
      </c>
      <c r="F96" s="57">
        <f>キャラクターシート!K56</f>
      </c>
      <c r="G96" s="57">
        <f>キャラクターシート!L56</f>
      </c>
      <c r="H96" s="57">
        <f>キャラクターシート!M56</f>
      </c>
      <c r="I96" s="57">
        <f>キャラクターシート!N56</f>
      </c>
      <c r="J96" s="57">
        <f>キャラクターシート!P56</f>
      </c>
      <c r="K96" s="389">
        <f>キャラクターシート!Q56</f>
      </c>
      <c r="L96" s="389"/>
      <c r="M96" s="389"/>
      <c r="N96" s="389"/>
    </row>
    <row r="97" spans="1:14" ht="13.5">
      <c r="A97" s="434">
        <f>キャラクターシート!B57</f>
      </c>
      <c r="B97" s="434"/>
      <c r="C97" s="124">
        <f>キャラクターシート!F57</f>
      </c>
      <c r="D97" s="124">
        <f>キャラクターシート!H57</f>
      </c>
      <c r="E97" s="124">
        <f>キャラクターシート!I57</f>
      </c>
      <c r="F97" s="57">
        <f>キャラクターシート!K57</f>
      </c>
      <c r="G97" s="57">
        <f>キャラクターシート!L57</f>
      </c>
      <c r="H97" s="57">
        <f>キャラクターシート!M57</f>
      </c>
      <c r="I97" s="57">
        <f>キャラクターシート!N57</f>
      </c>
      <c r="J97" s="57">
        <f>キャラクターシート!P57</f>
      </c>
      <c r="K97" s="389">
        <f>キャラクターシート!Q57</f>
      </c>
      <c r="L97" s="389"/>
      <c r="M97" s="389"/>
      <c r="N97" s="389"/>
    </row>
    <row r="98" spans="1:14" ht="13.5">
      <c r="A98" s="434">
        <f>キャラクターシート!B58</f>
      </c>
      <c r="B98" s="434"/>
      <c r="C98" s="124">
        <f>キャラクターシート!F58</f>
      </c>
      <c r="D98" s="124">
        <f>キャラクターシート!H58</f>
      </c>
      <c r="E98" s="124">
        <f>キャラクターシート!I58</f>
      </c>
      <c r="F98" s="57">
        <f>キャラクターシート!K58</f>
      </c>
      <c r="G98" s="57">
        <f>キャラクターシート!L58</f>
      </c>
      <c r="H98" s="57">
        <f>キャラクターシート!M58</f>
      </c>
      <c r="I98" s="57">
        <f>キャラクターシート!N58</f>
      </c>
      <c r="J98" s="57">
        <f>キャラクターシート!P58</f>
      </c>
      <c r="K98" s="389">
        <f>キャラクターシート!Q58</f>
      </c>
      <c r="L98" s="389"/>
      <c r="M98" s="389"/>
      <c r="N98" s="389"/>
    </row>
    <row r="99" spans="1:14" ht="13.5">
      <c r="A99" s="438">
        <f>キャラクターシート!B59</f>
      </c>
      <c r="B99" s="438"/>
      <c r="C99" s="425">
        <f>キャラクターシート!F59</f>
      </c>
      <c r="D99" s="425">
        <f>キャラクターシート!H59</f>
      </c>
      <c r="E99" s="425">
        <f>キャラクターシート!I59</f>
      </c>
      <c r="F99" s="419">
        <f>キャラクターシート!K59</f>
      </c>
      <c r="G99" s="419">
        <f>キャラクターシート!L59</f>
      </c>
      <c r="H99" s="419">
        <f>キャラクターシート!M59</f>
      </c>
      <c r="I99" s="419">
        <f>キャラクターシート!N59</f>
      </c>
      <c r="J99" s="419">
        <f>キャラクターシート!P59</f>
      </c>
      <c r="K99" s="439">
        <f>キャラクターシート!Q59</f>
      </c>
      <c r="L99" s="439"/>
      <c r="M99" s="439"/>
      <c r="N99" s="439"/>
    </row>
    <row r="100" spans="1:14" ht="13.5">
      <c r="A100" s="434">
        <f>キャラクターシート!B60</f>
      </c>
      <c r="B100" s="434"/>
      <c r="C100" s="124">
        <f>キャラクターシート!F60</f>
      </c>
      <c r="D100" s="124">
        <f>キャラクターシート!H60</f>
      </c>
      <c r="E100" s="124">
        <f>キャラクターシート!I60</f>
      </c>
      <c r="F100" s="57">
        <f>キャラクターシート!K60</f>
      </c>
      <c r="G100" s="57">
        <f>キャラクターシート!L60</f>
      </c>
      <c r="H100" s="57">
        <f>キャラクターシート!M60</f>
      </c>
      <c r="I100" s="57">
        <f>キャラクターシート!N60</f>
      </c>
      <c r="J100" s="57">
        <f>キャラクターシート!P60</f>
      </c>
      <c r="K100" s="389">
        <f>キャラクターシート!Q60</f>
      </c>
      <c r="L100" s="389"/>
      <c r="M100" s="389"/>
      <c r="N100" s="389"/>
    </row>
    <row r="101" spans="1:14" ht="13.5">
      <c r="A101" s="434">
        <f>キャラクターシート!B61</f>
      </c>
      <c r="B101" s="434"/>
      <c r="C101" s="124">
        <f>キャラクターシート!F61</f>
      </c>
      <c r="D101" s="124">
        <f>キャラクターシート!H61</f>
      </c>
      <c r="E101" s="124">
        <f>キャラクターシート!I61</f>
      </c>
      <c r="F101" s="57">
        <f>キャラクターシート!K61</f>
      </c>
      <c r="G101" s="57">
        <f>キャラクターシート!L61</f>
      </c>
      <c r="H101" s="57">
        <f>キャラクターシート!M61</f>
      </c>
      <c r="I101" s="57">
        <f>キャラクターシート!N61</f>
      </c>
      <c r="J101" s="57">
        <f>キャラクターシート!P61</f>
      </c>
      <c r="K101" s="389">
        <f>キャラクターシート!Q61</f>
      </c>
      <c r="L101" s="389"/>
      <c r="M101" s="389"/>
      <c r="N101" s="389"/>
    </row>
    <row r="102" spans="1:14" ht="13.5">
      <c r="A102" s="434">
        <f>キャラクターシート!B62</f>
      </c>
      <c r="B102" s="434"/>
      <c r="C102" s="124">
        <f>キャラクターシート!F62</f>
      </c>
      <c r="D102" s="124">
        <f>キャラクターシート!H62</f>
      </c>
      <c r="E102" s="124">
        <f>キャラクターシート!I62</f>
      </c>
      <c r="F102" s="57">
        <f>キャラクターシート!K62</f>
      </c>
      <c r="G102" s="57">
        <f>キャラクターシート!L62</f>
      </c>
      <c r="H102" s="57">
        <f>キャラクターシート!M62</f>
      </c>
      <c r="I102" s="57">
        <f>キャラクターシート!N62</f>
      </c>
      <c r="J102" s="57">
        <f>キャラクターシート!P62</f>
      </c>
      <c r="K102" s="389">
        <f>キャラクターシート!Q62</f>
      </c>
      <c r="L102" s="389"/>
      <c r="M102" s="389"/>
      <c r="N102" s="389"/>
    </row>
    <row r="103" spans="1:14" ht="13.5">
      <c r="A103" s="434">
        <f>キャラクターシート!B63</f>
      </c>
      <c r="B103" s="434"/>
      <c r="C103" s="124">
        <f>キャラクターシート!F63</f>
      </c>
      <c r="D103" s="124">
        <f>キャラクターシート!H63</f>
      </c>
      <c r="E103" s="124">
        <f>キャラクターシート!I63</f>
      </c>
      <c r="F103" s="57">
        <f>キャラクターシート!K63</f>
      </c>
      <c r="G103" s="57">
        <f>キャラクターシート!L63</f>
      </c>
      <c r="H103" s="57">
        <f>キャラクターシート!M63</f>
      </c>
      <c r="I103" s="57">
        <f>キャラクターシート!N63</f>
      </c>
      <c r="J103" s="57">
        <f>キャラクターシート!P63</f>
      </c>
      <c r="K103" s="389">
        <f>キャラクターシート!Q63</f>
      </c>
      <c r="L103" s="389"/>
      <c r="M103" s="389"/>
      <c r="N103" s="389"/>
    </row>
    <row r="104" spans="1:14" ht="13.5">
      <c r="A104" s="434">
        <f>キャラクターシート!B64</f>
      </c>
      <c r="B104" s="434"/>
      <c r="C104" s="124">
        <f>キャラクターシート!F64</f>
      </c>
      <c r="D104" s="124">
        <f>キャラクターシート!H64</f>
      </c>
      <c r="E104" s="124">
        <f>キャラクターシート!I64</f>
      </c>
      <c r="F104" s="57">
        <f>キャラクターシート!K64</f>
      </c>
      <c r="G104" s="57">
        <f>キャラクターシート!L64</f>
      </c>
      <c r="H104" s="57">
        <f>キャラクターシート!M64</f>
      </c>
      <c r="I104" s="57">
        <f>キャラクターシート!N64</f>
      </c>
      <c r="J104" s="57">
        <f>キャラクターシート!P64</f>
      </c>
      <c r="K104" s="389">
        <f>キャラクターシート!Q64</f>
      </c>
      <c r="L104" s="389"/>
      <c r="M104" s="389"/>
      <c r="N104" s="389"/>
    </row>
    <row r="105" spans="1:14" ht="13.5">
      <c r="A105" s="434">
        <f>キャラクターシート!B65</f>
      </c>
      <c r="B105" s="434"/>
      <c r="C105" s="124">
        <f>キャラクターシート!F65</f>
      </c>
      <c r="D105" s="124">
        <f>キャラクターシート!H65</f>
      </c>
      <c r="E105" s="124">
        <f>キャラクターシート!I65</f>
      </c>
      <c r="F105" s="57">
        <f>キャラクターシート!K65</f>
      </c>
      <c r="G105" s="57">
        <f>キャラクターシート!L65</f>
      </c>
      <c r="H105" s="57">
        <f>キャラクターシート!M65</f>
      </c>
      <c r="I105" s="57">
        <f>キャラクターシート!N65</f>
      </c>
      <c r="J105" s="57">
        <f>キャラクターシート!P65</f>
      </c>
      <c r="K105" s="389">
        <f>キャラクターシート!Q65</f>
      </c>
      <c r="L105" s="389"/>
      <c r="M105" s="389"/>
      <c r="N105" s="389"/>
    </row>
    <row r="106" spans="1:14" ht="13.5">
      <c r="A106" s="434">
        <f>キャラクターシート!B66</f>
      </c>
      <c r="B106" s="434"/>
      <c r="C106" s="124">
        <f>キャラクターシート!F66</f>
      </c>
      <c r="D106" s="124">
        <f>キャラクターシート!H66</f>
      </c>
      <c r="E106" s="124">
        <f>キャラクターシート!I66</f>
      </c>
      <c r="F106" s="57">
        <f>キャラクターシート!K66</f>
      </c>
      <c r="G106" s="57">
        <f>キャラクターシート!L66</f>
      </c>
      <c r="H106" s="57">
        <f>キャラクターシート!M66</f>
      </c>
      <c r="I106" s="57">
        <f>キャラクターシート!N66</f>
      </c>
      <c r="J106" s="57">
        <f>キャラクターシート!P66</f>
      </c>
      <c r="K106" s="389">
        <f>キャラクターシート!Q66</f>
      </c>
      <c r="L106" s="389"/>
      <c r="M106" s="389"/>
      <c r="N106" s="389"/>
    </row>
    <row r="107" spans="1:14" ht="13.5">
      <c r="A107" s="440">
        <f>キャラクターシート!B67</f>
      </c>
      <c r="B107" s="440"/>
      <c r="C107" s="153">
        <f>キャラクターシート!F67</f>
      </c>
      <c r="D107" s="153">
        <f>キャラクターシート!H67</f>
      </c>
      <c r="E107" s="153">
        <f>キャラクターシート!I67</f>
      </c>
      <c r="F107" s="151">
        <f>キャラクターシート!K67</f>
      </c>
      <c r="G107" s="151">
        <f>キャラクターシート!L67</f>
      </c>
      <c r="H107" s="151">
        <f>キャラクターシート!M67</f>
      </c>
      <c r="I107" s="151">
        <f>キャラクターシート!N67</f>
      </c>
      <c r="J107" s="151">
        <f>キャラクターシート!P67</f>
      </c>
      <c r="K107" s="403">
        <f>キャラクターシート!Q67</f>
      </c>
      <c r="L107" s="403"/>
      <c r="M107" s="403"/>
      <c r="N107" s="403"/>
    </row>
  </sheetData>
  <mergeCells count="146">
    <mergeCell ref="A1:E1"/>
    <mergeCell ref="F1:N1"/>
    <mergeCell ref="A2:B2"/>
    <mergeCell ref="C2:E2"/>
    <mergeCell ref="F2:G2"/>
    <mergeCell ref="I2:J2"/>
    <mergeCell ref="M2:N2"/>
    <mergeCell ref="A3:B3"/>
    <mergeCell ref="C3:E3"/>
    <mergeCell ref="F3:G3"/>
    <mergeCell ref="H3:N3"/>
    <mergeCell ref="A4:B4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F13:N13"/>
    <mergeCell ref="F14:N14"/>
    <mergeCell ref="F15:N15"/>
    <mergeCell ref="F16:N16"/>
    <mergeCell ref="F17:N17"/>
    <mergeCell ref="F18:N18"/>
    <mergeCell ref="F19:N19"/>
    <mergeCell ref="F20:N20"/>
    <mergeCell ref="F21:N21"/>
    <mergeCell ref="F22:N22"/>
    <mergeCell ref="F23:N23"/>
    <mergeCell ref="F24:N24"/>
    <mergeCell ref="F25:N25"/>
    <mergeCell ref="F26:N26"/>
    <mergeCell ref="F27:N27"/>
    <mergeCell ref="F28:N28"/>
    <mergeCell ref="F29:N29"/>
    <mergeCell ref="A30:B30"/>
    <mergeCell ref="H30:L30"/>
    <mergeCell ref="F31:N31"/>
    <mergeCell ref="F32:N32"/>
    <mergeCell ref="F33:N33"/>
    <mergeCell ref="F34:N34"/>
    <mergeCell ref="F35:N35"/>
    <mergeCell ref="F36:N36"/>
    <mergeCell ref="F37:N37"/>
    <mergeCell ref="F38:N38"/>
    <mergeCell ref="F39:N39"/>
    <mergeCell ref="F40:N40"/>
    <mergeCell ref="F41:N41"/>
    <mergeCell ref="F42:N42"/>
    <mergeCell ref="F43:N43"/>
    <mergeCell ref="F44:N44"/>
    <mergeCell ref="F45:N45"/>
    <mergeCell ref="F46:N46"/>
    <mergeCell ref="F47:N47"/>
    <mergeCell ref="F48:N48"/>
    <mergeCell ref="F49:N49"/>
    <mergeCell ref="F50:N50"/>
    <mergeCell ref="F51:N51"/>
    <mergeCell ref="F52:N52"/>
    <mergeCell ref="F53:N53"/>
    <mergeCell ref="F54:N54"/>
    <mergeCell ref="A67:E67"/>
    <mergeCell ref="F67:N67"/>
    <mergeCell ref="A68:B68"/>
    <mergeCell ref="K68:N68"/>
    <mergeCell ref="A69:B69"/>
    <mergeCell ref="K69:N69"/>
    <mergeCell ref="A70:B70"/>
    <mergeCell ref="K70:N70"/>
    <mergeCell ref="A71:B71"/>
    <mergeCell ref="K71:N71"/>
    <mergeCell ref="A72:B72"/>
    <mergeCell ref="K72:N72"/>
    <mergeCell ref="A73:B73"/>
    <mergeCell ref="K73:N73"/>
    <mergeCell ref="A74:B74"/>
    <mergeCell ref="K74:N74"/>
    <mergeCell ref="A75:B75"/>
    <mergeCell ref="K75:N75"/>
    <mergeCell ref="A76:B76"/>
    <mergeCell ref="K76:N76"/>
    <mergeCell ref="A77:B77"/>
    <mergeCell ref="K77:N77"/>
    <mergeCell ref="A78:B78"/>
    <mergeCell ref="K78:N78"/>
    <mergeCell ref="A79:B79"/>
    <mergeCell ref="K79:N79"/>
    <mergeCell ref="A80:B80"/>
    <mergeCell ref="K80:N80"/>
    <mergeCell ref="A81:B81"/>
    <mergeCell ref="K81:N81"/>
    <mergeCell ref="A82:B82"/>
    <mergeCell ref="K82:N82"/>
    <mergeCell ref="A83:B83"/>
    <mergeCell ref="K83:N83"/>
    <mergeCell ref="A84:B84"/>
    <mergeCell ref="K84:N84"/>
    <mergeCell ref="A85:B85"/>
    <mergeCell ref="K85:N85"/>
    <mergeCell ref="A86:B86"/>
    <mergeCell ref="K86:N86"/>
    <mergeCell ref="A87:B87"/>
    <mergeCell ref="K87:N87"/>
    <mergeCell ref="A88:B88"/>
    <mergeCell ref="K88:N88"/>
    <mergeCell ref="A89:B89"/>
    <mergeCell ref="K89:N89"/>
    <mergeCell ref="A90:B90"/>
    <mergeCell ref="K90:N90"/>
    <mergeCell ref="A91:B91"/>
    <mergeCell ref="K91:N91"/>
    <mergeCell ref="A92:B92"/>
    <mergeCell ref="K92:N92"/>
    <mergeCell ref="A93:B93"/>
    <mergeCell ref="K93:N93"/>
    <mergeCell ref="A94:B94"/>
    <mergeCell ref="K94:N94"/>
    <mergeCell ref="A95:B95"/>
    <mergeCell ref="K95:N95"/>
    <mergeCell ref="A96:B96"/>
    <mergeCell ref="K96:N96"/>
    <mergeCell ref="A97:B97"/>
    <mergeCell ref="K97:N97"/>
    <mergeCell ref="A98:B98"/>
    <mergeCell ref="K98:N98"/>
    <mergeCell ref="A99:B99"/>
    <mergeCell ref="K99:N99"/>
    <mergeCell ref="A100:B100"/>
    <mergeCell ref="K100:N100"/>
    <mergeCell ref="A101:B101"/>
    <mergeCell ref="K101:N101"/>
    <mergeCell ref="A102:B102"/>
    <mergeCell ref="K102:N102"/>
    <mergeCell ref="A103:B103"/>
    <mergeCell ref="K103:N103"/>
    <mergeCell ref="A104:B104"/>
    <mergeCell ref="K104:N104"/>
    <mergeCell ref="A105:B105"/>
    <mergeCell ref="K105:N105"/>
    <mergeCell ref="A106:B106"/>
    <mergeCell ref="K106:N106"/>
    <mergeCell ref="A107:B107"/>
    <mergeCell ref="K107:N107"/>
  </mergeCells>
  <dataValidations count="1">
    <dataValidation type="list" operator="equal" allowBlank="1" showErrorMessage="1" sqref="B5:B29">
      <formula1>AR_ギルドサポート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417"/>
  <sheetViews>
    <sheetView workbookViewId="0" topLeftCell="A352">
      <selection activeCell="F356" sqref="F356"/>
    </sheetView>
  </sheetViews>
  <sheetFormatPr defaultColWidth="9.00390625" defaultRowHeight="13.5"/>
  <cols>
    <col min="1" max="1" width="22.125" style="65" customWidth="1"/>
    <col min="2" max="2" width="16.75390625" style="65" customWidth="1"/>
    <col min="3" max="3" width="2.75390625" style="65" customWidth="1"/>
    <col min="4" max="4" width="15.50390625" style="65" customWidth="1"/>
    <col min="5" max="5" width="4.625" style="65" customWidth="1"/>
    <col min="6" max="6" width="4.375" style="65" customWidth="1"/>
    <col min="7" max="7" width="4.875" style="65" customWidth="1"/>
    <col min="8" max="8" width="5.00390625" style="65" customWidth="1"/>
    <col min="9" max="9" width="7.375" style="65" customWidth="1"/>
    <col min="10" max="10" width="51.75390625" style="441" customWidth="1"/>
    <col min="11" max="11" width="9.375" style="65" customWidth="1"/>
    <col min="12" max="12" width="9.00390625" style="360" customWidth="1"/>
    <col min="13" max="16384" width="9.00390625" style="65" customWidth="1"/>
  </cols>
  <sheetData>
    <row r="1" spans="1:18" s="202" customFormat="1" ht="11.25" customHeight="1">
      <c r="A1" s="442" t="s">
        <v>406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3"/>
      <c r="M1" s="444"/>
      <c r="N1" s="444"/>
      <c r="O1" s="444"/>
      <c r="P1" s="444"/>
      <c r="Q1" s="444"/>
      <c r="R1" s="444"/>
    </row>
    <row r="2" spans="1:11" ht="11.25" customHeight="1">
      <c r="A2" s="445" t="s">
        <v>407</v>
      </c>
      <c r="B2" s="446" t="s">
        <v>322</v>
      </c>
      <c r="C2" s="446" t="s">
        <v>323</v>
      </c>
      <c r="D2" s="446" t="s">
        <v>324</v>
      </c>
      <c r="E2" s="446" t="s">
        <v>185</v>
      </c>
      <c r="F2" s="446" t="s">
        <v>325</v>
      </c>
      <c r="G2" s="446" t="s">
        <v>261</v>
      </c>
      <c r="H2" s="446" t="s">
        <v>326</v>
      </c>
      <c r="I2" s="446" t="s">
        <v>254</v>
      </c>
      <c r="J2" s="447" t="s">
        <v>327</v>
      </c>
      <c r="K2" s="447" t="s">
        <v>408</v>
      </c>
    </row>
    <row r="3" spans="1:12" s="451" customFormat="1" ht="11.25" customHeight="1">
      <c r="A3" s="448" t="s">
        <v>409</v>
      </c>
      <c r="B3" s="448" t="s">
        <v>407</v>
      </c>
      <c r="C3" s="448" t="s">
        <v>348</v>
      </c>
      <c r="D3" s="448" t="s">
        <v>410</v>
      </c>
      <c r="E3" s="448" t="s">
        <v>83</v>
      </c>
      <c r="F3" s="448" t="s">
        <v>411</v>
      </c>
      <c r="G3" s="448" t="s">
        <v>83</v>
      </c>
      <c r="H3" s="448" t="s">
        <v>83</v>
      </c>
      <c r="I3" s="448" t="s">
        <v>83</v>
      </c>
      <c r="J3" s="449" t="s">
        <v>412</v>
      </c>
      <c r="K3" s="448" t="s">
        <v>413</v>
      </c>
      <c r="L3" s="450"/>
    </row>
    <row r="4" spans="1:12" s="451" customFormat="1" ht="11.25" customHeight="1">
      <c r="A4" s="448" t="s">
        <v>414</v>
      </c>
      <c r="B4" s="448" t="s">
        <v>407</v>
      </c>
      <c r="C4" s="448" t="s">
        <v>348</v>
      </c>
      <c r="D4" s="448" t="s">
        <v>415</v>
      </c>
      <c r="E4" s="448" t="s">
        <v>83</v>
      </c>
      <c r="F4" s="448" t="s">
        <v>411</v>
      </c>
      <c r="G4" s="448" t="s">
        <v>83</v>
      </c>
      <c r="H4" s="448" t="s">
        <v>83</v>
      </c>
      <c r="I4" s="448" t="s">
        <v>83</v>
      </c>
      <c r="J4" s="449" t="s">
        <v>416</v>
      </c>
      <c r="K4" s="448" t="s">
        <v>413</v>
      </c>
      <c r="L4" s="450"/>
    </row>
    <row r="5" spans="1:12" s="451" customFormat="1" ht="11.25" customHeight="1">
      <c r="A5" s="448" t="s">
        <v>417</v>
      </c>
      <c r="B5" s="448" t="s">
        <v>407</v>
      </c>
      <c r="C5" s="448" t="s">
        <v>348</v>
      </c>
      <c r="D5" s="448" t="s">
        <v>418</v>
      </c>
      <c r="E5" s="448" t="s">
        <v>83</v>
      </c>
      <c r="F5" s="448" t="s">
        <v>411</v>
      </c>
      <c r="G5" s="448" t="s">
        <v>83</v>
      </c>
      <c r="H5" s="448" t="s">
        <v>83</v>
      </c>
      <c r="I5" s="448" t="s">
        <v>83</v>
      </c>
      <c r="J5" s="449" t="s">
        <v>419</v>
      </c>
      <c r="K5" s="448" t="s">
        <v>413</v>
      </c>
      <c r="L5" s="450"/>
    </row>
    <row r="6" spans="1:12" s="451" customFormat="1" ht="11.25" customHeight="1">
      <c r="A6" s="452" t="s">
        <v>420</v>
      </c>
      <c r="B6" s="448" t="s">
        <v>407</v>
      </c>
      <c r="C6" s="448" t="s">
        <v>348</v>
      </c>
      <c r="D6" s="448" t="s">
        <v>418</v>
      </c>
      <c r="E6" s="448" t="s">
        <v>83</v>
      </c>
      <c r="F6" s="448" t="s">
        <v>411</v>
      </c>
      <c r="G6" s="448" t="s">
        <v>83</v>
      </c>
      <c r="H6" s="448" t="s">
        <v>83</v>
      </c>
      <c r="I6" s="448" t="s">
        <v>83</v>
      </c>
      <c r="J6" s="453" t="s">
        <v>421</v>
      </c>
      <c r="K6" s="448" t="s">
        <v>413</v>
      </c>
      <c r="L6" s="450"/>
    </row>
    <row r="7" spans="1:12" s="451" customFormat="1" ht="11.25" customHeight="1">
      <c r="A7" s="454" t="s">
        <v>422</v>
      </c>
      <c r="B7" s="454" t="s">
        <v>407</v>
      </c>
      <c r="C7" s="454" t="s">
        <v>348</v>
      </c>
      <c r="D7" s="454" t="s">
        <v>423</v>
      </c>
      <c r="E7" s="448" t="s">
        <v>424</v>
      </c>
      <c r="F7" s="454" t="s">
        <v>411</v>
      </c>
      <c r="G7" s="454" t="s">
        <v>83</v>
      </c>
      <c r="H7" s="454" t="s">
        <v>83</v>
      </c>
      <c r="I7" s="448">
        <v>1</v>
      </c>
      <c r="J7" s="455" t="s">
        <v>425</v>
      </c>
      <c r="K7" s="448" t="s">
        <v>426</v>
      </c>
      <c r="L7" s="450"/>
    </row>
    <row r="8" spans="1:12" s="451" customFormat="1" ht="11.25" customHeight="1">
      <c r="A8" s="454" t="s">
        <v>427</v>
      </c>
      <c r="B8" s="454" t="s">
        <v>407</v>
      </c>
      <c r="C8" s="454" t="s">
        <v>348</v>
      </c>
      <c r="D8" s="454" t="s">
        <v>410</v>
      </c>
      <c r="E8" s="448" t="s">
        <v>83</v>
      </c>
      <c r="F8" s="454" t="s">
        <v>411</v>
      </c>
      <c r="G8" s="454" t="s">
        <v>83</v>
      </c>
      <c r="H8" s="454" t="s">
        <v>83</v>
      </c>
      <c r="I8" s="448" t="s">
        <v>83</v>
      </c>
      <c r="J8" s="455" t="s">
        <v>428</v>
      </c>
      <c r="K8" s="448" t="s">
        <v>426</v>
      </c>
      <c r="L8" s="450"/>
    </row>
    <row r="9" spans="1:12" s="451" customFormat="1" ht="11.25" customHeight="1">
      <c r="A9" s="454" t="s">
        <v>429</v>
      </c>
      <c r="B9" s="454" t="s">
        <v>407</v>
      </c>
      <c r="C9" s="454" t="s">
        <v>348</v>
      </c>
      <c r="D9" s="454" t="s">
        <v>410</v>
      </c>
      <c r="E9" s="448" t="s">
        <v>83</v>
      </c>
      <c r="F9" s="454" t="s">
        <v>411</v>
      </c>
      <c r="G9" s="454" t="s">
        <v>83</v>
      </c>
      <c r="H9" s="454" t="s">
        <v>83</v>
      </c>
      <c r="I9" s="448" t="s">
        <v>83</v>
      </c>
      <c r="J9" s="456" t="s">
        <v>430</v>
      </c>
      <c r="K9" s="448" t="s">
        <v>426</v>
      </c>
      <c r="L9" s="450"/>
    </row>
    <row r="10" spans="1:12" s="451" customFormat="1" ht="11.25" customHeight="1">
      <c r="A10" s="454" t="s">
        <v>431</v>
      </c>
      <c r="B10" s="454" t="s">
        <v>407</v>
      </c>
      <c r="C10" s="454" t="s">
        <v>348</v>
      </c>
      <c r="D10" s="454" t="s">
        <v>410</v>
      </c>
      <c r="E10" s="448" t="s">
        <v>83</v>
      </c>
      <c r="F10" s="454" t="s">
        <v>411</v>
      </c>
      <c r="G10" s="454" t="s">
        <v>83</v>
      </c>
      <c r="H10" s="454" t="s">
        <v>83</v>
      </c>
      <c r="I10" s="448" t="s">
        <v>83</v>
      </c>
      <c r="J10" s="456" t="s">
        <v>430</v>
      </c>
      <c r="K10" s="448" t="s">
        <v>426</v>
      </c>
      <c r="L10" s="450"/>
    </row>
    <row r="11" spans="1:12" s="451" customFormat="1" ht="11.25" customHeight="1">
      <c r="A11" s="454" t="s">
        <v>432</v>
      </c>
      <c r="B11" s="454" t="s">
        <v>407</v>
      </c>
      <c r="C11" s="454" t="s">
        <v>348</v>
      </c>
      <c r="D11" s="454" t="s">
        <v>410</v>
      </c>
      <c r="E11" s="448" t="s">
        <v>83</v>
      </c>
      <c r="F11" s="454" t="s">
        <v>411</v>
      </c>
      <c r="G11" s="454" t="s">
        <v>83</v>
      </c>
      <c r="H11" s="454" t="s">
        <v>83</v>
      </c>
      <c r="I11" s="448" t="s">
        <v>83</v>
      </c>
      <c r="J11" s="456" t="s">
        <v>430</v>
      </c>
      <c r="K11" s="448" t="s">
        <v>426</v>
      </c>
      <c r="L11" s="450"/>
    </row>
    <row r="12" spans="1:12" s="451" customFormat="1" ht="11.25" customHeight="1">
      <c r="A12" s="454" t="s">
        <v>433</v>
      </c>
      <c r="B12" s="454" t="s">
        <v>407</v>
      </c>
      <c r="C12" s="454" t="s">
        <v>348</v>
      </c>
      <c r="D12" s="454" t="s">
        <v>410</v>
      </c>
      <c r="E12" s="448" t="s">
        <v>83</v>
      </c>
      <c r="F12" s="454" t="s">
        <v>411</v>
      </c>
      <c r="G12" s="454" t="s">
        <v>83</v>
      </c>
      <c r="H12" s="454" t="s">
        <v>83</v>
      </c>
      <c r="I12" s="448" t="s">
        <v>83</v>
      </c>
      <c r="J12" s="456" t="s">
        <v>430</v>
      </c>
      <c r="K12" s="448" t="s">
        <v>426</v>
      </c>
      <c r="L12" s="450"/>
    </row>
    <row r="13" spans="1:11" ht="11.25" customHeight="1">
      <c r="A13" s="454" t="s">
        <v>434</v>
      </c>
      <c r="B13" s="454" t="s">
        <v>407</v>
      </c>
      <c r="C13" s="454" t="s">
        <v>348</v>
      </c>
      <c r="D13" s="454" t="s">
        <v>410</v>
      </c>
      <c r="E13" s="448" t="s">
        <v>83</v>
      </c>
      <c r="F13" s="454" t="s">
        <v>411</v>
      </c>
      <c r="G13" s="454" t="s">
        <v>83</v>
      </c>
      <c r="H13" s="454" t="s">
        <v>83</v>
      </c>
      <c r="I13" s="448" t="s">
        <v>83</v>
      </c>
      <c r="J13" s="456" t="s">
        <v>430</v>
      </c>
      <c r="K13" s="448" t="s">
        <v>426</v>
      </c>
    </row>
    <row r="14" spans="1:12" s="458" customFormat="1" ht="11.25" customHeight="1">
      <c r="A14" s="454" t="s">
        <v>435</v>
      </c>
      <c r="B14" s="454" t="s">
        <v>407</v>
      </c>
      <c r="C14" s="454" t="s">
        <v>348</v>
      </c>
      <c r="D14" s="454" t="s">
        <v>410</v>
      </c>
      <c r="E14" s="448" t="s">
        <v>83</v>
      </c>
      <c r="F14" s="454" t="s">
        <v>411</v>
      </c>
      <c r="G14" s="454" t="s">
        <v>83</v>
      </c>
      <c r="H14" s="454" t="s">
        <v>83</v>
      </c>
      <c r="I14" s="448" t="s">
        <v>83</v>
      </c>
      <c r="J14" s="456" t="s">
        <v>430</v>
      </c>
      <c r="K14" s="448" t="s">
        <v>426</v>
      </c>
      <c r="L14" s="457"/>
    </row>
    <row r="15" spans="1:12" s="458" customFormat="1" ht="11.25" customHeight="1">
      <c r="A15" s="454" t="s">
        <v>436</v>
      </c>
      <c r="B15" s="454" t="s">
        <v>407</v>
      </c>
      <c r="C15" s="454" t="s">
        <v>348</v>
      </c>
      <c r="D15" s="454" t="s">
        <v>410</v>
      </c>
      <c r="E15" s="448" t="s">
        <v>83</v>
      </c>
      <c r="F15" s="454" t="s">
        <v>411</v>
      </c>
      <c r="G15" s="454" t="s">
        <v>83</v>
      </c>
      <c r="H15" s="454" t="s">
        <v>83</v>
      </c>
      <c r="I15" s="448" t="s">
        <v>83</v>
      </c>
      <c r="J15" s="456" t="s">
        <v>430</v>
      </c>
      <c r="K15" s="448" t="s">
        <v>426</v>
      </c>
      <c r="L15" s="457"/>
    </row>
    <row r="16" spans="1:12" s="458" customFormat="1" ht="11.25" customHeight="1">
      <c r="A16" s="454" t="s">
        <v>437</v>
      </c>
      <c r="B16" s="454" t="s">
        <v>407</v>
      </c>
      <c r="C16" s="454" t="s">
        <v>348</v>
      </c>
      <c r="D16" s="454" t="s">
        <v>410</v>
      </c>
      <c r="E16" s="448" t="s">
        <v>83</v>
      </c>
      <c r="F16" s="454" t="s">
        <v>411</v>
      </c>
      <c r="G16" s="454" t="s">
        <v>83</v>
      </c>
      <c r="H16" s="454" t="s">
        <v>83</v>
      </c>
      <c r="I16" s="448" t="s">
        <v>83</v>
      </c>
      <c r="J16" s="456" t="s">
        <v>430</v>
      </c>
      <c r="K16" s="448" t="s">
        <v>426</v>
      </c>
      <c r="L16" s="457"/>
    </row>
    <row r="17" spans="1:12" s="458" customFormat="1" ht="11.25" customHeight="1">
      <c r="A17" s="454" t="s">
        <v>438</v>
      </c>
      <c r="B17" s="454" t="s">
        <v>407</v>
      </c>
      <c r="C17" s="454" t="s">
        <v>348</v>
      </c>
      <c r="D17" s="454" t="s">
        <v>410</v>
      </c>
      <c r="E17" s="448" t="s">
        <v>83</v>
      </c>
      <c r="F17" s="454" t="s">
        <v>411</v>
      </c>
      <c r="G17" s="454" t="s">
        <v>83</v>
      </c>
      <c r="H17" s="454" t="s">
        <v>83</v>
      </c>
      <c r="I17" s="454" t="s">
        <v>83</v>
      </c>
      <c r="J17" s="456"/>
      <c r="K17" s="448"/>
      <c r="L17" s="457"/>
    </row>
    <row r="18" spans="1:12" s="458" customFormat="1" ht="11.25" customHeight="1">
      <c r="A18" s="454" t="s">
        <v>439</v>
      </c>
      <c r="B18" s="454" t="s">
        <v>407</v>
      </c>
      <c r="C18" s="454" t="s">
        <v>348</v>
      </c>
      <c r="D18" s="454" t="s">
        <v>410</v>
      </c>
      <c r="E18" s="448" t="s">
        <v>83</v>
      </c>
      <c r="F18" s="454" t="s">
        <v>411</v>
      </c>
      <c r="G18" s="454" t="s">
        <v>83</v>
      </c>
      <c r="H18" s="454" t="s">
        <v>83</v>
      </c>
      <c r="I18" s="454" t="s">
        <v>83</v>
      </c>
      <c r="J18" s="456"/>
      <c r="K18" s="448"/>
      <c r="L18" s="457"/>
    </row>
    <row r="19" spans="1:12" s="458" customFormat="1" ht="11.25" customHeight="1">
      <c r="A19" s="454"/>
      <c r="B19" s="454"/>
      <c r="C19" s="454"/>
      <c r="D19" s="454"/>
      <c r="E19" s="448"/>
      <c r="F19" s="454"/>
      <c r="G19" s="454"/>
      <c r="H19" s="454"/>
      <c r="I19" s="454"/>
      <c r="J19" s="456"/>
      <c r="K19" s="448"/>
      <c r="L19" s="457"/>
    </row>
    <row r="20" spans="1:12" s="458" customFormat="1" ht="11.25" customHeight="1">
      <c r="A20" s="454"/>
      <c r="B20" s="454"/>
      <c r="C20" s="454"/>
      <c r="D20" s="454"/>
      <c r="E20" s="448"/>
      <c r="F20" s="454"/>
      <c r="G20" s="454"/>
      <c r="H20" s="454"/>
      <c r="I20" s="454"/>
      <c r="J20" s="456"/>
      <c r="K20" s="448"/>
      <c r="L20" s="457"/>
    </row>
    <row r="21" spans="1:12" s="458" customFormat="1" ht="11.25" customHeight="1">
      <c r="A21" s="454"/>
      <c r="B21" s="454"/>
      <c r="C21" s="454"/>
      <c r="D21" s="454"/>
      <c r="E21" s="448"/>
      <c r="F21" s="454"/>
      <c r="G21" s="454"/>
      <c r="H21" s="454"/>
      <c r="I21" s="454"/>
      <c r="J21" s="456"/>
      <c r="K21" s="448"/>
      <c r="L21" s="457"/>
    </row>
    <row r="22" spans="1:12" s="458" customFormat="1" ht="11.25" customHeight="1">
      <c r="A22" s="454"/>
      <c r="B22" s="454"/>
      <c r="C22" s="454"/>
      <c r="D22" s="454"/>
      <c r="E22" s="448"/>
      <c r="F22" s="454"/>
      <c r="G22" s="454"/>
      <c r="H22" s="454"/>
      <c r="I22" s="454"/>
      <c r="J22" s="456"/>
      <c r="K22" s="448"/>
      <c r="L22" s="457"/>
    </row>
    <row r="23" spans="1:11" ht="11.25" customHeight="1">
      <c r="A23" s="445" t="s">
        <v>440</v>
      </c>
      <c r="B23" s="446" t="s">
        <v>322</v>
      </c>
      <c r="C23" s="446" t="s">
        <v>323</v>
      </c>
      <c r="D23" s="446" t="s">
        <v>324</v>
      </c>
      <c r="E23" s="446" t="s">
        <v>185</v>
      </c>
      <c r="F23" s="446" t="s">
        <v>325</v>
      </c>
      <c r="G23" s="446" t="s">
        <v>261</v>
      </c>
      <c r="H23" s="446" t="s">
        <v>326</v>
      </c>
      <c r="I23" s="446" t="s">
        <v>254</v>
      </c>
      <c r="J23" s="459" t="s">
        <v>327</v>
      </c>
      <c r="K23" s="447" t="s">
        <v>408</v>
      </c>
    </row>
    <row r="24" spans="1:12" s="451" customFormat="1" ht="11.25" customHeight="1">
      <c r="A24" s="448" t="s">
        <v>441</v>
      </c>
      <c r="B24" s="448" t="s">
        <v>440</v>
      </c>
      <c r="C24" s="448" t="s">
        <v>348</v>
      </c>
      <c r="D24" s="448" t="s">
        <v>415</v>
      </c>
      <c r="E24" s="448" t="s">
        <v>83</v>
      </c>
      <c r="F24" s="448" t="s">
        <v>411</v>
      </c>
      <c r="G24" s="448" t="s">
        <v>83</v>
      </c>
      <c r="H24" s="448" t="s">
        <v>83</v>
      </c>
      <c r="I24" s="448" t="s">
        <v>83</v>
      </c>
      <c r="J24" s="449" t="s">
        <v>442</v>
      </c>
      <c r="K24" s="448" t="s">
        <v>443</v>
      </c>
      <c r="L24" s="450"/>
    </row>
    <row r="25" spans="1:12" s="451" customFormat="1" ht="11.25" customHeight="1">
      <c r="A25" s="448" t="s">
        <v>444</v>
      </c>
      <c r="B25" s="448" t="s">
        <v>440</v>
      </c>
      <c r="C25" s="448" t="s">
        <v>348</v>
      </c>
      <c r="D25" s="448" t="s">
        <v>418</v>
      </c>
      <c r="E25" s="448" t="s">
        <v>83</v>
      </c>
      <c r="F25" s="448" t="s">
        <v>411</v>
      </c>
      <c r="G25" s="448" t="s">
        <v>83</v>
      </c>
      <c r="H25" s="448" t="s">
        <v>83</v>
      </c>
      <c r="I25" s="448" t="s">
        <v>83</v>
      </c>
      <c r="J25" s="449" t="s">
        <v>445</v>
      </c>
      <c r="K25" s="448" t="s">
        <v>443</v>
      </c>
      <c r="L25" s="450"/>
    </row>
    <row r="26" spans="1:11" s="451" customFormat="1" ht="11.25" customHeight="1">
      <c r="A26" s="448" t="s">
        <v>446</v>
      </c>
      <c r="B26" s="448" t="s">
        <v>440</v>
      </c>
      <c r="C26" s="448" t="s">
        <v>348</v>
      </c>
      <c r="D26" s="448" t="s">
        <v>418</v>
      </c>
      <c r="E26" s="448" t="s">
        <v>83</v>
      </c>
      <c r="F26" s="448" t="s">
        <v>411</v>
      </c>
      <c r="G26" s="448" t="s">
        <v>83</v>
      </c>
      <c r="H26" s="448" t="s">
        <v>83</v>
      </c>
      <c r="I26" s="448" t="s">
        <v>83</v>
      </c>
      <c r="J26" s="449" t="s">
        <v>447</v>
      </c>
      <c r="K26" s="448" t="s">
        <v>443</v>
      </c>
    </row>
    <row r="27" spans="1:11" s="451" customFormat="1" ht="11.25" customHeight="1">
      <c r="A27" s="448" t="s">
        <v>448</v>
      </c>
      <c r="B27" s="448" t="s">
        <v>440</v>
      </c>
      <c r="C27" s="448" t="s">
        <v>348</v>
      </c>
      <c r="D27" s="448" t="s">
        <v>410</v>
      </c>
      <c r="E27" s="448" t="s">
        <v>83</v>
      </c>
      <c r="F27" s="448" t="s">
        <v>411</v>
      </c>
      <c r="G27" s="448" t="s">
        <v>83</v>
      </c>
      <c r="H27" s="448" t="s">
        <v>83</v>
      </c>
      <c r="I27" s="448" t="s">
        <v>83</v>
      </c>
      <c r="J27" s="449" t="s">
        <v>449</v>
      </c>
      <c r="K27" s="448" t="s">
        <v>443</v>
      </c>
    </row>
    <row r="28" spans="1:12" s="451" customFormat="1" ht="11.25" customHeight="1">
      <c r="A28" s="448" t="s">
        <v>450</v>
      </c>
      <c r="B28" s="448" t="s">
        <v>440</v>
      </c>
      <c r="C28" s="448" t="s">
        <v>348</v>
      </c>
      <c r="D28" s="448" t="s">
        <v>410</v>
      </c>
      <c r="E28" s="448" t="s">
        <v>83</v>
      </c>
      <c r="F28" s="448" t="s">
        <v>411</v>
      </c>
      <c r="G28" s="448" t="s">
        <v>83</v>
      </c>
      <c r="H28" s="448" t="s">
        <v>83</v>
      </c>
      <c r="I28" s="448" t="s">
        <v>83</v>
      </c>
      <c r="J28" s="449" t="s">
        <v>451</v>
      </c>
      <c r="K28" s="448" t="s">
        <v>452</v>
      </c>
      <c r="L28" s="450"/>
    </row>
    <row r="29" spans="1:12" s="451" customFormat="1" ht="11.25" customHeight="1">
      <c r="A29" s="448" t="s">
        <v>453</v>
      </c>
      <c r="B29" s="448" t="s">
        <v>440</v>
      </c>
      <c r="C29" s="448" t="s">
        <v>348</v>
      </c>
      <c r="D29" s="448" t="s">
        <v>410</v>
      </c>
      <c r="E29" s="448" t="s">
        <v>83</v>
      </c>
      <c r="F29" s="448" t="s">
        <v>411</v>
      </c>
      <c r="G29" s="448" t="s">
        <v>83</v>
      </c>
      <c r="H29" s="448" t="s">
        <v>83</v>
      </c>
      <c r="I29" s="448" t="s">
        <v>83</v>
      </c>
      <c r="J29" s="449" t="s">
        <v>454</v>
      </c>
      <c r="K29" s="448" t="s">
        <v>452</v>
      </c>
      <c r="L29" s="450"/>
    </row>
    <row r="30" spans="1:12" s="451" customFormat="1" ht="11.25" customHeight="1">
      <c r="A30" s="448" t="s">
        <v>455</v>
      </c>
      <c r="B30" s="448" t="s">
        <v>440</v>
      </c>
      <c r="C30" s="448" t="s">
        <v>348</v>
      </c>
      <c r="D30" s="448" t="s">
        <v>410</v>
      </c>
      <c r="E30" s="448" t="s">
        <v>83</v>
      </c>
      <c r="F30" s="448" t="s">
        <v>411</v>
      </c>
      <c r="G30" s="448" t="s">
        <v>83</v>
      </c>
      <c r="H30" s="448" t="s">
        <v>83</v>
      </c>
      <c r="I30" s="448" t="s">
        <v>83</v>
      </c>
      <c r="J30" s="449" t="s">
        <v>456</v>
      </c>
      <c r="K30" s="448" t="s">
        <v>452</v>
      </c>
      <c r="L30" s="450"/>
    </row>
    <row r="31" spans="1:12" s="451" customFormat="1" ht="11.25" customHeight="1">
      <c r="A31" s="448" t="s">
        <v>457</v>
      </c>
      <c r="B31" s="448" t="s">
        <v>440</v>
      </c>
      <c r="C31" s="448" t="s">
        <v>348</v>
      </c>
      <c r="D31" s="448" t="s">
        <v>410</v>
      </c>
      <c r="E31" s="448" t="s">
        <v>83</v>
      </c>
      <c r="F31" s="448" t="s">
        <v>411</v>
      </c>
      <c r="G31" s="448" t="s">
        <v>83</v>
      </c>
      <c r="H31" s="448" t="s">
        <v>83</v>
      </c>
      <c r="I31" s="448" t="s">
        <v>83</v>
      </c>
      <c r="J31" s="449"/>
      <c r="K31" s="448"/>
      <c r="L31" s="450"/>
    </row>
    <row r="32" spans="1:12" s="451" customFormat="1" ht="11.25" customHeight="1">
      <c r="A32" s="448" t="s">
        <v>458</v>
      </c>
      <c r="B32" s="448" t="s">
        <v>440</v>
      </c>
      <c r="C32" s="448" t="s">
        <v>348</v>
      </c>
      <c r="D32" s="448" t="s">
        <v>459</v>
      </c>
      <c r="E32" s="448" t="s">
        <v>424</v>
      </c>
      <c r="F32" s="448" t="s">
        <v>411</v>
      </c>
      <c r="G32" s="448" t="s">
        <v>83</v>
      </c>
      <c r="H32" s="448" t="s">
        <v>83</v>
      </c>
      <c r="I32" s="448" t="s">
        <v>83</v>
      </c>
      <c r="J32" s="449"/>
      <c r="K32" s="448"/>
      <c r="L32" s="450"/>
    </row>
    <row r="33" spans="1:11" ht="11.25" customHeight="1">
      <c r="A33" s="445" t="s">
        <v>460</v>
      </c>
      <c r="B33" s="446" t="s">
        <v>322</v>
      </c>
      <c r="C33" s="446" t="s">
        <v>323</v>
      </c>
      <c r="D33" s="446" t="s">
        <v>324</v>
      </c>
      <c r="E33" s="446" t="s">
        <v>185</v>
      </c>
      <c r="F33" s="446" t="s">
        <v>325</v>
      </c>
      <c r="G33" s="446" t="s">
        <v>261</v>
      </c>
      <c r="H33" s="446" t="s">
        <v>326</v>
      </c>
      <c r="I33" s="446" t="s">
        <v>254</v>
      </c>
      <c r="J33" s="459" t="s">
        <v>327</v>
      </c>
      <c r="K33" s="447" t="s">
        <v>408</v>
      </c>
    </row>
    <row r="34" spans="1:12" s="451" customFormat="1" ht="11.25" customHeight="1">
      <c r="A34" s="448" t="s">
        <v>461</v>
      </c>
      <c r="B34" s="448" t="s">
        <v>460</v>
      </c>
      <c r="C34" s="448" t="s">
        <v>348</v>
      </c>
      <c r="D34" s="448" t="s">
        <v>418</v>
      </c>
      <c r="E34" s="448" t="s">
        <v>83</v>
      </c>
      <c r="F34" s="448" t="s">
        <v>411</v>
      </c>
      <c r="G34" s="448" t="s">
        <v>83</v>
      </c>
      <c r="H34" s="448" t="s">
        <v>83</v>
      </c>
      <c r="I34" s="448" t="s">
        <v>83</v>
      </c>
      <c r="J34" s="449" t="s">
        <v>462</v>
      </c>
      <c r="K34" s="448" t="s">
        <v>463</v>
      </c>
      <c r="L34" s="450"/>
    </row>
    <row r="35" spans="1:12" s="451" customFormat="1" ht="11.25" customHeight="1">
      <c r="A35" s="448" t="s">
        <v>464</v>
      </c>
      <c r="B35" s="448" t="s">
        <v>460</v>
      </c>
      <c r="C35" s="448" t="s">
        <v>348</v>
      </c>
      <c r="D35" s="448" t="s">
        <v>410</v>
      </c>
      <c r="E35" s="448" t="s">
        <v>83</v>
      </c>
      <c r="F35" s="448" t="s">
        <v>411</v>
      </c>
      <c r="G35" s="448" t="s">
        <v>83</v>
      </c>
      <c r="H35" s="448" t="s">
        <v>83</v>
      </c>
      <c r="I35" s="448" t="s">
        <v>83</v>
      </c>
      <c r="J35" s="449" t="s">
        <v>465</v>
      </c>
      <c r="K35" s="448" t="s">
        <v>463</v>
      </c>
      <c r="L35" s="450"/>
    </row>
    <row r="36" spans="1:12" s="451" customFormat="1" ht="11.25" customHeight="1">
      <c r="A36" s="448" t="s">
        <v>466</v>
      </c>
      <c r="B36" s="448" t="s">
        <v>460</v>
      </c>
      <c r="C36" s="448" t="s">
        <v>348</v>
      </c>
      <c r="D36" s="448" t="s">
        <v>415</v>
      </c>
      <c r="E36" s="448" t="s">
        <v>83</v>
      </c>
      <c r="F36" s="448" t="s">
        <v>411</v>
      </c>
      <c r="G36" s="448" t="s">
        <v>83</v>
      </c>
      <c r="H36" s="448" t="s">
        <v>83</v>
      </c>
      <c r="I36" s="448" t="s">
        <v>83</v>
      </c>
      <c r="J36" s="449" t="s">
        <v>467</v>
      </c>
      <c r="K36" s="448" t="s">
        <v>463</v>
      </c>
      <c r="L36" s="450"/>
    </row>
    <row r="37" spans="1:12" s="451" customFormat="1" ht="11.25" customHeight="1">
      <c r="A37" s="448" t="s">
        <v>468</v>
      </c>
      <c r="B37" s="448" t="s">
        <v>460</v>
      </c>
      <c r="C37" s="448" t="s">
        <v>348</v>
      </c>
      <c r="D37" s="448" t="s">
        <v>418</v>
      </c>
      <c r="E37" s="448" t="s">
        <v>83</v>
      </c>
      <c r="F37" s="448" t="s">
        <v>411</v>
      </c>
      <c r="G37" s="448" t="s">
        <v>83</v>
      </c>
      <c r="H37" s="448" t="s">
        <v>83</v>
      </c>
      <c r="I37" s="448" t="s">
        <v>83</v>
      </c>
      <c r="J37" s="449" t="s">
        <v>469</v>
      </c>
      <c r="K37" s="448" t="s">
        <v>463</v>
      </c>
      <c r="L37" s="450"/>
    </row>
    <row r="38" spans="1:12" s="451" customFormat="1" ht="11.25" customHeight="1">
      <c r="A38" s="448" t="s">
        <v>470</v>
      </c>
      <c r="B38" s="448" t="s">
        <v>460</v>
      </c>
      <c r="C38" s="448" t="s">
        <v>348</v>
      </c>
      <c r="D38" s="448" t="s">
        <v>410</v>
      </c>
      <c r="E38" s="448" t="s">
        <v>83</v>
      </c>
      <c r="F38" s="448" t="s">
        <v>411</v>
      </c>
      <c r="G38" s="448" t="s">
        <v>83</v>
      </c>
      <c r="H38" s="448" t="s">
        <v>83</v>
      </c>
      <c r="I38" s="448" t="s">
        <v>83</v>
      </c>
      <c r="J38" s="449" t="s">
        <v>471</v>
      </c>
      <c r="K38" s="448" t="s">
        <v>472</v>
      </c>
      <c r="L38" s="450"/>
    </row>
    <row r="39" spans="1:12" s="451" customFormat="1" ht="11.25" customHeight="1">
      <c r="A39" s="448" t="s">
        <v>473</v>
      </c>
      <c r="B39" s="448" t="s">
        <v>460</v>
      </c>
      <c r="C39" s="448" t="s">
        <v>348</v>
      </c>
      <c r="D39" s="448" t="s">
        <v>410</v>
      </c>
      <c r="E39" s="448" t="s">
        <v>83</v>
      </c>
      <c r="F39" s="448" t="s">
        <v>411</v>
      </c>
      <c r="G39" s="448" t="s">
        <v>83</v>
      </c>
      <c r="H39" s="448" t="s">
        <v>83</v>
      </c>
      <c r="I39" s="448" t="s">
        <v>83</v>
      </c>
      <c r="J39" s="449" t="s">
        <v>474</v>
      </c>
      <c r="K39" s="448" t="s">
        <v>472</v>
      </c>
      <c r="L39" s="450"/>
    </row>
    <row r="40" spans="1:12" s="451" customFormat="1" ht="11.25" customHeight="1">
      <c r="A40" s="448" t="s">
        <v>475</v>
      </c>
      <c r="B40" s="448" t="s">
        <v>460</v>
      </c>
      <c r="C40" s="448" t="s">
        <v>348</v>
      </c>
      <c r="D40" s="448" t="s">
        <v>410</v>
      </c>
      <c r="E40" s="448" t="s">
        <v>83</v>
      </c>
      <c r="F40" s="448" t="s">
        <v>411</v>
      </c>
      <c r="G40" s="448" t="s">
        <v>83</v>
      </c>
      <c r="H40" s="448" t="s">
        <v>83</v>
      </c>
      <c r="I40" s="448" t="s">
        <v>83</v>
      </c>
      <c r="J40" s="449" t="s">
        <v>476</v>
      </c>
      <c r="K40" s="448" t="s">
        <v>472</v>
      </c>
      <c r="L40" s="450"/>
    </row>
    <row r="41" spans="1:12" s="451" customFormat="1" ht="11.25" customHeight="1">
      <c r="A41" s="448" t="s">
        <v>477</v>
      </c>
      <c r="B41" s="448" t="s">
        <v>460</v>
      </c>
      <c r="C41" s="448" t="s">
        <v>348</v>
      </c>
      <c r="D41" s="448" t="s">
        <v>410</v>
      </c>
      <c r="E41" s="448" t="s">
        <v>83</v>
      </c>
      <c r="F41" s="448" t="s">
        <v>411</v>
      </c>
      <c r="G41" s="448" t="s">
        <v>83</v>
      </c>
      <c r="H41" s="448" t="s">
        <v>83</v>
      </c>
      <c r="I41" s="448" t="s">
        <v>83</v>
      </c>
      <c r="J41" s="449"/>
      <c r="K41" s="448"/>
      <c r="L41" s="450"/>
    </row>
    <row r="42" spans="1:12" s="451" customFormat="1" ht="11.25" customHeight="1">
      <c r="A42" s="448" t="s">
        <v>478</v>
      </c>
      <c r="B42" s="448" t="s">
        <v>460</v>
      </c>
      <c r="C42" s="448" t="s">
        <v>348</v>
      </c>
      <c r="D42" s="448" t="s">
        <v>410</v>
      </c>
      <c r="E42" s="448" t="s">
        <v>83</v>
      </c>
      <c r="F42" s="448" t="s">
        <v>411</v>
      </c>
      <c r="G42" s="448" t="s">
        <v>83</v>
      </c>
      <c r="H42" s="448" t="s">
        <v>83</v>
      </c>
      <c r="I42" s="448" t="s">
        <v>83</v>
      </c>
      <c r="J42" s="449"/>
      <c r="K42" s="448"/>
      <c r="L42" s="450"/>
    </row>
    <row r="43" spans="1:11" ht="11.25" customHeight="1">
      <c r="A43" s="445" t="s">
        <v>479</v>
      </c>
      <c r="B43" s="446" t="s">
        <v>322</v>
      </c>
      <c r="C43" s="446" t="s">
        <v>323</v>
      </c>
      <c r="D43" s="446" t="s">
        <v>324</v>
      </c>
      <c r="E43" s="446" t="s">
        <v>185</v>
      </c>
      <c r="F43" s="446" t="s">
        <v>325</v>
      </c>
      <c r="G43" s="446" t="s">
        <v>261</v>
      </c>
      <c r="H43" s="446" t="s">
        <v>326</v>
      </c>
      <c r="I43" s="446" t="s">
        <v>254</v>
      </c>
      <c r="J43" s="459" t="s">
        <v>327</v>
      </c>
      <c r="K43" s="447" t="s">
        <v>408</v>
      </c>
    </row>
    <row r="44" spans="1:256" ht="11.25" customHeight="1">
      <c r="A44" s="448" t="s">
        <v>480</v>
      </c>
      <c r="B44" s="448" t="s">
        <v>479</v>
      </c>
      <c r="C44" s="448" t="s">
        <v>348</v>
      </c>
      <c r="D44" s="448" t="s">
        <v>418</v>
      </c>
      <c r="E44" s="448" t="s">
        <v>83</v>
      </c>
      <c r="F44" s="448" t="s">
        <v>411</v>
      </c>
      <c r="G44" s="448" t="s">
        <v>83</v>
      </c>
      <c r="H44" s="448" t="s">
        <v>83</v>
      </c>
      <c r="I44" s="448" t="s">
        <v>83</v>
      </c>
      <c r="J44" s="449" t="s">
        <v>481</v>
      </c>
      <c r="K44" s="448" t="s">
        <v>482</v>
      </c>
      <c r="L44" s="451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2" s="451" customFormat="1" ht="11.25" customHeight="1">
      <c r="A45" s="448" t="s">
        <v>483</v>
      </c>
      <c r="B45" s="448" t="s">
        <v>479</v>
      </c>
      <c r="C45" s="448" t="s">
        <v>348</v>
      </c>
      <c r="D45" s="448" t="s">
        <v>418</v>
      </c>
      <c r="E45" s="448" t="s">
        <v>83</v>
      </c>
      <c r="F45" s="448" t="s">
        <v>411</v>
      </c>
      <c r="G45" s="448" t="s">
        <v>83</v>
      </c>
      <c r="H45" s="448" t="s">
        <v>83</v>
      </c>
      <c r="I45" s="448" t="s">
        <v>83</v>
      </c>
      <c r="J45" s="449" t="s">
        <v>484</v>
      </c>
      <c r="K45" s="448" t="s">
        <v>482</v>
      </c>
      <c r="L45" s="450"/>
    </row>
    <row r="46" spans="1:12" s="451" customFormat="1" ht="11.25" customHeight="1">
      <c r="A46" s="448" t="s">
        <v>485</v>
      </c>
      <c r="B46" s="448" t="s">
        <v>479</v>
      </c>
      <c r="C46" s="448" t="s">
        <v>348</v>
      </c>
      <c r="D46" s="448" t="s">
        <v>418</v>
      </c>
      <c r="E46" s="448" t="s">
        <v>83</v>
      </c>
      <c r="F46" s="448" t="s">
        <v>411</v>
      </c>
      <c r="G46" s="448" t="s">
        <v>83</v>
      </c>
      <c r="H46" s="448" t="s">
        <v>83</v>
      </c>
      <c r="I46" s="448" t="s">
        <v>83</v>
      </c>
      <c r="J46" s="453" t="s">
        <v>486</v>
      </c>
      <c r="K46" s="448" t="s">
        <v>482</v>
      </c>
      <c r="L46" s="450"/>
    </row>
    <row r="47" spans="1:12" s="460" customFormat="1" ht="11.25" customHeight="1">
      <c r="A47" s="454" t="s">
        <v>487</v>
      </c>
      <c r="B47" s="454" t="s">
        <v>479</v>
      </c>
      <c r="C47" s="454" t="s">
        <v>348</v>
      </c>
      <c r="D47" s="454" t="s">
        <v>488</v>
      </c>
      <c r="E47" s="448" t="s">
        <v>424</v>
      </c>
      <c r="F47" s="448" t="s">
        <v>327</v>
      </c>
      <c r="G47" s="454" t="s">
        <v>489</v>
      </c>
      <c r="H47" s="454" t="s">
        <v>83</v>
      </c>
      <c r="I47" s="454">
        <v>1</v>
      </c>
      <c r="J47" s="455" t="s">
        <v>490</v>
      </c>
      <c r="K47" s="448" t="s">
        <v>482</v>
      </c>
      <c r="L47" s="451"/>
    </row>
    <row r="48" spans="1:12" s="451" customFormat="1" ht="11.25" customHeight="1">
      <c r="A48" s="448" t="s">
        <v>491</v>
      </c>
      <c r="B48" s="448" t="s">
        <v>479</v>
      </c>
      <c r="C48" s="448" t="s">
        <v>348</v>
      </c>
      <c r="D48" s="448" t="s">
        <v>410</v>
      </c>
      <c r="E48" s="448" t="s">
        <v>83</v>
      </c>
      <c r="F48" s="448" t="s">
        <v>411</v>
      </c>
      <c r="G48" s="448" t="s">
        <v>83</v>
      </c>
      <c r="H48" s="448" t="s">
        <v>83</v>
      </c>
      <c r="I48" s="448" t="s">
        <v>83</v>
      </c>
      <c r="J48" s="449" t="s">
        <v>492</v>
      </c>
      <c r="K48" s="448" t="s">
        <v>493</v>
      </c>
      <c r="L48" s="450"/>
    </row>
    <row r="49" spans="1:12" s="451" customFormat="1" ht="11.25" customHeight="1">
      <c r="A49" s="448" t="s">
        <v>494</v>
      </c>
      <c r="B49" s="448" t="s">
        <v>479</v>
      </c>
      <c r="C49" s="448" t="s">
        <v>348</v>
      </c>
      <c r="D49" s="448" t="s">
        <v>495</v>
      </c>
      <c r="E49" s="448" t="s">
        <v>424</v>
      </c>
      <c r="F49" s="448" t="s">
        <v>411</v>
      </c>
      <c r="G49" s="448" t="s">
        <v>83</v>
      </c>
      <c r="H49" s="448" t="s">
        <v>83</v>
      </c>
      <c r="I49" s="448" t="s">
        <v>83</v>
      </c>
      <c r="J49" s="449" t="s">
        <v>496</v>
      </c>
      <c r="K49" s="448" t="s">
        <v>493</v>
      </c>
      <c r="L49" s="450"/>
    </row>
    <row r="50" spans="1:12" s="451" customFormat="1" ht="11.25" customHeight="1">
      <c r="A50" s="448" t="s">
        <v>497</v>
      </c>
      <c r="B50" s="448" t="s">
        <v>479</v>
      </c>
      <c r="C50" s="448" t="s">
        <v>348</v>
      </c>
      <c r="D50" s="448" t="s">
        <v>410</v>
      </c>
      <c r="E50" s="448" t="s">
        <v>83</v>
      </c>
      <c r="F50" s="448" t="s">
        <v>411</v>
      </c>
      <c r="G50" s="448" t="s">
        <v>83</v>
      </c>
      <c r="H50" s="448" t="s">
        <v>83</v>
      </c>
      <c r="I50" s="448" t="s">
        <v>83</v>
      </c>
      <c r="J50" s="449" t="s">
        <v>498</v>
      </c>
      <c r="K50" s="448" t="s">
        <v>493</v>
      </c>
      <c r="L50" s="450"/>
    </row>
    <row r="51" spans="1:12" s="451" customFormat="1" ht="11.25" customHeight="1">
      <c r="A51" s="448" t="s">
        <v>499</v>
      </c>
      <c r="B51" s="448" t="s">
        <v>479</v>
      </c>
      <c r="C51" s="448" t="s">
        <v>348</v>
      </c>
      <c r="D51" s="448" t="s">
        <v>500</v>
      </c>
      <c r="E51" s="448" t="s">
        <v>83</v>
      </c>
      <c r="F51" s="448" t="s">
        <v>411</v>
      </c>
      <c r="G51" s="448" t="s">
        <v>83</v>
      </c>
      <c r="H51" s="448" t="s">
        <v>83</v>
      </c>
      <c r="I51" s="448" t="s">
        <v>83</v>
      </c>
      <c r="J51" s="449"/>
      <c r="K51" s="448"/>
      <c r="L51" s="450"/>
    </row>
    <row r="52" spans="1:12" s="451" customFormat="1" ht="11.25" customHeight="1">
      <c r="A52" s="448" t="s">
        <v>501</v>
      </c>
      <c r="B52" s="448" t="s">
        <v>479</v>
      </c>
      <c r="C52" s="448" t="s">
        <v>348</v>
      </c>
      <c r="D52" s="448" t="s">
        <v>410</v>
      </c>
      <c r="E52" s="448" t="s">
        <v>83</v>
      </c>
      <c r="F52" s="448" t="s">
        <v>411</v>
      </c>
      <c r="G52" s="448" t="s">
        <v>83</v>
      </c>
      <c r="H52" s="448" t="s">
        <v>83</v>
      </c>
      <c r="I52" s="448" t="s">
        <v>83</v>
      </c>
      <c r="J52" s="449"/>
      <c r="K52" s="448"/>
      <c r="L52" s="450"/>
    </row>
    <row r="53" spans="1:11" ht="11.25" customHeight="1">
      <c r="A53" s="445" t="s">
        <v>502</v>
      </c>
      <c r="B53" s="446" t="s">
        <v>322</v>
      </c>
      <c r="C53" s="446" t="s">
        <v>323</v>
      </c>
      <c r="D53" s="446" t="s">
        <v>324</v>
      </c>
      <c r="E53" s="446" t="s">
        <v>185</v>
      </c>
      <c r="F53" s="446" t="s">
        <v>325</v>
      </c>
      <c r="G53" s="446" t="s">
        <v>261</v>
      </c>
      <c r="H53" s="446" t="s">
        <v>326</v>
      </c>
      <c r="I53" s="446" t="s">
        <v>254</v>
      </c>
      <c r="J53" s="459" t="s">
        <v>327</v>
      </c>
      <c r="K53" s="447" t="s">
        <v>408</v>
      </c>
    </row>
    <row r="54" spans="1:12" s="451" customFormat="1" ht="11.25" customHeight="1">
      <c r="A54" s="448" t="s">
        <v>503</v>
      </c>
      <c r="B54" s="448" t="s">
        <v>502</v>
      </c>
      <c r="C54" s="448" t="s">
        <v>348</v>
      </c>
      <c r="D54" s="448" t="s">
        <v>418</v>
      </c>
      <c r="E54" s="448" t="s">
        <v>83</v>
      </c>
      <c r="F54" s="448" t="s">
        <v>411</v>
      </c>
      <c r="G54" s="448" t="s">
        <v>83</v>
      </c>
      <c r="H54" s="448" t="s">
        <v>83</v>
      </c>
      <c r="I54" s="448" t="s">
        <v>83</v>
      </c>
      <c r="J54" s="449" t="s">
        <v>504</v>
      </c>
      <c r="K54" s="448"/>
      <c r="L54" s="450"/>
    </row>
    <row r="55" spans="1:12" s="451" customFormat="1" ht="11.25" customHeight="1">
      <c r="A55" s="448" t="s">
        <v>505</v>
      </c>
      <c r="B55" s="448" t="s">
        <v>502</v>
      </c>
      <c r="C55" s="448" t="s">
        <v>348</v>
      </c>
      <c r="D55" s="448" t="s">
        <v>418</v>
      </c>
      <c r="E55" s="448" t="s">
        <v>83</v>
      </c>
      <c r="F55" s="448" t="s">
        <v>411</v>
      </c>
      <c r="G55" s="448" t="s">
        <v>83</v>
      </c>
      <c r="H55" s="448" t="s">
        <v>83</v>
      </c>
      <c r="I55" s="448" t="s">
        <v>83</v>
      </c>
      <c r="J55" s="449" t="s">
        <v>506</v>
      </c>
      <c r="K55" s="448"/>
      <c r="L55" s="450"/>
    </row>
    <row r="56" spans="1:12" s="390" customFormat="1" ht="11.25" customHeight="1">
      <c r="A56" s="448" t="s">
        <v>507</v>
      </c>
      <c r="B56" s="448" t="s">
        <v>502</v>
      </c>
      <c r="C56" s="448" t="s">
        <v>348</v>
      </c>
      <c r="D56" s="448" t="s">
        <v>418</v>
      </c>
      <c r="E56" s="448" t="s">
        <v>83</v>
      </c>
      <c r="F56" s="448" t="s">
        <v>411</v>
      </c>
      <c r="G56" s="448" t="s">
        <v>83</v>
      </c>
      <c r="H56" s="448" t="s">
        <v>83</v>
      </c>
      <c r="I56" s="448" t="s">
        <v>83</v>
      </c>
      <c r="J56" s="449" t="s">
        <v>508</v>
      </c>
      <c r="K56" s="448"/>
      <c r="L56" s="461"/>
    </row>
    <row r="57" spans="1:12" s="451" customFormat="1" ht="11.25" customHeight="1">
      <c r="A57" s="448" t="s">
        <v>509</v>
      </c>
      <c r="B57" s="448" t="s">
        <v>502</v>
      </c>
      <c r="C57" s="448" t="s">
        <v>348</v>
      </c>
      <c r="D57" s="448" t="s">
        <v>410</v>
      </c>
      <c r="E57" s="448" t="s">
        <v>83</v>
      </c>
      <c r="F57" s="448" t="s">
        <v>411</v>
      </c>
      <c r="G57" s="448" t="s">
        <v>83</v>
      </c>
      <c r="H57" s="448" t="s">
        <v>83</v>
      </c>
      <c r="I57" s="448" t="s">
        <v>83</v>
      </c>
      <c r="J57" s="449" t="s">
        <v>510</v>
      </c>
      <c r="K57" s="448"/>
      <c r="L57" s="450"/>
    </row>
    <row r="58" spans="1:12" s="451" customFormat="1" ht="11.25" customHeight="1">
      <c r="A58" s="448" t="s">
        <v>511</v>
      </c>
      <c r="B58" s="448" t="s">
        <v>502</v>
      </c>
      <c r="C58" s="448" t="s">
        <v>348</v>
      </c>
      <c r="D58" s="448" t="s">
        <v>410</v>
      </c>
      <c r="E58" s="448" t="s">
        <v>83</v>
      </c>
      <c r="F58" s="448" t="s">
        <v>411</v>
      </c>
      <c r="G58" s="448" t="s">
        <v>83</v>
      </c>
      <c r="H58" s="448" t="s">
        <v>83</v>
      </c>
      <c r="I58" s="448" t="s">
        <v>83</v>
      </c>
      <c r="J58" s="449" t="s">
        <v>512</v>
      </c>
      <c r="K58" s="448"/>
      <c r="L58" s="450"/>
    </row>
    <row r="59" spans="1:12" s="451" customFormat="1" ht="11.25" customHeight="1">
      <c r="A59" s="448" t="s">
        <v>513</v>
      </c>
      <c r="B59" s="448" t="s">
        <v>502</v>
      </c>
      <c r="C59" s="448" t="s">
        <v>348</v>
      </c>
      <c r="D59" s="448" t="s">
        <v>410</v>
      </c>
      <c r="E59" s="448" t="s">
        <v>83</v>
      </c>
      <c r="F59" s="448" t="s">
        <v>411</v>
      </c>
      <c r="G59" s="448" t="s">
        <v>83</v>
      </c>
      <c r="H59" s="448" t="s">
        <v>83</v>
      </c>
      <c r="I59" s="448" t="s">
        <v>83</v>
      </c>
      <c r="J59" s="449" t="s">
        <v>514</v>
      </c>
      <c r="K59" s="448"/>
      <c r="L59" s="450"/>
    </row>
    <row r="60" spans="1:12" s="451" customFormat="1" ht="11.25" customHeight="1">
      <c r="A60" s="448" t="s">
        <v>515</v>
      </c>
      <c r="B60" s="448" t="s">
        <v>502</v>
      </c>
      <c r="C60" s="448" t="s">
        <v>348</v>
      </c>
      <c r="D60" s="448" t="s">
        <v>410</v>
      </c>
      <c r="E60" s="448" t="s">
        <v>83</v>
      </c>
      <c r="F60" s="448" t="s">
        <v>411</v>
      </c>
      <c r="G60" s="448" t="s">
        <v>83</v>
      </c>
      <c r="H60" s="448" t="s">
        <v>83</v>
      </c>
      <c r="I60" s="448" t="s">
        <v>83</v>
      </c>
      <c r="J60" s="449" t="s">
        <v>516</v>
      </c>
      <c r="K60" s="448"/>
      <c r="L60" s="450"/>
    </row>
    <row r="61" spans="1:12" s="451" customFormat="1" ht="11.25" customHeight="1">
      <c r="A61" s="448" t="s">
        <v>517</v>
      </c>
      <c r="B61" s="448" t="s">
        <v>502</v>
      </c>
      <c r="C61" s="448" t="s">
        <v>348</v>
      </c>
      <c r="D61" s="448" t="s">
        <v>410</v>
      </c>
      <c r="E61" s="448" t="s">
        <v>83</v>
      </c>
      <c r="F61" s="448" t="s">
        <v>327</v>
      </c>
      <c r="G61" s="448" t="s">
        <v>83</v>
      </c>
      <c r="H61" s="448" t="s">
        <v>83</v>
      </c>
      <c r="I61" s="448" t="s">
        <v>83</v>
      </c>
      <c r="J61" s="449"/>
      <c r="K61" s="448"/>
      <c r="L61" s="450"/>
    </row>
    <row r="62" spans="1:12" s="390" customFormat="1" ht="11.25" customHeight="1">
      <c r="A62" s="448" t="s">
        <v>518</v>
      </c>
      <c r="B62" s="448" t="s">
        <v>502</v>
      </c>
      <c r="C62" s="448" t="s">
        <v>348</v>
      </c>
      <c r="D62" s="448" t="s">
        <v>410</v>
      </c>
      <c r="E62" s="448" t="s">
        <v>83</v>
      </c>
      <c r="F62" s="448" t="s">
        <v>411</v>
      </c>
      <c r="G62" s="448" t="s">
        <v>83</v>
      </c>
      <c r="H62" s="448" t="s">
        <v>83</v>
      </c>
      <c r="I62" s="448" t="s">
        <v>83</v>
      </c>
      <c r="J62" s="449"/>
      <c r="K62" s="448"/>
      <c r="L62" s="461"/>
    </row>
    <row r="63" spans="1:11" ht="11.25" customHeight="1">
      <c r="A63" s="445" t="s">
        <v>15</v>
      </c>
      <c r="B63" s="446" t="s">
        <v>322</v>
      </c>
      <c r="C63" s="446" t="s">
        <v>323</v>
      </c>
      <c r="D63" s="446" t="s">
        <v>324</v>
      </c>
      <c r="E63" s="446" t="s">
        <v>185</v>
      </c>
      <c r="F63" s="446" t="s">
        <v>325</v>
      </c>
      <c r="G63" s="446" t="s">
        <v>261</v>
      </c>
      <c r="H63" s="446" t="s">
        <v>326</v>
      </c>
      <c r="I63" s="446" t="s">
        <v>254</v>
      </c>
      <c r="J63" s="459" t="s">
        <v>327</v>
      </c>
      <c r="K63" s="447" t="s">
        <v>408</v>
      </c>
    </row>
    <row r="64" spans="1:11" ht="11.25" customHeight="1">
      <c r="A64" s="454" t="s">
        <v>519</v>
      </c>
      <c r="B64" s="454" t="s">
        <v>15</v>
      </c>
      <c r="C64" s="454" t="s">
        <v>348</v>
      </c>
      <c r="D64" s="448" t="s">
        <v>520</v>
      </c>
      <c r="E64" s="454" t="s">
        <v>424</v>
      </c>
      <c r="F64" s="454" t="s">
        <v>411</v>
      </c>
      <c r="G64" s="454" t="s">
        <v>83</v>
      </c>
      <c r="H64" s="454" t="s">
        <v>83</v>
      </c>
      <c r="I64" s="454" t="s">
        <v>83</v>
      </c>
      <c r="J64" s="455" t="s">
        <v>521</v>
      </c>
      <c r="K64" s="448"/>
    </row>
    <row r="65" spans="1:12" s="451" customFormat="1" ht="11.25" customHeight="1">
      <c r="A65" s="448" t="s">
        <v>522</v>
      </c>
      <c r="B65" s="448" t="s">
        <v>15</v>
      </c>
      <c r="C65" s="448" t="s">
        <v>348</v>
      </c>
      <c r="D65" s="448" t="s">
        <v>418</v>
      </c>
      <c r="E65" s="448" t="s">
        <v>83</v>
      </c>
      <c r="F65" s="448" t="s">
        <v>411</v>
      </c>
      <c r="G65" s="448" t="s">
        <v>83</v>
      </c>
      <c r="H65" s="448" t="s">
        <v>83</v>
      </c>
      <c r="I65" s="448" t="s">
        <v>83</v>
      </c>
      <c r="J65" s="449" t="s">
        <v>523</v>
      </c>
      <c r="K65" s="448"/>
      <c r="L65" s="450"/>
    </row>
    <row r="66" spans="1:12" s="463" customFormat="1" ht="11.25" customHeight="1">
      <c r="A66" s="448" t="s">
        <v>131</v>
      </c>
      <c r="B66" s="448" t="s">
        <v>15</v>
      </c>
      <c r="C66" s="448" t="s">
        <v>348</v>
      </c>
      <c r="D66" s="448" t="s">
        <v>418</v>
      </c>
      <c r="E66" s="448" t="s">
        <v>83</v>
      </c>
      <c r="F66" s="448" t="s">
        <v>411</v>
      </c>
      <c r="G66" s="448" t="s">
        <v>83</v>
      </c>
      <c r="H66" s="448" t="s">
        <v>83</v>
      </c>
      <c r="I66" s="448" t="s">
        <v>83</v>
      </c>
      <c r="J66" s="449" t="s">
        <v>524</v>
      </c>
      <c r="K66" s="448"/>
      <c r="L66" s="462"/>
    </row>
    <row r="67" spans="1:256" ht="11.25" customHeight="1">
      <c r="A67" s="448" t="s">
        <v>525</v>
      </c>
      <c r="B67" s="448" t="s">
        <v>15</v>
      </c>
      <c r="C67" s="448" t="s">
        <v>348</v>
      </c>
      <c r="D67" s="448" t="s">
        <v>410</v>
      </c>
      <c r="E67" s="448" t="s">
        <v>83</v>
      </c>
      <c r="F67" s="448" t="s">
        <v>411</v>
      </c>
      <c r="G67" s="448" t="s">
        <v>83</v>
      </c>
      <c r="H67" s="448" t="s">
        <v>83</v>
      </c>
      <c r="I67" s="448" t="s">
        <v>83</v>
      </c>
      <c r="J67" s="449" t="s">
        <v>526</v>
      </c>
      <c r="K67" s="448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 customHeight="1">
      <c r="A68" s="448" t="s">
        <v>527</v>
      </c>
      <c r="B68" s="448" t="s">
        <v>15</v>
      </c>
      <c r="C68" s="448" t="s">
        <v>348</v>
      </c>
      <c r="D68" s="448" t="s">
        <v>410</v>
      </c>
      <c r="E68" s="448" t="s">
        <v>83</v>
      </c>
      <c r="F68" s="448" t="s">
        <v>411</v>
      </c>
      <c r="G68" s="448" t="s">
        <v>83</v>
      </c>
      <c r="H68" s="448" t="s">
        <v>83</v>
      </c>
      <c r="I68" s="448" t="s">
        <v>83</v>
      </c>
      <c r="J68" s="449" t="s">
        <v>528</v>
      </c>
      <c r="K68" s="44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12" s="451" customFormat="1" ht="11.25" customHeight="1">
      <c r="A69" s="448" t="s">
        <v>152</v>
      </c>
      <c r="B69" s="448" t="s">
        <v>15</v>
      </c>
      <c r="C69" s="448" t="s">
        <v>348</v>
      </c>
      <c r="D69" s="448" t="s">
        <v>410</v>
      </c>
      <c r="E69" s="448" t="s">
        <v>83</v>
      </c>
      <c r="F69" s="448" t="s">
        <v>411</v>
      </c>
      <c r="G69" s="448" t="s">
        <v>83</v>
      </c>
      <c r="H69" s="448" t="s">
        <v>83</v>
      </c>
      <c r="I69" s="448" t="s">
        <v>83</v>
      </c>
      <c r="J69" s="449" t="s">
        <v>529</v>
      </c>
      <c r="K69" s="448"/>
      <c r="L69" s="450"/>
    </row>
    <row r="70" spans="1:12" s="451" customFormat="1" ht="11.25" customHeight="1">
      <c r="A70" s="448" t="s">
        <v>530</v>
      </c>
      <c r="B70" s="448" t="s">
        <v>15</v>
      </c>
      <c r="C70" s="448" t="s">
        <v>348</v>
      </c>
      <c r="D70" s="448" t="s">
        <v>410</v>
      </c>
      <c r="E70" s="448" t="s">
        <v>83</v>
      </c>
      <c r="F70" s="448" t="s">
        <v>411</v>
      </c>
      <c r="G70" s="448" t="s">
        <v>83</v>
      </c>
      <c r="H70" s="448" t="s">
        <v>83</v>
      </c>
      <c r="I70" s="448" t="s">
        <v>83</v>
      </c>
      <c r="J70" s="449" t="s">
        <v>531</v>
      </c>
      <c r="K70" s="448"/>
      <c r="L70" s="450"/>
    </row>
    <row r="71" spans="1:12" s="451" customFormat="1" ht="11.25" customHeight="1">
      <c r="A71" s="448" t="s">
        <v>532</v>
      </c>
      <c r="B71" s="448" t="s">
        <v>15</v>
      </c>
      <c r="C71" s="448" t="s">
        <v>348</v>
      </c>
      <c r="D71" s="448" t="s">
        <v>410</v>
      </c>
      <c r="E71" s="448" t="s">
        <v>83</v>
      </c>
      <c r="F71" s="448" t="s">
        <v>411</v>
      </c>
      <c r="G71" s="448" t="s">
        <v>83</v>
      </c>
      <c r="H71" s="448" t="s">
        <v>83</v>
      </c>
      <c r="I71" s="448" t="s">
        <v>83</v>
      </c>
      <c r="J71" s="449"/>
      <c r="K71" s="448"/>
      <c r="L71" s="450"/>
    </row>
    <row r="72" spans="1:12" s="451" customFormat="1" ht="11.25" customHeight="1">
      <c r="A72" s="448" t="s">
        <v>533</v>
      </c>
      <c r="B72" s="448" t="s">
        <v>15</v>
      </c>
      <c r="C72" s="448" t="s">
        <v>348</v>
      </c>
      <c r="D72" s="448" t="s">
        <v>410</v>
      </c>
      <c r="E72" s="448" t="s">
        <v>83</v>
      </c>
      <c r="F72" s="448" t="s">
        <v>411</v>
      </c>
      <c r="G72" s="448" t="s">
        <v>83</v>
      </c>
      <c r="H72" s="448" t="s">
        <v>83</v>
      </c>
      <c r="I72" s="448" t="s">
        <v>83</v>
      </c>
      <c r="J72" s="449"/>
      <c r="K72" s="448"/>
      <c r="L72" s="450"/>
    </row>
    <row r="73" spans="1:12" s="451" customFormat="1" ht="11.25" customHeight="1">
      <c r="A73" s="445" t="s">
        <v>534</v>
      </c>
      <c r="B73" s="446" t="s">
        <v>322</v>
      </c>
      <c r="C73" s="446" t="s">
        <v>323</v>
      </c>
      <c r="D73" s="446" t="s">
        <v>324</v>
      </c>
      <c r="E73" s="446" t="s">
        <v>185</v>
      </c>
      <c r="F73" s="446" t="s">
        <v>325</v>
      </c>
      <c r="G73" s="446" t="s">
        <v>261</v>
      </c>
      <c r="H73" s="446" t="s">
        <v>326</v>
      </c>
      <c r="I73" s="446" t="s">
        <v>254</v>
      </c>
      <c r="J73" s="459" t="s">
        <v>327</v>
      </c>
      <c r="K73" s="447" t="s">
        <v>408</v>
      </c>
      <c r="L73" s="450"/>
    </row>
    <row r="74" spans="1:12" s="451" customFormat="1" ht="11.25" customHeight="1">
      <c r="A74" s="458" t="s">
        <v>535</v>
      </c>
      <c r="B74" s="451" t="s">
        <v>534</v>
      </c>
      <c r="C74" s="451" t="s">
        <v>348</v>
      </c>
      <c r="D74" s="451" t="s">
        <v>410</v>
      </c>
      <c r="E74" s="451" t="s">
        <v>83</v>
      </c>
      <c r="F74" s="451" t="s">
        <v>411</v>
      </c>
      <c r="G74" s="451" t="s">
        <v>83</v>
      </c>
      <c r="H74" s="451" t="s">
        <v>83</v>
      </c>
      <c r="I74" s="451" t="s">
        <v>83</v>
      </c>
      <c r="J74" s="464"/>
      <c r="K74" s="451" t="s">
        <v>536</v>
      </c>
      <c r="L74" s="450"/>
    </row>
    <row r="75" spans="1:12" s="451" customFormat="1" ht="11.25" customHeight="1">
      <c r="A75" s="451" t="s">
        <v>537</v>
      </c>
      <c r="B75" s="451" t="s">
        <v>534</v>
      </c>
      <c r="C75" s="451" t="s">
        <v>348</v>
      </c>
      <c r="D75" s="451" t="s">
        <v>538</v>
      </c>
      <c r="E75" s="451" t="s">
        <v>83</v>
      </c>
      <c r="F75" s="451" t="s">
        <v>411</v>
      </c>
      <c r="G75" s="451" t="s">
        <v>83</v>
      </c>
      <c r="H75" s="451" t="s">
        <v>83</v>
      </c>
      <c r="I75" s="451" t="s">
        <v>83</v>
      </c>
      <c r="J75" s="465"/>
      <c r="K75" s="451" t="s">
        <v>536</v>
      </c>
      <c r="L75" s="450"/>
    </row>
    <row r="76" spans="1:12" s="451" customFormat="1" ht="11.25" customHeight="1">
      <c r="A76" s="451" t="s">
        <v>539</v>
      </c>
      <c r="B76" s="451" t="s">
        <v>534</v>
      </c>
      <c r="C76" s="451" t="s">
        <v>348</v>
      </c>
      <c r="D76" s="451" t="s">
        <v>538</v>
      </c>
      <c r="E76" s="451" t="s">
        <v>83</v>
      </c>
      <c r="F76" s="451" t="s">
        <v>411</v>
      </c>
      <c r="G76" s="451" t="s">
        <v>83</v>
      </c>
      <c r="H76" s="451" t="s">
        <v>83</v>
      </c>
      <c r="I76" s="451" t="s">
        <v>83</v>
      </c>
      <c r="J76" s="465"/>
      <c r="K76" s="451" t="s">
        <v>536</v>
      </c>
      <c r="L76" s="450"/>
    </row>
    <row r="77" spans="1:12" s="451" customFormat="1" ht="11.25" customHeight="1">
      <c r="A77" s="451" t="s">
        <v>540</v>
      </c>
      <c r="B77" s="451" t="s">
        <v>534</v>
      </c>
      <c r="C77" s="451" t="s">
        <v>348</v>
      </c>
      <c r="D77" s="451" t="s">
        <v>538</v>
      </c>
      <c r="E77" s="451" t="s">
        <v>83</v>
      </c>
      <c r="F77" s="451" t="s">
        <v>411</v>
      </c>
      <c r="G77" s="451" t="s">
        <v>83</v>
      </c>
      <c r="H77" s="451" t="s">
        <v>83</v>
      </c>
      <c r="I77" s="451" t="s">
        <v>83</v>
      </c>
      <c r="J77" s="465"/>
      <c r="K77" s="451" t="s">
        <v>536</v>
      </c>
      <c r="L77" s="450"/>
    </row>
    <row r="78" spans="1:12" s="451" customFormat="1" ht="11.25" customHeight="1">
      <c r="A78" s="451" t="s">
        <v>541</v>
      </c>
      <c r="B78" s="451" t="s">
        <v>534</v>
      </c>
      <c r="C78" s="451" t="s">
        <v>348</v>
      </c>
      <c r="D78" s="451" t="s">
        <v>538</v>
      </c>
      <c r="E78" s="451" t="s">
        <v>83</v>
      </c>
      <c r="F78" s="451" t="s">
        <v>411</v>
      </c>
      <c r="G78" s="451" t="s">
        <v>83</v>
      </c>
      <c r="H78" s="451" t="s">
        <v>83</v>
      </c>
      <c r="I78" s="451" t="s">
        <v>83</v>
      </c>
      <c r="J78" s="465"/>
      <c r="K78" s="451" t="s">
        <v>536</v>
      </c>
      <c r="L78" s="450"/>
    </row>
    <row r="79" spans="1:12" s="451" customFormat="1" ht="11.25" customHeight="1">
      <c r="A79" s="451" t="s">
        <v>542</v>
      </c>
      <c r="B79" s="451" t="s">
        <v>534</v>
      </c>
      <c r="C79" s="451" t="s">
        <v>348</v>
      </c>
      <c r="D79" s="451" t="s">
        <v>538</v>
      </c>
      <c r="E79" s="451" t="s">
        <v>83</v>
      </c>
      <c r="F79" s="451" t="s">
        <v>411</v>
      </c>
      <c r="G79" s="451" t="s">
        <v>83</v>
      </c>
      <c r="H79" s="451" t="s">
        <v>83</v>
      </c>
      <c r="I79" s="451" t="s">
        <v>83</v>
      </c>
      <c r="J79" s="465"/>
      <c r="K79" s="451" t="s">
        <v>536</v>
      </c>
      <c r="L79" s="450"/>
    </row>
    <row r="80" spans="1:12" s="451" customFormat="1" ht="11.25" customHeight="1">
      <c r="A80" s="451" t="s">
        <v>543</v>
      </c>
      <c r="B80" s="451" t="s">
        <v>534</v>
      </c>
      <c r="C80" s="451" t="s">
        <v>348</v>
      </c>
      <c r="D80" s="451" t="s">
        <v>410</v>
      </c>
      <c r="E80" s="451" t="s">
        <v>83</v>
      </c>
      <c r="F80" s="451" t="s">
        <v>411</v>
      </c>
      <c r="G80" s="451" t="s">
        <v>83</v>
      </c>
      <c r="H80" s="451" t="s">
        <v>83</v>
      </c>
      <c r="I80" s="451" t="s">
        <v>83</v>
      </c>
      <c r="J80" s="465"/>
      <c r="K80" s="451" t="s">
        <v>536</v>
      </c>
      <c r="L80" s="450"/>
    </row>
    <row r="81" spans="1:12" s="451" customFormat="1" ht="11.25" customHeight="1">
      <c r="A81" s="451" t="s">
        <v>544</v>
      </c>
      <c r="B81" s="451" t="s">
        <v>534</v>
      </c>
      <c r="C81" s="451" t="s">
        <v>348</v>
      </c>
      <c r="D81" s="451" t="s">
        <v>410</v>
      </c>
      <c r="E81" s="451" t="s">
        <v>83</v>
      </c>
      <c r="F81" s="451" t="s">
        <v>411</v>
      </c>
      <c r="G81" s="451" t="s">
        <v>83</v>
      </c>
      <c r="H81" s="451" t="s">
        <v>83</v>
      </c>
      <c r="I81" s="451" t="s">
        <v>83</v>
      </c>
      <c r="J81" s="465"/>
      <c r="K81" s="451" t="s">
        <v>536</v>
      </c>
      <c r="L81" s="450"/>
    </row>
    <row r="82" spans="1:12" s="451" customFormat="1" ht="11.25" customHeight="1">
      <c r="A82" s="451" t="s">
        <v>545</v>
      </c>
      <c r="B82" s="451" t="s">
        <v>534</v>
      </c>
      <c r="C82" s="451" t="s">
        <v>348</v>
      </c>
      <c r="D82" s="451" t="s">
        <v>410</v>
      </c>
      <c r="E82" s="451" t="s">
        <v>83</v>
      </c>
      <c r="F82" s="451" t="s">
        <v>411</v>
      </c>
      <c r="G82" s="451" t="s">
        <v>83</v>
      </c>
      <c r="H82" s="451" t="s">
        <v>83</v>
      </c>
      <c r="I82" s="451" t="s">
        <v>83</v>
      </c>
      <c r="J82" s="465"/>
      <c r="K82" s="451" t="s">
        <v>536</v>
      </c>
      <c r="L82" s="450"/>
    </row>
    <row r="83" spans="1:12" s="451" customFormat="1" ht="11.25" customHeight="1">
      <c r="A83" s="445" t="s">
        <v>546</v>
      </c>
      <c r="B83" s="446" t="s">
        <v>322</v>
      </c>
      <c r="C83" s="446" t="s">
        <v>323</v>
      </c>
      <c r="D83" s="446" t="s">
        <v>324</v>
      </c>
      <c r="E83" s="446" t="s">
        <v>185</v>
      </c>
      <c r="F83" s="446" t="s">
        <v>325</v>
      </c>
      <c r="G83" s="446" t="s">
        <v>261</v>
      </c>
      <c r="H83" s="446" t="s">
        <v>326</v>
      </c>
      <c r="I83" s="446" t="s">
        <v>254</v>
      </c>
      <c r="J83" s="459" t="s">
        <v>327</v>
      </c>
      <c r="K83" s="447" t="s">
        <v>408</v>
      </c>
      <c r="L83" s="450"/>
    </row>
    <row r="84" spans="1:12" s="390" customFormat="1" ht="11.25" customHeight="1">
      <c r="A84" s="65" t="s">
        <v>535</v>
      </c>
      <c r="B84" s="390" t="s">
        <v>546</v>
      </c>
      <c r="C84" s="390" t="s">
        <v>348</v>
      </c>
      <c r="D84" s="390" t="s">
        <v>423</v>
      </c>
      <c r="E84" s="390" t="s">
        <v>424</v>
      </c>
      <c r="F84" s="390" t="s">
        <v>547</v>
      </c>
      <c r="G84" s="390" t="s">
        <v>548</v>
      </c>
      <c r="H84" s="390">
        <v>3</v>
      </c>
      <c r="I84" s="390" t="s">
        <v>83</v>
      </c>
      <c r="J84" s="466"/>
      <c r="K84" s="390" t="s">
        <v>549</v>
      </c>
      <c r="L84" s="461"/>
    </row>
    <row r="85" spans="1:12" s="451" customFormat="1" ht="11.25" customHeight="1">
      <c r="A85" s="451" t="s">
        <v>550</v>
      </c>
      <c r="B85" s="451" t="s">
        <v>546</v>
      </c>
      <c r="C85" s="451" t="s">
        <v>348</v>
      </c>
      <c r="D85" s="451" t="s">
        <v>410</v>
      </c>
      <c r="E85" s="451" t="s">
        <v>83</v>
      </c>
      <c r="F85" s="451" t="s">
        <v>411</v>
      </c>
      <c r="G85" s="451" t="s">
        <v>83</v>
      </c>
      <c r="H85" s="451" t="s">
        <v>83</v>
      </c>
      <c r="I85" s="451" t="s">
        <v>83</v>
      </c>
      <c r="J85" s="465"/>
      <c r="K85" s="451" t="s">
        <v>549</v>
      </c>
      <c r="L85" s="450"/>
    </row>
    <row r="86" spans="1:12" s="451" customFormat="1" ht="11.25" customHeight="1">
      <c r="A86" s="451" t="s">
        <v>551</v>
      </c>
      <c r="B86" s="451" t="s">
        <v>546</v>
      </c>
      <c r="C86" s="451" t="s">
        <v>348</v>
      </c>
      <c r="D86" s="451" t="s">
        <v>410</v>
      </c>
      <c r="E86" s="451" t="s">
        <v>83</v>
      </c>
      <c r="F86" s="451" t="s">
        <v>411</v>
      </c>
      <c r="G86" s="451" t="s">
        <v>83</v>
      </c>
      <c r="H86" s="451" t="s">
        <v>83</v>
      </c>
      <c r="I86" s="451" t="s">
        <v>83</v>
      </c>
      <c r="J86" s="465"/>
      <c r="K86" s="451" t="s">
        <v>549</v>
      </c>
      <c r="L86" s="450"/>
    </row>
    <row r="87" spans="1:12" s="451" customFormat="1" ht="11.25" customHeight="1">
      <c r="A87" s="451" t="s">
        <v>552</v>
      </c>
      <c r="B87" s="451" t="s">
        <v>546</v>
      </c>
      <c r="C87" s="451" t="s">
        <v>348</v>
      </c>
      <c r="D87" s="451" t="s">
        <v>410</v>
      </c>
      <c r="E87" s="451" t="s">
        <v>83</v>
      </c>
      <c r="F87" s="451" t="s">
        <v>411</v>
      </c>
      <c r="G87" s="451" t="s">
        <v>83</v>
      </c>
      <c r="H87" s="451" t="s">
        <v>83</v>
      </c>
      <c r="I87" s="451" t="s">
        <v>83</v>
      </c>
      <c r="J87" s="465"/>
      <c r="K87" s="451" t="s">
        <v>549</v>
      </c>
      <c r="L87" s="450"/>
    </row>
    <row r="88" spans="1:12" s="451" customFormat="1" ht="11.25" customHeight="1">
      <c r="A88" s="451" t="s">
        <v>553</v>
      </c>
      <c r="B88" s="451" t="s">
        <v>546</v>
      </c>
      <c r="C88" s="451" t="s">
        <v>348</v>
      </c>
      <c r="D88" s="451" t="s">
        <v>410</v>
      </c>
      <c r="E88" s="451" t="s">
        <v>83</v>
      </c>
      <c r="F88" s="451" t="s">
        <v>411</v>
      </c>
      <c r="G88" s="451" t="s">
        <v>83</v>
      </c>
      <c r="H88" s="451" t="s">
        <v>83</v>
      </c>
      <c r="I88" s="451" t="s">
        <v>83</v>
      </c>
      <c r="J88" s="465"/>
      <c r="K88" s="451" t="s">
        <v>549</v>
      </c>
      <c r="L88" s="450"/>
    </row>
    <row r="89" spans="1:12" s="451" customFormat="1" ht="11.25" customHeight="1">
      <c r="A89" s="451" t="s">
        <v>554</v>
      </c>
      <c r="B89" s="451" t="s">
        <v>546</v>
      </c>
      <c r="C89" s="451" t="s">
        <v>348</v>
      </c>
      <c r="D89" s="451" t="s">
        <v>410</v>
      </c>
      <c r="E89" s="451" t="s">
        <v>83</v>
      </c>
      <c r="F89" s="451" t="s">
        <v>411</v>
      </c>
      <c r="G89" s="451" t="s">
        <v>83</v>
      </c>
      <c r="H89" s="451" t="s">
        <v>83</v>
      </c>
      <c r="I89" s="451" t="s">
        <v>83</v>
      </c>
      <c r="J89" s="465"/>
      <c r="K89" s="451" t="s">
        <v>549</v>
      </c>
      <c r="L89" s="450"/>
    </row>
    <row r="90" spans="1:12" s="451" customFormat="1" ht="11.25" customHeight="1">
      <c r="A90" s="451" t="s">
        <v>555</v>
      </c>
      <c r="B90" s="451" t="s">
        <v>546</v>
      </c>
      <c r="C90" s="451" t="s">
        <v>348</v>
      </c>
      <c r="D90" s="451" t="s">
        <v>410</v>
      </c>
      <c r="E90" s="451" t="s">
        <v>83</v>
      </c>
      <c r="F90" s="451" t="s">
        <v>411</v>
      </c>
      <c r="G90" s="451" t="s">
        <v>83</v>
      </c>
      <c r="H90" s="451" t="s">
        <v>83</v>
      </c>
      <c r="I90" s="451" t="s">
        <v>83</v>
      </c>
      <c r="J90" s="465"/>
      <c r="K90" s="451" t="s">
        <v>549</v>
      </c>
      <c r="L90" s="450"/>
    </row>
    <row r="91" spans="1:12" s="451" customFormat="1" ht="11.25" customHeight="1">
      <c r="A91" s="451" t="s">
        <v>556</v>
      </c>
      <c r="B91" s="451" t="s">
        <v>546</v>
      </c>
      <c r="C91" s="451" t="s">
        <v>348</v>
      </c>
      <c r="D91" s="451" t="s">
        <v>410</v>
      </c>
      <c r="E91" s="451" t="s">
        <v>83</v>
      </c>
      <c r="F91" s="451" t="s">
        <v>411</v>
      </c>
      <c r="G91" s="451" t="s">
        <v>83</v>
      </c>
      <c r="H91" s="451" t="s">
        <v>83</v>
      </c>
      <c r="I91" s="451" t="s">
        <v>83</v>
      </c>
      <c r="J91" s="465"/>
      <c r="K91" s="451" t="s">
        <v>549</v>
      </c>
      <c r="L91" s="450"/>
    </row>
    <row r="92" spans="1:12" s="451" customFormat="1" ht="11.25" customHeight="1">
      <c r="A92" s="451" t="s">
        <v>557</v>
      </c>
      <c r="B92" s="451" t="s">
        <v>546</v>
      </c>
      <c r="C92" s="451" t="s">
        <v>348</v>
      </c>
      <c r="D92" s="451" t="s">
        <v>410</v>
      </c>
      <c r="E92" s="451" t="s">
        <v>83</v>
      </c>
      <c r="F92" s="451" t="s">
        <v>411</v>
      </c>
      <c r="G92" s="451" t="s">
        <v>83</v>
      </c>
      <c r="H92" s="451" t="s">
        <v>83</v>
      </c>
      <c r="I92" s="451" t="s">
        <v>83</v>
      </c>
      <c r="J92" s="465"/>
      <c r="K92" s="451" t="s">
        <v>549</v>
      </c>
      <c r="L92" s="450"/>
    </row>
    <row r="93" spans="1:11" ht="11.25" customHeight="1">
      <c r="A93" s="445" t="s">
        <v>139</v>
      </c>
      <c r="B93" s="446" t="s">
        <v>322</v>
      </c>
      <c r="C93" s="446" t="s">
        <v>323</v>
      </c>
      <c r="D93" s="446" t="s">
        <v>324</v>
      </c>
      <c r="E93" s="446" t="s">
        <v>185</v>
      </c>
      <c r="F93" s="446" t="s">
        <v>325</v>
      </c>
      <c r="G93" s="446" t="s">
        <v>261</v>
      </c>
      <c r="H93" s="446" t="s">
        <v>326</v>
      </c>
      <c r="I93" s="446" t="s">
        <v>254</v>
      </c>
      <c r="J93" s="459" t="s">
        <v>327</v>
      </c>
      <c r="K93" s="447" t="s">
        <v>408</v>
      </c>
    </row>
    <row r="94" spans="1:12" s="451" customFormat="1" ht="11.25" customHeight="1">
      <c r="A94" s="448" t="s">
        <v>558</v>
      </c>
      <c r="B94" s="448" t="s">
        <v>139</v>
      </c>
      <c r="C94" s="448" t="s">
        <v>348</v>
      </c>
      <c r="D94" s="448" t="s">
        <v>410</v>
      </c>
      <c r="E94" s="448" t="s">
        <v>83</v>
      </c>
      <c r="F94" s="448" t="s">
        <v>411</v>
      </c>
      <c r="G94" s="448" t="s">
        <v>83</v>
      </c>
      <c r="H94" s="448" t="s">
        <v>83</v>
      </c>
      <c r="I94" s="448" t="s">
        <v>83</v>
      </c>
      <c r="J94" s="449"/>
      <c r="K94" s="448"/>
      <c r="L94" s="450"/>
    </row>
    <row r="95" spans="1:12" s="463" customFormat="1" ht="11.25" customHeight="1">
      <c r="A95" s="448" t="s">
        <v>141</v>
      </c>
      <c r="B95" s="448" t="s">
        <v>139</v>
      </c>
      <c r="C95" s="448" t="s">
        <v>348</v>
      </c>
      <c r="D95" s="448" t="s">
        <v>410</v>
      </c>
      <c r="E95" s="448" t="s">
        <v>83</v>
      </c>
      <c r="F95" s="448" t="s">
        <v>411</v>
      </c>
      <c r="G95" s="448" t="s">
        <v>83</v>
      </c>
      <c r="H95" s="448" t="s">
        <v>83</v>
      </c>
      <c r="I95" s="448" t="s">
        <v>83</v>
      </c>
      <c r="J95" s="449"/>
      <c r="K95" s="448"/>
      <c r="L95" s="462"/>
    </row>
    <row r="96" spans="1:12" s="463" customFormat="1" ht="11.25" customHeight="1">
      <c r="A96" s="448" t="s">
        <v>559</v>
      </c>
      <c r="B96" s="448" t="s">
        <v>139</v>
      </c>
      <c r="C96" s="448" t="s">
        <v>348</v>
      </c>
      <c r="D96" s="448" t="s">
        <v>410</v>
      </c>
      <c r="E96" s="448" t="s">
        <v>83</v>
      </c>
      <c r="F96" s="448" t="s">
        <v>411</v>
      </c>
      <c r="G96" s="448" t="s">
        <v>83</v>
      </c>
      <c r="H96" s="448" t="s">
        <v>83</v>
      </c>
      <c r="I96" s="448" t="s">
        <v>83</v>
      </c>
      <c r="J96" s="449"/>
      <c r="K96" s="448"/>
      <c r="L96" s="462"/>
    </row>
    <row r="97" spans="1:12" s="463" customFormat="1" ht="11.25" customHeight="1">
      <c r="A97" s="448" t="s">
        <v>560</v>
      </c>
      <c r="B97" s="448" t="s">
        <v>139</v>
      </c>
      <c r="C97" s="448" t="s">
        <v>348</v>
      </c>
      <c r="D97" s="448" t="s">
        <v>410</v>
      </c>
      <c r="E97" s="448" t="s">
        <v>83</v>
      </c>
      <c r="F97" s="448" t="s">
        <v>411</v>
      </c>
      <c r="G97" s="448" t="s">
        <v>83</v>
      </c>
      <c r="H97" s="448" t="s">
        <v>83</v>
      </c>
      <c r="I97" s="448" t="s">
        <v>83</v>
      </c>
      <c r="J97" s="449"/>
      <c r="K97" s="448"/>
      <c r="L97" s="462"/>
    </row>
    <row r="98" spans="1:12" s="463" customFormat="1" ht="11.25" customHeight="1">
      <c r="A98" s="448" t="s">
        <v>362</v>
      </c>
      <c r="B98" s="448" t="s">
        <v>139</v>
      </c>
      <c r="C98" s="448" t="s">
        <v>348</v>
      </c>
      <c r="D98" s="448" t="s">
        <v>410</v>
      </c>
      <c r="E98" s="448" t="s">
        <v>83</v>
      </c>
      <c r="F98" s="448" t="s">
        <v>411</v>
      </c>
      <c r="G98" s="448" t="s">
        <v>83</v>
      </c>
      <c r="H98" s="448" t="s">
        <v>83</v>
      </c>
      <c r="I98" s="448" t="s">
        <v>83</v>
      </c>
      <c r="J98" s="449"/>
      <c r="K98" s="448"/>
      <c r="L98" s="462"/>
    </row>
    <row r="99" spans="1:12" s="463" customFormat="1" ht="11.25" customHeight="1">
      <c r="A99" s="448" t="s">
        <v>561</v>
      </c>
      <c r="B99" s="448" t="s">
        <v>139</v>
      </c>
      <c r="C99" s="448" t="s">
        <v>348</v>
      </c>
      <c r="D99" s="448" t="s">
        <v>410</v>
      </c>
      <c r="E99" s="448" t="s">
        <v>83</v>
      </c>
      <c r="F99" s="448" t="s">
        <v>411</v>
      </c>
      <c r="G99" s="448" t="s">
        <v>83</v>
      </c>
      <c r="H99" s="448" t="s">
        <v>83</v>
      </c>
      <c r="I99" s="448" t="s">
        <v>83</v>
      </c>
      <c r="J99" s="449"/>
      <c r="K99" s="448"/>
      <c r="L99" s="462"/>
    </row>
    <row r="100" spans="1:12" s="463" customFormat="1" ht="11.25" customHeight="1">
      <c r="A100" s="448" t="s">
        <v>562</v>
      </c>
      <c r="B100" s="448" t="s">
        <v>139</v>
      </c>
      <c r="C100" s="448" t="s">
        <v>348</v>
      </c>
      <c r="D100" s="448" t="s">
        <v>410</v>
      </c>
      <c r="E100" s="448" t="s">
        <v>83</v>
      </c>
      <c r="F100" s="448" t="s">
        <v>411</v>
      </c>
      <c r="G100" s="448" t="s">
        <v>83</v>
      </c>
      <c r="H100" s="448" t="s">
        <v>83</v>
      </c>
      <c r="I100" s="448" t="s">
        <v>83</v>
      </c>
      <c r="J100" s="449"/>
      <c r="K100" s="448"/>
      <c r="L100" s="462"/>
    </row>
    <row r="101" spans="1:12" s="451" customFormat="1" ht="11.25" customHeight="1">
      <c r="A101" s="452" t="s">
        <v>563</v>
      </c>
      <c r="B101" s="448" t="s">
        <v>139</v>
      </c>
      <c r="C101" s="448" t="s">
        <v>348</v>
      </c>
      <c r="D101" s="448" t="s">
        <v>410</v>
      </c>
      <c r="E101" s="448" t="s">
        <v>83</v>
      </c>
      <c r="F101" s="448" t="s">
        <v>411</v>
      </c>
      <c r="G101" s="448" t="s">
        <v>83</v>
      </c>
      <c r="H101" s="448" t="s">
        <v>83</v>
      </c>
      <c r="I101" s="448" t="s">
        <v>83</v>
      </c>
      <c r="J101" s="453"/>
      <c r="K101" s="448"/>
      <c r="L101" s="450"/>
    </row>
    <row r="102" spans="1:12" s="451" customFormat="1" ht="11.25" customHeight="1">
      <c r="A102" s="452" t="s">
        <v>564</v>
      </c>
      <c r="B102" s="448" t="s">
        <v>139</v>
      </c>
      <c r="C102" s="448" t="s">
        <v>348</v>
      </c>
      <c r="D102" s="448" t="s">
        <v>410</v>
      </c>
      <c r="E102" s="448" t="s">
        <v>83</v>
      </c>
      <c r="F102" s="448" t="s">
        <v>411</v>
      </c>
      <c r="G102" s="448" t="s">
        <v>83</v>
      </c>
      <c r="H102" s="448" t="s">
        <v>83</v>
      </c>
      <c r="I102" s="448" t="s">
        <v>83</v>
      </c>
      <c r="J102" s="453"/>
      <c r="K102" s="448"/>
      <c r="L102" s="450"/>
    </row>
    <row r="103" spans="1:12" s="451" customFormat="1" ht="11.25" customHeight="1">
      <c r="A103" s="452" t="s">
        <v>565</v>
      </c>
      <c r="B103" s="448" t="s">
        <v>139</v>
      </c>
      <c r="C103" s="448" t="s">
        <v>348</v>
      </c>
      <c r="D103" s="448" t="s">
        <v>566</v>
      </c>
      <c r="E103" s="448" t="s">
        <v>38</v>
      </c>
      <c r="F103" s="448" t="s">
        <v>411</v>
      </c>
      <c r="G103" s="448" t="s">
        <v>83</v>
      </c>
      <c r="H103" s="448" t="s">
        <v>83</v>
      </c>
      <c r="I103" s="448" t="s">
        <v>83</v>
      </c>
      <c r="J103" s="453"/>
      <c r="K103" s="448"/>
      <c r="L103" s="450"/>
    </row>
    <row r="104" spans="1:12" s="451" customFormat="1" ht="11.25" customHeight="1">
      <c r="A104" s="452" t="s">
        <v>567</v>
      </c>
      <c r="B104" s="448" t="s">
        <v>139</v>
      </c>
      <c r="C104" s="448" t="s">
        <v>348</v>
      </c>
      <c r="D104" s="448" t="s">
        <v>410</v>
      </c>
      <c r="E104" s="448" t="s">
        <v>83</v>
      </c>
      <c r="F104" s="448" t="s">
        <v>411</v>
      </c>
      <c r="G104" s="448" t="s">
        <v>83</v>
      </c>
      <c r="H104" s="448" t="s">
        <v>83</v>
      </c>
      <c r="I104" s="448" t="s">
        <v>83</v>
      </c>
      <c r="J104" s="453"/>
      <c r="K104" s="448"/>
      <c r="L104" s="450"/>
    </row>
    <row r="105" spans="1:12" s="451" customFormat="1" ht="11.25" customHeight="1">
      <c r="A105" s="452" t="s">
        <v>568</v>
      </c>
      <c r="B105" s="448" t="s">
        <v>139</v>
      </c>
      <c r="C105" s="448" t="s">
        <v>348</v>
      </c>
      <c r="D105" s="448" t="s">
        <v>410</v>
      </c>
      <c r="E105" s="448" t="s">
        <v>83</v>
      </c>
      <c r="F105" s="448" t="s">
        <v>411</v>
      </c>
      <c r="G105" s="448" t="s">
        <v>83</v>
      </c>
      <c r="H105" s="448" t="s">
        <v>83</v>
      </c>
      <c r="I105" s="448" t="s">
        <v>83</v>
      </c>
      <c r="J105" s="453"/>
      <c r="K105" s="448"/>
      <c r="L105" s="450"/>
    </row>
    <row r="106" spans="1:12" s="451" customFormat="1" ht="11.25" customHeight="1">
      <c r="A106" s="452" t="s">
        <v>569</v>
      </c>
      <c r="B106" s="448" t="s">
        <v>139</v>
      </c>
      <c r="C106" s="448" t="s">
        <v>348</v>
      </c>
      <c r="D106" s="448" t="s">
        <v>410</v>
      </c>
      <c r="E106" s="448" t="s">
        <v>83</v>
      </c>
      <c r="F106" s="448" t="s">
        <v>411</v>
      </c>
      <c r="G106" s="448" t="s">
        <v>83</v>
      </c>
      <c r="H106" s="448" t="s">
        <v>83</v>
      </c>
      <c r="I106" s="448" t="s">
        <v>83</v>
      </c>
      <c r="J106" s="453"/>
      <c r="K106" s="448"/>
      <c r="L106" s="450"/>
    </row>
    <row r="107" spans="1:12" s="451" customFormat="1" ht="11.25" customHeight="1">
      <c r="A107" s="452" t="s">
        <v>570</v>
      </c>
      <c r="B107" s="448" t="s">
        <v>139</v>
      </c>
      <c r="C107" s="448" t="s">
        <v>348</v>
      </c>
      <c r="D107" s="448" t="s">
        <v>410</v>
      </c>
      <c r="E107" s="448" t="s">
        <v>83</v>
      </c>
      <c r="F107" s="448" t="s">
        <v>411</v>
      </c>
      <c r="G107" s="448" t="s">
        <v>83</v>
      </c>
      <c r="H107" s="448" t="s">
        <v>83</v>
      </c>
      <c r="I107" s="448" t="s">
        <v>83</v>
      </c>
      <c r="J107" s="453"/>
      <c r="K107" s="448"/>
      <c r="L107" s="450"/>
    </row>
    <row r="108" spans="1:12" s="451" customFormat="1" ht="11.25" customHeight="1">
      <c r="A108" s="448" t="s">
        <v>571</v>
      </c>
      <c r="B108" s="448" t="s">
        <v>139</v>
      </c>
      <c r="C108" s="448" t="s">
        <v>348</v>
      </c>
      <c r="D108" s="448" t="s">
        <v>566</v>
      </c>
      <c r="E108" s="448" t="s">
        <v>33</v>
      </c>
      <c r="F108" s="448" t="s">
        <v>547</v>
      </c>
      <c r="G108" s="448" t="s">
        <v>572</v>
      </c>
      <c r="H108" s="448" t="s">
        <v>83</v>
      </c>
      <c r="I108" s="448" t="s">
        <v>83</v>
      </c>
      <c r="J108" s="453"/>
      <c r="K108" s="448"/>
      <c r="L108" s="450"/>
    </row>
    <row r="109" spans="1:11" ht="11.25" customHeight="1">
      <c r="A109" s="454" t="s">
        <v>573</v>
      </c>
      <c r="B109" s="448" t="s">
        <v>139</v>
      </c>
      <c r="C109" s="448" t="s">
        <v>348</v>
      </c>
      <c r="D109" s="448" t="s">
        <v>410</v>
      </c>
      <c r="E109" s="448" t="s">
        <v>83</v>
      </c>
      <c r="F109" s="448" t="s">
        <v>411</v>
      </c>
      <c r="G109" s="448" t="s">
        <v>83</v>
      </c>
      <c r="H109" s="448" t="s">
        <v>83</v>
      </c>
      <c r="I109" s="448" t="s">
        <v>83</v>
      </c>
      <c r="J109" s="455"/>
      <c r="K109" s="448"/>
    </row>
    <row r="110" spans="1:11" ht="11.25" customHeight="1">
      <c r="A110" s="454" t="s">
        <v>574</v>
      </c>
      <c r="B110" s="448" t="s">
        <v>139</v>
      </c>
      <c r="C110" s="448" t="s">
        <v>348</v>
      </c>
      <c r="D110" s="448" t="s">
        <v>410</v>
      </c>
      <c r="E110" s="448" t="s">
        <v>83</v>
      </c>
      <c r="F110" s="448" t="s">
        <v>411</v>
      </c>
      <c r="G110" s="448" t="s">
        <v>83</v>
      </c>
      <c r="H110" s="448" t="s">
        <v>83</v>
      </c>
      <c r="I110" s="448" t="s">
        <v>83</v>
      </c>
      <c r="J110" s="455"/>
      <c r="K110" s="448"/>
    </row>
    <row r="111" spans="1:11" ht="11.25" customHeight="1">
      <c r="A111" s="454" t="s">
        <v>575</v>
      </c>
      <c r="B111" s="448" t="s">
        <v>139</v>
      </c>
      <c r="C111" s="448" t="s">
        <v>348</v>
      </c>
      <c r="D111" s="448" t="s">
        <v>410</v>
      </c>
      <c r="E111" s="448" t="s">
        <v>83</v>
      </c>
      <c r="F111" s="448" t="s">
        <v>411</v>
      </c>
      <c r="G111" s="448" t="s">
        <v>83</v>
      </c>
      <c r="H111" s="448" t="s">
        <v>83</v>
      </c>
      <c r="I111" s="448" t="s">
        <v>83</v>
      </c>
      <c r="J111" s="455"/>
      <c r="K111" s="448"/>
    </row>
    <row r="112" spans="1:11" ht="11.25" customHeight="1">
      <c r="A112" s="454" t="s">
        <v>576</v>
      </c>
      <c r="B112" s="448" t="s">
        <v>139</v>
      </c>
      <c r="C112" s="448" t="s">
        <v>348</v>
      </c>
      <c r="D112" s="448" t="s">
        <v>410</v>
      </c>
      <c r="E112" s="448" t="s">
        <v>83</v>
      </c>
      <c r="F112" s="448" t="s">
        <v>411</v>
      </c>
      <c r="G112" s="448" t="s">
        <v>83</v>
      </c>
      <c r="H112" s="448" t="s">
        <v>83</v>
      </c>
      <c r="I112" s="448" t="s">
        <v>83</v>
      </c>
      <c r="J112" s="455"/>
      <c r="K112" s="448"/>
    </row>
    <row r="113" spans="1:11" ht="11.25" customHeight="1">
      <c r="A113" s="454" t="s">
        <v>577</v>
      </c>
      <c r="B113" s="448" t="s">
        <v>139</v>
      </c>
      <c r="C113" s="448" t="s">
        <v>348</v>
      </c>
      <c r="D113" s="448" t="s">
        <v>410</v>
      </c>
      <c r="E113" s="448" t="s">
        <v>83</v>
      </c>
      <c r="F113" s="448" t="s">
        <v>411</v>
      </c>
      <c r="G113" s="448" t="s">
        <v>83</v>
      </c>
      <c r="H113" s="448" t="s">
        <v>83</v>
      </c>
      <c r="I113" s="448" t="s">
        <v>83</v>
      </c>
      <c r="J113" s="455"/>
      <c r="K113" s="448"/>
    </row>
    <row r="114" spans="1:11" ht="11.25" customHeight="1">
      <c r="A114" s="454" t="s">
        <v>578</v>
      </c>
      <c r="B114" s="448" t="s">
        <v>139</v>
      </c>
      <c r="C114" s="448" t="s">
        <v>348</v>
      </c>
      <c r="D114" s="448" t="s">
        <v>410</v>
      </c>
      <c r="E114" s="448" t="s">
        <v>83</v>
      </c>
      <c r="F114" s="448" t="s">
        <v>411</v>
      </c>
      <c r="G114" s="448" t="s">
        <v>83</v>
      </c>
      <c r="H114" s="448" t="s">
        <v>83</v>
      </c>
      <c r="I114" s="448" t="s">
        <v>83</v>
      </c>
      <c r="J114" s="455"/>
      <c r="K114" s="448"/>
    </row>
    <row r="115" spans="1:11" ht="11.25" customHeight="1">
      <c r="A115" s="454" t="s">
        <v>579</v>
      </c>
      <c r="B115" s="448" t="s">
        <v>139</v>
      </c>
      <c r="C115" s="448" t="s">
        <v>348</v>
      </c>
      <c r="D115" s="448" t="s">
        <v>410</v>
      </c>
      <c r="E115" s="448" t="s">
        <v>83</v>
      </c>
      <c r="F115" s="448" t="s">
        <v>411</v>
      </c>
      <c r="G115" s="448" t="s">
        <v>83</v>
      </c>
      <c r="H115" s="448" t="s">
        <v>83</v>
      </c>
      <c r="I115" s="448" t="s">
        <v>83</v>
      </c>
      <c r="J115" s="455"/>
      <c r="K115" s="448"/>
    </row>
    <row r="116" spans="1:11" ht="11.25" customHeight="1">
      <c r="A116" s="454" t="s">
        <v>580</v>
      </c>
      <c r="B116" s="448" t="s">
        <v>139</v>
      </c>
      <c r="C116" s="448" t="s">
        <v>348</v>
      </c>
      <c r="D116" s="448" t="s">
        <v>410</v>
      </c>
      <c r="E116" s="448" t="s">
        <v>83</v>
      </c>
      <c r="F116" s="448" t="s">
        <v>411</v>
      </c>
      <c r="G116" s="448" t="s">
        <v>83</v>
      </c>
      <c r="H116" s="448" t="s">
        <v>83</v>
      </c>
      <c r="I116" s="448" t="s">
        <v>83</v>
      </c>
      <c r="J116" s="455"/>
      <c r="K116" s="448"/>
    </row>
    <row r="117" spans="1:11" ht="11.25" customHeight="1">
      <c r="A117" s="454" t="s">
        <v>581</v>
      </c>
      <c r="B117" s="448" t="s">
        <v>139</v>
      </c>
      <c r="C117" s="448" t="s">
        <v>348</v>
      </c>
      <c r="D117" s="448" t="s">
        <v>410</v>
      </c>
      <c r="E117" s="448" t="s">
        <v>83</v>
      </c>
      <c r="F117" s="448" t="s">
        <v>411</v>
      </c>
      <c r="G117" s="448" t="s">
        <v>83</v>
      </c>
      <c r="H117" s="448" t="s">
        <v>83</v>
      </c>
      <c r="I117" s="448" t="s">
        <v>83</v>
      </c>
      <c r="J117" s="455"/>
      <c r="K117" s="448"/>
    </row>
    <row r="118" spans="1:11" ht="11.25" customHeight="1">
      <c r="A118" s="454" t="s">
        <v>582</v>
      </c>
      <c r="B118" s="448" t="s">
        <v>139</v>
      </c>
      <c r="C118" s="448" t="s">
        <v>348</v>
      </c>
      <c r="D118" s="448" t="s">
        <v>410</v>
      </c>
      <c r="E118" s="448" t="s">
        <v>83</v>
      </c>
      <c r="F118" s="448" t="s">
        <v>411</v>
      </c>
      <c r="G118" s="448" t="s">
        <v>83</v>
      </c>
      <c r="H118" s="448" t="s">
        <v>83</v>
      </c>
      <c r="I118" s="448" t="s">
        <v>83</v>
      </c>
      <c r="J118" s="455"/>
      <c r="K118" s="448"/>
    </row>
    <row r="119" spans="1:11" ht="11.25" customHeight="1">
      <c r="A119" s="454" t="s">
        <v>583</v>
      </c>
      <c r="B119" s="448" t="s">
        <v>139</v>
      </c>
      <c r="C119" s="448" t="s">
        <v>348</v>
      </c>
      <c r="D119" s="448" t="s">
        <v>584</v>
      </c>
      <c r="E119" s="448" t="s">
        <v>424</v>
      </c>
      <c r="F119" s="448" t="s">
        <v>411</v>
      </c>
      <c r="G119" s="448" t="s">
        <v>83</v>
      </c>
      <c r="H119" s="448">
        <v>4</v>
      </c>
      <c r="I119" s="448" t="s">
        <v>83</v>
      </c>
      <c r="J119" s="455"/>
      <c r="K119" s="448"/>
    </row>
    <row r="120" spans="1:11" ht="11.25" customHeight="1">
      <c r="A120" s="454" t="s">
        <v>585</v>
      </c>
      <c r="B120" s="448" t="s">
        <v>139</v>
      </c>
      <c r="C120" s="448" t="s">
        <v>348</v>
      </c>
      <c r="D120" s="448" t="s">
        <v>500</v>
      </c>
      <c r="E120" s="448" t="s">
        <v>83</v>
      </c>
      <c r="F120" s="448" t="s">
        <v>327</v>
      </c>
      <c r="G120" s="448" t="s">
        <v>83</v>
      </c>
      <c r="H120" s="448" t="s">
        <v>83</v>
      </c>
      <c r="I120" s="448" t="s">
        <v>83</v>
      </c>
      <c r="J120" s="455"/>
      <c r="K120" s="448"/>
    </row>
    <row r="121" spans="1:11" ht="11.25" customHeight="1">
      <c r="A121" s="454" t="s">
        <v>586</v>
      </c>
      <c r="B121" s="448" t="s">
        <v>139</v>
      </c>
      <c r="C121" s="448" t="s">
        <v>348</v>
      </c>
      <c r="D121" s="448" t="s">
        <v>495</v>
      </c>
      <c r="E121" s="448" t="s">
        <v>424</v>
      </c>
      <c r="F121" s="448" t="s">
        <v>411</v>
      </c>
      <c r="G121" s="448" t="s">
        <v>83</v>
      </c>
      <c r="H121" s="448" t="s">
        <v>83</v>
      </c>
      <c r="I121" s="448" t="s">
        <v>83</v>
      </c>
      <c r="J121" s="455"/>
      <c r="K121" s="448"/>
    </row>
    <row r="122" spans="1:11" ht="11.25" customHeight="1">
      <c r="A122" s="454" t="s">
        <v>587</v>
      </c>
      <c r="B122" s="448" t="s">
        <v>139</v>
      </c>
      <c r="C122" s="448" t="s">
        <v>348</v>
      </c>
      <c r="D122" s="448" t="s">
        <v>588</v>
      </c>
      <c r="E122" s="448" t="s">
        <v>424</v>
      </c>
      <c r="F122" s="448" t="s">
        <v>411</v>
      </c>
      <c r="G122" s="448" t="s">
        <v>83</v>
      </c>
      <c r="H122" s="448" t="s">
        <v>83</v>
      </c>
      <c r="I122" s="448" t="s">
        <v>83</v>
      </c>
      <c r="J122" s="455"/>
      <c r="K122" s="448"/>
    </row>
    <row r="123" spans="1:11" ht="11.25" customHeight="1">
      <c r="A123" s="454" t="s">
        <v>589</v>
      </c>
      <c r="B123" s="448" t="s">
        <v>139</v>
      </c>
      <c r="C123" s="448" t="s">
        <v>348</v>
      </c>
      <c r="D123" s="448" t="s">
        <v>566</v>
      </c>
      <c r="E123" s="448" t="s">
        <v>36</v>
      </c>
      <c r="F123" s="448" t="s">
        <v>327</v>
      </c>
      <c r="G123" s="448" t="s">
        <v>489</v>
      </c>
      <c r="H123" s="448" t="s">
        <v>83</v>
      </c>
      <c r="I123" s="448" t="s">
        <v>83</v>
      </c>
      <c r="J123" s="455"/>
      <c r="K123" s="448"/>
    </row>
    <row r="124" spans="1:256" ht="11.25" customHeight="1">
      <c r="A124" s="452" t="s">
        <v>590</v>
      </c>
      <c r="B124" s="448" t="s">
        <v>139</v>
      </c>
      <c r="C124" s="448" t="s">
        <v>348</v>
      </c>
      <c r="D124" s="448" t="s">
        <v>410</v>
      </c>
      <c r="E124" s="448" t="s">
        <v>83</v>
      </c>
      <c r="F124" s="448" t="s">
        <v>411</v>
      </c>
      <c r="G124" s="448" t="s">
        <v>83</v>
      </c>
      <c r="H124" s="448" t="s">
        <v>83</v>
      </c>
      <c r="I124" s="448" t="s">
        <v>83</v>
      </c>
      <c r="J124" s="453" t="s">
        <v>591</v>
      </c>
      <c r="K124" s="467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1.25" customHeight="1">
      <c r="A125" s="452" t="s">
        <v>358</v>
      </c>
      <c r="B125" s="448" t="s">
        <v>139</v>
      </c>
      <c r="C125" s="448" t="s">
        <v>348</v>
      </c>
      <c r="D125" s="448" t="s">
        <v>410</v>
      </c>
      <c r="E125" s="448" t="s">
        <v>83</v>
      </c>
      <c r="F125" s="448" t="s">
        <v>411</v>
      </c>
      <c r="G125" s="448" t="s">
        <v>83</v>
      </c>
      <c r="H125" s="448" t="s">
        <v>83</v>
      </c>
      <c r="I125" s="448" t="s">
        <v>83</v>
      </c>
      <c r="J125" s="453" t="s">
        <v>591</v>
      </c>
      <c r="K125" s="467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1.25" customHeight="1">
      <c r="A126" s="452" t="s">
        <v>592</v>
      </c>
      <c r="B126" s="448" t="s">
        <v>139</v>
      </c>
      <c r="C126" s="448" t="s">
        <v>348</v>
      </c>
      <c r="D126" s="448" t="s">
        <v>410</v>
      </c>
      <c r="E126" s="448" t="s">
        <v>83</v>
      </c>
      <c r="F126" s="448" t="s">
        <v>411</v>
      </c>
      <c r="G126" s="448" t="s">
        <v>83</v>
      </c>
      <c r="H126" s="448" t="s">
        <v>83</v>
      </c>
      <c r="I126" s="448" t="s">
        <v>83</v>
      </c>
      <c r="J126" s="453" t="s">
        <v>591</v>
      </c>
      <c r="K126" s="467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1.25" customHeight="1">
      <c r="A127" s="452" t="s">
        <v>593</v>
      </c>
      <c r="B127" s="448" t="s">
        <v>139</v>
      </c>
      <c r="C127" s="448" t="s">
        <v>348</v>
      </c>
      <c r="D127" s="448" t="s">
        <v>410</v>
      </c>
      <c r="E127" s="448" t="s">
        <v>83</v>
      </c>
      <c r="F127" s="448" t="s">
        <v>411</v>
      </c>
      <c r="G127" s="448" t="s">
        <v>83</v>
      </c>
      <c r="H127" s="448" t="s">
        <v>83</v>
      </c>
      <c r="I127" s="448" t="s">
        <v>83</v>
      </c>
      <c r="J127" s="453" t="s">
        <v>591</v>
      </c>
      <c r="K127" s="46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1.25" customHeight="1">
      <c r="A128" s="452" t="s">
        <v>594</v>
      </c>
      <c r="B128" s="448" t="s">
        <v>139</v>
      </c>
      <c r="C128" s="448" t="s">
        <v>348</v>
      </c>
      <c r="D128" s="448" t="s">
        <v>410</v>
      </c>
      <c r="E128" s="448" t="s">
        <v>83</v>
      </c>
      <c r="F128" s="448" t="s">
        <v>411</v>
      </c>
      <c r="G128" s="448" t="s">
        <v>83</v>
      </c>
      <c r="H128" s="448" t="s">
        <v>83</v>
      </c>
      <c r="I128" s="448" t="s">
        <v>83</v>
      </c>
      <c r="J128" s="453" t="s">
        <v>591</v>
      </c>
      <c r="K128" s="467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1.25" customHeight="1">
      <c r="A129" s="452" t="s">
        <v>360</v>
      </c>
      <c r="B129" s="448" t="s">
        <v>139</v>
      </c>
      <c r="C129" s="448" t="s">
        <v>348</v>
      </c>
      <c r="D129" s="448" t="s">
        <v>410</v>
      </c>
      <c r="E129" s="448" t="s">
        <v>83</v>
      </c>
      <c r="F129" s="448" t="s">
        <v>411</v>
      </c>
      <c r="G129" s="448" t="s">
        <v>83</v>
      </c>
      <c r="H129" s="448" t="s">
        <v>83</v>
      </c>
      <c r="I129" s="448" t="s">
        <v>83</v>
      </c>
      <c r="J129" s="453" t="s">
        <v>591</v>
      </c>
      <c r="K129" s="467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1.25" customHeight="1">
      <c r="A130" s="452" t="s">
        <v>595</v>
      </c>
      <c r="B130" s="448" t="s">
        <v>139</v>
      </c>
      <c r="C130" s="448" t="s">
        <v>348</v>
      </c>
      <c r="D130" s="448" t="s">
        <v>410</v>
      </c>
      <c r="E130" s="448" t="s">
        <v>83</v>
      </c>
      <c r="F130" s="448" t="s">
        <v>411</v>
      </c>
      <c r="G130" s="448" t="s">
        <v>83</v>
      </c>
      <c r="H130" s="448" t="s">
        <v>83</v>
      </c>
      <c r="I130" s="448" t="s">
        <v>83</v>
      </c>
      <c r="J130" s="453" t="s">
        <v>591</v>
      </c>
      <c r="K130" s="467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11" ht="11.25" customHeight="1">
      <c r="A131" s="454" t="s">
        <v>596</v>
      </c>
      <c r="B131" s="448" t="s">
        <v>139</v>
      </c>
      <c r="C131" s="448" t="s">
        <v>348</v>
      </c>
      <c r="D131" s="448" t="s">
        <v>410</v>
      </c>
      <c r="E131" s="448" t="s">
        <v>83</v>
      </c>
      <c r="F131" s="448" t="s">
        <v>411</v>
      </c>
      <c r="G131" s="448" t="s">
        <v>83</v>
      </c>
      <c r="H131" s="448" t="s">
        <v>83</v>
      </c>
      <c r="I131" s="448" t="s">
        <v>83</v>
      </c>
      <c r="J131" s="455"/>
      <c r="K131" s="448"/>
    </row>
    <row r="132" spans="1:11" ht="11.25" customHeight="1">
      <c r="A132" s="454" t="s">
        <v>597</v>
      </c>
      <c r="B132" s="448" t="s">
        <v>139</v>
      </c>
      <c r="C132" s="448" t="s">
        <v>348</v>
      </c>
      <c r="D132" s="448" t="s">
        <v>488</v>
      </c>
      <c r="E132" s="448" t="s">
        <v>424</v>
      </c>
      <c r="F132" s="448" t="s">
        <v>411</v>
      </c>
      <c r="G132" s="448" t="s">
        <v>83</v>
      </c>
      <c r="H132" s="448" t="s">
        <v>83</v>
      </c>
      <c r="I132" s="448" t="s">
        <v>83</v>
      </c>
      <c r="J132" s="455"/>
      <c r="K132" s="448"/>
    </row>
    <row r="133" spans="1:11" ht="11.25" customHeight="1">
      <c r="A133" s="454" t="s">
        <v>598</v>
      </c>
      <c r="B133" s="448" t="s">
        <v>139</v>
      </c>
      <c r="C133" s="448">
        <v>1</v>
      </c>
      <c r="D133" s="448" t="s">
        <v>500</v>
      </c>
      <c r="E133" s="448" t="s">
        <v>83</v>
      </c>
      <c r="F133" s="448" t="s">
        <v>411</v>
      </c>
      <c r="G133" s="448" t="s">
        <v>83</v>
      </c>
      <c r="H133" s="448" t="s">
        <v>83</v>
      </c>
      <c r="I133" s="448" t="s">
        <v>83</v>
      </c>
      <c r="J133" s="455"/>
      <c r="K133" s="448"/>
    </row>
    <row r="134" spans="1:11" ht="11.25" customHeight="1">
      <c r="A134" s="454" t="s">
        <v>599</v>
      </c>
      <c r="B134" s="448" t="s">
        <v>139</v>
      </c>
      <c r="C134" s="448" t="s">
        <v>348</v>
      </c>
      <c r="D134" s="448" t="s">
        <v>488</v>
      </c>
      <c r="E134" s="448" t="s">
        <v>424</v>
      </c>
      <c r="F134" s="448" t="s">
        <v>411</v>
      </c>
      <c r="G134" s="448" t="s">
        <v>83</v>
      </c>
      <c r="H134" s="448" t="s">
        <v>83</v>
      </c>
      <c r="I134" s="448" t="s">
        <v>83</v>
      </c>
      <c r="J134" s="455"/>
      <c r="K134" s="448"/>
    </row>
    <row r="135" spans="1:11" ht="11.25" customHeight="1">
      <c r="A135" s="454" t="s">
        <v>600</v>
      </c>
      <c r="B135" s="448" t="s">
        <v>139</v>
      </c>
      <c r="C135" s="448" t="s">
        <v>348</v>
      </c>
      <c r="D135" s="448" t="s">
        <v>410</v>
      </c>
      <c r="E135" s="448" t="s">
        <v>83</v>
      </c>
      <c r="F135" s="448" t="s">
        <v>411</v>
      </c>
      <c r="G135" s="448" t="s">
        <v>83</v>
      </c>
      <c r="H135" s="448" t="s">
        <v>83</v>
      </c>
      <c r="I135" s="448" t="s">
        <v>83</v>
      </c>
      <c r="J135" s="455"/>
      <c r="K135" s="448"/>
    </row>
    <row r="136" spans="1:11" ht="11.25" customHeight="1">
      <c r="A136" s="454" t="s">
        <v>601</v>
      </c>
      <c r="B136" s="448" t="s">
        <v>139</v>
      </c>
      <c r="C136" s="448" t="s">
        <v>348</v>
      </c>
      <c r="D136" s="448" t="s">
        <v>410</v>
      </c>
      <c r="E136" s="448" t="s">
        <v>83</v>
      </c>
      <c r="F136" s="448" t="s">
        <v>411</v>
      </c>
      <c r="G136" s="448" t="s">
        <v>83</v>
      </c>
      <c r="H136" s="448" t="s">
        <v>83</v>
      </c>
      <c r="I136" s="448" t="s">
        <v>83</v>
      </c>
      <c r="J136" s="455"/>
      <c r="K136" s="448"/>
    </row>
    <row r="137" spans="1:11" ht="11.25" customHeight="1">
      <c r="A137" s="454" t="s">
        <v>602</v>
      </c>
      <c r="B137" s="448" t="s">
        <v>139</v>
      </c>
      <c r="C137" s="448" t="s">
        <v>348</v>
      </c>
      <c r="D137" s="448" t="s">
        <v>410</v>
      </c>
      <c r="E137" s="448" t="s">
        <v>83</v>
      </c>
      <c r="F137" s="448" t="s">
        <v>411</v>
      </c>
      <c r="G137" s="448" t="s">
        <v>83</v>
      </c>
      <c r="H137" s="448" t="s">
        <v>83</v>
      </c>
      <c r="I137" s="448" t="s">
        <v>83</v>
      </c>
      <c r="J137" s="455"/>
      <c r="K137" s="448"/>
    </row>
    <row r="138" spans="1:11" ht="11.25" customHeight="1">
      <c r="A138" s="454" t="s">
        <v>603</v>
      </c>
      <c r="B138" s="448" t="s">
        <v>139</v>
      </c>
      <c r="C138" s="448" t="s">
        <v>348</v>
      </c>
      <c r="D138" s="448" t="s">
        <v>410</v>
      </c>
      <c r="E138" s="448" t="s">
        <v>83</v>
      </c>
      <c r="F138" s="448" t="s">
        <v>411</v>
      </c>
      <c r="G138" s="448" t="s">
        <v>83</v>
      </c>
      <c r="H138" s="448" t="s">
        <v>83</v>
      </c>
      <c r="I138" s="448" t="s">
        <v>83</v>
      </c>
      <c r="J138" s="455"/>
      <c r="K138" s="448"/>
    </row>
    <row r="139" spans="1:11" ht="11.25" customHeight="1">
      <c r="A139" s="454" t="s">
        <v>604</v>
      </c>
      <c r="B139" s="448" t="s">
        <v>139</v>
      </c>
      <c r="C139" s="448" t="s">
        <v>348</v>
      </c>
      <c r="D139" s="448" t="s">
        <v>410</v>
      </c>
      <c r="E139" s="448" t="s">
        <v>83</v>
      </c>
      <c r="F139" s="448" t="s">
        <v>411</v>
      </c>
      <c r="G139" s="448" t="s">
        <v>83</v>
      </c>
      <c r="H139" s="448" t="s">
        <v>83</v>
      </c>
      <c r="I139" s="448" t="s">
        <v>83</v>
      </c>
      <c r="J139" s="455"/>
      <c r="K139" s="448"/>
    </row>
    <row r="140" spans="1:11" ht="11.25" customHeight="1">
      <c r="A140" s="454" t="s">
        <v>605</v>
      </c>
      <c r="B140" s="448" t="s">
        <v>139</v>
      </c>
      <c r="C140" s="448" t="s">
        <v>348</v>
      </c>
      <c r="D140" s="448" t="s">
        <v>410</v>
      </c>
      <c r="E140" s="448" t="s">
        <v>83</v>
      </c>
      <c r="F140" s="448" t="s">
        <v>411</v>
      </c>
      <c r="G140" s="448" t="s">
        <v>83</v>
      </c>
      <c r="H140" s="448" t="s">
        <v>83</v>
      </c>
      <c r="I140" s="448" t="s">
        <v>83</v>
      </c>
      <c r="J140" s="455"/>
      <c r="K140" s="448"/>
    </row>
    <row r="141" spans="1:11" ht="11.25" customHeight="1">
      <c r="A141" s="454" t="s">
        <v>606</v>
      </c>
      <c r="B141" s="448" t="s">
        <v>139</v>
      </c>
      <c r="C141" s="448" t="s">
        <v>348</v>
      </c>
      <c r="D141" s="448" t="s">
        <v>410</v>
      </c>
      <c r="E141" s="448" t="s">
        <v>83</v>
      </c>
      <c r="F141" s="448" t="s">
        <v>411</v>
      </c>
      <c r="G141" s="448" t="s">
        <v>83</v>
      </c>
      <c r="H141" s="448" t="s">
        <v>83</v>
      </c>
      <c r="I141" s="448" t="s">
        <v>83</v>
      </c>
      <c r="J141" s="455"/>
      <c r="K141" s="448"/>
    </row>
    <row r="142" spans="1:11" ht="11.25" customHeight="1">
      <c r="A142" s="454" t="s">
        <v>607</v>
      </c>
      <c r="B142" s="448" t="s">
        <v>139</v>
      </c>
      <c r="C142" s="448">
        <v>1</v>
      </c>
      <c r="D142" s="448" t="s">
        <v>410</v>
      </c>
      <c r="E142" s="448" t="s">
        <v>83</v>
      </c>
      <c r="F142" s="448" t="s">
        <v>411</v>
      </c>
      <c r="G142" s="448" t="s">
        <v>83</v>
      </c>
      <c r="H142" s="448" t="s">
        <v>83</v>
      </c>
      <c r="I142" s="448" t="s">
        <v>83</v>
      </c>
      <c r="J142" s="455"/>
      <c r="K142" s="448"/>
    </row>
    <row r="143" spans="1:11" ht="11.25" customHeight="1">
      <c r="A143" s="454" t="s">
        <v>608</v>
      </c>
      <c r="B143" s="448" t="s">
        <v>139</v>
      </c>
      <c r="C143" s="448" t="s">
        <v>348</v>
      </c>
      <c r="D143" s="448" t="s">
        <v>495</v>
      </c>
      <c r="E143" s="448" t="s">
        <v>424</v>
      </c>
      <c r="F143" s="448" t="s">
        <v>411</v>
      </c>
      <c r="G143" s="448" t="s">
        <v>83</v>
      </c>
      <c r="H143" s="448" t="s">
        <v>83</v>
      </c>
      <c r="I143" s="448" t="s">
        <v>83</v>
      </c>
      <c r="J143" s="455"/>
      <c r="K143" s="448"/>
    </row>
    <row r="144" spans="1:11" ht="11.25" customHeight="1">
      <c r="A144" s="454" t="s">
        <v>609</v>
      </c>
      <c r="B144" s="448" t="s">
        <v>139</v>
      </c>
      <c r="C144" s="448">
        <v>1</v>
      </c>
      <c r="D144" s="448" t="s">
        <v>500</v>
      </c>
      <c r="E144" s="448" t="s">
        <v>83</v>
      </c>
      <c r="F144" s="448" t="s">
        <v>411</v>
      </c>
      <c r="G144" s="448" t="s">
        <v>83</v>
      </c>
      <c r="H144" s="448" t="s">
        <v>83</v>
      </c>
      <c r="I144" s="448" t="s">
        <v>83</v>
      </c>
      <c r="J144" s="455"/>
      <c r="K144" s="448"/>
    </row>
    <row r="145" spans="1:11" ht="11.25" customHeight="1">
      <c r="A145" s="454" t="s">
        <v>610</v>
      </c>
      <c r="B145" s="448" t="s">
        <v>139</v>
      </c>
      <c r="C145" s="448" t="s">
        <v>348</v>
      </c>
      <c r="D145" s="448" t="s">
        <v>488</v>
      </c>
      <c r="E145" s="448" t="s">
        <v>424</v>
      </c>
      <c r="F145" s="448" t="s">
        <v>411</v>
      </c>
      <c r="G145" s="448" t="s">
        <v>83</v>
      </c>
      <c r="H145" s="448" t="s">
        <v>83</v>
      </c>
      <c r="I145" s="448" t="s">
        <v>83</v>
      </c>
      <c r="J145" s="455"/>
      <c r="K145" s="448"/>
    </row>
    <row r="146" spans="1:11" ht="11.25" customHeight="1">
      <c r="A146" s="454" t="s">
        <v>611</v>
      </c>
      <c r="B146" s="448" t="s">
        <v>139</v>
      </c>
      <c r="C146" s="448" t="s">
        <v>348</v>
      </c>
      <c r="D146" s="448" t="s">
        <v>410</v>
      </c>
      <c r="E146" s="448" t="s">
        <v>83</v>
      </c>
      <c r="F146" s="448" t="s">
        <v>411</v>
      </c>
      <c r="G146" s="448" t="s">
        <v>83</v>
      </c>
      <c r="H146" s="448" t="s">
        <v>83</v>
      </c>
      <c r="I146" s="448" t="s">
        <v>83</v>
      </c>
      <c r="J146" s="455"/>
      <c r="K146" s="448"/>
    </row>
    <row r="147" spans="1:11" ht="11.25" customHeight="1">
      <c r="A147" s="454" t="s">
        <v>612</v>
      </c>
      <c r="B147" s="448" t="s">
        <v>139</v>
      </c>
      <c r="C147" s="448" t="s">
        <v>348</v>
      </c>
      <c r="D147" s="448" t="s">
        <v>488</v>
      </c>
      <c r="E147" s="448" t="s">
        <v>35</v>
      </c>
      <c r="F147" s="448" t="s">
        <v>411</v>
      </c>
      <c r="G147" s="448" t="s">
        <v>83</v>
      </c>
      <c r="H147" s="448">
        <v>6</v>
      </c>
      <c r="I147" s="448" t="s">
        <v>83</v>
      </c>
      <c r="J147" s="455" t="s">
        <v>613</v>
      </c>
      <c r="K147" s="448"/>
    </row>
    <row r="148" spans="1:11" ht="11.25" customHeight="1">
      <c r="A148" s="454" t="s">
        <v>614</v>
      </c>
      <c r="B148" s="448" t="s">
        <v>139</v>
      </c>
      <c r="C148" s="448" t="s">
        <v>348</v>
      </c>
      <c r="D148" s="448" t="s">
        <v>566</v>
      </c>
      <c r="E148" s="448" t="s">
        <v>37</v>
      </c>
      <c r="F148" s="448" t="s">
        <v>411</v>
      </c>
      <c r="G148" s="448" t="s">
        <v>83</v>
      </c>
      <c r="H148" s="448">
        <v>6</v>
      </c>
      <c r="I148" s="448" t="s">
        <v>615</v>
      </c>
      <c r="J148" s="455"/>
      <c r="K148" s="448"/>
    </row>
    <row r="149" spans="1:11" ht="11.25" customHeight="1">
      <c r="A149" s="454" t="s">
        <v>616</v>
      </c>
      <c r="B149" s="448" t="s">
        <v>139</v>
      </c>
      <c r="C149" s="448" t="s">
        <v>348</v>
      </c>
      <c r="D149" s="448" t="s">
        <v>410</v>
      </c>
      <c r="E149" s="448" t="s">
        <v>83</v>
      </c>
      <c r="F149" s="448" t="s">
        <v>411</v>
      </c>
      <c r="G149" s="448" t="s">
        <v>83</v>
      </c>
      <c r="H149" s="448" t="s">
        <v>83</v>
      </c>
      <c r="I149" s="448" t="s">
        <v>83</v>
      </c>
      <c r="J149" s="455"/>
      <c r="K149" s="448"/>
    </row>
    <row r="150" spans="1:11" ht="11.25" customHeight="1">
      <c r="A150" s="454" t="s">
        <v>617</v>
      </c>
      <c r="B150" s="448" t="s">
        <v>139</v>
      </c>
      <c r="C150" s="448" t="s">
        <v>348</v>
      </c>
      <c r="D150" s="448" t="s">
        <v>410</v>
      </c>
      <c r="E150" s="448" t="s">
        <v>83</v>
      </c>
      <c r="F150" s="448" t="s">
        <v>411</v>
      </c>
      <c r="G150" s="448" t="s">
        <v>83</v>
      </c>
      <c r="H150" s="448" t="s">
        <v>83</v>
      </c>
      <c r="I150" s="448" t="s">
        <v>83</v>
      </c>
      <c r="J150" s="455"/>
      <c r="K150" s="448"/>
    </row>
    <row r="151" spans="1:11" ht="11.25" customHeight="1">
      <c r="A151" s="454" t="s">
        <v>618</v>
      </c>
      <c r="B151" s="448" t="s">
        <v>139</v>
      </c>
      <c r="C151" s="448" t="s">
        <v>348</v>
      </c>
      <c r="D151" s="448" t="s">
        <v>410</v>
      </c>
      <c r="E151" s="448" t="s">
        <v>83</v>
      </c>
      <c r="F151" s="448" t="s">
        <v>411</v>
      </c>
      <c r="G151" s="448" t="s">
        <v>83</v>
      </c>
      <c r="H151" s="448" t="s">
        <v>83</v>
      </c>
      <c r="I151" s="448" t="s">
        <v>83</v>
      </c>
      <c r="J151" s="455"/>
      <c r="K151" s="448"/>
    </row>
    <row r="152" spans="1:11" ht="11.25" customHeight="1">
      <c r="A152" s="454" t="s">
        <v>619</v>
      </c>
      <c r="B152" s="448" t="s">
        <v>139</v>
      </c>
      <c r="C152" s="448" t="s">
        <v>348</v>
      </c>
      <c r="D152" s="448" t="s">
        <v>566</v>
      </c>
      <c r="E152" s="448" t="s">
        <v>613</v>
      </c>
      <c r="F152" s="448" t="s">
        <v>411</v>
      </c>
      <c r="G152" s="448" t="s">
        <v>83</v>
      </c>
      <c r="H152" s="448">
        <v>3</v>
      </c>
      <c r="I152" s="448" t="s">
        <v>83</v>
      </c>
      <c r="J152" s="455" t="s">
        <v>613</v>
      </c>
      <c r="K152" s="448"/>
    </row>
    <row r="153" spans="1:11" ht="11.25" customHeight="1">
      <c r="A153" s="454" t="s">
        <v>620</v>
      </c>
      <c r="B153" s="448" t="s">
        <v>139</v>
      </c>
      <c r="C153" s="448" t="s">
        <v>348</v>
      </c>
      <c r="D153" s="448" t="s">
        <v>495</v>
      </c>
      <c r="E153" s="448" t="s">
        <v>37</v>
      </c>
      <c r="F153" s="448" t="s">
        <v>411</v>
      </c>
      <c r="G153" s="448" t="s">
        <v>83</v>
      </c>
      <c r="H153" s="448">
        <v>4</v>
      </c>
      <c r="I153" s="448" t="s">
        <v>83</v>
      </c>
      <c r="J153" s="455" t="s">
        <v>613</v>
      </c>
      <c r="K153" s="448"/>
    </row>
    <row r="154" spans="1:11" ht="11.25" customHeight="1">
      <c r="A154" s="454" t="s">
        <v>621</v>
      </c>
      <c r="B154" s="448" t="s">
        <v>139</v>
      </c>
      <c r="C154" s="448" t="s">
        <v>348</v>
      </c>
      <c r="D154" s="448" t="s">
        <v>410</v>
      </c>
      <c r="E154" s="448" t="s">
        <v>83</v>
      </c>
      <c r="F154" s="448" t="s">
        <v>411</v>
      </c>
      <c r="G154" s="448" t="s">
        <v>83</v>
      </c>
      <c r="H154" s="448" t="s">
        <v>83</v>
      </c>
      <c r="I154" s="448" t="s">
        <v>83</v>
      </c>
      <c r="J154" s="455"/>
      <c r="K154" s="448"/>
    </row>
    <row r="155" spans="1:11" ht="11.25" customHeight="1">
      <c r="A155" s="454" t="s">
        <v>622</v>
      </c>
      <c r="B155" s="448" t="s">
        <v>139</v>
      </c>
      <c r="C155" s="448" t="s">
        <v>348</v>
      </c>
      <c r="D155" s="448" t="s">
        <v>410</v>
      </c>
      <c r="E155" s="448" t="s">
        <v>83</v>
      </c>
      <c r="F155" s="448" t="s">
        <v>411</v>
      </c>
      <c r="G155" s="448" t="s">
        <v>83</v>
      </c>
      <c r="H155" s="448" t="s">
        <v>83</v>
      </c>
      <c r="I155" s="448" t="s">
        <v>83</v>
      </c>
      <c r="J155" s="455"/>
      <c r="K155" s="448"/>
    </row>
    <row r="156" spans="1:11" ht="11.25" customHeight="1">
      <c r="A156" s="454" t="s">
        <v>623</v>
      </c>
      <c r="B156" s="448" t="s">
        <v>139</v>
      </c>
      <c r="C156" s="448" t="s">
        <v>348</v>
      </c>
      <c r="D156" s="448" t="s">
        <v>410</v>
      </c>
      <c r="E156" s="448" t="s">
        <v>83</v>
      </c>
      <c r="F156" s="448" t="s">
        <v>411</v>
      </c>
      <c r="G156" s="448" t="s">
        <v>83</v>
      </c>
      <c r="H156" s="448" t="s">
        <v>83</v>
      </c>
      <c r="I156" s="448" t="s">
        <v>83</v>
      </c>
      <c r="J156" s="455"/>
      <c r="K156" s="448"/>
    </row>
    <row r="157" spans="1:11" ht="11.25" customHeight="1">
      <c r="A157" s="454" t="s">
        <v>541</v>
      </c>
      <c r="B157" s="448" t="s">
        <v>139</v>
      </c>
      <c r="C157" s="448" t="s">
        <v>348</v>
      </c>
      <c r="D157" s="448" t="s">
        <v>423</v>
      </c>
      <c r="E157" s="448" t="s">
        <v>424</v>
      </c>
      <c r="F157" s="448" t="s">
        <v>411</v>
      </c>
      <c r="G157" s="448" t="s">
        <v>83</v>
      </c>
      <c r="H157" s="448" t="s">
        <v>83</v>
      </c>
      <c r="I157" s="448" t="s">
        <v>83</v>
      </c>
      <c r="J157" s="455"/>
      <c r="K157" s="448"/>
    </row>
    <row r="158" spans="1:11" ht="11.25" customHeight="1">
      <c r="A158" s="454" t="s">
        <v>624</v>
      </c>
      <c r="B158" s="448" t="s">
        <v>139</v>
      </c>
      <c r="C158" s="448" t="s">
        <v>348</v>
      </c>
      <c r="D158" s="448" t="s">
        <v>488</v>
      </c>
      <c r="E158" s="448" t="s">
        <v>613</v>
      </c>
      <c r="F158" s="448" t="s">
        <v>411</v>
      </c>
      <c r="G158" s="448" t="s">
        <v>83</v>
      </c>
      <c r="H158" s="448">
        <v>6</v>
      </c>
      <c r="I158" s="448" t="s">
        <v>615</v>
      </c>
      <c r="J158" s="455" t="s">
        <v>613</v>
      </c>
      <c r="K158" s="448"/>
    </row>
    <row r="159" spans="1:11" ht="11.25" customHeight="1">
      <c r="A159" s="454" t="s">
        <v>625</v>
      </c>
      <c r="B159" s="448" t="s">
        <v>139</v>
      </c>
      <c r="C159" s="448" t="s">
        <v>348</v>
      </c>
      <c r="D159" s="448" t="s">
        <v>626</v>
      </c>
      <c r="E159" s="448" t="s">
        <v>424</v>
      </c>
      <c r="F159" s="448" t="s">
        <v>411</v>
      </c>
      <c r="G159" s="448" t="s">
        <v>83</v>
      </c>
      <c r="H159" s="448">
        <v>3</v>
      </c>
      <c r="I159" s="448" t="s">
        <v>615</v>
      </c>
      <c r="J159" s="455"/>
      <c r="K159" s="448"/>
    </row>
    <row r="160" spans="1:11" ht="11.25" customHeight="1">
      <c r="A160" s="454" t="s">
        <v>627</v>
      </c>
      <c r="B160" s="448" t="s">
        <v>139</v>
      </c>
      <c r="C160" s="448" t="s">
        <v>348</v>
      </c>
      <c r="D160" s="448" t="s">
        <v>566</v>
      </c>
      <c r="E160" s="448" t="s">
        <v>613</v>
      </c>
      <c r="F160" s="448" t="s">
        <v>411</v>
      </c>
      <c r="G160" s="448" t="s">
        <v>327</v>
      </c>
      <c r="H160" s="448">
        <v>6</v>
      </c>
      <c r="I160" s="448" t="s">
        <v>83</v>
      </c>
      <c r="J160" s="455" t="s">
        <v>613</v>
      </c>
      <c r="K160" s="448"/>
    </row>
    <row r="161" spans="1:11" ht="11.25" customHeight="1">
      <c r="A161" s="454" t="s">
        <v>628</v>
      </c>
      <c r="B161" s="448" t="s">
        <v>139</v>
      </c>
      <c r="C161" s="448" t="s">
        <v>348</v>
      </c>
      <c r="D161" s="448" t="s">
        <v>410</v>
      </c>
      <c r="E161" s="448" t="s">
        <v>83</v>
      </c>
      <c r="F161" s="448" t="s">
        <v>411</v>
      </c>
      <c r="G161" s="448" t="s">
        <v>83</v>
      </c>
      <c r="H161" s="448" t="s">
        <v>83</v>
      </c>
      <c r="I161" s="448" t="s">
        <v>83</v>
      </c>
      <c r="J161" s="455"/>
      <c r="K161" s="448"/>
    </row>
    <row r="162" spans="1:11" ht="11.25" customHeight="1">
      <c r="A162" s="454" t="s">
        <v>629</v>
      </c>
      <c r="B162" s="448" t="s">
        <v>139</v>
      </c>
      <c r="C162" s="448" t="s">
        <v>348</v>
      </c>
      <c r="D162" s="448" t="s">
        <v>410</v>
      </c>
      <c r="E162" s="448" t="s">
        <v>83</v>
      </c>
      <c r="F162" s="448" t="s">
        <v>411</v>
      </c>
      <c r="G162" s="448" t="s">
        <v>83</v>
      </c>
      <c r="H162" s="448" t="s">
        <v>83</v>
      </c>
      <c r="I162" s="448" t="s">
        <v>83</v>
      </c>
      <c r="J162" s="455"/>
      <c r="K162" s="448"/>
    </row>
    <row r="163" spans="1:11" ht="11.25" customHeight="1">
      <c r="A163" s="454"/>
      <c r="B163" s="448"/>
      <c r="C163" s="448"/>
      <c r="D163" s="448"/>
      <c r="E163" s="448"/>
      <c r="F163" s="448"/>
      <c r="G163" s="448"/>
      <c r="H163" s="448"/>
      <c r="I163" s="448"/>
      <c r="J163" s="455"/>
      <c r="K163" s="448"/>
    </row>
    <row r="164" spans="1:11" ht="11.25" customHeight="1">
      <c r="A164" s="454"/>
      <c r="B164" s="448"/>
      <c r="C164" s="448"/>
      <c r="D164" s="448"/>
      <c r="E164" s="448"/>
      <c r="F164" s="448"/>
      <c r="G164" s="448"/>
      <c r="H164" s="448"/>
      <c r="I164" s="448"/>
      <c r="J164" s="455"/>
      <c r="K164" s="448"/>
    </row>
    <row r="165" spans="1:11" ht="11.25" customHeight="1">
      <c r="A165" s="454"/>
      <c r="B165" s="448"/>
      <c r="C165" s="448"/>
      <c r="D165" s="448"/>
      <c r="E165" s="448"/>
      <c r="F165" s="448"/>
      <c r="G165" s="448"/>
      <c r="H165" s="448"/>
      <c r="I165" s="448"/>
      <c r="J165" s="455"/>
      <c r="K165" s="448"/>
    </row>
    <row r="166" spans="1:11" ht="11.25" customHeight="1">
      <c r="A166" s="454"/>
      <c r="B166" s="448"/>
      <c r="C166" s="448"/>
      <c r="D166" s="448"/>
      <c r="E166" s="448"/>
      <c r="F166" s="448"/>
      <c r="G166" s="448"/>
      <c r="H166" s="448"/>
      <c r="I166" s="448"/>
      <c r="J166" s="455"/>
      <c r="K166" s="448"/>
    </row>
    <row r="167" spans="1:11" ht="11.25" customHeight="1">
      <c r="A167" s="445" t="s">
        <v>13</v>
      </c>
      <c r="B167" s="446" t="s">
        <v>322</v>
      </c>
      <c r="C167" s="446" t="s">
        <v>323</v>
      </c>
      <c r="D167" s="446" t="s">
        <v>324</v>
      </c>
      <c r="E167" s="446" t="s">
        <v>185</v>
      </c>
      <c r="F167" s="446" t="s">
        <v>325</v>
      </c>
      <c r="G167" s="446" t="s">
        <v>261</v>
      </c>
      <c r="H167" s="446" t="s">
        <v>326</v>
      </c>
      <c r="I167" s="446" t="s">
        <v>254</v>
      </c>
      <c r="J167" s="459" t="s">
        <v>327</v>
      </c>
      <c r="K167" s="447" t="s">
        <v>408</v>
      </c>
    </row>
    <row r="168" spans="1:256" ht="11.25" customHeight="1">
      <c r="A168" s="448" t="s">
        <v>134</v>
      </c>
      <c r="B168" s="454" t="s">
        <v>13</v>
      </c>
      <c r="C168" s="454">
        <v>1</v>
      </c>
      <c r="D168" s="454" t="s">
        <v>566</v>
      </c>
      <c r="E168" s="448" t="s">
        <v>174</v>
      </c>
      <c r="F168" s="454" t="s">
        <v>547</v>
      </c>
      <c r="G168" s="454" t="s">
        <v>630</v>
      </c>
      <c r="H168" s="454">
        <v>4</v>
      </c>
      <c r="I168" s="454" t="s">
        <v>83</v>
      </c>
      <c r="J168" s="455" t="s">
        <v>631</v>
      </c>
      <c r="K168" s="44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1.25" customHeight="1">
      <c r="A169" s="448" t="s">
        <v>632</v>
      </c>
      <c r="B169" s="448" t="s">
        <v>13</v>
      </c>
      <c r="C169" s="448" t="s">
        <v>348</v>
      </c>
      <c r="D169" s="448" t="s">
        <v>410</v>
      </c>
      <c r="E169" s="448" t="s">
        <v>83</v>
      </c>
      <c r="F169" s="448" t="s">
        <v>411</v>
      </c>
      <c r="G169" s="448" t="s">
        <v>83</v>
      </c>
      <c r="H169" s="448" t="s">
        <v>83</v>
      </c>
      <c r="I169" s="448" t="s">
        <v>83</v>
      </c>
      <c r="J169" s="449" t="s">
        <v>633</v>
      </c>
      <c r="K169" s="448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1.25" customHeight="1">
      <c r="A170" s="448" t="s">
        <v>634</v>
      </c>
      <c r="B170" s="448" t="s">
        <v>13</v>
      </c>
      <c r="C170" s="448" t="s">
        <v>348</v>
      </c>
      <c r="D170" s="448" t="s">
        <v>410</v>
      </c>
      <c r="E170" s="448" t="s">
        <v>83</v>
      </c>
      <c r="F170" s="448" t="s">
        <v>411</v>
      </c>
      <c r="G170" s="448" t="s">
        <v>83</v>
      </c>
      <c r="H170" s="448" t="s">
        <v>83</v>
      </c>
      <c r="I170" s="448" t="s">
        <v>83</v>
      </c>
      <c r="J170" s="449" t="s">
        <v>635</v>
      </c>
      <c r="K170" s="448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1.25" customHeight="1">
      <c r="A171" s="448" t="s">
        <v>636</v>
      </c>
      <c r="B171" s="448" t="s">
        <v>13</v>
      </c>
      <c r="C171" s="448" t="s">
        <v>348</v>
      </c>
      <c r="D171" s="448" t="s">
        <v>410</v>
      </c>
      <c r="E171" s="448" t="s">
        <v>83</v>
      </c>
      <c r="F171" s="448" t="s">
        <v>411</v>
      </c>
      <c r="G171" s="448" t="s">
        <v>83</v>
      </c>
      <c r="H171" s="448" t="s">
        <v>83</v>
      </c>
      <c r="I171" s="448" t="s">
        <v>83</v>
      </c>
      <c r="J171" s="449" t="s">
        <v>637</v>
      </c>
      <c r="K171" s="448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1.25" customHeight="1">
      <c r="A172" s="454" t="s">
        <v>638</v>
      </c>
      <c r="B172" s="448" t="s">
        <v>13</v>
      </c>
      <c r="C172" s="448" t="s">
        <v>348</v>
      </c>
      <c r="D172" s="448" t="s">
        <v>410</v>
      </c>
      <c r="E172" s="448" t="s">
        <v>83</v>
      </c>
      <c r="F172" s="448" t="s">
        <v>411</v>
      </c>
      <c r="G172" s="448" t="s">
        <v>83</v>
      </c>
      <c r="H172" s="448" t="s">
        <v>83</v>
      </c>
      <c r="I172" s="448" t="s">
        <v>83</v>
      </c>
      <c r="J172" s="449" t="s">
        <v>639</v>
      </c>
      <c r="K172" s="467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1.25" customHeight="1">
      <c r="A173" s="454" t="s">
        <v>640</v>
      </c>
      <c r="B173" s="454" t="s">
        <v>13</v>
      </c>
      <c r="C173" s="454">
        <v>1</v>
      </c>
      <c r="D173" s="454" t="s">
        <v>641</v>
      </c>
      <c r="E173" s="454" t="s">
        <v>424</v>
      </c>
      <c r="F173" s="454" t="s">
        <v>411</v>
      </c>
      <c r="G173" s="454" t="s">
        <v>83</v>
      </c>
      <c r="H173" s="454">
        <v>3</v>
      </c>
      <c r="I173" s="454" t="s">
        <v>83</v>
      </c>
      <c r="J173" s="455" t="s">
        <v>642</v>
      </c>
      <c r="K173" s="448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1.25" customHeight="1">
      <c r="A174" s="454" t="s">
        <v>643</v>
      </c>
      <c r="B174" s="454" t="s">
        <v>13</v>
      </c>
      <c r="C174" s="454" t="s">
        <v>348</v>
      </c>
      <c r="D174" s="454" t="s">
        <v>644</v>
      </c>
      <c r="E174" s="454" t="s">
        <v>424</v>
      </c>
      <c r="F174" s="454" t="s">
        <v>411</v>
      </c>
      <c r="G174" s="454" t="s">
        <v>83</v>
      </c>
      <c r="H174" s="454">
        <v>3</v>
      </c>
      <c r="I174" s="454" t="s">
        <v>83</v>
      </c>
      <c r="J174" s="455" t="s">
        <v>645</v>
      </c>
      <c r="K174" s="448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1.25" customHeight="1">
      <c r="A175" s="454" t="s">
        <v>646</v>
      </c>
      <c r="B175" s="454" t="s">
        <v>13</v>
      </c>
      <c r="C175" s="454" t="s">
        <v>348</v>
      </c>
      <c r="D175" s="454" t="s">
        <v>641</v>
      </c>
      <c r="E175" s="454" t="s">
        <v>424</v>
      </c>
      <c r="F175" s="454" t="s">
        <v>411</v>
      </c>
      <c r="G175" s="454" t="s">
        <v>83</v>
      </c>
      <c r="H175" s="454">
        <v>4</v>
      </c>
      <c r="I175" s="454" t="s">
        <v>647</v>
      </c>
      <c r="J175" s="455" t="s">
        <v>648</v>
      </c>
      <c r="K175" s="448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1.25" customHeight="1">
      <c r="A176" s="454" t="s">
        <v>149</v>
      </c>
      <c r="B176" s="448" t="s">
        <v>13</v>
      </c>
      <c r="C176" s="448">
        <v>1</v>
      </c>
      <c r="D176" s="448" t="s">
        <v>410</v>
      </c>
      <c r="E176" s="448" t="s">
        <v>83</v>
      </c>
      <c r="F176" s="448" t="s">
        <v>411</v>
      </c>
      <c r="G176" s="448" t="s">
        <v>83</v>
      </c>
      <c r="H176" s="448" t="s">
        <v>83</v>
      </c>
      <c r="I176" s="448" t="s">
        <v>83</v>
      </c>
      <c r="J176" s="449" t="s">
        <v>649</v>
      </c>
      <c r="K176" s="448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1.25" customHeight="1">
      <c r="A177" s="448" t="s">
        <v>650</v>
      </c>
      <c r="B177" s="448" t="s">
        <v>13</v>
      </c>
      <c r="C177" s="448">
        <v>1</v>
      </c>
      <c r="D177" s="448" t="s">
        <v>410</v>
      </c>
      <c r="E177" s="448" t="s">
        <v>83</v>
      </c>
      <c r="F177" s="448" t="s">
        <v>411</v>
      </c>
      <c r="G177" s="448" t="s">
        <v>83</v>
      </c>
      <c r="H177" s="448" t="s">
        <v>83</v>
      </c>
      <c r="I177" s="448" t="s">
        <v>83</v>
      </c>
      <c r="J177" s="449" t="s">
        <v>651</v>
      </c>
      <c r="K177" s="448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1.25" customHeight="1">
      <c r="A178" s="454" t="s">
        <v>135</v>
      </c>
      <c r="B178" s="454" t="s">
        <v>13</v>
      </c>
      <c r="C178" s="454" t="s">
        <v>348</v>
      </c>
      <c r="D178" s="454" t="s">
        <v>652</v>
      </c>
      <c r="E178" s="454" t="s">
        <v>424</v>
      </c>
      <c r="F178" s="454" t="s">
        <v>547</v>
      </c>
      <c r="G178" s="454" t="s">
        <v>572</v>
      </c>
      <c r="H178" s="454">
        <v>2</v>
      </c>
      <c r="I178" s="454" t="s">
        <v>83</v>
      </c>
      <c r="J178" s="455" t="s">
        <v>653</v>
      </c>
      <c r="K178" s="44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1.25" customHeight="1">
      <c r="A179" s="448" t="s">
        <v>147</v>
      </c>
      <c r="B179" s="454" t="s">
        <v>13</v>
      </c>
      <c r="C179" s="454">
        <v>1</v>
      </c>
      <c r="D179" s="454" t="s">
        <v>654</v>
      </c>
      <c r="E179" s="448" t="s">
        <v>424</v>
      </c>
      <c r="F179" s="454" t="s">
        <v>411</v>
      </c>
      <c r="G179" s="454" t="s">
        <v>83</v>
      </c>
      <c r="H179" s="454">
        <v>4</v>
      </c>
      <c r="I179" s="454" t="s">
        <v>655</v>
      </c>
      <c r="J179" s="455" t="s">
        <v>656</v>
      </c>
      <c r="K179" s="448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1.25" customHeight="1">
      <c r="A180" s="454" t="s">
        <v>657</v>
      </c>
      <c r="B180" s="448" t="s">
        <v>13</v>
      </c>
      <c r="C180" s="448" t="s">
        <v>348</v>
      </c>
      <c r="D180" s="448" t="s">
        <v>410</v>
      </c>
      <c r="E180" s="448" t="s">
        <v>83</v>
      </c>
      <c r="F180" s="448" t="s">
        <v>411</v>
      </c>
      <c r="G180" s="448" t="s">
        <v>83</v>
      </c>
      <c r="H180" s="448" t="s">
        <v>83</v>
      </c>
      <c r="I180" s="448" t="s">
        <v>83</v>
      </c>
      <c r="J180" s="449" t="s">
        <v>658</v>
      </c>
      <c r="K180" s="448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1.25" customHeight="1">
      <c r="A181" s="454" t="s">
        <v>150</v>
      </c>
      <c r="B181" s="454" t="s">
        <v>13</v>
      </c>
      <c r="C181" s="454" t="s">
        <v>348</v>
      </c>
      <c r="D181" s="454" t="s">
        <v>644</v>
      </c>
      <c r="E181" s="454" t="s">
        <v>424</v>
      </c>
      <c r="F181" s="454" t="s">
        <v>411</v>
      </c>
      <c r="G181" s="454" t="s">
        <v>83</v>
      </c>
      <c r="H181" s="454">
        <v>5</v>
      </c>
      <c r="I181" s="454" t="s">
        <v>83</v>
      </c>
      <c r="J181" s="455" t="s">
        <v>659</v>
      </c>
      <c r="K181" s="448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1.25" customHeight="1">
      <c r="A182" s="448" t="s">
        <v>660</v>
      </c>
      <c r="B182" s="448" t="s">
        <v>13</v>
      </c>
      <c r="C182" s="448">
        <v>1</v>
      </c>
      <c r="D182" s="448" t="s">
        <v>652</v>
      </c>
      <c r="E182" s="448" t="s">
        <v>424</v>
      </c>
      <c r="F182" s="448" t="s">
        <v>411</v>
      </c>
      <c r="G182" s="448" t="s">
        <v>83</v>
      </c>
      <c r="H182" s="448" t="s">
        <v>83</v>
      </c>
      <c r="I182" s="448" t="s">
        <v>83</v>
      </c>
      <c r="J182" s="449" t="s">
        <v>661</v>
      </c>
      <c r="K182" s="448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1.25" customHeight="1">
      <c r="A183" s="448" t="s">
        <v>662</v>
      </c>
      <c r="B183" s="454" t="s">
        <v>13</v>
      </c>
      <c r="C183" s="454" t="s">
        <v>348</v>
      </c>
      <c r="D183" s="454" t="s">
        <v>566</v>
      </c>
      <c r="E183" s="448" t="s">
        <v>174</v>
      </c>
      <c r="F183" s="454" t="s">
        <v>547</v>
      </c>
      <c r="G183" s="454" t="s">
        <v>83</v>
      </c>
      <c r="H183" s="454">
        <v>6</v>
      </c>
      <c r="I183" s="454" t="s">
        <v>83</v>
      </c>
      <c r="J183" s="455" t="s">
        <v>663</v>
      </c>
      <c r="K183" s="448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1.25" customHeight="1">
      <c r="A184" s="448" t="s">
        <v>664</v>
      </c>
      <c r="B184" s="454" t="s">
        <v>13</v>
      </c>
      <c r="C184" s="454">
        <v>1</v>
      </c>
      <c r="D184" s="454" t="s">
        <v>644</v>
      </c>
      <c r="E184" s="454" t="s">
        <v>424</v>
      </c>
      <c r="F184" s="454" t="s">
        <v>411</v>
      </c>
      <c r="G184" s="454" t="s">
        <v>83</v>
      </c>
      <c r="H184" s="454">
        <v>3</v>
      </c>
      <c r="I184" s="454" t="s">
        <v>83</v>
      </c>
      <c r="J184" s="455" t="s">
        <v>665</v>
      </c>
      <c r="K184" s="448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1.25" customHeight="1">
      <c r="A185" s="448" t="s">
        <v>666</v>
      </c>
      <c r="B185" s="454" t="s">
        <v>13</v>
      </c>
      <c r="C185" s="454">
        <v>1</v>
      </c>
      <c r="D185" s="454" t="s">
        <v>644</v>
      </c>
      <c r="E185" s="454" t="s">
        <v>424</v>
      </c>
      <c r="F185" s="454" t="s">
        <v>411</v>
      </c>
      <c r="G185" s="454" t="s">
        <v>83</v>
      </c>
      <c r="H185" s="454">
        <v>3</v>
      </c>
      <c r="I185" s="454" t="s">
        <v>83</v>
      </c>
      <c r="J185" s="455" t="s">
        <v>667</v>
      </c>
      <c r="K185" s="448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1.25" customHeight="1">
      <c r="A186" s="448" t="s">
        <v>668</v>
      </c>
      <c r="B186" s="454" t="s">
        <v>13</v>
      </c>
      <c r="C186" s="454" t="s">
        <v>348</v>
      </c>
      <c r="D186" s="454" t="s">
        <v>644</v>
      </c>
      <c r="E186" s="454" t="s">
        <v>424</v>
      </c>
      <c r="F186" s="454" t="s">
        <v>411</v>
      </c>
      <c r="G186" s="454" t="s">
        <v>83</v>
      </c>
      <c r="H186" s="454">
        <v>4</v>
      </c>
      <c r="I186" s="454" t="s">
        <v>83</v>
      </c>
      <c r="J186" s="455" t="s">
        <v>669</v>
      </c>
      <c r="K186" s="448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1.25" customHeight="1">
      <c r="A187" s="448" t="s">
        <v>670</v>
      </c>
      <c r="B187" s="454" t="s">
        <v>13</v>
      </c>
      <c r="C187" s="454">
        <v>1</v>
      </c>
      <c r="D187" s="454" t="s">
        <v>495</v>
      </c>
      <c r="E187" s="454" t="s">
        <v>424</v>
      </c>
      <c r="F187" s="454" t="s">
        <v>411</v>
      </c>
      <c r="G187" s="454" t="s">
        <v>83</v>
      </c>
      <c r="H187" s="454">
        <v>4</v>
      </c>
      <c r="I187" s="454" t="s">
        <v>83</v>
      </c>
      <c r="J187" s="455" t="s">
        <v>671</v>
      </c>
      <c r="K187" s="448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1.25" customHeight="1">
      <c r="A188" s="448" t="s">
        <v>672</v>
      </c>
      <c r="B188" s="454" t="s">
        <v>13</v>
      </c>
      <c r="C188" s="454">
        <v>1</v>
      </c>
      <c r="D188" s="454" t="s">
        <v>566</v>
      </c>
      <c r="E188" s="448" t="s">
        <v>174</v>
      </c>
      <c r="F188" s="454" t="s">
        <v>327</v>
      </c>
      <c r="G188" s="454" t="s">
        <v>572</v>
      </c>
      <c r="H188" s="454">
        <v>3</v>
      </c>
      <c r="I188" s="454" t="s">
        <v>83</v>
      </c>
      <c r="J188" s="455" t="s">
        <v>673</v>
      </c>
      <c r="K188" s="44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1.25" customHeight="1">
      <c r="A189" s="448" t="s">
        <v>132</v>
      </c>
      <c r="B189" s="454" t="s">
        <v>13</v>
      </c>
      <c r="C189" s="454">
        <v>1</v>
      </c>
      <c r="D189" s="454" t="s">
        <v>495</v>
      </c>
      <c r="E189" s="448" t="s">
        <v>29</v>
      </c>
      <c r="F189" s="454" t="s">
        <v>547</v>
      </c>
      <c r="G189" s="454" t="s">
        <v>674</v>
      </c>
      <c r="H189" s="454">
        <v>4</v>
      </c>
      <c r="I189" s="454" t="s">
        <v>83</v>
      </c>
      <c r="J189" s="455" t="s">
        <v>675</v>
      </c>
      <c r="K189" s="448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1.25" customHeight="1">
      <c r="A190" s="454" t="s">
        <v>146</v>
      </c>
      <c r="B190" s="454" t="s">
        <v>13</v>
      </c>
      <c r="C190" s="454" t="s">
        <v>348</v>
      </c>
      <c r="D190" s="454" t="s">
        <v>488</v>
      </c>
      <c r="E190" s="454" t="s">
        <v>424</v>
      </c>
      <c r="F190" s="454" t="s">
        <v>411</v>
      </c>
      <c r="G190" s="454" t="s">
        <v>83</v>
      </c>
      <c r="H190" s="454" t="s">
        <v>83</v>
      </c>
      <c r="I190" s="454">
        <v>1</v>
      </c>
      <c r="J190" s="455" t="s">
        <v>676</v>
      </c>
      <c r="K190" s="448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1.25" customHeight="1">
      <c r="A191" s="454" t="s">
        <v>677</v>
      </c>
      <c r="B191" s="454" t="s">
        <v>13</v>
      </c>
      <c r="C191" s="454" t="s">
        <v>348</v>
      </c>
      <c r="D191" s="454" t="s">
        <v>584</v>
      </c>
      <c r="E191" s="454" t="s">
        <v>424</v>
      </c>
      <c r="F191" s="454" t="s">
        <v>411</v>
      </c>
      <c r="G191" s="454" t="s">
        <v>83</v>
      </c>
      <c r="H191" s="454">
        <v>3</v>
      </c>
      <c r="I191" s="454" t="s">
        <v>83</v>
      </c>
      <c r="J191" s="455"/>
      <c r="K191" s="448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1.25" customHeight="1">
      <c r="A192" s="454" t="s">
        <v>678</v>
      </c>
      <c r="B192" s="454" t="s">
        <v>13</v>
      </c>
      <c r="C192" s="454">
        <v>1</v>
      </c>
      <c r="D192" s="454" t="s">
        <v>410</v>
      </c>
      <c r="E192" s="454" t="s">
        <v>424</v>
      </c>
      <c r="F192" s="454" t="s">
        <v>411</v>
      </c>
      <c r="G192" s="454" t="s">
        <v>83</v>
      </c>
      <c r="H192" s="454" t="s">
        <v>83</v>
      </c>
      <c r="I192" s="454" t="s">
        <v>83</v>
      </c>
      <c r="J192" s="455"/>
      <c r="K192" s="448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1.25" customHeight="1">
      <c r="A193" s="454" t="s">
        <v>679</v>
      </c>
      <c r="B193" s="454" t="s">
        <v>13</v>
      </c>
      <c r="C193" s="454" t="s">
        <v>348</v>
      </c>
      <c r="D193" s="454" t="s">
        <v>495</v>
      </c>
      <c r="E193" s="454" t="s">
        <v>424</v>
      </c>
      <c r="F193" s="454" t="s">
        <v>411</v>
      </c>
      <c r="G193" s="454" t="s">
        <v>83</v>
      </c>
      <c r="H193" s="454">
        <v>5</v>
      </c>
      <c r="I193" s="454" t="s">
        <v>615</v>
      </c>
      <c r="J193" s="455"/>
      <c r="K193" s="448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1.25" customHeight="1">
      <c r="A194" s="454" t="s">
        <v>680</v>
      </c>
      <c r="B194" s="454" t="s">
        <v>13</v>
      </c>
      <c r="C194" s="454" t="s">
        <v>348</v>
      </c>
      <c r="D194" s="454" t="s">
        <v>495</v>
      </c>
      <c r="E194" s="454" t="s">
        <v>424</v>
      </c>
      <c r="F194" s="454" t="s">
        <v>411</v>
      </c>
      <c r="G194" s="454" t="s">
        <v>83</v>
      </c>
      <c r="H194" s="454">
        <v>5</v>
      </c>
      <c r="I194" s="454" t="s">
        <v>83</v>
      </c>
      <c r="J194" s="455"/>
      <c r="K194" s="448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11" ht="11.25" customHeight="1">
      <c r="A195" s="448" t="s">
        <v>681</v>
      </c>
      <c r="B195" s="454" t="s">
        <v>13</v>
      </c>
      <c r="C195" s="454" t="s">
        <v>348</v>
      </c>
      <c r="D195" s="454" t="s">
        <v>682</v>
      </c>
      <c r="E195" s="454" t="s">
        <v>424</v>
      </c>
      <c r="F195" s="454" t="s">
        <v>411</v>
      </c>
      <c r="G195" s="454" t="s">
        <v>83</v>
      </c>
      <c r="H195" s="454">
        <v>3</v>
      </c>
      <c r="I195" s="454" t="s">
        <v>83</v>
      </c>
      <c r="J195" s="455"/>
      <c r="K195" s="448"/>
    </row>
    <row r="196" spans="1:12" s="458" customFormat="1" ht="11.25" customHeight="1">
      <c r="A196" s="448" t="s">
        <v>683</v>
      </c>
      <c r="B196" s="454" t="s">
        <v>13</v>
      </c>
      <c r="C196" s="454" t="s">
        <v>348</v>
      </c>
      <c r="D196" s="454" t="s">
        <v>410</v>
      </c>
      <c r="E196" s="454" t="s">
        <v>424</v>
      </c>
      <c r="F196" s="454" t="s">
        <v>411</v>
      </c>
      <c r="G196" s="454" t="s">
        <v>83</v>
      </c>
      <c r="H196" s="454" t="s">
        <v>83</v>
      </c>
      <c r="I196" s="454" t="s">
        <v>83</v>
      </c>
      <c r="J196" s="449"/>
      <c r="K196" s="448"/>
      <c r="L196" s="457"/>
    </row>
    <row r="197" spans="1:12" s="458" customFormat="1" ht="11.25" customHeight="1">
      <c r="A197" s="448" t="s">
        <v>684</v>
      </c>
      <c r="B197" s="454" t="s">
        <v>13</v>
      </c>
      <c r="C197" s="454" t="s">
        <v>348</v>
      </c>
      <c r="D197" s="448" t="s">
        <v>652</v>
      </c>
      <c r="E197" s="454" t="s">
        <v>424</v>
      </c>
      <c r="F197" s="454" t="s">
        <v>411</v>
      </c>
      <c r="G197" s="454" t="s">
        <v>83</v>
      </c>
      <c r="H197" s="454">
        <v>7</v>
      </c>
      <c r="I197" s="454" t="s">
        <v>615</v>
      </c>
      <c r="J197" s="449"/>
      <c r="K197" s="448"/>
      <c r="L197" s="457"/>
    </row>
    <row r="198" spans="1:11" ht="11.25" customHeight="1">
      <c r="A198" s="448" t="s">
        <v>685</v>
      </c>
      <c r="B198" s="454" t="s">
        <v>13</v>
      </c>
      <c r="C198" s="454" t="s">
        <v>348</v>
      </c>
      <c r="D198" s="454" t="s">
        <v>410</v>
      </c>
      <c r="E198" s="454" t="s">
        <v>424</v>
      </c>
      <c r="F198" s="454" t="s">
        <v>411</v>
      </c>
      <c r="G198" s="454" t="s">
        <v>83</v>
      </c>
      <c r="H198" s="454" t="s">
        <v>83</v>
      </c>
      <c r="I198" s="454" t="s">
        <v>83</v>
      </c>
      <c r="J198" s="455"/>
      <c r="K198" s="448"/>
    </row>
    <row r="199" spans="1:11" ht="11.25" customHeight="1">
      <c r="A199" s="445" t="s">
        <v>686</v>
      </c>
      <c r="B199" s="446" t="s">
        <v>322</v>
      </c>
      <c r="C199" s="446" t="s">
        <v>323</v>
      </c>
      <c r="D199" s="446" t="s">
        <v>324</v>
      </c>
      <c r="E199" s="446" t="s">
        <v>185</v>
      </c>
      <c r="F199" s="446" t="s">
        <v>325</v>
      </c>
      <c r="G199" s="446" t="s">
        <v>261</v>
      </c>
      <c r="H199" s="446" t="s">
        <v>326</v>
      </c>
      <c r="I199" s="446" t="s">
        <v>254</v>
      </c>
      <c r="J199" s="459" t="s">
        <v>327</v>
      </c>
      <c r="K199" s="447" t="s">
        <v>408</v>
      </c>
    </row>
    <row r="200" spans="1:11" ht="11.25" customHeight="1">
      <c r="A200" s="454" t="s">
        <v>687</v>
      </c>
      <c r="B200" s="454" t="s">
        <v>686</v>
      </c>
      <c r="C200" s="454">
        <v>1</v>
      </c>
      <c r="D200" s="454" t="s">
        <v>641</v>
      </c>
      <c r="E200" s="454" t="s">
        <v>424</v>
      </c>
      <c r="F200" s="454" t="s">
        <v>547</v>
      </c>
      <c r="G200" s="454" t="s">
        <v>548</v>
      </c>
      <c r="H200" s="454">
        <v>3</v>
      </c>
      <c r="I200" s="454" t="s">
        <v>83</v>
      </c>
      <c r="J200" s="455" t="s">
        <v>688</v>
      </c>
      <c r="K200" s="448"/>
    </row>
    <row r="201" spans="1:256" ht="11.25" customHeight="1">
      <c r="A201" s="448" t="s">
        <v>689</v>
      </c>
      <c r="B201" s="448" t="s">
        <v>686</v>
      </c>
      <c r="C201" s="448" t="s">
        <v>348</v>
      </c>
      <c r="D201" s="448" t="s">
        <v>410</v>
      </c>
      <c r="E201" s="448" t="s">
        <v>83</v>
      </c>
      <c r="F201" s="448" t="s">
        <v>411</v>
      </c>
      <c r="G201" s="448" t="s">
        <v>83</v>
      </c>
      <c r="H201" s="448" t="s">
        <v>83</v>
      </c>
      <c r="I201" s="448" t="s">
        <v>83</v>
      </c>
      <c r="J201" s="449" t="s">
        <v>690</v>
      </c>
      <c r="K201" s="448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1.25" customHeight="1">
      <c r="A202" s="448" t="s">
        <v>691</v>
      </c>
      <c r="B202" s="448" t="s">
        <v>686</v>
      </c>
      <c r="C202" s="448" t="s">
        <v>348</v>
      </c>
      <c r="D202" s="454" t="s">
        <v>641</v>
      </c>
      <c r="E202" s="454" t="s">
        <v>424</v>
      </c>
      <c r="F202" s="454" t="s">
        <v>547</v>
      </c>
      <c r="G202" s="454" t="s">
        <v>548</v>
      </c>
      <c r="H202" s="448" t="s">
        <v>83</v>
      </c>
      <c r="I202" s="448">
        <v>1</v>
      </c>
      <c r="J202" s="455" t="s">
        <v>692</v>
      </c>
      <c r="K202" s="448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1.25" customHeight="1">
      <c r="A203" s="454" t="s">
        <v>693</v>
      </c>
      <c r="B203" s="454" t="s">
        <v>686</v>
      </c>
      <c r="C203" s="448" t="s">
        <v>348</v>
      </c>
      <c r="D203" s="454" t="s">
        <v>566</v>
      </c>
      <c r="E203" s="448" t="s">
        <v>613</v>
      </c>
      <c r="F203" s="454" t="s">
        <v>547</v>
      </c>
      <c r="G203" s="454" t="s">
        <v>548</v>
      </c>
      <c r="H203" s="454">
        <v>6</v>
      </c>
      <c r="I203" s="454" t="s">
        <v>83</v>
      </c>
      <c r="J203" s="455" t="s">
        <v>694</v>
      </c>
      <c r="K203" s="448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1.25" customHeight="1">
      <c r="A204" s="454" t="s">
        <v>695</v>
      </c>
      <c r="B204" s="454" t="s">
        <v>686</v>
      </c>
      <c r="C204" s="454" t="s">
        <v>348</v>
      </c>
      <c r="D204" s="454" t="s">
        <v>566</v>
      </c>
      <c r="E204" s="448" t="s">
        <v>613</v>
      </c>
      <c r="F204" s="454" t="s">
        <v>547</v>
      </c>
      <c r="G204" s="454" t="s">
        <v>548</v>
      </c>
      <c r="H204" s="454">
        <v>6</v>
      </c>
      <c r="I204" s="454" t="s">
        <v>83</v>
      </c>
      <c r="J204" s="455"/>
      <c r="K204" s="448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1.25" customHeight="1">
      <c r="A205" s="454" t="s">
        <v>696</v>
      </c>
      <c r="B205" s="454" t="s">
        <v>686</v>
      </c>
      <c r="C205" s="454" t="s">
        <v>348</v>
      </c>
      <c r="D205" s="454" t="s">
        <v>566</v>
      </c>
      <c r="E205" s="448" t="s">
        <v>613</v>
      </c>
      <c r="F205" s="454" t="s">
        <v>547</v>
      </c>
      <c r="G205" s="454" t="s">
        <v>548</v>
      </c>
      <c r="H205" s="454">
        <v>5</v>
      </c>
      <c r="I205" s="454" t="s">
        <v>83</v>
      </c>
      <c r="J205" s="455"/>
      <c r="K205" s="448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11" ht="11.25" customHeight="1">
      <c r="A206" s="454" t="s">
        <v>697</v>
      </c>
      <c r="B206" s="454" t="s">
        <v>686</v>
      </c>
      <c r="C206" s="454" t="s">
        <v>348</v>
      </c>
      <c r="D206" s="454" t="s">
        <v>698</v>
      </c>
      <c r="E206" s="448" t="s">
        <v>424</v>
      </c>
      <c r="F206" s="454" t="s">
        <v>411</v>
      </c>
      <c r="G206" s="454" t="s">
        <v>83</v>
      </c>
      <c r="H206" s="454">
        <v>5</v>
      </c>
      <c r="I206" s="454" t="s">
        <v>615</v>
      </c>
      <c r="J206" s="455"/>
      <c r="K206" s="448"/>
    </row>
    <row r="207" spans="1:256" ht="11.25" customHeight="1">
      <c r="A207" s="454" t="s">
        <v>699</v>
      </c>
      <c r="B207" s="454" t="s">
        <v>686</v>
      </c>
      <c r="C207" s="454" t="s">
        <v>348</v>
      </c>
      <c r="D207" s="454" t="s">
        <v>644</v>
      </c>
      <c r="E207" s="448" t="s">
        <v>424</v>
      </c>
      <c r="F207" s="454" t="s">
        <v>411</v>
      </c>
      <c r="G207" s="454" t="s">
        <v>83</v>
      </c>
      <c r="H207" s="454">
        <v>3</v>
      </c>
      <c r="I207" s="454" t="s">
        <v>83</v>
      </c>
      <c r="J207" s="455"/>
      <c r="K207" s="448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1.25" customHeight="1">
      <c r="A208" s="454" t="s">
        <v>700</v>
      </c>
      <c r="B208" s="454" t="s">
        <v>686</v>
      </c>
      <c r="C208" s="454">
        <v>1</v>
      </c>
      <c r="D208" s="448" t="s">
        <v>410</v>
      </c>
      <c r="E208" s="448" t="s">
        <v>83</v>
      </c>
      <c r="F208" s="448" t="s">
        <v>411</v>
      </c>
      <c r="G208" s="448" t="s">
        <v>83</v>
      </c>
      <c r="H208" s="448" t="s">
        <v>83</v>
      </c>
      <c r="I208" s="448" t="s">
        <v>83</v>
      </c>
      <c r="J208" s="455"/>
      <c r="K208" s="44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1.25" customHeight="1">
      <c r="A209" s="454" t="s">
        <v>701</v>
      </c>
      <c r="B209" s="454" t="s">
        <v>686</v>
      </c>
      <c r="C209" s="454">
        <v>1</v>
      </c>
      <c r="D209" s="454" t="s">
        <v>566</v>
      </c>
      <c r="E209" s="448" t="s">
        <v>613</v>
      </c>
      <c r="F209" s="454" t="s">
        <v>702</v>
      </c>
      <c r="G209" s="454" t="s">
        <v>572</v>
      </c>
      <c r="H209" s="454">
        <v>10</v>
      </c>
      <c r="I209" s="454" t="s">
        <v>615</v>
      </c>
      <c r="J209" s="455"/>
      <c r="K209" s="448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1.25" customHeight="1">
      <c r="A210" s="454" t="s">
        <v>703</v>
      </c>
      <c r="B210" s="454" t="s">
        <v>686</v>
      </c>
      <c r="C210" s="454">
        <v>1</v>
      </c>
      <c r="D210" s="454" t="s">
        <v>644</v>
      </c>
      <c r="E210" s="448" t="s">
        <v>424</v>
      </c>
      <c r="F210" s="454" t="s">
        <v>411</v>
      </c>
      <c r="G210" s="454" t="s">
        <v>83</v>
      </c>
      <c r="H210" s="454">
        <v>5</v>
      </c>
      <c r="I210" s="454" t="s">
        <v>83</v>
      </c>
      <c r="J210" s="455"/>
      <c r="K210" s="448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1.25" customHeight="1">
      <c r="A211" s="454" t="s">
        <v>704</v>
      </c>
      <c r="B211" s="454" t="s">
        <v>686</v>
      </c>
      <c r="C211" s="454" t="s">
        <v>348</v>
      </c>
      <c r="D211" s="454" t="s">
        <v>566</v>
      </c>
      <c r="E211" s="448" t="s">
        <v>613</v>
      </c>
      <c r="F211" s="454" t="s">
        <v>547</v>
      </c>
      <c r="G211" s="454" t="s">
        <v>548</v>
      </c>
      <c r="H211" s="454">
        <v>4</v>
      </c>
      <c r="I211" s="454" t="s">
        <v>83</v>
      </c>
      <c r="J211" s="455"/>
      <c r="K211" s="448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1.25" customHeight="1">
      <c r="A212" s="454" t="s">
        <v>705</v>
      </c>
      <c r="B212" s="448" t="s">
        <v>686</v>
      </c>
      <c r="C212" s="448">
        <v>1</v>
      </c>
      <c r="D212" s="448" t="s">
        <v>410</v>
      </c>
      <c r="E212" s="448" t="s">
        <v>83</v>
      </c>
      <c r="F212" s="448" t="s">
        <v>411</v>
      </c>
      <c r="G212" s="448" t="s">
        <v>83</v>
      </c>
      <c r="H212" s="448" t="s">
        <v>83</v>
      </c>
      <c r="I212" s="448" t="s">
        <v>83</v>
      </c>
      <c r="J212" s="449"/>
      <c r="K212" s="448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1.25" customHeight="1">
      <c r="A213" s="454" t="s">
        <v>706</v>
      </c>
      <c r="B213" s="454" t="s">
        <v>686</v>
      </c>
      <c r="C213" s="454" t="s">
        <v>348</v>
      </c>
      <c r="D213" s="454" t="s">
        <v>566</v>
      </c>
      <c r="E213" s="448" t="s">
        <v>613</v>
      </c>
      <c r="F213" s="454" t="s">
        <v>547</v>
      </c>
      <c r="G213" s="454" t="s">
        <v>572</v>
      </c>
      <c r="H213" s="454">
        <v>6</v>
      </c>
      <c r="I213" s="454" t="s">
        <v>83</v>
      </c>
      <c r="J213" s="455"/>
      <c r="K213" s="448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1.25" customHeight="1">
      <c r="A214" s="454" t="s">
        <v>707</v>
      </c>
      <c r="B214" s="454" t="s">
        <v>686</v>
      </c>
      <c r="C214" s="454">
        <v>1</v>
      </c>
      <c r="D214" s="454" t="s">
        <v>495</v>
      </c>
      <c r="E214" s="448" t="s">
        <v>613</v>
      </c>
      <c r="F214" s="454" t="s">
        <v>547</v>
      </c>
      <c r="G214" s="454" t="s">
        <v>548</v>
      </c>
      <c r="H214" s="454">
        <v>3</v>
      </c>
      <c r="I214" s="454" t="s">
        <v>83</v>
      </c>
      <c r="J214" s="455"/>
      <c r="K214" s="448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1.25" customHeight="1">
      <c r="A215" s="454" t="s">
        <v>708</v>
      </c>
      <c r="B215" s="454" t="s">
        <v>686</v>
      </c>
      <c r="C215" s="454">
        <v>1</v>
      </c>
      <c r="D215" s="454" t="s">
        <v>566</v>
      </c>
      <c r="E215" s="448" t="s">
        <v>613</v>
      </c>
      <c r="F215" s="454" t="s">
        <v>547</v>
      </c>
      <c r="G215" s="454" t="s">
        <v>548</v>
      </c>
      <c r="H215" s="454">
        <v>4</v>
      </c>
      <c r="I215" s="454" t="s">
        <v>83</v>
      </c>
      <c r="J215" s="455"/>
      <c r="K215" s="448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1.25" customHeight="1">
      <c r="A216" s="454" t="s">
        <v>709</v>
      </c>
      <c r="B216" s="454" t="s">
        <v>686</v>
      </c>
      <c r="C216" s="454">
        <v>1</v>
      </c>
      <c r="D216" s="454" t="s">
        <v>566</v>
      </c>
      <c r="E216" s="448" t="s">
        <v>613</v>
      </c>
      <c r="F216" s="454" t="s">
        <v>547</v>
      </c>
      <c r="G216" s="454" t="s">
        <v>548</v>
      </c>
      <c r="H216" s="454">
        <v>4</v>
      </c>
      <c r="I216" s="454" t="s">
        <v>83</v>
      </c>
      <c r="J216" s="455"/>
      <c r="K216" s="448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1.25" customHeight="1">
      <c r="A217" s="454" t="s">
        <v>710</v>
      </c>
      <c r="B217" s="454" t="s">
        <v>686</v>
      </c>
      <c r="C217" s="454" t="s">
        <v>348</v>
      </c>
      <c r="D217" s="454" t="s">
        <v>566</v>
      </c>
      <c r="E217" s="448" t="s">
        <v>613</v>
      </c>
      <c r="F217" s="454" t="s">
        <v>547</v>
      </c>
      <c r="G217" s="454" t="s">
        <v>548</v>
      </c>
      <c r="H217" s="454">
        <v>6</v>
      </c>
      <c r="I217" s="454" t="s">
        <v>83</v>
      </c>
      <c r="J217" s="455"/>
      <c r="K217" s="448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1.25" customHeight="1">
      <c r="A218" s="454" t="s">
        <v>711</v>
      </c>
      <c r="B218" s="454" t="s">
        <v>686</v>
      </c>
      <c r="C218" s="454">
        <v>1</v>
      </c>
      <c r="D218" s="454" t="s">
        <v>566</v>
      </c>
      <c r="E218" s="448" t="s">
        <v>613</v>
      </c>
      <c r="F218" s="454" t="s">
        <v>547</v>
      </c>
      <c r="G218" s="454" t="s">
        <v>548</v>
      </c>
      <c r="H218" s="454">
        <v>4</v>
      </c>
      <c r="I218" s="454" t="s">
        <v>83</v>
      </c>
      <c r="J218" s="455"/>
      <c r="K218" s="44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1.25" customHeight="1">
      <c r="A219" s="454" t="s">
        <v>712</v>
      </c>
      <c r="B219" s="454" t="s">
        <v>686</v>
      </c>
      <c r="C219" s="454" t="s">
        <v>348</v>
      </c>
      <c r="D219" s="454" t="s">
        <v>566</v>
      </c>
      <c r="E219" s="448" t="s">
        <v>613</v>
      </c>
      <c r="F219" s="454" t="s">
        <v>547</v>
      </c>
      <c r="G219" s="454" t="s">
        <v>572</v>
      </c>
      <c r="H219" s="454">
        <v>10</v>
      </c>
      <c r="I219" s="454" t="s">
        <v>83</v>
      </c>
      <c r="J219" s="455"/>
      <c r="K219" s="448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11" ht="11.25" customHeight="1">
      <c r="A220" s="448" t="s">
        <v>713</v>
      </c>
      <c r="B220" s="454" t="s">
        <v>686</v>
      </c>
      <c r="C220" s="454" t="s">
        <v>348</v>
      </c>
      <c r="D220" s="448" t="s">
        <v>714</v>
      </c>
      <c r="E220" s="448" t="s">
        <v>424</v>
      </c>
      <c r="F220" s="454" t="s">
        <v>411</v>
      </c>
      <c r="G220" s="454" t="s">
        <v>83</v>
      </c>
      <c r="H220" s="454">
        <v>2</v>
      </c>
      <c r="I220" s="454" t="s">
        <v>83</v>
      </c>
      <c r="J220" s="449"/>
      <c r="K220" s="448"/>
    </row>
    <row r="221" spans="1:11" ht="11.25" customHeight="1">
      <c r="A221" s="454" t="s">
        <v>715</v>
      </c>
      <c r="B221" s="454" t="s">
        <v>686</v>
      </c>
      <c r="C221" s="454">
        <v>1</v>
      </c>
      <c r="D221" s="454" t="s">
        <v>495</v>
      </c>
      <c r="E221" s="448" t="s">
        <v>613</v>
      </c>
      <c r="F221" s="454" t="s">
        <v>547</v>
      </c>
      <c r="G221" s="454" t="s">
        <v>548</v>
      </c>
      <c r="H221" s="454">
        <v>2</v>
      </c>
      <c r="I221" s="454" t="s">
        <v>83</v>
      </c>
      <c r="J221" s="455"/>
      <c r="K221" s="448"/>
    </row>
    <row r="222" spans="1:11" ht="11.25" customHeight="1">
      <c r="A222" s="454" t="s">
        <v>716</v>
      </c>
      <c r="B222" s="454" t="s">
        <v>686</v>
      </c>
      <c r="C222" s="454">
        <v>1</v>
      </c>
      <c r="D222" s="454" t="s">
        <v>566</v>
      </c>
      <c r="E222" s="448" t="s">
        <v>613</v>
      </c>
      <c r="F222" s="454" t="s">
        <v>327</v>
      </c>
      <c r="G222" s="454" t="s">
        <v>327</v>
      </c>
      <c r="H222" s="454">
        <v>7</v>
      </c>
      <c r="I222" s="454" t="s">
        <v>83</v>
      </c>
      <c r="J222" s="455"/>
      <c r="K222" s="448"/>
    </row>
    <row r="223" spans="1:11" ht="11.25" customHeight="1">
      <c r="A223" s="448" t="s">
        <v>717</v>
      </c>
      <c r="B223" s="454" t="s">
        <v>686</v>
      </c>
      <c r="C223" s="454" t="s">
        <v>348</v>
      </c>
      <c r="D223" s="448" t="s">
        <v>495</v>
      </c>
      <c r="E223" s="448" t="s">
        <v>613</v>
      </c>
      <c r="F223" s="454" t="s">
        <v>718</v>
      </c>
      <c r="G223" s="454" t="s">
        <v>719</v>
      </c>
      <c r="H223" s="454">
        <v>2</v>
      </c>
      <c r="I223" s="454" t="s">
        <v>83</v>
      </c>
      <c r="J223" s="449"/>
      <c r="K223" s="448"/>
    </row>
    <row r="224" spans="1:11" ht="11.25" customHeight="1">
      <c r="A224" s="454" t="s">
        <v>720</v>
      </c>
      <c r="B224" s="454" t="s">
        <v>686</v>
      </c>
      <c r="C224" s="454">
        <v>1</v>
      </c>
      <c r="D224" s="448" t="s">
        <v>584</v>
      </c>
      <c r="E224" s="448" t="s">
        <v>424</v>
      </c>
      <c r="F224" s="454" t="s">
        <v>411</v>
      </c>
      <c r="G224" s="454" t="s">
        <v>83</v>
      </c>
      <c r="H224" s="454">
        <v>4</v>
      </c>
      <c r="I224" s="454" t="s">
        <v>83</v>
      </c>
      <c r="J224" s="455"/>
      <c r="K224" s="448"/>
    </row>
    <row r="225" spans="1:11" ht="11.25" customHeight="1">
      <c r="A225" s="454" t="s">
        <v>721</v>
      </c>
      <c r="B225" s="454" t="s">
        <v>686</v>
      </c>
      <c r="C225" s="454" t="s">
        <v>348</v>
      </c>
      <c r="D225" s="448" t="s">
        <v>410</v>
      </c>
      <c r="E225" s="454" t="s">
        <v>83</v>
      </c>
      <c r="F225" s="454" t="s">
        <v>411</v>
      </c>
      <c r="G225" s="454" t="s">
        <v>83</v>
      </c>
      <c r="H225" s="454" t="s">
        <v>83</v>
      </c>
      <c r="I225" s="454" t="s">
        <v>83</v>
      </c>
      <c r="J225" s="449"/>
      <c r="K225" s="448"/>
    </row>
    <row r="226" spans="1:11" ht="11.25" customHeight="1">
      <c r="A226" s="454" t="s">
        <v>722</v>
      </c>
      <c r="B226" s="454" t="s">
        <v>686</v>
      </c>
      <c r="C226" s="454" t="s">
        <v>348</v>
      </c>
      <c r="D226" s="448" t="s">
        <v>566</v>
      </c>
      <c r="E226" s="448" t="s">
        <v>174</v>
      </c>
      <c r="F226" s="454" t="s">
        <v>547</v>
      </c>
      <c r="G226" s="454" t="s">
        <v>630</v>
      </c>
      <c r="H226" s="454" t="s">
        <v>83</v>
      </c>
      <c r="I226" s="454" t="s">
        <v>615</v>
      </c>
      <c r="J226" s="449"/>
      <c r="K226" s="448"/>
    </row>
    <row r="227" spans="1:12" s="451" customFormat="1" ht="11.25" customHeight="1">
      <c r="A227" s="454" t="s">
        <v>723</v>
      </c>
      <c r="B227" s="454" t="s">
        <v>686</v>
      </c>
      <c r="C227" s="454" t="s">
        <v>348</v>
      </c>
      <c r="D227" s="448" t="s">
        <v>566</v>
      </c>
      <c r="E227" s="448" t="s">
        <v>613</v>
      </c>
      <c r="F227" s="454" t="s">
        <v>547</v>
      </c>
      <c r="G227" s="454" t="s">
        <v>548</v>
      </c>
      <c r="H227" s="454">
        <v>6</v>
      </c>
      <c r="I227" s="454" t="s">
        <v>83</v>
      </c>
      <c r="J227" s="449"/>
      <c r="K227" s="448"/>
      <c r="L227" s="450"/>
    </row>
    <row r="228" spans="1:11" ht="11.25" customHeight="1">
      <c r="A228" s="454"/>
      <c r="B228" s="454"/>
      <c r="C228" s="454"/>
      <c r="D228" s="448"/>
      <c r="E228" s="448"/>
      <c r="F228" s="454"/>
      <c r="G228" s="448"/>
      <c r="H228" s="448"/>
      <c r="I228" s="454"/>
      <c r="J228" s="449"/>
      <c r="K228" s="448"/>
    </row>
    <row r="229" spans="1:11" ht="11.25" customHeight="1">
      <c r="A229" s="454"/>
      <c r="B229" s="454"/>
      <c r="C229" s="454"/>
      <c r="D229" s="454"/>
      <c r="E229" s="448"/>
      <c r="F229" s="454"/>
      <c r="G229" s="454"/>
      <c r="H229" s="454"/>
      <c r="I229" s="454"/>
      <c r="J229" s="455"/>
      <c r="K229" s="448"/>
    </row>
    <row r="230" spans="1:12" s="451" customFormat="1" ht="11.25" customHeight="1">
      <c r="A230" s="448"/>
      <c r="B230" s="454"/>
      <c r="C230" s="454"/>
      <c r="D230" s="448"/>
      <c r="E230" s="448"/>
      <c r="F230" s="454"/>
      <c r="G230" s="448"/>
      <c r="H230" s="448"/>
      <c r="I230" s="454"/>
      <c r="J230" s="449"/>
      <c r="K230" s="448"/>
      <c r="L230" s="450"/>
    </row>
    <row r="231" spans="1:11" s="460" customFormat="1" ht="11.25" customHeight="1">
      <c r="A231" s="454"/>
      <c r="B231" s="454"/>
      <c r="C231" s="454"/>
      <c r="D231" s="448"/>
      <c r="E231" s="448"/>
      <c r="F231" s="454"/>
      <c r="G231" s="448"/>
      <c r="H231" s="448"/>
      <c r="I231" s="454"/>
      <c r="J231" s="455"/>
      <c r="K231" s="448"/>
    </row>
    <row r="232" spans="1:11" s="460" customFormat="1" ht="11.25" customHeight="1">
      <c r="A232" s="454"/>
      <c r="B232" s="454"/>
      <c r="C232" s="454"/>
      <c r="D232" s="448"/>
      <c r="E232" s="448"/>
      <c r="F232" s="454"/>
      <c r="G232" s="448"/>
      <c r="H232" s="448"/>
      <c r="I232" s="454"/>
      <c r="J232" s="449"/>
      <c r="K232" s="448"/>
    </row>
    <row r="233" spans="1:11" s="460" customFormat="1" ht="11.25" customHeight="1">
      <c r="A233" s="454"/>
      <c r="B233" s="454"/>
      <c r="C233" s="454"/>
      <c r="D233" s="448"/>
      <c r="E233" s="448"/>
      <c r="F233" s="454"/>
      <c r="G233" s="448"/>
      <c r="H233" s="448"/>
      <c r="I233" s="454"/>
      <c r="J233" s="449"/>
      <c r="K233" s="448"/>
    </row>
    <row r="234" spans="1:11" s="460" customFormat="1" ht="11.25" customHeight="1">
      <c r="A234" s="454"/>
      <c r="B234" s="454"/>
      <c r="C234" s="454"/>
      <c r="D234" s="448"/>
      <c r="E234" s="448"/>
      <c r="F234" s="454"/>
      <c r="G234" s="448"/>
      <c r="H234" s="448"/>
      <c r="I234" s="454"/>
      <c r="J234" s="449"/>
      <c r="K234" s="448"/>
    </row>
    <row r="235" spans="1:11" s="460" customFormat="1" ht="11.25" customHeight="1">
      <c r="A235" s="454"/>
      <c r="B235" s="454"/>
      <c r="C235" s="454"/>
      <c r="D235" s="448"/>
      <c r="E235" s="448"/>
      <c r="F235" s="454"/>
      <c r="G235" s="448"/>
      <c r="H235" s="448"/>
      <c r="I235" s="454"/>
      <c r="J235" s="449"/>
      <c r="K235" s="448"/>
    </row>
    <row r="236" spans="1:11" ht="11.25" customHeight="1">
      <c r="A236" s="445" t="s">
        <v>724</v>
      </c>
      <c r="B236" s="446" t="s">
        <v>322</v>
      </c>
      <c r="C236" s="446" t="s">
        <v>323</v>
      </c>
      <c r="D236" s="446" t="s">
        <v>324</v>
      </c>
      <c r="E236" s="446" t="s">
        <v>185</v>
      </c>
      <c r="F236" s="446" t="s">
        <v>325</v>
      </c>
      <c r="G236" s="446" t="s">
        <v>261</v>
      </c>
      <c r="H236" s="446" t="s">
        <v>326</v>
      </c>
      <c r="I236" s="446" t="s">
        <v>254</v>
      </c>
      <c r="J236" s="459" t="s">
        <v>327</v>
      </c>
      <c r="K236" s="447" t="s">
        <v>408</v>
      </c>
    </row>
    <row r="237" spans="1:256" ht="11.25" customHeight="1">
      <c r="A237" s="448" t="s">
        <v>725</v>
      </c>
      <c r="B237" s="448" t="s">
        <v>724</v>
      </c>
      <c r="C237" s="448">
        <v>1</v>
      </c>
      <c r="D237" s="448" t="s">
        <v>410</v>
      </c>
      <c r="E237" s="448" t="s">
        <v>83</v>
      </c>
      <c r="F237" s="448" t="s">
        <v>411</v>
      </c>
      <c r="G237" s="448" t="s">
        <v>83</v>
      </c>
      <c r="H237" s="448" t="s">
        <v>83</v>
      </c>
      <c r="I237" s="448" t="s">
        <v>83</v>
      </c>
      <c r="J237" s="449"/>
      <c r="K237" s="448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1.25" customHeight="1">
      <c r="A238" s="454" t="s">
        <v>726</v>
      </c>
      <c r="B238" s="454" t="s">
        <v>724</v>
      </c>
      <c r="C238" s="454" t="s">
        <v>348</v>
      </c>
      <c r="D238" s="454" t="s">
        <v>566</v>
      </c>
      <c r="E238" s="448" t="s">
        <v>613</v>
      </c>
      <c r="F238" s="454" t="s">
        <v>547</v>
      </c>
      <c r="G238" s="454" t="s">
        <v>548</v>
      </c>
      <c r="H238" s="454">
        <v>6</v>
      </c>
      <c r="I238" s="454" t="s">
        <v>83</v>
      </c>
      <c r="J238" s="455"/>
      <c r="K238" s="44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1.25" customHeight="1">
      <c r="A239" s="448" t="s">
        <v>727</v>
      </c>
      <c r="B239" s="448" t="s">
        <v>724</v>
      </c>
      <c r="C239" s="448">
        <v>1</v>
      </c>
      <c r="D239" s="448" t="s">
        <v>410</v>
      </c>
      <c r="E239" s="448" t="s">
        <v>83</v>
      </c>
      <c r="F239" s="448" t="s">
        <v>411</v>
      </c>
      <c r="G239" s="448" t="s">
        <v>83</v>
      </c>
      <c r="H239" s="448" t="s">
        <v>83</v>
      </c>
      <c r="I239" s="448" t="s">
        <v>83</v>
      </c>
      <c r="J239" s="449"/>
      <c r="K239" s="448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1.25" customHeight="1">
      <c r="A240" s="448" t="s">
        <v>728</v>
      </c>
      <c r="B240" s="454" t="s">
        <v>724</v>
      </c>
      <c r="C240" s="448">
        <v>1</v>
      </c>
      <c r="D240" s="448" t="s">
        <v>423</v>
      </c>
      <c r="E240" s="448" t="s">
        <v>424</v>
      </c>
      <c r="F240" s="448" t="s">
        <v>411</v>
      </c>
      <c r="G240" s="448" t="s">
        <v>83</v>
      </c>
      <c r="H240" s="448">
        <v>5</v>
      </c>
      <c r="I240" s="448" t="s">
        <v>83</v>
      </c>
      <c r="J240" s="449"/>
      <c r="K240" s="448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1.25" customHeight="1">
      <c r="A241" s="454" t="s">
        <v>729</v>
      </c>
      <c r="B241" s="454" t="s">
        <v>724</v>
      </c>
      <c r="C241" s="454" t="s">
        <v>348</v>
      </c>
      <c r="D241" s="454" t="s">
        <v>566</v>
      </c>
      <c r="E241" s="448" t="s">
        <v>613</v>
      </c>
      <c r="F241" s="454" t="s">
        <v>547</v>
      </c>
      <c r="G241" s="454" t="s">
        <v>548</v>
      </c>
      <c r="H241" s="454">
        <v>6</v>
      </c>
      <c r="I241" s="454" t="s">
        <v>83</v>
      </c>
      <c r="J241" s="455"/>
      <c r="K241" s="448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1.25" customHeight="1">
      <c r="A242" s="448" t="s">
        <v>730</v>
      </c>
      <c r="B242" s="448" t="s">
        <v>724</v>
      </c>
      <c r="C242" s="448">
        <v>1</v>
      </c>
      <c r="D242" s="448" t="s">
        <v>410</v>
      </c>
      <c r="E242" s="448" t="s">
        <v>83</v>
      </c>
      <c r="F242" s="448" t="s">
        <v>411</v>
      </c>
      <c r="G242" s="448" t="s">
        <v>83</v>
      </c>
      <c r="H242" s="448" t="s">
        <v>83</v>
      </c>
      <c r="I242" s="448" t="s">
        <v>83</v>
      </c>
      <c r="J242" s="449"/>
      <c r="K242" s="448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1.25" customHeight="1">
      <c r="A243" s="454" t="s">
        <v>731</v>
      </c>
      <c r="B243" s="454" t="s">
        <v>724</v>
      </c>
      <c r="C243" s="454" t="s">
        <v>348</v>
      </c>
      <c r="D243" s="454" t="s">
        <v>566</v>
      </c>
      <c r="E243" s="448" t="s">
        <v>613</v>
      </c>
      <c r="F243" s="454" t="s">
        <v>547</v>
      </c>
      <c r="G243" s="454" t="s">
        <v>548</v>
      </c>
      <c r="H243" s="454">
        <v>6</v>
      </c>
      <c r="I243" s="454" t="s">
        <v>83</v>
      </c>
      <c r="J243" s="455"/>
      <c r="K243" s="448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1.25" customHeight="1">
      <c r="A244" s="448" t="s">
        <v>732</v>
      </c>
      <c r="B244" s="448" t="s">
        <v>724</v>
      </c>
      <c r="C244" s="448">
        <v>1</v>
      </c>
      <c r="D244" s="448" t="s">
        <v>410</v>
      </c>
      <c r="E244" s="448" t="s">
        <v>83</v>
      </c>
      <c r="F244" s="448" t="s">
        <v>411</v>
      </c>
      <c r="G244" s="448" t="s">
        <v>83</v>
      </c>
      <c r="H244" s="448" t="s">
        <v>83</v>
      </c>
      <c r="I244" s="448" t="s">
        <v>83</v>
      </c>
      <c r="J244" s="449"/>
      <c r="K244" s="448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1.25" customHeight="1">
      <c r="A245" s="454" t="s">
        <v>733</v>
      </c>
      <c r="B245" s="454" t="s">
        <v>724</v>
      </c>
      <c r="C245" s="454" t="s">
        <v>348</v>
      </c>
      <c r="D245" s="454" t="s">
        <v>644</v>
      </c>
      <c r="E245" s="454" t="s">
        <v>424</v>
      </c>
      <c r="F245" s="454" t="s">
        <v>411</v>
      </c>
      <c r="G245" s="454" t="s">
        <v>83</v>
      </c>
      <c r="H245" s="454">
        <v>3</v>
      </c>
      <c r="I245" s="454" t="s">
        <v>83</v>
      </c>
      <c r="J245" s="455"/>
      <c r="K245" s="448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1.25" customHeight="1">
      <c r="A246" s="454" t="s">
        <v>734</v>
      </c>
      <c r="B246" s="454" t="s">
        <v>724</v>
      </c>
      <c r="C246" s="454" t="s">
        <v>348</v>
      </c>
      <c r="D246" s="454" t="s">
        <v>566</v>
      </c>
      <c r="E246" s="448" t="s">
        <v>613</v>
      </c>
      <c r="F246" s="454" t="s">
        <v>547</v>
      </c>
      <c r="G246" s="454" t="s">
        <v>548</v>
      </c>
      <c r="H246" s="454">
        <v>5</v>
      </c>
      <c r="I246" s="454" t="s">
        <v>83</v>
      </c>
      <c r="J246" s="455"/>
      <c r="K246" s="448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1.25" customHeight="1">
      <c r="A247" s="448" t="s">
        <v>735</v>
      </c>
      <c r="B247" s="448" t="s">
        <v>724</v>
      </c>
      <c r="C247" s="448" t="s">
        <v>348</v>
      </c>
      <c r="D247" s="448" t="s">
        <v>410</v>
      </c>
      <c r="E247" s="448" t="s">
        <v>83</v>
      </c>
      <c r="F247" s="448" t="s">
        <v>411</v>
      </c>
      <c r="G247" s="448" t="s">
        <v>83</v>
      </c>
      <c r="H247" s="448" t="s">
        <v>83</v>
      </c>
      <c r="I247" s="448" t="s">
        <v>83</v>
      </c>
      <c r="J247" s="449" t="s">
        <v>736</v>
      </c>
      <c r="K247" s="448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1.25" customHeight="1">
      <c r="A248" s="454" t="s">
        <v>737</v>
      </c>
      <c r="B248" s="454" t="s">
        <v>724</v>
      </c>
      <c r="C248" s="454">
        <v>1</v>
      </c>
      <c r="D248" s="448" t="s">
        <v>495</v>
      </c>
      <c r="E248" s="448" t="s">
        <v>613</v>
      </c>
      <c r="F248" s="448" t="s">
        <v>411</v>
      </c>
      <c r="G248" s="448" t="s">
        <v>83</v>
      </c>
      <c r="H248" s="448">
        <v>3</v>
      </c>
      <c r="I248" s="454" t="s">
        <v>83</v>
      </c>
      <c r="J248" s="455"/>
      <c r="K248" s="4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1.25" customHeight="1">
      <c r="A249" s="448" t="s">
        <v>738</v>
      </c>
      <c r="B249" s="448" t="s">
        <v>724</v>
      </c>
      <c r="C249" s="454" t="s">
        <v>348</v>
      </c>
      <c r="D249" s="454" t="s">
        <v>644</v>
      </c>
      <c r="E249" s="454" t="s">
        <v>424</v>
      </c>
      <c r="F249" s="454" t="s">
        <v>411</v>
      </c>
      <c r="G249" s="454" t="s">
        <v>83</v>
      </c>
      <c r="H249" s="454">
        <v>5</v>
      </c>
      <c r="I249" s="454" t="s">
        <v>83</v>
      </c>
      <c r="J249" s="449"/>
      <c r="K249" s="448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1.25" customHeight="1">
      <c r="A250" s="454" t="s">
        <v>739</v>
      </c>
      <c r="B250" s="454" t="s">
        <v>724</v>
      </c>
      <c r="C250" s="454" t="s">
        <v>348</v>
      </c>
      <c r="D250" s="454" t="s">
        <v>566</v>
      </c>
      <c r="E250" s="448" t="s">
        <v>613</v>
      </c>
      <c r="F250" s="454" t="s">
        <v>547</v>
      </c>
      <c r="G250" s="454" t="s">
        <v>548</v>
      </c>
      <c r="H250" s="454">
        <v>6</v>
      </c>
      <c r="I250" s="454" t="s">
        <v>83</v>
      </c>
      <c r="J250" s="455"/>
      <c r="K250" s="448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1.25" customHeight="1">
      <c r="A251" s="448" t="s">
        <v>740</v>
      </c>
      <c r="B251" s="448" t="s">
        <v>724</v>
      </c>
      <c r="C251" s="448">
        <v>1</v>
      </c>
      <c r="D251" s="448" t="s">
        <v>410</v>
      </c>
      <c r="E251" s="448" t="s">
        <v>83</v>
      </c>
      <c r="F251" s="448" t="s">
        <v>411</v>
      </c>
      <c r="G251" s="448" t="s">
        <v>83</v>
      </c>
      <c r="H251" s="448" t="s">
        <v>83</v>
      </c>
      <c r="I251" s="448" t="s">
        <v>83</v>
      </c>
      <c r="J251" s="449"/>
      <c r="K251" s="448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1.25" customHeight="1">
      <c r="A252" s="454" t="s">
        <v>741</v>
      </c>
      <c r="B252" s="454" t="s">
        <v>724</v>
      </c>
      <c r="C252" s="454">
        <v>1</v>
      </c>
      <c r="D252" s="454" t="s">
        <v>566</v>
      </c>
      <c r="E252" s="448" t="s">
        <v>613</v>
      </c>
      <c r="F252" s="454" t="s">
        <v>547</v>
      </c>
      <c r="G252" s="454" t="s">
        <v>572</v>
      </c>
      <c r="H252" s="454">
        <v>4</v>
      </c>
      <c r="I252" s="454" t="s">
        <v>83</v>
      </c>
      <c r="J252" s="468" t="s">
        <v>742</v>
      </c>
      <c r="K252" s="448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1.25" customHeight="1">
      <c r="A253" s="454" t="s">
        <v>743</v>
      </c>
      <c r="B253" s="454" t="s">
        <v>724</v>
      </c>
      <c r="C253" s="454">
        <v>1</v>
      </c>
      <c r="D253" s="454" t="s">
        <v>641</v>
      </c>
      <c r="E253" s="454" t="s">
        <v>424</v>
      </c>
      <c r="F253" s="454" t="s">
        <v>411</v>
      </c>
      <c r="G253" s="454" t="s">
        <v>83</v>
      </c>
      <c r="H253" s="454">
        <v>2</v>
      </c>
      <c r="I253" s="454" t="s">
        <v>83</v>
      </c>
      <c r="J253" s="455"/>
      <c r="K253" s="448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1.25" customHeight="1">
      <c r="A254" s="454" t="s">
        <v>744</v>
      </c>
      <c r="B254" s="454" t="s">
        <v>724</v>
      </c>
      <c r="C254" s="454">
        <v>1</v>
      </c>
      <c r="D254" s="454" t="s">
        <v>652</v>
      </c>
      <c r="E254" s="454" t="s">
        <v>424</v>
      </c>
      <c r="F254" s="454" t="s">
        <v>411</v>
      </c>
      <c r="G254" s="454" t="s">
        <v>83</v>
      </c>
      <c r="H254" s="454" t="s">
        <v>83</v>
      </c>
      <c r="I254" s="454" t="s">
        <v>615</v>
      </c>
      <c r="J254" s="455"/>
      <c r="K254" s="448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1.25" customHeight="1">
      <c r="A255" s="454" t="s">
        <v>745</v>
      </c>
      <c r="B255" s="454" t="s">
        <v>724</v>
      </c>
      <c r="C255" s="454" t="s">
        <v>348</v>
      </c>
      <c r="D255" s="454" t="s">
        <v>644</v>
      </c>
      <c r="E255" s="454" t="s">
        <v>424</v>
      </c>
      <c r="F255" s="454" t="s">
        <v>411</v>
      </c>
      <c r="G255" s="454" t="s">
        <v>83</v>
      </c>
      <c r="H255" s="454">
        <v>4</v>
      </c>
      <c r="I255" s="454" t="s">
        <v>83</v>
      </c>
      <c r="J255" s="455"/>
      <c r="K255" s="448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1.25" customHeight="1">
      <c r="A256" s="454" t="s">
        <v>746</v>
      </c>
      <c r="B256" s="454" t="s">
        <v>724</v>
      </c>
      <c r="C256" s="454" t="s">
        <v>348</v>
      </c>
      <c r="D256" s="454" t="s">
        <v>488</v>
      </c>
      <c r="E256" s="454" t="s">
        <v>424</v>
      </c>
      <c r="F256" s="454" t="s">
        <v>411</v>
      </c>
      <c r="G256" s="454" t="s">
        <v>83</v>
      </c>
      <c r="H256" s="454" t="s">
        <v>83</v>
      </c>
      <c r="I256" s="454">
        <v>1</v>
      </c>
      <c r="J256" s="455" t="s">
        <v>747</v>
      </c>
      <c r="K256" s="467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12" s="451" customFormat="1" ht="11.25" customHeight="1">
      <c r="A257" s="448" t="s">
        <v>748</v>
      </c>
      <c r="B257" s="454" t="s">
        <v>724</v>
      </c>
      <c r="C257" s="454" t="s">
        <v>348</v>
      </c>
      <c r="D257" s="448" t="s">
        <v>495</v>
      </c>
      <c r="E257" s="454" t="s">
        <v>613</v>
      </c>
      <c r="F257" s="454" t="s">
        <v>83</v>
      </c>
      <c r="G257" s="454" t="s">
        <v>83</v>
      </c>
      <c r="H257" s="454">
        <v>4</v>
      </c>
      <c r="I257" s="454" t="s">
        <v>83</v>
      </c>
      <c r="J257" s="465"/>
      <c r="L257" s="450"/>
    </row>
    <row r="258" spans="1:12" s="451" customFormat="1" ht="11.25" customHeight="1">
      <c r="A258" s="448" t="s">
        <v>749</v>
      </c>
      <c r="B258" s="454" t="s">
        <v>724</v>
      </c>
      <c r="C258" s="454">
        <v>1</v>
      </c>
      <c r="D258" s="448" t="s">
        <v>566</v>
      </c>
      <c r="E258" s="454" t="s">
        <v>613</v>
      </c>
      <c r="F258" s="454" t="s">
        <v>547</v>
      </c>
      <c r="G258" s="454" t="s">
        <v>548</v>
      </c>
      <c r="H258" s="454">
        <v>5</v>
      </c>
      <c r="I258" s="454" t="s">
        <v>83</v>
      </c>
      <c r="J258" s="465"/>
      <c r="L258" s="450"/>
    </row>
    <row r="259" spans="1:11" ht="11.25" customHeight="1">
      <c r="A259" s="454" t="s">
        <v>750</v>
      </c>
      <c r="B259" s="454" t="s">
        <v>724</v>
      </c>
      <c r="C259" s="454">
        <v>1</v>
      </c>
      <c r="D259" s="448" t="s">
        <v>566</v>
      </c>
      <c r="E259" s="454" t="s">
        <v>613</v>
      </c>
      <c r="F259" s="454" t="s">
        <v>327</v>
      </c>
      <c r="G259" s="454" t="s">
        <v>572</v>
      </c>
      <c r="H259" s="454">
        <v>5</v>
      </c>
      <c r="I259" s="454" t="s">
        <v>83</v>
      </c>
      <c r="J259" s="466"/>
      <c r="K259" s="390"/>
    </row>
    <row r="260" spans="1:11" ht="11.25" customHeight="1">
      <c r="A260" s="454" t="s">
        <v>751</v>
      </c>
      <c r="B260" s="454" t="s">
        <v>724</v>
      </c>
      <c r="C260" s="454" t="s">
        <v>348</v>
      </c>
      <c r="D260" s="448" t="s">
        <v>410</v>
      </c>
      <c r="E260" s="454" t="s">
        <v>83</v>
      </c>
      <c r="F260" s="454" t="s">
        <v>411</v>
      </c>
      <c r="G260" s="454" t="s">
        <v>83</v>
      </c>
      <c r="H260" s="454" t="s">
        <v>83</v>
      </c>
      <c r="I260" s="454" t="s">
        <v>83</v>
      </c>
      <c r="J260" s="466"/>
      <c r="K260" s="390"/>
    </row>
    <row r="261" spans="1:11" ht="11.25" customHeight="1">
      <c r="A261" s="454" t="s">
        <v>752</v>
      </c>
      <c r="B261" s="454" t="s">
        <v>724</v>
      </c>
      <c r="C261" s="454" t="s">
        <v>348</v>
      </c>
      <c r="D261" s="448" t="s">
        <v>410</v>
      </c>
      <c r="E261" s="454" t="s">
        <v>83</v>
      </c>
      <c r="F261" s="454" t="s">
        <v>411</v>
      </c>
      <c r="G261" s="454" t="s">
        <v>83</v>
      </c>
      <c r="H261" s="454" t="s">
        <v>83</v>
      </c>
      <c r="I261" s="454" t="s">
        <v>83</v>
      </c>
      <c r="J261" s="466"/>
      <c r="K261" s="390"/>
    </row>
    <row r="262" spans="1:11" ht="11.25" customHeight="1">
      <c r="A262" s="454" t="s">
        <v>753</v>
      </c>
      <c r="B262" s="454" t="s">
        <v>724</v>
      </c>
      <c r="C262" s="454" t="s">
        <v>348</v>
      </c>
      <c r="D262" s="448" t="s">
        <v>410</v>
      </c>
      <c r="E262" s="454" t="s">
        <v>83</v>
      </c>
      <c r="F262" s="454" t="s">
        <v>411</v>
      </c>
      <c r="G262" s="454" t="s">
        <v>83</v>
      </c>
      <c r="H262" s="454" t="s">
        <v>83</v>
      </c>
      <c r="I262" s="454" t="s">
        <v>83</v>
      </c>
      <c r="J262" s="466"/>
      <c r="K262" s="390"/>
    </row>
    <row r="263" spans="1:12" s="458" customFormat="1" ht="11.25" customHeight="1">
      <c r="A263" s="448" t="s">
        <v>754</v>
      </c>
      <c r="B263" s="454" t="s">
        <v>724</v>
      </c>
      <c r="C263" s="454" t="s">
        <v>348</v>
      </c>
      <c r="D263" s="448" t="s">
        <v>410</v>
      </c>
      <c r="E263" s="454" t="s">
        <v>83</v>
      </c>
      <c r="F263" s="454" t="s">
        <v>411</v>
      </c>
      <c r="G263" s="454" t="s">
        <v>83</v>
      </c>
      <c r="H263" s="454" t="s">
        <v>83</v>
      </c>
      <c r="I263" s="454" t="s">
        <v>83</v>
      </c>
      <c r="J263" s="465"/>
      <c r="K263" s="451"/>
      <c r="L263" s="457"/>
    </row>
    <row r="264" spans="1:12" s="451" customFormat="1" ht="11.25" customHeight="1">
      <c r="A264" s="448" t="s">
        <v>755</v>
      </c>
      <c r="B264" s="454" t="s">
        <v>724</v>
      </c>
      <c r="C264" s="454" t="s">
        <v>348</v>
      </c>
      <c r="D264" s="448" t="s">
        <v>410</v>
      </c>
      <c r="E264" s="454" t="s">
        <v>83</v>
      </c>
      <c r="F264" s="454" t="s">
        <v>411</v>
      </c>
      <c r="G264" s="454" t="s">
        <v>83</v>
      </c>
      <c r="H264" s="454" t="s">
        <v>83</v>
      </c>
      <c r="I264" s="454" t="s">
        <v>83</v>
      </c>
      <c r="J264" s="465"/>
      <c r="L264" s="450"/>
    </row>
    <row r="265" spans="1:12" s="451" customFormat="1" ht="11.25" customHeight="1">
      <c r="A265" s="390"/>
      <c r="B265" s="65"/>
      <c r="C265" s="390"/>
      <c r="D265" s="390"/>
      <c r="E265" s="390"/>
      <c r="F265" s="390"/>
      <c r="G265" s="390"/>
      <c r="H265" s="390"/>
      <c r="I265" s="390"/>
      <c r="J265" s="469"/>
      <c r="K265" s="390"/>
      <c r="L265" s="450"/>
    </row>
    <row r="266" spans="10:12" s="451" customFormat="1" ht="11.25" customHeight="1">
      <c r="J266" s="465"/>
      <c r="L266" s="450"/>
    </row>
    <row r="267" spans="10:12" s="451" customFormat="1" ht="11.25" customHeight="1">
      <c r="J267" s="465"/>
      <c r="L267" s="450"/>
    </row>
    <row r="268" spans="2:12" s="451" customFormat="1" ht="11.25" customHeight="1">
      <c r="B268" s="458"/>
      <c r="J268" s="465"/>
      <c r="L268" s="450"/>
    </row>
    <row r="269" spans="2:12" s="451" customFormat="1" ht="11.25" customHeight="1">
      <c r="B269" s="458"/>
      <c r="J269" s="465"/>
      <c r="L269" s="450"/>
    </row>
    <row r="270" spans="2:12" s="451" customFormat="1" ht="11.25" customHeight="1">
      <c r="B270" s="458"/>
      <c r="J270" s="465"/>
      <c r="L270" s="450"/>
    </row>
    <row r="271" spans="2:12" s="451" customFormat="1" ht="11.25" customHeight="1">
      <c r="B271" s="458"/>
      <c r="J271" s="465"/>
      <c r="L271" s="450"/>
    </row>
    <row r="272" spans="1:12" s="451" customFormat="1" ht="11.25" customHeight="1">
      <c r="A272" s="65"/>
      <c r="B272" s="65"/>
      <c r="C272" s="65"/>
      <c r="D272" s="65"/>
      <c r="E272" s="65"/>
      <c r="F272" s="65"/>
      <c r="G272" s="65"/>
      <c r="H272" s="65"/>
      <c r="I272" s="65"/>
      <c r="J272" s="466"/>
      <c r="K272" s="390"/>
      <c r="L272" s="450"/>
    </row>
    <row r="273" spans="1:11" ht="11.25" customHeight="1">
      <c r="A273" s="445" t="s">
        <v>756</v>
      </c>
      <c r="B273" s="446" t="s">
        <v>322</v>
      </c>
      <c r="C273" s="446" t="s">
        <v>323</v>
      </c>
      <c r="D273" s="446" t="s">
        <v>324</v>
      </c>
      <c r="E273" s="446" t="s">
        <v>185</v>
      </c>
      <c r="F273" s="446" t="s">
        <v>325</v>
      </c>
      <c r="G273" s="446" t="s">
        <v>261</v>
      </c>
      <c r="H273" s="446" t="s">
        <v>326</v>
      </c>
      <c r="I273" s="446" t="s">
        <v>254</v>
      </c>
      <c r="J273" s="459" t="s">
        <v>327</v>
      </c>
      <c r="K273" s="447" t="s">
        <v>408</v>
      </c>
    </row>
    <row r="274" spans="1:11" ht="11.25" customHeight="1">
      <c r="A274" s="65" t="s">
        <v>757</v>
      </c>
      <c r="B274" s="65" t="s">
        <v>756</v>
      </c>
      <c r="C274" s="65">
        <v>1</v>
      </c>
      <c r="D274" s="65" t="s">
        <v>566</v>
      </c>
      <c r="E274" s="390" t="s">
        <v>174</v>
      </c>
      <c r="F274" s="65" t="s">
        <v>702</v>
      </c>
      <c r="G274" s="65" t="s">
        <v>630</v>
      </c>
      <c r="H274" s="65">
        <v>4</v>
      </c>
      <c r="I274" s="65" t="s">
        <v>83</v>
      </c>
      <c r="J274" s="466"/>
      <c r="K274" s="390"/>
    </row>
    <row r="275" spans="1:256" ht="11.25" customHeight="1">
      <c r="A275" s="390" t="s">
        <v>758</v>
      </c>
      <c r="B275" s="65" t="s">
        <v>756</v>
      </c>
      <c r="C275" s="390" t="s">
        <v>348</v>
      </c>
      <c r="D275" s="390" t="s">
        <v>410</v>
      </c>
      <c r="E275" s="390" t="s">
        <v>83</v>
      </c>
      <c r="F275" s="390" t="s">
        <v>411</v>
      </c>
      <c r="G275" s="390" t="s">
        <v>83</v>
      </c>
      <c r="H275" s="390" t="s">
        <v>83</v>
      </c>
      <c r="I275" s="390" t="s">
        <v>83</v>
      </c>
      <c r="J275" s="469" t="s">
        <v>759</v>
      </c>
      <c r="K275" s="390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1.25" customHeight="1">
      <c r="A276" s="390" t="s">
        <v>760</v>
      </c>
      <c r="B276" s="65" t="s">
        <v>756</v>
      </c>
      <c r="C276" s="390" t="s">
        <v>348</v>
      </c>
      <c r="D276" s="390" t="s">
        <v>410</v>
      </c>
      <c r="E276" s="390" t="s">
        <v>83</v>
      </c>
      <c r="F276" s="390" t="s">
        <v>411</v>
      </c>
      <c r="G276" s="390" t="s">
        <v>83</v>
      </c>
      <c r="H276" s="390" t="s">
        <v>83</v>
      </c>
      <c r="I276" s="390" t="s">
        <v>83</v>
      </c>
      <c r="J276" s="469" t="s">
        <v>761</v>
      </c>
      <c r="K276" s="390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1.25" customHeight="1">
      <c r="A277" s="390" t="s">
        <v>762</v>
      </c>
      <c r="B277" s="390" t="s">
        <v>756</v>
      </c>
      <c r="C277" s="390" t="s">
        <v>348</v>
      </c>
      <c r="D277" s="390" t="s">
        <v>410</v>
      </c>
      <c r="E277" s="390" t="s">
        <v>83</v>
      </c>
      <c r="F277" s="390" t="s">
        <v>411</v>
      </c>
      <c r="G277" s="390" t="s">
        <v>83</v>
      </c>
      <c r="H277" s="390" t="s">
        <v>83</v>
      </c>
      <c r="I277" s="390" t="s">
        <v>83</v>
      </c>
      <c r="J277" s="469"/>
      <c r="K277" s="390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1.25" customHeight="1">
      <c r="A278" s="65" t="s">
        <v>763</v>
      </c>
      <c r="B278" s="65" t="s">
        <v>756</v>
      </c>
      <c r="C278" s="65" t="s">
        <v>348</v>
      </c>
      <c r="D278" s="65" t="s">
        <v>488</v>
      </c>
      <c r="E278" s="65" t="s">
        <v>424</v>
      </c>
      <c r="F278" s="65" t="s">
        <v>547</v>
      </c>
      <c r="G278" s="65" t="s">
        <v>489</v>
      </c>
      <c r="H278" s="65" t="s">
        <v>83</v>
      </c>
      <c r="I278" s="65">
        <v>1</v>
      </c>
      <c r="J278" s="466" t="s">
        <v>764</v>
      </c>
      <c r="K278" s="390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1.25" customHeight="1">
      <c r="A279" s="65" t="s">
        <v>765</v>
      </c>
      <c r="B279" s="65" t="s">
        <v>756</v>
      </c>
      <c r="C279" s="65">
        <v>1</v>
      </c>
      <c r="D279" s="65" t="s">
        <v>644</v>
      </c>
      <c r="E279" s="65" t="s">
        <v>424</v>
      </c>
      <c r="F279" s="65" t="s">
        <v>411</v>
      </c>
      <c r="G279" s="65" t="s">
        <v>83</v>
      </c>
      <c r="H279" s="65">
        <v>4</v>
      </c>
      <c r="I279" s="65" t="s">
        <v>83</v>
      </c>
      <c r="J279" s="466"/>
      <c r="K279" s="390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1.25" customHeight="1">
      <c r="A280" s="65" t="s">
        <v>766</v>
      </c>
      <c r="B280" s="65" t="s">
        <v>756</v>
      </c>
      <c r="C280" s="65">
        <v>1</v>
      </c>
      <c r="D280" s="65" t="s">
        <v>566</v>
      </c>
      <c r="E280" s="390" t="s">
        <v>174</v>
      </c>
      <c r="F280" s="65" t="s">
        <v>547</v>
      </c>
      <c r="G280" s="65" t="s">
        <v>630</v>
      </c>
      <c r="H280" s="65">
        <v>5</v>
      </c>
      <c r="I280" s="65" t="s">
        <v>83</v>
      </c>
      <c r="J280" s="466"/>
      <c r="K280" s="39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1.25" customHeight="1">
      <c r="A281" s="65" t="s">
        <v>767</v>
      </c>
      <c r="B281" s="65" t="s">
        <v>756</v>
      </c>
      <c r="C281" s="65" t="s">
        <v>348</v>
      </c>
      <c r="D281" s="65" t="s">
        <v>644</v>
      </c>
      <c r="E281" s="65" t="s">
        <v>424</v>
      </c>
      <c r="F281" s="65" t="s">
        <v>411</v>
      </c>
      <c r="G281" s="65" t="s">
        <v>83</v>
      </c>
      <c r="H281" s="65">
        <v>5</v>
      </c>
      <c r="I281" s="65" t="s">
        <v>83</v>
      </c>
      <c r="J281" s="469"/>
      <c r="K281" s="390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1.25" customHeight="1">
      <c r="A282" s="65" t="s">
        <v>768</v>
      </c>
      <c r="B282" s="65" t="s">
        <v>756</v>
      </c>
      <c r="C282" s="65">
        <v>1</v>
      </c>
      <c r="D282" s="65" t="s">
        <v>566</v>
      </c>
      <c r="E282" s="390" t="s">
        <v>174</v>
      </c>
      <c r="F282" s="65" t="s">
        <v>547</v>
      </c>
      <c r="G282" s="65" t="s">
        <v>630</v>
      </c>
      <c r="H282" s="65">
        <v>4</v>
      </c>
      <c r="I282" s="65" t="s">
        <v>83</v>
      </c>
      <c r="J282" s="466"/>
      <c r="K282" s="390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1.25" customHeight="1">
      <c r="A283" s="390" t="s">
        <v>769</v>
      </c>
      <c r="B283" s="390" t="s">
        <v>756</v>
      </c>
      <c r="C283" s="390" t="s">
        <v>348</v>
      </c>
      <c r="D283" s="390" t="s">
        <v>410</v>
      </c>
      <c r="E283" s="390" t="s">
        <v>83</v>
      </c>
      <c r="F283" s="390" t="s">
        <v>411</v>
      </c>
      <c r="G283" s="390" t="s">
        <v>83</v>
      </c>
      <c r="H283" s="390" t="s">
        <v>83</v>
      </c>
      <c r="I283" s="390" t="s">
        <v>83</v>
      </c>
      <c r="J283" s="466" t="s">
        <v>770</v>
      </c>
      <c r="K283" s="390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1.25" customHeight="1">
      <c r="A284" s="390" t="s">
        <v>771</v>
      </c>
      <c r="B284" s="390" t="s">
        <v>756</v>
      </c>
      <c r="C284" s="390" t="s">
        <v>348</v>
      </c>
      <c r="D284" s="390" t="s">
        <v>410</v>
      </c>
      <c r="E284" s="390" t="s">
        <v>83</v>
      </c>
      <c r="F284" s="390" t="s">
        <v>411</v>
      </c>
      <c r="G284" s="390" t="s">
        <v>83</v>
      </c>
      <c r="H284" s="390" t="s">
        <v>83</v>
      </c>
      <c r="I284" s="390" t="s">
        <v>83</v>
      </c>
      <c r="J284" s="469"/>
      <c r="K284" s="390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1.25" customHeight="1">
      <c r="A285" s="65" t="s">
        <v>772</v>
      </c>
      <c r="B285" s="65" t="s">
        <v>756</v>
      </c>
      <c r="C285" s="65">
        <v>1</v>
      </c>
      <c r="D285" s="65" t="s">
        <v>644</v>
      </c>
      <c r="E285" s="65" t="s">
        <v>424</v>
      </c>
      <c r="F285" s="65" t="s">
        <v>411</v>
      </c>
      <c r="G285" s="65" t="s">
        <v>83</v>
      </c>
      <c r="H285" s="65">
        <v>6</v>
      </c>
      <c r="I285" s="65" t="s">
        <v>83</v>
      </c>
      <c r="J285" s="469"/>
      <c r="K285" s="390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1.25" customHeight="1">
      <c r="A286" s="65" t="s">
        <v>773</v>
      </c>
      <c r="B286" s="65" t="s">
        <v>756</v>
      </c>
      <c r="C286" s="65">
        <v>1</v>
      </c>
      <c r="D286" s="65" t="s">
        <v>641</v>
      </c>
      <c r="E286" s="390" t="s">
        <v>424</v>
      </c>
      <c r="F286" s="65" t="s">
        <v>411</v>
      </c>
      <c r="G286" s="65" t="s">
        <v>83</v>
      </c>
      <c r="H286" s="65">
        <v>3</v>
      </c>
      <c r="I286" s="65" t="s">
        <v>323</v>
      </c>
      <c r="J286" s="466"/>
      <c r="K286" s="390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1.25" customHeight="1">
      <c r="A287" s="65" t="s">
        <v>774</v>
      </c>
      <c r="B287" s="390" t="s">
        <v>756</v>
      </c>
      <c r="C287" s="390">
        <v>1</v>
      </c>
      <c r="D287" s="65" t="s">
        <v>410</v>
      </c>
      <c r="E287" s="65" t="s">
        <v>83</v>
      </c>
      <c r="F287" s="65" t="s">
        <v>411</v>
      </c>
      <c r="G287" s="65" t="s">
        <v>83</v>
      </c>
      <c r="H287" s="65" t="s">
        <v>83</v>
      </c>
      <c r="I287" s="65" t="s">
        <v>83</v>
      </c>
      <c r="J287" s="466"/>
      <c r="K287" s="390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1.25" customHeight="1">
      <c r="A288" s="65" t="s">
        <v>775</v>
      </c>
      <c r="B288" s="390" t="s">
        <v>756</v>
      </c>
      <c r="C288" s="390">
        <v>1</v>
      </c>
      <c r="D288" s="65" t="s">
        <v>410</v>
      </c>
      <c r="E288" s="65" t="s">
        <v>83</v>
      </c>
      <c r="F288" s="65" t="s">
        <v>411</v>
      </c>
      <c r="G288" s="65" t="s">
        <v>83</v>
      </c>
      <c r="H288" s="65" t="s">
        <v>83</v>
      </c>
      <c r="I288" s="65" t="s">
        <v>83</v>
      </c>
      <c r="J288" s="466"/>
      <c r="K288" s="390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1.25" customHeight="1">
      <c r="A289" s="65" t="s">
        <v>776</v>
      </c>
      <c r="B289" s="390" t="s">
        <v>756</v>
      </c>
      <c r="C289" s="390">
        <v>1</v>
      </c>
      <c r="D289" s="65" t="s">
        <v>410</v>
      </c>
      <c r="E289" s="65" t="s">
        <v>83</v>
      </c>
      <c r="F289" s="65" t="s">
        <v>411</v>
      </c>
      <c r="G289" s="65" t="s">
        <v>83</v>
      </c>
      <c r="H289" s="65" t="s">
        <v>83</v>
      </c>
      <c r="I289" s="65" t="s">
        <v>83</v>
      </c>
      <c r="J289" s="466"/>
      <c r="K289" s="390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1.25" customHeight="1">
      <c r="A290" s="65" t="s">
        <v>777</v>
      </c>
      <c r="B290" s="390" t="s">
        <v>756</v>
      </c>
      <c r="C290" s="390">
        <v>1</v>
      </c>
      <c r="D290" s="65" t="s">
        <v>410</v>
      </c>
      <c r="E290" s="65" t="s">
        <v>83</v>
      </c>
      <c r="F290" s="65" t="s">
        <v>411</v>
      </c>
      <c r="G290" s="65" t="s">
        <v>83</v>
      </c>
      <c r="H290" s="65" t="s">
        <v>83</v>
      </c>
      <c r="I290" s="65" t="s">
        <v>83</v>
      </c>
      <c r="J290" s="466"/>
      <c r="K290" s="3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1.25" customHeight="1">
      <c r="A291" s="65" t="s">
        <v>778</v>
      </c>
      <c r="B291" s="390" t="s">
        <v>756</v>
      </c>
      <c r="C291" s="390">
        <v>1</v>
      </c>
      <c r="D291" s="65" t="s">
        <v>410</v>
      </c>
      <c r="E291" s="65" t="s">
        <v>83</v>
      </c>
      <c r="F291" s="65" t="s">
        <v>411</v>
      </c>
      <c r="G291" s="65" t="s">
        <v>83</v>
      </c>
      <c r="H291" s="65" t="s">
        <v>83</v>
      </c>
      <c r="I291" s="65" t="s">
        <v>83</v>
      </c>
      <c r="J291" s="466"/>
      <c r="K291" s="390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1.25" customHeight="1">
      <c r="A292" s="65" t="s">
        <v>779</v>
      </c>
      <c r="B292" s="390" t="s">
        <v>756</v>
      </c>
      <c r="C292" s="390">
        <v>1</v>
      </c>
      <c r="D292" s="65" t="s">
        <v>410</v>
      </c>
      <c r="E292" s="65" t="s">
        <v>83</v>
      </c>
      <c r="F292" s="65" t="s">
        <v>411</v>
      </c>
      <c r="G292" s="65" t="s">
        <v>83</v>
      </c>
      <c r="H292" s="65" t="s">
        <v>83</v>
      </c>
      <c r="I292" s="65" t="s">
        <v>83</v>
      </c>
      <c r="J292" s="466"/>
      <c r="K292" s="390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1.25" customHeight="1">
      <c r="A293" s="65" t="s">
        <v>780</v>
      </c>
      <c r="B293" s="390" t="s">
        <v>756</v>
      </c>
      <c r="C293" s="390">
        <v>1</v>
      </c>
      <c r="D293" s="65" t="s">
        <v>410</v>
      </c>
      <c r="E293" s="65" t="s">
        <v>83</v>
      </c>
      <c r="F293" s="65" t="s">
        <v>411</v>
      </c>
      <c r="G293" s="65" t="s">
        <v>83</v>
      </c>
      <c r="H293" s="65" t="s">
        <v>83</v>
      </c>
      <c r="I293" s="65" t="s">
        <v>83</v>
      </c>
      <c r="J293" s="466"/>
      <c r="K293" s="390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1.25" customHeight="1">
      <c r="A294" s="65" t="s">
        <v>781</v>
      </c>
      <c r="B294" s="390" t="s">
        <v>756</v>
      </c>
      <c r="C294" s="390">
        <v>1</v>
      </c>
      <c r="D294" s="65" t="s">
        <v>410</v>
      </c>
      <c r="E294" s="65" t="s">
        <v>83</v>
      </c>
      <c r="F294" s="65" t="s">
        <v>411</v>
      </c>
      <c r="G294" s="65" t="s">
        <v>83</v>
      </c>
      <c r="H294" s="65" t="s">
        <v>83</v>
      </c>
      <c r="I294" s="65" t="s">
        <v>83</v>
      </c>
      <c r="J294" s="466"/>
      <c r="K294" s="390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11.25" customHeight="1">
      <c r="A295" s="65" t="s">
        <v>782</v>
      </c>
      <c r="B295" s="390" t="s">
        <v>756</v>
      </c>
      <c r="C295" s="390">
        <v>1</v>
      </c>
      <c r="D295" s="65" t="s">
        <v>410</v>
      </c>
      <c r="E295" s="65" t="s">
        <v>83</v>
      </c>
      <c r="F295" s="65" t="s">
        <v>411</v>
      </c>
      <c r="G295" s="65" t="s">
        <v>83</v>
      </c>
      <c r="H295" s="65" t="s">
        <v>83</v>
      </c>
      <c r="I295" s="65" t="s">
        <v>83</v>
      </c>
      <c r="J295" s="466"/>
      <c r="K295" s="390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1.25" customHeight="1">
      <c r="A296" s="65" t="s">
        <v>783</v>
      </c>
      <c r="B296" s="390" t="s">
        <v>756</v>
      </c>
      <c r="C296" s="390">
        <v>1</v>
      </c>
      <c r="D296" s="65" t="s">
        <v>410</v>
      </c>
      <c r="E296" s="65" t="s">
        <v>83</v>
      </c>
      <c r="F296" s="65" t="s">
        <v>411</v>
      </c>
      <c r="G296" s="65" t="s">
        <v>83</v>
      </c>
      <c r="H296" s="65" t="s">
        <v>83</v>
      </c>
      <c r="I296" s="65" t="s">
        <v>83</v>
      </c>
      <c r="J296" s="466"/>
      <c r="K296" s="390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1.25" customHeight="1">
      <c r="A297" s="65" t="s">
        <v>784</v>
      </c>
      <c r="B297" s="390" t="s">
        <v>756</v>
      </c>
      <c r="C297" s="390">
        <v>1</v>
      </c>
      <c r="D297" s="65" t="s">
        <v>410</v>
      </c>
      <c r="E297" s="65" t="s">
        <v>83</v>
      </c>
      <c r="F297" s="65" t="s">
        <v>411</v>
      </c>
      <c r="G297" s="65" t="s">
        <v>83</v>
      </c>
      <c r="H297" s="65" t="s">
        <v>83</v>
      </c>
      <c r="I297" s="65" t="s">
        <v>83</v>
      </c>
      <c r="J297" s="466"/>
      <c r="K297" s="390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1.25" customHeight="1">
      <c r="A298" s="65" t="s">
        <v>785</v>
      </c>
      <c r="B298" s="390" t="s">
        <v>756</v>
      </c>
      <c r="C298" s="390">
        <v>1</v>
      </c>
      <c r="D298" s="65" t="s">
        <v>410</v>
      </c>
      <c r="E298" s="65" t="s">
        <v>83</v>
      </c>
      <c r="F298" s="65" t="s">
        <v>411</v>
      </c>
      <c r="G298" s="65" t="s">
        <v>83</v>
      </c>
      <c r="H298" s="65" t="s">
        <v>83</v>
      </c>
      <c r="I298" s="65" t="s">
        <v>83</v>
      </c>
      <c r="J298" s="466"/>
      <c r="K298" s="390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1.25" customHeight="1">
      <c r="A299" s="65" t="s">
        <v>786</v>
      </c>
      <c r="B299" s="390" t="s">
        <v>756</v>
      </c>
      <c r="C299" s="390">
        <v>1</v>
      </c>
      <c r="D299" s="65" t="s">
        <v>410</v>
      </c>
      <c r="E299" s="65" t="s">
        <v>83</v>
      </c>
      <c r="F299" s="65" t="s">
        <v>411</v>
      </c>
      <c r="G299" s="65" t="s">
        <v>83</v>
      </c>
      <c r="H299" s="65" t="s">
        <v>83</v>
      </c>
      <c r="I299" s="65" t="s">
        <v>83</v>
      </c>
      <c r="J299" s="466"/>
      <c r="K299" s="390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1.25" customHeight="1">
      <c r="A300" s="65" t="s">
        <v>787</v>
      </c>
      <c r="B300" s="65" t="s">
        <v>756</v>
      </c>
      <c r="C300" s="65">
        <v>1</v>
      </c>
      <c r="D300" s="65" t="s">
        <v>495</v>
      </c>
      <c r="E300" s="390" t="s">
        <v>36</v>
      </c>
      <c r="F300" s="65" t="s">
        <v>547</v>
      </c>
      <c r="G300" s="65" t="s">
        <v>674</v>
      </c>
      <c r="H300" s="65">
        <v>4</v>
      </c>
      <c r="I300" s="65" t="s">
        <v>83</v>
      </c>
      <c r="J300" s="466"/>
      <c r="K300" s="39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1.25" customHeight="1">
      <c r="A301" s="390" t="s">
        <v>788</v>
      </c>
      <c r="B301" s="65" t="s">
        <v>756</v>
      </c>
      <c r="C301" s="65">
        <v>1</v>
      </c>
      <c r="D301" s="65" t="s">
        <v>789</v>
      </c>
      <c r="E301" s="390" t="s">
        <v>233</v>
      </c>
      <c r="F301" s="65" t="s">
        <v>411</v>
      </c>
      <c r="G301" s="390" t="s">
        <v>83</v>
      </c>
      <c r="H301" s="65">
        <v>2</v>
      </c>
      <c r="I301" s="65" t="s">
        <v>83</v>
      </c>
      <c r="J301" s="469" t="s">
        <v>790</v>
      </c>
      <c r="K301" s="390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1.25" customHeight="1">
      <c r="A302" s="390" t="s">
        <v>791</v>
      </c>
      <c r="B302" s="390" t="s">
        <v>756</v>
      </c>
      <c r="C302" s="390" t="s">
        <v>348</v>
      </c>
      <c r="D302" s="390" t="s">
        <v>410</v>
      </c>
      <c r="E302" s="390" t="s">
        <v>83</v>
      </c>
      <c r="F302" s="390" t="s">
        <v>411</v>
      </c>
      <c r="G302" s="390" t="s">
        <v>83</v>
      </c>
      <c r="H302" s="390" t="s">
        <v>83</v>
      </c>
      <c r="I302" s="390" t="s">
        <v>83</v>
      </c>
      <c r="J302" s="469" t="s">
        <v>792</v>
      </c>
      <c r="K302" s="390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1.25" customHeight="1">
      <c r="A303" s="65" t="s">
        <v>793</v>
      </c>
      <c r="B303" s="65" t="s">
        <v>756</v>
      </c>
      <c r="C303" s="65">
        <v>1</v>
      </c>
      <c r="D303" s="65" t="s">
        <v>566</v>
      </c>
      <c r="E303" s="390" t="s">
        <v>174</v>
      </c>
      <c r="F303" s="65" t="s">
        <v>547</v>
      </c>
      <c r="G303" s="65" t="s">
        <v>630</v>
      </c>
      <c r="H303" s="65">
        <v>4</v>
      </c>
      <c r="I303" s="65" t="s">
        <v>83</v>
      </c>
      <c r="J303" s="466" t="s">
        <v>794</v>
      </c>
      <c r="K303" s="390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1.25" customHeight="1">
      <c r="A304" s="65" t="s">
        <v>795</v>
      </c>
      <c r="B304" s="65" t="s">
        <v>756</v>
      </c>
      <c r="C304" s="65">
        <v>1</v>
      </c>
      <c r="D304" s="65" t="s">
        <v>652</v>
      </c>
      <c r="E304" s="65" t="s">
        <v>424</v>
      </c>
      <c r="F304" s="65" t="s">
        <v>411</v>
      </c>
      <c r="G304" s="65" t="s">
        <v>83</v>
      </c>
      <c r="H304" s="65">
        <v>5</v>
      </c>
      <c r="I304" s="65" t="s">
        <v>83</v>
      </c>
      <c r="J304" s="466"/>
      <c r="K304" s="390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1.25" customHeight="1">
      <c r="A305" s="65" t="s">
        <v>796</v>
      </c>
      <c r="B305" s="65" t="s">
        <v>756</v>
      </c>
      <c r="C305" s="65" t="s">
        <v>348</v>
      </c>
      <c r="D305" s="65" t="s">
        <v>644</v>
      </c>
      <c r="E305" s="390" t="s">
        <v>424</v>
      </c>
      <c r="F305" s="65" t="s">
        <v>411</v>
      </c>
      <c r="G305" s="65" t="s">
        <v>83</v>
      </c>
      <c r="H305" s="65">
        <v>4</v>
      </c>
      <c r="I305" s="65" t="s">
        <v>83</v>
      </c>
      <c r="J305" s="466"/>
      <c r="K305" s="390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1.25" customHeight="1">
      <c r="A306" s="65" t="s">
        <v>797</v>
      </c>
      <c r="B306" s="65" t="s">
        <v>756</v>
      </c>
      <c r="C306" s="65" t="s">
        <v>348</v>
      </c>
      <c r="D306" s="65" t="s">
        <v>495</v>
      </c>
      <c r="E306" s="390" t="s">
        <v>424</v>
      </c>
      <c r="F306" s="65" t="s">
        <v>411</v>
      </c>
      <c r="G306" s="65" t="s">
        <v>83</v>
      </c>
      <c r="H306" s="65">
        <v>3</v>
      </c>
      <c r="I306" s="65" t="s">
        <v>83</v>
      </c>
      <c r="J306" s="466"/>
      <c r="K306" s="390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1.25" customHeight="1">
      <c r="A307" s="65" t="s">
        <v>798</v>
      </c>
      <c r="B307" s="65" t="s">
        <v>756</v>
      </c>
      <c r="C307" s="65">
        <v>1</v>
      </c>
      <c r="D307" s="65" t="s">
        <v>488</v>
      </c>
      <c r="E307" s="65" t="s">
        <v>424</v>
      </c>
      <c r="F307" s="65" t="s">
        <v>411</v>
      </c>
      <c r="G307" s="65" t="s">
        <v>83</v>
      </c>
      <c r="H307" s="65">
        <v>5</v>
      </c>
      <c r="I307" s="65" t="s">
        <v>323</v>
      </c>
      <c r="J307" s="466"/>
      <c r="K307" s="390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1.25" customHeight="1">
      <c r="A308" s="65" t="s">
        <v>799</v>
      </c>
      <c r="B308" s="65" t="s">
        <v>756</v>
      </c>
      <c r="C308" s="65">
        <v>1</v>
      </c>
      <c r="D308" s="65" t="s">
        <v>410</v>
      </c>
      <c r="E308" s="65" t="s">
        <v>83</v>
      </c>
      <c r="F308" s="65" t="s">
        <v>411</v>
      </c>
      <c r="G308" s="65" t="s">
        <v>83</v>
      </c>
      <c r="H308" s="65" t="s">
        <v>83</v>
      </c>
      <c r="I308" s="65" t="s">
        <v>83</v>
      </c>
      <c r="J308" s="466"/>
      <c r="K308" s="390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1.25" customHeight="1">
      <c r="A309" s="65" t="s">
        <v>800</v>
      </c>
      <c r="B309" s="65" t="s">
        <v>756</v>
      </c>
      <c r="C309" s="65" t="s">
        <v>348</v>
      </c>
      <c r="D309" s="65" t="s">
        <v>644</v>
      </c>
      <c r="E309" s="65" t="s">
        <v>424</v>
      </c>
      <c r="F309" s="65" t="s">
        <v>411</v>
      </c>
      <c r="G309" s="65" t="s">
        <v>83</v>
      </c>
      <c r="H309" s="65">
        <v>4</v>
      </c>
      <c r="I309" s="65" t="s">
        <v>83</v>
      </c>
      <c r="J309" s="466"/>
      <c r="K309" s="390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1.25" customHeight="1">
      <c r="A310" s="65" t="s">
        <v>801</v>
      </c>
      <c r="B310" s="65" t="s">
        <v>756</v>
      </c>
      <c r="C310" s="65" t="s">
        <v>348</v>
      </c>
      <c r="D310" s="65" t="s">
        <v>641</v>
      </c>
      <c r="E310" s="65" t="s">
        <v>424</v>
      </c>
      <c r="F310" s="65" t="s">
        <v>411</v>
      </c>
      <c r="G310" s="65" t="s">
        <v>83</v>
      </c>
      <c r="H310" s="65">
        <v>3</v>
      </c>
      <c r="I310" s="65" t="s">
        <v>647</v>
      </c>
      <c r="J310" s="464"/>
      <c r="K310" s="39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1.25" customHeight="1">
      <c r="A311" s="65" t="s">
        <v>802</v>
      </c>
      <c r="B311" s="65" t="s">
        <v>756</v>
      </c>
      <c r="C311" s="65">
        <v>1</v>
      </c>
      <c r="D311" s="65" t="s">
        <v>488</v>
      </c>
      <c r="E311" s="65" t="s">
        <v>424</v>
      </c>
      <c r="F311" s="65" t="s">
        <v>411</v>
      </c>
      <c r="G311" s="65" t="s">
        <v>83</v>
      </c>
      <c r="H311" s="65">
        <v>4</v>
      </c>
      <c r="I311" s="65" t="s">
        <v>83</v>
      </c>
      <c r="J311" s="464"/>
      <c r="K311" s="390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1.25" customHeight="1">
      <c r="A312" s="65" t="s">
        <v>803</v>
      </c>
      <c r="B312" s="390" t="s">
        <v>756</v>
      </c>
      <c r="C312" s="390">
        <v>1</v>
      </c>
      <c r="D312" s="65" t="s">
        <v>410</v>
      </c>
      <c r="E312" s="65" t="s">
        <v>83</v>
      </c>
      <c r="F312" s="65" t="s">
        <v>411</v>
      </c>
      <c r="G312" s="65" t="s">
        <v>83</v>
      </c>
      <c r="H312" s="65" t="s">
        <v>83</v>
      </c>
      <c r="I312" s="65" t="s">
        <v>83</v>
      </c>
      <c r="J312" s="464"/>
      <c r="K312" s="390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1.25" customHeight="1">
      <c r="A313" s="65" t="s">
        <v>804</v>
      </c>
      <c r="B313" s="390" t="s">
        <v>756</v>
      </c>
      <c r="C313" s="390">
        <v>1</v>
      </c>
      <c r="D313" s="65" t="s">
        <v>410</v>
      </c>
      <c r="E313" s="65" t="s">
        <v>83</v>
      </c>
      <c r="F313" s="65" t="s">
        <v>411</v>
      </c>
      <c r="G313" s="65" t="s">
        <v>83</v>
      </c>
      <c r="H313" s="65" t="s">
        <v>83</v>
      </c>
      <c r="I313" s="65" t="s">
        <v>83</v>
      </c>
      <c r="J313"/>
      <c r="K313" s="470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1.25" customHeight="1">
      <c r="A314" s="65" t="s">
        <v>805</v>
      </c>
      <c r="B314" s="390" t="s">
        <v>756</v>
      </c>
      <c r="C314" s="390">
        <v>1</v>
      </c>
      <c r="D314" s="65" t="s">
        <v>410</v>
      </c>
      <c r="E314" s="65" t="s">
        <v>83</v>
      </c>
      <c r="F314" s="65" t="s">
        <v>411</v>
      </c>
      <c r="G314" s="65" t="s">
        <v>83</v>
      </c>
      <c r="H314" s="65" t="s">
        <v>83</v>
      </c>
      <c r="I314" s="65" t="s">
        <v>83</v>
      </c>
      <c r="J314"/>
      <c r="K314" s="390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1.25" customHeight="1">
      <c r="A315" s="65" t="s">
        <v>806</v>
      </c>
      <c r="B315" s="390" t="s">
        <v>756</v>
      </c>
      <c r="C315" s="390">
        <v>1</v>
      </c>
      <c r="D315" s="65" t="s">
        <v>410</v>
      </c>
      <c r="E315" s="65" t="s">
        <v>83</v>
      </c>
      <c r="F315" s="65" t="s">
        <v>411</v>
      </c>
      <c r="G315" s="65" t="s">
        <v>83</v>
      </c>
      <c r="H315" s="65" t="s">
        <v>83</v>
      </c>
      <c r="I315" s="65" t="s">
        <v>83</v>
      </c>
      <c r="J315"/>
      <c r="K315" s="390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1.25" customHeight="1">
      <c r="A316" s="65" t="s">
        <v>807</v>
      </c>
      <c r="B316" s="390" t="s">
        <v>756</v>
      </c>
      <c r="C316" s="390">
        <v>1</v>
      </c>
      <c r="D316" s="65" t="s">
        <v>410</v>
      </c>
      <c r="E316" s="65" t="s">
        <v>83</v>
      </c>
      <c r="F316" s="65" t="s">
        <v>411</v>
      </c>
      <c r="G316" s="65" t="s">
        <v>83</v>
      </c>
      <c r="H316" s="65" t="s">
        <v>83</v>
      </c>
      <c r="I316" s="65" t="s">
        <v>83</v>
      </c>
      <c r="J316"/>
      <c r="K316" s="390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1.25" customHeight="1">
      <c r="A317" s="65" t="s">
        <v>808</v>
      </c>
      <c r="B317" s="390" t="s">
        <v>756</v>
      </c>
      <c r="C317" s="390">
        <v>1</v>
      </c>
      <c r="D317" s="65" t="s">
        <v>410</v>
      </c>
      <c r="E317" s="65" t="s">
        <v>83</v>
      </c>
      <c r="F317" s="65" t="s">
        <v>411</v>
      </c>
      <c r="G317" s="65" t="s">
        <v>83</v>
      </c>
      <c r="H317" s="65" t="s">
        <v>83</v>
      </c>
      <c r="I317" s="65" t="s">
        <v>83</v>
      </c>
      <c r="J317"/>
      <c r="K317" s="470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1.25" customHeight="1">
      <c r="A318" s="65" t="s">
        <v>809</v>
      </c>
      <c r="B318" s="390" t="s">
        <v>756</v>
      </c>
      <c r="C318" s="390">
        <v>1</v>
      </c>
      <c r="D318" s="65" t="s">
        <v>410</v>
      </c>
      <c r="E318" s="65" t="s">
        <v>83</v>
      </c>
      <c r="F318" s="65" t="s">
        <v>411</v>
      </c>
      <c r="G318" s="65" t="s">
        <v>83</v>
      </c>
      <c r="H318" s="65" t="s">
        <v>83</v>
      </c>
      <c r="I318" s="65" t="s">
        <v>83</v>
      </c>
      <c r="J318"/>
      <c r="K318" s="470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1.25" customHeight="1">
      <c r="A319" s="65" t="s">
        <v>810</v>
      </c>
      <c r="B319" s="390" t="s">
        <v>756</v>
      </c>
      <c r="C319" s="390">
        <v>1</v>
      </c>
      <c r="D319" s="65" t="s">
        <v>410</v>
      </c>
      <c r="E319" s="65" t="s">
        <v>83</v>
      </c>
      <c r="F319" s="65" t="s">
        <v>411</v>
      </c>
      <c r="G319" s="65" t="s">
        <v>83</v>
      </c>
      <c r="H319" s="65" t="s">
        <v>83</v>
      </c>
      <c r="I319" s="65" t="s">
        <v>83</v>
      </c>
      <c r="J319"/>
      <c r="K319" s="470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11" ht="11.25" customHeight="1">
      <c r="A320" s="65" t="s">
        <v>811</v>
      </c>
      <c r="B320" s="390" t="s">
        <v>756</v>
      </c>
      <c r="C320" s="390">
        <v>1</v>
      </c>
      <c r="D320" s="65" t="s">
        <v>410</v>
      </c>
      <c r="E320" s="65" t="s">
        <v>83</v>
      </c>
      <c r="F320" s="65" t="s">
        <v>411</v>
      </c>
      <c r="G320" s="65" t="s">
        <v>83</v>
      </c>
      <c r="H320" s="65" t="s">
        <v>83</v>
      </c>
      <c r="I320" s="65" t="s">
        <v>83</v>
      </c>
      <c r="J320"/>
      <c r="K320" s="451"/>
    </row>
    <row r="321" spans="1:11" ht="11.25" customHeight="1">
      <c r="A321" s="65" t="s">
        <v>812</v>
      </c>
      <c r="B321" s="390" t="s">
        <v>756</v>
      </c>
      <c r="C321" s="390">
        <v>1</v>
      </c>
      <c r="D321" s="65" t="s">
        <v>410</v>
      </c>
      <c r="E321" s="65" t="s">
        <v>83</v>
      </c>
      <c r="F321" s="65" t="s">
        <v>411</v>
      </c>
      <c r="G321" s="65" t="s">
        <v>83</v>
      </c>
      <c r="H321" s="65" t="s">
        <v>83</v>
      </c>
      <c r="I321" s="65" t="s">
        <v>83</v>
      </c>
      <c r="J321"/>
      <c r="K321" s="451"/>
    </row>
    <row r="322" spans="1:11" ht="11.25" customHeight="1">
      <c r="A322" s="65" t="s">
        <v>813</v>
      </c>
      <c r="B322" s="390" t="s">
        <v>756</v>
      </c>
      <c r="C322" s="390">
        <v>1</v>
      </c>
      <c r="D322" s="65" t="s">
        <v>410</v>
      </c>
      <c r="E322" s="65" t="s">
        <v>83</v>
      </c>
      <c r="F322" s="65" t="s">
        <v>411</v>
      </c>
      <c r="G322" s="65" t="s">
        <v>83</v>
      </c>
      <c r="H322" s="65" t="s">
        <v>83</v>
      </c>
      <c r="I322" s="65" t="s">
        <v>83</v>
      </c>
      <c r="J322"/>
      <c r="K322" s="451"/>
    </row>
    <row r="323" spans="1:11" ht="11.25" customHeight="1">
      <c r="A323" s="65" t="s">
        <v>814</v>
      </c>
      <c r="B323" s="390" t="s">
        <v>756</v>
      </c>
      <c r="C323" s="390">
        <v>1</v>
      </c>
      <c r="D323" s="65" t="s">
        <v>410</v>
      </c>
      <c r="E323" s="65" t="s">
        <v>83</v>
      </c>
      <c r="F323" s="65" t="s">
        <v>411</v>
      </c>
      <c r="G323" s="65" t="s">
        <v>83</v>
      </c>
      <c r="H323" s="65" t="s">
        <v>83</v>
      </c>
      <c r="I323" s="65" t="s">
        <v>83</v>
      </c>
      <c r="J323"/>
      <c r="K323" s="451"/>
    </row>
    <row r="324" spans="1:11" ht="11.25" customHeight="1">
      <c r="A324" s="65" t="s">
        <v>815</v>
      </c>
      <c r="B324" s="390" t="s">
        <v>756</v>
      </c>
      <c r="C324" s="390">
        <v>1</v>
      </c>
      <c r="D324" s="65" t="s">
        <v>410</v>
      </c>
      <c r="E324" s="65" t="s">
        <v>83</v>
      </c>
      <c r="F324" s="65" t="s">
        <v>411</v>
      </c>
      <c r="G324" s="65" t="s">
        <v>83</v>
      </c>
      <c r="H324" s="65" t="s">
        <v>83</v>
      </c>
      <c r="I324" s="65" t="s">
        <v>83</v>
      </c>
      <c r="J324"/>
      <c r="K324" s="451"/>
    </row>
    <row r="325" spans="1:11" ht="11.25" customHeight="1">
      <c r="A325" s="65" t="s">
        <v>816</v>
      </c>
      <c r="B325" s="65" t="s">
        <v>756</v>
      </c>
      <c r="C325" s="65" t="s">
        <v>348</v>
      </c>
      <c r="D325" s="65" t="s">
        <v>817</v>
      </c>
      <c r="E325" s="65" t="s">
        <v>424</v>
      </c>
      <c r="F325" s="65" t="s">
        <v>411</v>
      </c>
      <c r="G325" s="65" t="s">
        <v>83</v>
      </c>
      <c r="H325" s="65">
        <v>9</v>
      </c>
      <c r="I325" s="65" t="s">
        <v>615</v>
      </c>
      <c r="J325"/>
      <c r="K325" s="451"/>
    </row>
    <row r="326" spans="1:11" ht="11.25" customHeight="1">
      <c r="A326" s="65" t="s">
        <v>818</v>
      </c>
      <c r="B326" s="65" t="s">
        <v>756</v>
      </c>
      <c r="C326" s="65">
        <v>1</v>
      </c>
      <c r="D326" s="65" t="s">
        <v>488</v>
      </c>
      <c r="E326" s="65" t="s">
        <v>424</v>
      </c>
      <c r="F326" s="65" t="s">
        <v>411</v>
      </c>
      <c r="G326" s="65" t="s">
        <v>83</v>
      </c>
      <c r="H326" s="65">
        <v>3</v>
      </c>
      <c r="I326" s="65" t="s">
        <v>83</v>
      </c>
      <c r="J326"/>
      <c r="K326" s="451"/>
    </row>
    <row r="327" spans="1:11" ht="11.25" customHeight="1">
      <c r="A327"/>
      <c r="B327"/>
      <c r="C327"/>
      <c r="D327"/>
      <c r="E327"/>
      <c r="F327"/>
      <c r="G327"/>
      <c r="H327"/>
      <c r="I327"/>
      <c r="J327"/>
      <c r="K327" s="451"/>
    </row>
    <row r="328" spans="1:11" ht="11.25" customHeight="1">
      <c r="A328" s="458"/>
      <c r="B328" s="451"/>
      <c r="C328" s="451"/>
      <c r="D328" s="458"/>
      <c r="E328" s="458"/>
      <c r="F328" s="458"/>
      <c r="G328" s="458"/>
      <c r="H328" s="458"/>
      <c r="I328" s="458"/>
      <c r="J328" s="464"/>
      <c r="K328" s="451"/>
    </row>
    <row r="329" spans="1:11" ht="11.25" customHeight="1">
      <c r="A329" s="458"/>
      <c r="B329" s="451"/>
      <c r="C329" s="451"/>
      <c r="D329" s="458"/>
      <c r="E329" s="458"/>
      <c r="F329" s="458"/>
      <c r="G329" s="458"/>
      <c r="H329" s="458"/>
      <c r="I329" s="458"/>
      <c r="J329" s="464"/>
      <c r="K329" s="451"/>
    </row>
    <row r="330" spans="1:11" ht="11.25" customHeight="1">
      <c r="A330" s="458"/>
      <c r="B330" s="451"/>
      <c r="C330" s="451"/>
      <c r="D330" s="458"/>
      <c r="E330" s="458"/>
      <c r="F330" s="458"/>
      <c r="G330" s="458"/>
      <c r="H330" s="458"/>
      <c r="I330" s="458"/>
      <c r="J330" s="464"/>
      <c r="K330" s="451"/>
    </row>
    <row r="331" spans="1:11" ht="11.25" customHeight="1">
      <c r="A331" s="458"/>
      <c r="B331" s="451"/>
      <c r="C331" s="451"/>
      <c r="D331" s="458"/>
      <c r="E331" s="458"/>
      <c r="F331" s="458"/>
      <c r="G331" s="458"/>
      <c r="H331" s="458"/>
      <c r="I331" s="458"/>
      <c r="J331" s="464"/>
      <c r="K331" s="451"/>
    </row>
    <row r="332" spans="1:11" ht="11.25" customHeight="1">
      <c r="A332" s="458"/>
      <c r="B332" s="451"/>
      <c r="C332" s="451"/>
      <c r="D332" s="458"/>
      <c r="E332" s="458"/>
      <c r="F332" s="458"/>
      <c r="G332" s="458"/>
      <c r="H332" s="458"/>
      <c r="I332" s="458"/>
      <c r="J332" s="464"/>
      <c r="K332" s="451"/>
    </row>
    <row r="333" spans="1:11" ht="11.25" customHeight="1">
      <c r="A333" s="458"/>
      <c r="B333" s="451"/>
      <c r="C333" s="451"/>
      <c r="D333" s="458"/>
      <c r="E333" s="458"/>
      <c r="F333" s="458"/>
      <c r="G333" s="458"/>
      <c r="H333" s="458"/>
      <c r="I333" s="458"/>
      <c r="J333" s="464"/>
      <c r="K333" s="451"/>
    </row>
    <row r="334" spans="1:11" ht="11.25" customHeight="1">
      <c r="A334"/>
      <c r="B334"/>
      <c r="C334"/>
      <c r="D334"/>
      <c r="E334"/>
      <c r="F334"/>
      <c r="G334"/>
      <c r="H334"/>
      <c r="I334"/>
      <c r="J334" s="464"/>
      <c r="K334" s="451"/>
    </row>
    <row r="335" spans="1:11" ht="11.25" customHeight="1">
      <c r="A335"/>
      <c r="B335"/>
      <c r="C335"/>
      <c r="D335"/>
      <c r="E335"/>
      <c r="F335"/>
      <c r="G335"/>
      <c r="H335"/>
      <c r="I335"/>
      <c r="J335" s="464"/>
      <c r="K335" s="451"/>
    </row>
    <row r="336" spans="1:11" ht="11.25" customHeight="1">
      <c r="A336" s="445" t="s">
        <v>819</v>
      </c>
      <c r="B336" s="446" t="s">
        <v>322</v>
      </c>
      <c r="C336" s="446" t="s">
        <v>323</v>
      </c>
      <c r="D336" s="446" t="s">
        <v>324</v>
      </c>
      <c r="E336" s="446" t="s">
        <v>185</v>
      </c>
      <c r="F336" s="446" t="s">
        <v>325</v>
      </c>
      <c r="G336" s="446" t="s">
        <v>261</v>
      </c>
      <c r="H336" s="446" t="s">
        <v>326</v>
      </c>
      <c r="I336" s="446" t="s">
        <v>254</v>
      </c>
      <c r="J336" s="459" t="s">
        <v>327</v>
      </c>
      <c r="K336" s="447" t="s">
        <v>408</v>
      </c>
    </row>
    <row r="337" spans="1:256" ht="11.25" customHeight="1">
      <c r="A337" s="454" t="s">
        <v>820</v>
      </c>
      <c r="B337" s="454" t="s">
        <v>819</v>
      </c>
      <c r="C337" s="454">
        <v>1</v>
      </c>
      <c r="D337" s="454" t="s">
        <v>566</v>
      </c>
      <c r="E337" s="448" t="s">
        <v>174</v>
      </c>
      <c r="F337" s="454" t="s">
        <v>547</v>
      </c>
      <c r="G337" s="454" t="s">
        <v>630</v>
      </c>
      <c r="H337" s="454">
        <v>5</v>
      </c>
      <c r="I337" s="454" t="s">
        <v>83</v>
      </c>
      <c r="J337" s="455"/>
      <c r="K337" s="46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1.25" customHeight="1">
      <c r="A338" s="448" t="s">
        <v>821</v>
      </c>
      <c r="B338" s="448" t="s">
        <v>819</v>
      </c>
      <c r="C338" s="448" t="s">
        <v>348</v>
      </c>
      <c r="D338" s="448" t="s">
        <v>410</v>
      </c>
      <c r="E338" s="448" t="s">
        <v>83</v>
      </c>
      <c r="F338" s="448" t="s">
        <v>411</v>
      </c>
      <c r="G338" s="448" t="s">
        <v>83</v>
      </c>
      <c r="H338" s="448" t="s">
        <v>83</v>
      </c>
      <c r="I338" s="448" t="s">
        <v>83</v>
      </c>
      <c r="J338" s="449" t="s">
        <v>822</v>
      </c>
      <c r="K338" s="467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1.25" customHeight="1">
      <c r="A339" s="454" t="s">
        <v>823</v>
      </c>
      <c r="B339" s="454" t="s">
        <v>819</v>
      </c>
      <c r="C339" s="454" t="s">
        <v>348</v>
      </c>
      <c r="D339" s="454" t="s">
        <v>584</v>
      </c>
      <c r="E339" s="448" t="s">
        <v>424</v>
      </c>
      <c r="F339" s="454" t="s">
        <v>411</v>
      </c>
      <c r="G339" s="454" t="s">
        <v>83</v>
      </c>
      <c r="H339" s="454">
        <v>4</v>
      </c>
      <c r="I339" s="454" t="s">
        <v>83</v>
      </c>
      <c r="J339" s="455"/>
      <c r="K339" s="467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1.25" customHeight="1">
      <c r="A340" s="454" t="s">
        <v>824</v>
      </c>
      <c r="B340" s="454" t="s">
        <v>819</v>
      </c>
      <c r="C340" s="454" t="s">
        <v>348</v>
      </c>
      <c r="D340" s="454" t="s">
        <v>495</v>
      </c>
      <c r="E340" s="454" t="s">
        <v>424</v>
      </c>
      <c r="F340" s="454" t="s">
        <v>411</v>
      </c>
      <c r="G340" s="454" t="s">
        <v>83</v>
      </c>
      <c r="H340" s="454" t="s">
        <v>83</v>
      </c>
      <c r="I340" s="454">
        <v>1</v>
      </c>
      <c r="J340" s="455"/>
      <c r="K340" s="467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1.25" customHeight="1">
      <c r="A341" s="454" t="s">
        <v>825</v>
      </c>
      <c r="B341" s="454" t="s">
        <v>819</v>
      </c>
      <c r="C341" s="454">
        <v>1</v>
      </c>
      <c r="D341" s="454" t="s">
        <v>495</v>
      </c>
      <c r="E341" s="454" t="s">
        <v>424</v>
      </c>
      <c r="F341" s="454" t="s">
        <v>411</v>
      </c>
      <c r="G341" s="454" t="s">
        <v>83</v>
      </c>
      <c r="H341" s="454">
        <v>3</v>
      </c>
      <c r="I341" s="454" t="s">
        <v>83</v>
      </c>
      <c r="J341" s="455"/>
      <c r="K341" s="467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1.25" customHeight="1">
      <c r="A342" s="454" t="s">
        <v>826</v>
      </c>
      <c r="B342" s="454" t="s">
        <v>819</v>
      </c>
      <c r="C342" s="454">
        <v>1</v>
      </c>
      <c r="D342" s="454" t="s">
        <v>789</v>
      </c>
      <c r="E342" s="448" t="s">
        <v>174</v>
      </c>
      <c r="F342" s="454" t="s">
        <v>547</v>
      </c>
      <c r="G342" s="454" t="s">
        <v>630</v>
      </c>
      <c r="H342" s="454">
        <v>4</v>
      </c>
      <c r="I342" s="454" t="s">
        <v>83</v>
      </c>
      <c r="J342" s="455"/>
      <c r="K342" s="467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1.25" customHeight="1">
      <c r="A343" s="448" t="s">
        <v>827</v>
      </c>
      <c r="B343" s="448" t="s">
        <v>819</v>
      </c>
      <c r="C343" s="448">
        <v>1</v>
      </c>
      <c r="D343" s="448" t="s">
        <v>500</v>
      </c>
      <c r="E343" s="448" t="s">
        <v>83</v>
      </c>
      <c r="F343" s="448" t="s">
        <v>411</v>
      </c>
      <c r="G343" s="448" t="s">
        <v>83</v>
      </c>
      <c r="H343" s="448" t="s">
        <v>83</v>
      </c>
      <c r="I343" s="448" t="s">
        <v>83</v>
      </c>
      <c r="J343" s="449" t="s">
        <v>828</v>
      </c>
      <c r="K343" s="467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1.25" customHeight="1">
      <c r="A344" s="454" t="s">
        <v>829</v>
      </c>
      <c r="B344" s="454" t="s">
        <v>819</v>
      </c>
      <c r="C344" s="454">
        <v>1</v>
      </c>
      <c r="D344" s="454" t="s">
        <v>566</v>
      </c>
      <c r="E344" s="448" t="s">
        <v>174</v>
      </c>
      <c r="F344" s="454" t="s">
        <v>547</v>
      </c>
      <c r="G344" s="454" t="s">
        <v>327</v>
      </c>
      <c r="H344" s="454">
        <v>4</v>
      </c>
      <c r="I344" s="454" t="s">
        <v>83</v>
      </c>
      <c r="J344" s="455" t="s">
        <v>830</v>
      </c>
      <c r="K344" s="467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1.25" customHeight="1">
      <c r="A345" s="454" t="s">
        <v>831</v>
      </c>
      <c r="B345" s="454" t="s">
        <v>819</v>
      </c>
      <c r="C345" s="454">
        <v>1</v>
      </c>
      <c r="D345" s="454" t="s">
        <v>789</v>
      </c>
      <c r="E345" s="448" t="s">
        <v>174</v>
      </c>
      <c r="F345" s="454" t="s">
        <v>424</v>
      </c>
      <c r="G345" s="454" t="s">
        <v>83</v>
      </c>
      <c r="H345" s="454">
        <v>6</v>
      </c>
      <c r="I345" s="454" t="s">
        <v>323</v>
      </c>
      <c r="J345" s="455"/>
      <c r="K345" s="467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1.25" customHeight="1">
      <c r="A346" s="454" t="s">
        <v>832</v>
      </c>
      <c r="B346" s="454" t="s">
        <v>819</v>
      </c>
      <c r="C346" s="454">
        <v>1</v>
      </c>
      <c r="D346" s="454" t="s">
        <v>833</v>
      </c>
      <c r="E346" s="448" t="s">
        <v>424</v>
      </c>
      <c r="F346" s="454" t="s">
        <v>411</v>
      </c>
      <c r="G346" s="454" t="s">
        <v>83</v>
      </c>
      <c r="H346" s="454">
        <v>4</v>
      </c>
      <c r="I346" s="454">
        <v>1</v>
      </c>
      <c r="J346" s="455"/>
      <c r="K346" s="467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1.25" customHeight="1">
      <c r="A347" s="448" t="s">
        <v>834</v>
      </c>
      <c r="B347" s="448" t="s">
        <v>819</v>
      </c>
      <c r="C347" s="448">
        <v>1</v>
      </c>
      <c r="D347" s="448" t="s">
        <v>410</v>
      </c>
      <c r="E347" s="448" t="s">
        <v>83</v>
      </c>
      <c r="F347" s="448" t="s">
        <v>411</v>
      </c>
      <c r="G347" s="448" t="s">
        <v>83</v>
      </c>
      <c r="H347" s="448" t="s">
        <v>83</v>
      </c>
      <c r="I347" s="448" t="s">
        <v>83</v>
      </c>
      <c r="J347" s="449"/>
      <c r="K347" s="46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1.25" customHeight="1">
      <c r="A348" s="448" t="s">
        <v>835</v>
      </c>
      <c r="B348" s="448" t="s">
        <v>819</v>
      </c>
      <c r="C348" s="454" t="s">
        <v>348</v>
      </c>
      <c r="D348" s="448" t="s">
        <v>641</v>
      </c>
      <c r="E348" s="448" t="s">
        <v>424</v>
      </c>
      <c r="F348" s="448" t="s">
        <v>411</v>
      </c>
      <c r="G348" s="448" t="s">
        <v>83</v>
      </c>
      <c r="H348" s="448">
        <v>4</v>
      </c>
      <c r="I348" s="448" t="s">
        <v>83</v>
      </c>
      <c r="J348" s="455"/>
      <c r="K348" s="467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1.25" customHeight="1">
      <c r="A349" s="454" t="s">
        <v>836</v>
      </c>
      <c r="B349" s="454" t="s">
        <v>819</v>
      </c>
      <c r="C349" s="454">
        <v>1</v>
      </c>
      <c r="D349" s="454" t="s">
        <v>566</v>
      </c>
      <c r="E349" s="454" t="s">
        <v>174</v>
      </c>
      <c r="F349" s="454" t="s">
        <v>702</v>
      </c>
      <c r="G349" s="454" t="s">
        <v>630</v>
      </c>
      <c r="H349" s="454">
        <v>6</v>
      </c>
      <c r="I349" s="454" t="s">
        <v>615</v>
      </c>
      <c r="J349" s="455"/>
      <c r="K349" s="467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1.25" customHeight="1">
      <c r="A350" s="454" t="s">
        <v>837</v>
      </c>
      <c r="B350" s="454" t="s">
        <v>819</v>
      </c>
      <c r="C350" s="454">
        <v>1</v>
      </c>
      <c r="D350" s="454" t="s">
        <v>566</v>
      </c>
      <c r="E350" s="454" t="s">
        <v>174</v>
      </c>
      <c r="F350" s="454" t="s">
        <v>547</v>
      </c>
      <c r="G350" s="454" t="s">
        <v>630</v>
      </c>
      <c r="H350" s="454">
        <v>4</v>
      </c>
      <c r="I350" s="454" t="s">
        <v>83</v>
      </c>
      <c r="J350" s="455" t="s">
        <v>838</v>
      </c>
      <c r="K350" s="467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1.25" customHeight="1">
      <c r="A351" s="454" t="s">
        <v>839</v>
      </c>
      <c r="B351" s="454" t="s">
        <v>819</v>
      </c>
      <c r="C351" s="454" t="s">
        <v>348</v>
      </c>
      <c r="D351" s="454" t="s">
        <v>495</v>
      </c>
      <c r="E351" s="454" t="s">
        <v>424</v>
      </c>
      <c r="F351" s="454" t="s">
        <v>411</v>
      </c>
      <c r="G351" s="454" t="s">
        <v>83</v>
      </c>
      <c r="H351" s="454">
        <v>7</v>
      </c>
      <c r="I351" s="454" t="s">
        <v>83</v>
      </c>
      <c r="J351" s="455"/>
      <c r="K351" s="467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1.25" customHeight="1">
      <c r="A352" s="454" t="s">
        <v>840</v>
      </c>
      <c r="B352" s="454" t="s">
        <v>819</v>
      </c>
      <c r="C352" s="454">
        <v>1</v>
      </c>
      <c r="D352" s="454" t="s">
        <v>644</v>
      </c>
      <c r="E352" s="454" t="s">
        <v>424</v>
      </c>
      <c r="F352" s="454" t="s">
        <v>411</v>
      </c>
      <c r="G352" s="454" t="s">
        <v>83</v>
      </c>
      <c r="H352" s="454">
        <v>6</v>
      </c>
      <c r="I352" s="454" t="s">
        <v>83</v>
      </c>
      <c r="J352" s="455"/>
      <c r="K352" s="467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1.25" customHeight="1">
      <c r="A353" s="454" t="s">
        <v>841</v>
      </c>
      <c r="B353" s="454" t="s">
        <v>819</v>
      </c>
      <c r="C353" s="454">
        <v>1</v>
      </c>
      <c r="D353" s="454" t="s">
        <v>644</v>
      </c>
      <c r="E353" s="454" t="s">
        <v>424</v>
      </c>
      <c r="F353" s="454" t="s">
        <v>411</v>
      </c>
      <c r="G353" s="454" t="s">
        <v>83</v>
      </c>
      <c r="H353" s="454">
        <v>6</v>
      </c>
      <c r="I353" s="454" t="s">
        <v>83</v>
      </c>
      <c r="J353" s="455"/>
      <c r="K353" s="467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1.25" customHeight="1">
      <c r="A354" s="448" t="s">
        <v>842</v>
      </c>
      <c r="B354" s="448" t="s">
        <v>819</v>
      </c>
      <c r="C354" s="448">
        <v>1</v>
      </c>
      <c r="D354" s="448" t="s">
        <v>410</v>
      </c>
      <c r="E354" s="448" t="s">
        <v>83</v>
      </c>
      <c r="F354" s="448" t="s">
        <v>411</v>
      </c>
      <c r="G354" s="448" t="s">
        <v>83</v>
      </c>
      <c r="H354" s="448" t="s">
        <v>83</v>
      </c>
      <c r="I354" s="448" t="s">
        <v>83</v>
      </c>
      <c r="J354" s="455" t="s">
        <v>843</v>
      </c>
      <c r="K354" s="467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1.25" customHeight="1">
      <c r="A355" s="454" t="s">
        <v>844</v>
      </c>
      <c r="B355" s="454" t="s">
        <v>819</v>
      </c>
      <c r="C355" s="454">
        <v>1</v>
      </c>
      <c r="D355" s="454" t="s">
        <v>644</v>
      </c>
      <c r="E355" s="454" t="s">
        <v>424</v>
      </c>
      <c r="F355" s="454" t="s">
        <v>411</v>
      </c>
      <c r="G355" s="454" t="s">
        <v>83</v>
      </c>
      <c r="H355" s="454">
        <v>6</v>
      </c>
      <c r="I355" s="454" t="s">
        <v>83</v>
      </c>
      <c r="J355" s="455"/>
      <c r="K355" s="467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1.25" customHeight="1">
      <c r="A356" s="454" t="s">
        <v>845</v>
      </c>
      <c r="B356" s="454" t="s">
        <v>819</v>
      </c>
      <c r="C356" s="454">
        <v>1</v>
      </c>
      <c r="D356" s="454" t="s">
        <v>644</v>
      </c>
      <c r="E356" s="454" t="s">
        <v>424</v>
      </c>
      <c r="F356" s="454" t="s">
        <v>411</v>
      </c>
      <c r="G356" s="454" t="s">
        <v>83</v>
      </c>
      <c r="H356" s="454" t="s">
        <v>83</v>
      </c>
      <c r="I356" s="454" t="s">
        <v>83</v>
      </c>
      <c r="J356" s="455"/>
      <c r="K356" s="467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11" ht="11.25" customHeight="1">
      <c r="A357" s="454" t="s">
        <v>846</v>
      </c>
      <c r="B357" s="454" t="s">
        <v>819</v>
      </c>
      <c r="C357" s="454" t="s">
        <v>348</v>
      </c>
      <c r="D357" s="454" t="s">
        <v>652</v>
      </c>
      <c r="E357" s="454" t="s">
        <v>424</v>
      </c>
      <c r="F357" s="454" t="s">
        <v>411</v>
      </c>
      <c r="G357" s="454" t="s">
        <v>83</v>
      </c>
      <c r="H357" s="454">
        <v>2</v>
      </c>
      <c r="I357" s="454" t="s">
        <v>615</v>
      </c>
      <c r="J357" s="455"/>
      <c r="K357" s="448"/>
    </row>
    <row r="358" spans="1:11" ht="11.25" customHeight="1">
      <c r="A358" s="454" t="s">
        <v>847</v>
      </c>
      <c r="B358" s="454" t="s">
        <v>819</v>
      </c>
      <c r="C358" s="454" t="s">
        <v>348</v>
      </c>
      <c r="D358" s="454" t="s">
        <v>848</v>
      </c>
      <c r="E358" s="454" t="s">
        <v>424</v>
      </c>
      <c r="F358" s="454" t="s">
        <v>411</v>
      </c>
      <c r="G358" s="454" t="s">
        <v>83</v>
      </c>
      <c r="H358" s="454">
        <v>4</v>
      </c>
      <c r="I358" s="454" t="s">
        <v>83</v>
      </c>
      <c r="J358" s="455"/>
      <c r="K358" s="448"/>
    </row>
    <row r="359" spans="1:12" s="458" customFormat="1" ht="11.25" customHeight="1">
      <c r="A359" s="448" t="s">
        <v>849</v>
      </c>
      <c r="B359" s="454" t="s">
        <v>819</v>
      </c>
      <c r="C359" s="454" t="s">
        <v>348</v>
      </c>
      <c r="D359" s="448" t="s">
        <v>850</v>
      </c>
      <c r="E359" s="454" t="s">
        <v>424</v>
      </c>
      <c r="F359" s="454" t="s">
        <v>411</v>
      </c>
      <c r="G359" s="454" t="s">
        <v>83</v>
      </c>
      <c r="H359" s="454">
        <v>2</v>
      </c>
      <c r="I359" s="454" t="s">
        <v>83</v>
      </c>
      <c r="J359" s="455"/>
      <c r="K359" s="448"/>
      <c r="L359" s="457"/>
    </row>
    <row r="360" spans="1:12" s="458" customFormat="1" ht="11.25" customHeight="1">
      <c r="A360" s="448" t="s">
        <v>851</v>
      </c>
      <c r="B360" s="454" t="s">
        <v>819</v>
      </c>
      <c r="C360" s="454" t="s">
        <v>348</v>
      </c>
      <c r="D360" s="448" t="s">
        <v>852</v>
      </c>
      <c r="E360" s="454" t="s">
        <v>424</v>
      </c>
      <c r="F360" s="454" t="s">
        <v>411</v>
      </c>
      <c r="G360" s="454" t="s">
        <v>83</v>
      </c>
      <c r="H360" s="454" t="s">
        <v>83</v>
      </c>
      <c r="I360" s="454" t="s">
        <v>323</v>
      </c>
      <c r="J360" s="455"/>
      <c r="K360" s="448"/>
      <c r="L360" s="457"/>
    </row>
    <row r="361" spans="1:12" s="458" customFormat="1" ht="11.25" customHeight="1">
      <c r="A361" s="448" t="s">
        <v>853</v>
      </c>
      <c r="B361" s="454" t="s">
        <v>819</v>
      </c>
      <c r="C361" s="454" t="s">
        <v>348</v>
      </c>
      <c r="D361" s="448" t="s">
        <v>495</v>
      </c>
      <c r="E361" s="454" t="s">
        <v>424</v>
      </c>
      <c r="F361" s="454" t="s">
        <v>411</v>
      </c>
      <c r="G361" s="454" t="s">
        <v>83</v>
      </c>
      <c r="H361" s="454">
        <v>4</v>
      </c>
      <c r="I361" s="454" t="s">
        <v>615</v>
      </c>
      <c r="J361" s="455"/>
      <c r="K361" s="448"/>
      <c r="L361" s="457"/>
    </row>
    <row r="362" spans="1:12" s="458" customFormat="1" ht="11.25" customHeight="1">
      <c r="A362" s="448" t="s">
        <v>854</v>
      </c>
      <c r="B362" s="454" t="s">
        <v>819</v>
      </c>
      <c r="C362" s="454" t="s">
        <v>348</v>
      </c>
      <c r="D362" s="448" t="s">
        <v>410</v>
      </c>
      <c r="E362" s="454" t="s">
        <v>83</v>
      </c>
      <c r="F362" s="454" t="s">
        <v>411</v>
      </c>
      <c r="G362" s="454" t="s">
        <v>83</v>
      </c>
      <c r="H362" s="454" t="s">
        <v>83</v>
      </c>
      <c r="I362" s="454" t="s">
        <v>83</v>
      </c>
      <c r="J362" s="455"/>
      <c r="K362" s="448"/>
      <c r="L362" s="457"/>
    </row>
    <row r="363" spans="1:12" s="458" customFormat="1" ht="11.25" customHeight="1">
      <c r="A363" s="448" t="s">
        <v>855</v>
      </c>
      <c r="B363" s="454" t="s">
        <v>819</v>
      </c>
      <c r="C363" s="454" t="s">
        <v>348</v>
      </c>
      <c r="D363" s="448" t="s">
        <v>856</v>
      </c>
      <c r="E363" s="454" t="s">
        <v>424</v>
      </c>
      <c r="F363" s="454" t="s">
        <v>411</v>
      </c>
      <c r="G363" s="454" t="s">
        <v>83</v>
      </c>
      <c r="H363" s="454">
        <v>5</v>
      </c>
      <c r="I363" s="454" t="s">
        <v>83</v>
      </c>
      <c r="J363" s="455"/>
      <c r="K363" s="448"/>
      <c r="L363" s="457"/>
    </row>
    <row r="364" spans="1:11" ht="11.25" customHeight="1">
      <c r="A364" s="454" t="s">
        <v>857</v>
      </c>
      <c r="B364" s="454" t="s">
        <v>819</v>
      </c>
      <c r="C364" s="454" t="s">
        <v>348</v>
      </c>
      <c r="D364" s="454" t="s">
        <v>500</v>
      </c>
      <c r="E364" s="454" t="s">
        <v>83</v>
      </c>
      <c r="F364" s="454" t="s">
        <v>327</v>
      </c>
      <c r="G364" s="454" t="s">
        <v>83</v>
      </c>
      <c r="H364" s="454" t="s">
        <v>83</v>
      </c>
      <c r="I364" s="454" t="s">
        <v>83</v>
      </c>
      <c r="J364" s="455"/>
      <c r="K364" s="448"/>
    </row>
    <row r="365" spans="1:11" ht="11.25" customHeight="1">
      <c r="A365" s="445" t="s">
        <v>17</v>
      </c>
      <c r="B365" s="446" t="s">
        <v>322</v>
      </c>
      <c r="C365" s="446" t="s">
        <v>323</v>
      </c>
      <c r="D365" s="446" t="s">
        <v>324</v>
      </c>
      <c r="E365" s="446" t="s">
        <v>185</v>
      </c>
      <c r="F365" s="446" t="s">
        <v>325</v>
      </c>
      <c r="G365" s="446" t="s">
        <v>261</v>
      </c>
      <c r="H365" s="446" t="s">
        <v>326</v>
      </c>
      <c r="I365" s="446" t="s">
        <v>254</v>
      </c>
      <c r="J365" s="459" t="s">
        <v>327</v>
      </c>
      <c r="K365" s="447" t="s">
        <v>408</v>
      </c>
    </row>
    <row r="366" spans="1:256" ht="11.25" customHeight="1">
      <c r="A366" s="448" t="s">
        <v>142</v>
      </c>
      <c r="B366" s="448" t="s">
        <v>17</v>
      </c>
      <c r="C366" s="448" t="s">
        <v>348</v>
      </c>
      <c r="D366" s="448" t="s">
        <v>410</v>
      </c>
      <c r="E366" s="448" t="s">
        <v>83</v>
      </c>
      <c r="F366" s="448" t="s">
        <v>411</v>
      </c>
      <c r="G366" s="448" t="s">
        <v>83</v>
      </c>
      <c r="H366" s="448" t="s">
        <v>83</v>
      </c>
      <c r="I366" s="448" t="s">
        <v>83</v>
      </c>
      <c r="J366" s="471" t="s">
        <v>858</v>
      </c>
      <c r="K366" s="467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1.25" customHeight="1">
      <c r="A367" s="448" t="s">
        <v>143</v>
      </c>
      <c r="B367" s="448" t="s">
        <v>17</v>
      </c>
      <c r="C367" s="448" t="s">
        <v>348</v>
      </c>
      <c r="D367" s="448" t="s">
        <v>410</v>
      </c>
      <c r="E367" s="448" t="s">
        <v>83</v>
      </c>
      <c r="F367" s="448" t="s">
        <v>411</v>
      </c>
      <c r="G367" s="448" t="s">
        <v>83</v>
      </c>
      <c r="H367" s="448" t="s">
        <v>83</v>
      </c>
      <c r="I367" s="448" t="s">
        <v>83</v>
      </c>
      <c r="J367" s="471" t="s">
        <v>859</v>
      </c>
      <c r="K367" s="4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1.25" customHeight="1">
      <c r="A368" s="448" t="s">
        <v>138</v>
      </c>
      <c r="B368" s="448" t="s">
        <v>17</v>
      </c>
      <c r="C368" s="448">
        <v>1</v>
      </c>
      <c r="D368" s="448" t="s">
        <v>410</v>
      </c>
      <c r="E368" s="448" t="s">
        <v>83</v>
      </c>
      <c r="F368" s="448" t="s">
        <v>411</v>
      </c>
      <c r="G368" s="448" t="s">
        <v>83</v>
      </c>
      <c r="H368" s="448" t="s">
        <v>83</v>
      </c>
      <c r="I368" s="448" t="s">
        <v>83</v>
      </c>
      <c r="J368" s="471" t="s">
        <v>860</v>
      </c>
      <c r="K368" s="467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1.25" customHeight="1">
      <c r="A369" s="454" t="s">
        <v>144</v>
      </c>
      <c r="B369" s="454" t="s">
        <v>17</v>
      </c>
      <c r="C369" s="448" t="s">
        <v>348</v>
      </c>
      <c r="D369" s="454" t="s">
        <v>488</v>
      </c>
      <c r="E369" s="448" t="s">
        <v>424</v>
      </c>
      <c r="F369" s="454" t="s">
        <v>411</v>
      </c>
      <c r="G369" s="454" t="s">
        <v>83</v>
      </c>
      <c r="H369" s="454">
        <v>5</v>
      </c>
      <c r="I369" s="454" t="s">
        <v>83</v>
      </c>
      <c r="J369" s="468" t="s">
        <v>861</v>
      </c>
      <c r="K369" s="467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1.25" customHeight="1">
      <c r="A370" s="454" t="s">
        <v>862</v>
      </c>
      <c r="B370" s="454" t="s">
        <v>17</v>
      </c>
      <c r="C370" s="454">
        <v>1</v>
      </c>
      <c r="D370" s="454" t="s">
        <v>644</v>
      </c>
      <c r="E370" s="454" t="s">
        <v>424</v>
      </c>
      <c r="F370" s="454" t="s">
        <v>411</v>
      </c>
      <c r="G370" s="454" t="s">
        <v>83</v>
      </c>
      <c r="H370" s="454">
        <v>3</v>
      </c>
      <c r="I370" s="454" t="s">
        <v>83</v>
      </c>
      <c r="J370" s="455"/>
      <c r="K370" s="467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1.25" customHeight="1">
      <c r="A371" s="454" t="s">
        <v>863</v>
      </c>
      <c r="B371" s="454" t="s">
        <v>17</v>
      </c>
      <c r="C371" s="454">
        <v>1</v>
      </c>
      <c r="D371" s="454" t="s">
        <v>495</v>
      </c>
      <c r="E371" s="454" t="s">
        <v>424</v>
      </c>
      <c r="F371" s="454" t="s">
        <v>411</v>
      </c>
      <c r="G371" s="454" t="s">
        <v>83</v>
      </c>
      <c r="H371" s="454">
        <v>3</v>
      </c>
      <c r="I371" s="454" t="s">
        <v>83</v>
      </c>
      <c r="J371" s="455"/>
      <c r="K371" s="467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1.25" customHeight="1">
      <c r="A372" s="454" t="s">
        <v>864</v>
      </c>
      <c r="B372" s="454" t="s">
        <v>17</v>
      </c>
      <c r="C372" s="454">
        <v>1</v>
      </c>
      <c r="D372" s="454" t="s">
        <v>652</v>
      </c>
      <c r="E372" s="454" t="s">
        <v>424</v>
      </c>
      <c r="F372" s="454" t="s">
        <v>411</v>
      </c>
      <c r="G372" s="454" t="s">
        <v>83</v>
      </c>
      <c r="H372" s="454" t="s">
        <v>83</v>
      </c>
      <c r="I372" s="454" t="s">
        <v>647</v>
      </c>
      <c r="J372" s="455"/>
      <c r="K372" s="467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1.25" customHeight="1">
      <c r="A373" s="454" t="s">
        <v>865</v>
      </c>
      <c r="B373" s="454" t="s">
        <v>17</v>
      </c>
      <c r="C373" s="454">
        <v>1</v>
      </c>
      <c r="D373" s="454" t="s">
        <v>566</v>
      </c>
      <c r="E373" s="448" t="s">
        <v>174</v>
      </c>
      <c r="F373" s="454" t="s">
        <v>547</v>
      </c>
      <c r="G373" s="454" t="s">
        <v>572</v>
      </c>
      <c r="H373" s="454">
        <v>4</v>
      </c>
      <c r="I373" s="454" t="s">
        <v>83</v>
      </c>
      <c r="J373" s="455"/>
      <c r="K373" s="467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11.25" customHeight="1">
      <c r="A374" s="454" t="s">
        <v>866</v>
      </c>
      <c r="B374" s="454" t="s">
        <v>17</v>
      </c>
      <c r="C374" s="454">
        <v>1</v>
      </c>
      <c r="D374" s="454" t="s">
        <v>644</v>
      </c>
      <c r="E374" s="454" t="s">
        <v>424</v>
      </c>
      <c r="F374" s="454" t="s">
        <v>411</v>
      </c>
      <c r="G374" s="454" t="s">
        <v>83</v>
      </c>
      <c r="H374" s="454">
        <v>6</v>
      </c>
      <c r="I374" s="454" t="s">
        <v>83</v>
      </c>
      <c r="J374" s="455"/>
      <c r="K374" s="467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11.25" customHeight="1">
      <c r="A375" s="454" t="s">
        <v>867</v>
      </c>
      <c r="B375" s="454" t="s">
        <v>17</v>
      </c>
      <c r="C375" s="454">
        <v>1</v>
      </c>
      <c r="D375" s="454" t="s">
        <v>495</v>
      </c>
      <c r="E375" s="454" t="s">
        <v>424</v>
      </c>
      <c r="F375" s="454" t="s">
        <v>411</v>
      </c>
      <c r="G375" s="454" t="s">
        <v>83</v>
      </c>
      <c r="H375" s="454">
        <v>3</v>
      </c>
      <c r="I375" s="454" t="s">
        <v>83</v>
      </c>
      <c r="J375" s="455"/>
      <c r="K375" s="467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11.25" customHeight="1">
      <c r="A376" s="454" t="s">
        <v>868</v>
      </c>
      <c r="B376" s="454" t="s">
        <v>17</v>
      </c>
      <c r="C376" s="454" t="s">
        <v>348</v>
      </c>
      <c r="D376" s="454" t="s">
        <v>644</v>
      </c>
      <c r="E376" s="454" t="s">
        <v>424</v>
      </c>
      <c r="F376" s="454" t="s">
        <v>411</v>
      </c>
      <c r="G376" s="454" t="s">
        <v>83</v>
      </c>
      <c r="H376" s="454" t="s">
        <v>83</v>
      </c>
      <c r="I376" s="454" t="s">
        <v>83</v>
      </c>
      <c r="J376" s="455"/>
      <c r="K376" s="467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11.25" customHeight="1">
      <c r="A377" s="454" t="s">
        <v>148</v>
      </c>
      <c r="B377" s="454" t="s">
        <v>17</v>
      </c>
      <c r="C377" s="454" t="s">
        <v>348</v>
      </c>
      <c r="D377" s="454" t="s">
        <v>488</v>
      </c>
      <c r="E377" s="454" t="s">
        <v>424</v>
      </c>
      <c r="F377" s="454" t="s">
        <v>547</v>
      </c>
      <c r="G377" s="454" t="s">
        <v>327</v>
      </c>
      <c r="H377" s="454" t="s">
        <v>83</v>
      </c>
      <c r="I377" s="454">
        <v>1</v>
      </c>
      <c r="J377" s="468" t="s">
        <v>869</v>
      </c>
      <c r="K377" s="46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11.25" customHeight="1">
      <c r="A378" s="454" t="s">
        <v>870</v>
      </c>
      <c r="B378" s="454" t="s">
        <v>17</v>
      </c>
      <c r="C378" s="454">
        <v>1</v>
      </c>
      <c r="D378" s="454" t="s">
        <v>566</v>
      </c>
      <c r="E378" s="448" t="s">
        <v>174</v>
      </c>
      <c r="F378" s="454" t="s">
        <v>547</v>
      </c>
      <c r="G378" s="454" t="s">
        <v>871</v>
      </c>
      <c r="H378" s="454">
        <v>4</v>
      </c>
      <c r="I378" s="454" t="s">
        <v>83</v>
      </c>
      <c r="J378" s="455"/>
      <c r="K378" s="467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11.25" customHeight="1">
      <c r="A379" s="448" t="s">
        <v>872</v>
      </c>
      <c r="B379" s="448" t="s">
        <v>17</v>
      </c>
      <c r="C379" s="448">
        <v>1</v>
      </c>
      <c r="D379" s="448" t="s">
        <v>410</v>
      </c>
      <c r="E379" s="448" t="s">
        <v>83</v>
      </c>
      <c r="F379" s="448" t="s">
        <v>411</v>
      </c>
      <c r="G379" s="448" t="s">
        <v>83</v>
      </c>
      <c r="H379" s="448" t="s">
        <v>83</v>
      </c>
      <c r="I379" s="448" t="s">
        <v>83</v>
      </c>
      <c r="J379" s="455"/>
      <c r="K379" s="467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11.25" customHeight="1">
      <c r="A380" s="454" t="s">
        <v>873</v>
      </c>
      <c r="B380" s="454" t="s">
        <v>17</v>
      </c>
      <c r="C380" s="454">
        <v>1</v>
      </c>
      <c r="D380" s="454" t="s">
        <v>566</v>
      </c>
      <c r="E380" s="448" t="s">
        <v>174</v>
      </c>
      <c r="F380" s="454" t="s">
        <v>547</v>
      </c>
      <c r="G380" s="454" t="s">
        <v>630</v>
      </c>
      <c r="H380" s="454">
        <v>3</v>
      </c>
      <c r="I380" s="454" t="s">
        <v>83</v>
      </c>
      <c r="J380" s="455"/>
      <c r="K380" s="467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t="11.25" customHeight="1">
      <c r="A381" s="454" t="s">
        <v>137</v>
      </c>
      <c r="B381" s="454" t="s">
        <v>17</v>
      </c>
      <c r="C381" s="454" t="s">
        <v>348</v>
      </c>
      <c r="D381" s="454" t="s">
        <v>566</v>
      </c>
      <c r="E381" s="448" t="s">
        <v>174</v>
      </c>
      <c r="F381" s="454" t="s">
        <v>547</v>
      </c>
      <c r="G381" s="454" t="s">
        <v>630</v>
      </c>
      <c r="H381" s="454">
        <v>6</v>
      </c>
      <c r="I381" s="454" t="s">
        <v>83</v>
      </c>
      <c r="J381" s="468" t="s">
        <v>874</v>
      </c>
      <c r="K381" s="467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11.25" customHeight="1">
      <c r="A382" s="448" t="s">
        <v>145</v>
      </c>
      <c r="B382" s="448" t="s">
        <v>17</v>
      </c>
      <c r="C382" s="448" t="s">
        <v>348</v>
      </c>
      <c r="D382" s="448" t="s">
        <v>410</v>
      </c>
      <c r="E382" s="448" t="s">
        <v>83</v>
      </c>
      <c r="F382" s="448" t="s">
        <v>411</v>
      </c>
      <c r="G382" s="448" t="s">
        <v>83</v>
      </c>
      <c r="H382" s="448" t="s">
        <v>83</v>
      </c>
      <c r="I382" s="448" t="s">
        <v>83</v>
      </c>
      <c r="J382" s="449" t="s">
        <v>875</v>
      </c>
      <c r="K382" s="467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11.25" customHeight="1">
      <c r="A383" s="454" t="s">
        <v>876</v>
      </c>
      <c r="B383" s="454" t="s">
        <v>17</v>
      </c>
      <c r="C383" s="454">
        <v>1</v>
      </c>
      <c r="D383" s="454" t="s">
        <v>644</v>
      </c>
      <c r="E383" s="454" t="s">
        <v>424</v>
      </c>
      <c r="F383" s="454" t="s">
        <v>411</v>
      </c>
      <c r="G383" s="454" t="s">
        <v>83</v>
      </c>
      <c r="H383" s="454">
        <v>6</v>
      </c>
      <c r="I383" s="454" t="s">
        <v>83</v>
      </c>
      <c r="J383" s="455"/>
      <c r="K383" s="467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t="11.25" customHeight="1">
      <c r="A384" s="448" t="s">
        <v>877</v>
      </c>
      <c r="B384" s="448" t="s">
        <v>17</v>
      </c>
      <c r="C384" s="448">
        <v>1</v>
      </c>
      <c r="D384" s="448" t="s">
        <v>410</v>
      </c>
      <c r="E384" s="448" t="s">
        <v>83</v>
      </c>
      <c r="F384" s="448" t="s">
        <v>411</v>
      </c>
      <c r="G384" s="448" t="s">
        <v>83</v>
      </c>
      <c r="H384" s="448" t="s">
        <v>83</v>
      </c>
      <c r="I384" s="448" t="s">
        <v>83</v>
      </c>
      <c r="J384" s="455"/>
      <c r="K384" s="467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t="11.25" customHeight="1">
      <c r="A385" s="454" t="s">
        <v>878</v>
      </c>
      <c r="B385" s="454" t="s">
        <v>17</v>
      </c>
      <c r="C385" s="454">
        <v>1</v>
      </c>
      <c r="D385" s="448" t="s">
        <v>410</v>
      </c>
      <c r="E385" s="448" t="s">
        <v>83</v>
      </c>
      <c r="F385" s="448" t="s">
        <v>411</v>
      </c>
      <c r="G385" s="448" t="s">
        <v>83</v>
      </c>
      <c r="H385" s="448" t="s">
        <v>83</v>
      </c>
      <c r="I385" s="448" t="s">
        <v>83</v>
      </c>
      <c r="J385" s="455"/>
      <c r="K385" s="467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t="11.25" customHeight="1">
      <c r="A386" s="454" t="s">
        <v>879</v>
      </c>
      <c r="B386" s="448" t="s">
        <v>17</v>
      </c>
      <c r="C386" s="448">
        <v>1</v>
      </c>
      <c r="D386" s="448" t="s">
        <v>880</v>
      </c>
      <c r="E386" s="454" t="s">
        <v>424</v>
      </c>
      <c r="F386" s="454" t="s">
        <v>411</v>
      </c>
      <c r="G386" s="448" t="s">
        <v>83</v>
      </c>
      <c r="H386" s="448" t="s">
        <v>83</v>
      </c>
      <c r="I386" s="448" t="s">
        <v>323</v>
      </c>
      <c r="J386" s="455"/>
      <c r="K386" s="467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12" s="458" customFormat="1" ht="11.25" customHeight="1">
      <c r="A387" s="448" t="s">
        <v>881</v>
      </c>
      <c r="B387" s="448" t="s">
        <v>17</v>
      </c>
      <c r="C387" s="448">
        <v>1</v>
      </c>
      <c r="D387" s="448" t="s">
        <v>495</v>
      </c>
      <c r="E387" s="454" t="s">
        <v>37</v>
      </c>
      <c r="F387" s="454" t="s">
        <v>547</v>
      </c>
      <c r="G387" s="448" t="s">
        <v>674</v>
      </c>
      <c r="H387" s="448">
        <v>4</v>
      </c>
      <c r="I387" s="448" t="s">
        <v>83</v>
      </c>
      <c r="J387" s="455"/>
      <c r="K387" s="454"/>
      <c r="L387" s="457"/>
    </row>
    <row r="388" spans="1:11" ht="11.25" customHeight="1">
      <c r="A388" s="454" t="s">
        <v>882</v>
      </c>
      <c r="B388" s="448" t="s">
        <v>17</v>
      </c>
      <c r="C388" s="448" t="s">
        <v>348</v>
      </c>
      <c r="D388" s="448" t="s">
        <v>410</v>
      </c>
      <c r="E388" s="448" t="s">
        <v>83</v>
      </c>
      <c r="F388" s="454" t="s">
        <v>411</v>
      </c>
      <c r="G388" s="448" t="s">
        <v>83</v>
      </c>
      <c r="H388" s="448" t="s">
        <v>83</v>
      </c>
      <c r="I388" s="448" t="s">
        <v>83</v>
      </c>
      <c r="J388" s="455"/>
      <c r="K388" s="454"/>
    </row>
    <row r="389" spans="1:11" ht="11.25" customHeight="1">
      <c r="A389" s="454" t="s">
        <v>883</v>
      </c>
      <c r="B389" s="448" t="s">
        <v>17</v>
      </c>
      <c r="C389" s="448">
        <v>1</v>
      </c>
      <c r="D389" s="448" t="s">
        <v>423</v>
      </c>
      <c r="E389" s="454" t="s">
        <v>424</v>
      </c>
      <c r="F389" s="454" t="s">
        <v>411</v>
      </c>
      <c r="G389" s="448" t="s">
        <v>83</v>
      </c>
      <c r="H389" s="448">
        <v>6</v>
      </c>
      <c r="I389" s="448" t="s">
        <v>655</v>
      </c>
      <c r="J389" s="455"/>
      <c r="K389" s="454"/>
    </row>
    <row r="390" spans="1:12" s="458" customFormat="1" ht="11.25" customHeight="1">
      <c r="A390" s="448" t="s">
        <v>884</v>
      </c>
      <c r="B390" s="448" t="s">
        <v>17</v>
      </c>
      <c r="C390" s="448">
        <v>1</v>
      </c>
      <c r="D390" s="448" t="s">
        <v>789</v>
      </c>
      <c r="E390" s="454" t="s">
        <v>174</v>
      </c>
      <c r="F390" s="454" t="s">
        <v>547</v>
      </c>
      <c r="G390" s="448" t="s">
        <v>83</v>
      </c>
      <c r="H390" s="448">
        <v>5</v>
      </c>
      <c r="I390" s="448" t="s">
        <v>323</v>
      </c>
      <c r="J390" s="455"/>
      <c r="K390" s="454"/>
      <c r="L390" s="457"/>
    </row>
    <row r="391" spans="1:11" ht="11.25" customHeight="1">
      <c r="A391" s="454" t="s">
        <v>885</v>
      </c>
      <c r="B391" s="448" t="s">
        <v>17</v>
      </c>
      <c r="C391" s="448" t="s">
        <v>348</v>
      </c>
      <c r="D391" s="448" t="s">
        <v>566</v>
      </c>
      <c r="E391" s="454" t="s">
        <v>424</v>
      </c>
      <c r="F391" s="454" t="s">
        <v>411</v>
      </c>
      <c r="G391" s="448" t="s">
        <v>83</v>
      </c>
      <c r="H391" s="448">
        <v>10</v>
      </c>
      <c r="I391" s="448">
        <v>1</v>
      </c>
      <c r="J391" s="455"/>
      <c r="K391" s="454"/>
    </row>
    <row r="392" spans="1:12" s="458" customFormat="1" ht="11.25" customHeight="1">
      <c r="A392" s="448" t="s">
        <v>886</v>
      </c>
      <c r="B392" s="448" t="s">
        <v>17</v>
      </c>
      <c r="C392" s="448" t="s">
        <v>348</v>
      </c>
      <c r="D392" s="448" t="s">
        <v>410</v>
      </c>
      <c r="E392" s="448" t="s">
        <v>83</v>
      </c>
      <c r="F392" s="454" t="s">
        <v>411</v>
      </c>
      <c r="G392" s="448" t="s">
        <v>83</v>
      </c>
      <c r="H392" s="448" t="s">
        <v>83</v>
      </c>
      <c r="I392" s="448" t="s">
        <v>83</v>
      </c>
      <c r="J392" s="455"/>
      <c r="K392" s="454"/>
      <c r="L392" s="457"/>
    </row>
    <row r="393" spans="1:11" ht="11.25" customHeight="1">
      <c r="A393" s="448" t="s">
        <v>887</v>
      </c>
      <c r="B393" s="448" t="s">
        <v>17</v>
      </c>
      <c r="C393" s="448">
        <v>1</v>
      </c>
      <c r="D393" s="448" t="s">
        <v>641</v>
      </c>
      <c r="E393" s="454" t="s">
        <v>424</v>
      </c>
      <c r="F393" s="454" t="s">
        <v>411</v>
      </c>
      <c r="G393" s="448" t="s">
        <v>83</v>
      </c>
      <c r="H393" s="448">
        <v>8</v>
      </c>
      <c r="I393" s="448" t="s">
        <v>323</v>
      </c>
      <c r="J393" s="455"/>
      <c r="K393" s="454"/>
    </row>
    <row r="394" spans="1:11" ht="11.25" customHeight="1">
      <c r="A394" s="445" t="s">
        <v>888</v>
      </c>
      <c r="B394" s="446" t="s">
        <v>322</v>
      </c>
      <c r="C394" s="446" t="s">
        <v>323</v>
      </c>
      <c r="D394" s="446" t="s">
        <v>324</v>
      </c>
      <c r="E394" s="446" t="s">
        <v>185</v>
      </c>
      <c r="F394" s="446" t="s">
        <v>325</v>
      </c>
      <c r="G394" s="446" t="s">
        <v>261</v>
      </c>
      <c r="H394" s="446" t="s">
        <v>326</v>
      </c>
      <c r="I394" s="446" t="s">
        <v>254</v>
      </c>
      <c r="J394" s="459" t="s">
        <v>327</v>
      </c>
      <c r="K394" s="447" t="s">
        <v>408</v>
      </c>
    </row>
    <row r="395" spans="1:256" ht="11.25" customHeight="1">
      <c r="A395" s="454" t="s">
        <v>889</v>
      </c>
      <c r="B395" s="454" t="s">
        <v>888</v>
      </c>
      <c r="C395" s="454" t="s">
        <v>348</v>
      </c>
      <c r="D395" s="454" t="s">
        <v>644</v>
      </c>
      <c r="E395" s="454" t="s">
        <v>424</v>
      </c>
      <c r="F395" s="454" t="s">
        <v>411</v>
      </c>
      <c r="G395" s="454" t="s">
        <v>83</v>
      </c>
      <c r="H395" s="448" t="s">
        <v>83</v>
      </c>
      <c r="I395" s="454">
        <v>1</v>
      </c>
      <c r="J395" s="455"/>
      <c r="K395" s="467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t="11.25" customHeight="1">
      <c r="A396" s="454" t="s">
        <v>890</v>
      </c>
      <c r="B396" s="454" t="s">
        <v>888</v>
      </c>
      <c r="C396" s="454" t="s">
        <v>348</v>
      </c>
      <c r="D396" s="454" t="s">
        <v>641</v>
      </c>
      <c r="E396" s="454" t="s">
        <v>424</v>
      </c>
      <c r="F396" s="454" t="s">
        <v>547</v>
      </c>
      <c r="G396" s="454" t="str">
        <f>20+IF(ISERROR(VLOOKUP("テリトリー",AR_スキルSL,7,0))=TRUE,"0",VLOOKUP("テリトリー",AR_スキルSL,7,0)*5)&amp;"m"</f>
        <v>20m</v>
      </c>
      <c r="H396" s="454" t="s">
        <v>83</v>
      </c>
      <c r="I396" s="454" t="s">
        <v>615</v>
      </c>
      <c r="J396" s="455"/>
      <c r="K396" s="467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t="11.25" customHeight="1">
      <c r="A397" s="454" t="s">
        <v>891</v>
      </c>
      <c r="B397" s="454" t="s">
        <v>888</v>
      </c>
      <c r="C397" s="454">
        <f>1+COUNTIF(AR_SHEET_装備,"古代竜の牙")</f>
        <v>1</v>
      </c>
      <c r="D397" s="454" t="s">
        <v>566</v>
      </c>
      <c r="E397" s="454" t="s">
        <v>424</v>
      </c>
      <c r="F397" s="454" t="s">
        <v>411</v>
      </c>
      <c r="G397" s="454" t="s">
        <v>83</v>
      </c>
      <c r="H397" s="454" t="s">
        <v>83</v>
      </c>
      <c r="I397" s="454" t="s">
        <v>323</v>
      </c>
      <c r="J397" s="455"/>
      <c r="K397" s="46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t="11.25" customHeight="1">
      <c r="A398" s="454" t="s">
        <v>892</v>
      </c>
      <c r="B398" s="454" t="s">
        <v>888</v>
      </c>
      <c r="C398" s="454">
        <v>1</v>
      </c>
      <c r="D398" s="454" t="s">
        <v>641</v>
      </c>
      <c r="E398" s="454" t="s">
        <v>424</v>
      </c>
      <c r="F398" s="454" t="s">
        <v>702</v>
      </c>
      <c r="G398" s="454" t="str">
        <f>20+IF(ISERROR(VLOOKUP("テリトリー",AR_スキルSL,7,0))=TRUE,"0",VLOOKUP("テリトリー",AR_スキルSL,7,0)*5)&amp;"m"</f>
        <v>20m</v>
      </c>
      <c r="H398" s="472">
        <f>9-IF(ISERROR(VLOOKUP("ブラッドパクト",AR_スキルSL,7,0))=TRUE,"0",VLOOKUP("ブラッドパクト",AR_スキルSL,7,0))</f>
        <v>9</v>
      </c>
      <c r="I398" s="454" t="s">
        <v>647</v>
      </c>
      <c r="J398" s="455" t="s">
        <v>893</v>
      </c>
      <c r="K398" s="467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t="11.25" customHeight="1">
      <c r="A399" s="454" t="s">
        <v>894</v>
      </c>
      <c r="B399" s="454" t="s">
        <v>888</v>
      </c>
      <c r="C399" s="454" t="s">
        <v>348</v>
      </c>
      <c r="D399" s="454" t="s">
        <v>566</v>
      </c>
      <c r="E399" s="448" t="s">
        <v>613</v>
      </c>
      <c r="F399" s="454" t="s">
        <v>702</v>
      </c>
      <c r="G399" s="454" t="str">
        <f>20+IF(ISERROR(VLOOKUP("テリトリー",AR_スキルSL,7,0))=TRUE,"0",VLOOKUP("テリトリー",AR_スキルSL,7,0)*5)&amp;"m"</f>
        <v>20m</v>
      </c>
      <c r="H399" s="472">
        <f>8-IF(ISERROR(VLOOKUP("ブラッドパクト",AR_スキルSL,7,0))=TRUE,"0",VLOOKUP("ブラッドパクト",AR_スキルSL,7,0))</f>
        <v>8</v>
      </c>
      <c r="I399" s="454" t="s">
        <v>83</v>
      </c>
      <c r="J399" s="455" t="s">
        <v>895</v>
      </c>
      <c r="K399" s="467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t="11.25" customHeight="1">
      <c r="A400" s="454" t="s">
        <v>896</v>
      </c>
      <c r="B400" s="454" t="s">
        <v>888</v>
      </c>
      <c r="C400" s="454" t="s">
        <v>348</v>
      </c>
      <c r="D400" s="454" t="s">
        <v>566</v>
      </c>
      <c r="E400" s="448" t="s">
        <v>613</v>
      </c>
      <c r="F400" s="454" t="s">
        <v>702</v>
      </c>
      <c r="G400" s="454" t="str">
        <f>20+IF(ISERROR(VLOOKUP("テリトリー",AR_スキルSL,7,0))=TRUE,"0",VLOOKUP("テリトリー",AR_スキルSL,7,0)*5)&amp;"m"</f>
        <v>20m</v>
      </c>
      <c r="H400" s="472">
        <f>8-IF(ISERROR(VLOOKUP("ブラッドパクト",AR_スキルSL,7,0))=TRUE,"0",VLOOKUP("ブラッドパクト",AR_スキルSL,7,0))</f>
        <v>8</v>
      </c>
      <c r="I400" s="454" t="s">
        <v>83</v>
      </c>
      <c r="J400" s="455"/>
      <c r="K400" s="467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t="11.25" customHeight="1">
      <c r="A401" s="454" t="s">
        <v>897</v>
      </c>
      <c r="B401" s="454" t="s">
        <v>888</v>
      </c>
      <c r="C401" s="454" t="s">
        <v>348</v>
      </c>
      <c r="D401" s="454" t="s">
        <v>566</v>
      </c>
      <c r="E401" s="448" t="s">
        <v>613</v>
      </c>
      <c r="F401" s="454" t="s">
        <v>702</v>
      </c>
      <c r="G401" s="454" t="str">
        <f>20+IF(ISERROR(VLOOKUP("テリトリー",AR_スキルSL,7,0))=TRUE,"0",VLOOKUP("テリトリー",AR_スキルSL,7,0)*5)&amp;"m"</f>
        <v>20m</v>
      </c>
      <c r="H401" s="472">
        <f>9-IF(ISERROR(VLOOKUP("ブラッドパクト",AR_スキルSL,7,0))=TRUE,"0",VLOOKUP("ブラッドパクト",AR_スキルSL,7,0))</f>
        <v>9</v>
      </c>
      <c r="I401" s="454" t="s">
        <v>83</v>
      </c>
      <c r="J401" s="455" t="s">
        <v>898</v>
      </c>
      <c r="K401" s="467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t="11.25" customHeight="1">
      <c r="A402" s="454" t="s">
        <v>899</v>
      </c>
      <c r="B402" s="454" t="s">
        <v>888</v>
      </c>
      <c r="C402" s="454" t="s">
        <v>348</v>
      </c>
      <c r="D402" s="454" t="s">
        <v>566</v>
      </c>
      <c r="E402" s="448" t="s">
        <v>613</v>
      </c>
      <c r="F402" s="454" t="s">
        <v>702</v>
      </c>
      <c r="G402" s="454" t="str">
        <f>20+IF(ISERROR(VLOOKUP("テリトリー",AR_スキルSL,7,0))=TRUE,"0",VLOOKUP("テリトリー",AR_スキルSL,7,0)*5)&amp;"m"</f>
        <v>20m</v>
      </c>
      <c r="H402" s="472">
        <f>8-IF(ISERROR(VLOOKUP("ブラッドパクト",AR_スキルSL,7,0))=TRUE,"0",VLOOKUP("ブラッドパクト",AR_スキルSL,7,0))</f>
        <v>8</v>
      </c>
      <c r="I402" s="454" t="s">
        <v>83</v>
      </c>
      <c r="J402" s="455" t="s">
        <v>900</v>
      </c>
      <c r="K402" s="467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t="11.25" customHeight="1">
      <c r="A403" s="454" t="s">
        <v>901</v>
      </c>
      <c r="B403" s="454" t="s">
        <v>888</v>
      </c>
      <c r="C403" s="454" t="s">
        <v>348</v>
      </c>
      <c r="D403" s="454" t="s">
        <v>566</v>
      </c>
      <c r="E403" s="448" t="s">
        <v>613</v>
      </c>
      <c r="F403" s="454" t="s">
        <v>702</v>
      </c>
      <c r="G403" s="454" t="str">
        <f>20+IF(ISERROR(VLOOKUP("テリトリー",AR_スキルSL,7,0))=TRUE,"0",VLOOKUP("テリトリー",AR_スキルSL,7,0)*5)&amp;"m"</f>
        <v>20m</v>
      </c>
      <c r="H403" s="472">
        <f>8-IF(ISERROR(VLOOKUP("ブラッドパクト",AR_スキルSL,7,0))=TRUE,"0",VLOOKUP("ブラッドパクト",AR_スキルSL,7,0))</f>
        <v>8</v>
      </c>
      <c r="I403" s="454" t="s">
        <v>83</v>
      </c>
      <c r="J403" s="455" t="s">
        <v>902</v>
      </c>
      <c r="K403" s="467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11.25" customHeight="1">
      <c r="A404" s="454" t="s">
        <v>903</v>
      </c>
      <c r="B404" s="454" t="s">
        <v>888</v>
      </c>
      <c r="C404" s="454" t="s">
        <v>348</v>
      </c>
      <c r="D404" s="454" t="s">
        <v>566</v>
      </c>
      <c r="E404" s="448" t="s">
        <v>613</v>
      </c>
      <c r="F404" s="454" t="s">
        <v>702</v>
      </c>
      <c r="G404" s="454" t="str">
        <f>20+IF(ISERROR(VLOOKUP("テリトリー",AR_スキルSL,7,0))=TRUE,"0",VLOOKUP("テリトリー",AR_スキルSL,7,0)*5)&amp;"m"</f>
        <v>20m</v>
      </c>
      <c r="H404" s="472">
        <f>8-IF(ISERROR(VLOOKUP("ブラッドパクト",AR_スキルSL,7,0))=TRUE,"0",VLOOKUP("ブラッドパクト",AR_スキルSL,7,0))</f>
        <v>8</v>
      </c>
      <c r="I404" s="454" t="s">
        <v>83</v>
      </c>
      <c r="J404" s="455" t="s">
        <v>904</v>
      </c>
      <c r="K404" s="467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1.25" customHeight="1">
      <c r="A405" s="454" t="s">
        <v>905</v>
      </c>
      <c r="B405" s="448" t="s">
        <v>888</v>
      </c>
      <c r="C405" s="448">
        <v>1</v>
      </c>
      <c r="D405" s="448" t="s">
        <v>410</v>
      </c>
      <c r="E405" s="448" t="s">
        <v>83</v>
      </c>
      <c r="F405" s="448" t="s">
        <v>411</v>
      </c>
      <c r="G405" s="448" t="s">
        <v>83</v>
      </c>
      <c r="H405" s="448" t="s">
        <v>83</v>
      </c>
      <c r="I405" s="448" t="s">
        <v>83</v>
      </c>
      <c r="J405" s="455" t="s">
        <v>906</v>
      </c>
      <c r="K405" s="467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11.25" customHeight="1">
      <c r="A406" s="448" t="s">
        <v>907</v>
      </c>
      <c r="B406" s="448" t="s">
        <v>888</v>
      </c>
      <c r="C406" s="448">
        <v>1</v>
      </c>
      <c r="D406" s="448" t="s">
        <v>410</v>
      </c>
      <c r="E406" s="448" t="s">
        <v>83</v>
      </c>
      <c r="F406" s="448" t="s">
        <v>411</v>
      </c>
      <c r="G406" s="448" t="s">
        <v>83</v>
      </c>
      <c r="H406" s="448" t="s">
        <v>83</v>
      </c>
      <c r="I406" s="448" t="s">
        <v>83</v>
      </c>
      <c r="J406" s="449" t="s">
        <v>908</v>
      </c>
      <c r="K406" s="467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11.25" customHeight="1">
      <c r="A407" s="448" t="s">
        <v>909</v>
      </c>
      <c r="B407" s="448" t="s">
        <v>888</v>
      </c>
      <c r="C407" s="448" t="s">
        <v>348</v>
      </c>
      <c r="D407" s="448" t="s">
        <v>644</v>
      </c>
      <c r="E407" s="448" t="s">
        <v>424</v>
      </c>
      <c r="F407" s="448" t="s">
        <v>411</v>
      </c>
      <c r="G407" s="448" t="s">
        <v>83</v>
      </c>
      <c r="H407" s="472">
        <f>IF(3-IF(ISERROR(VLOOKUP("ブラッドパクト",AR_スキルSL,7,0))=TRUE,"0",VLOOKUP("ブラッドパクト",AR_スキルSL,7,0))&lt;1,1,3-IF(ISERROR(VLOOKUP("ブラッドパクト",AR_スキルSL,7,0))=TRUE,"0",VLOOKUP("ブラッドパクト",AR_スキルSL,7,0)))</f>
        <v>3</v>
      </c>
      <c r="I407" s="448" t="s">
        <v>83</v>
      </c>
      <c r="J407" s="449"/>
      <c r="K407" s="46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1.25" customHeight="1">
      <c r="A408" s="454" t="s">
        <v>910</v>
      </c>
      <c r="B408" s="454" t="s">
        <v>888</v>
      </c>
      <c r="C408" s="448" t="s">
        <v>348</v>
      </c>
      <c r="D408" s="454" t="s">
        <v>566</v>
      </c>
      <c r="E408" s="448" t="s">
        <v>613</v>
      </c>
      <c r="F408" s="454" t="s">
        <v>547</v>
      </c>
      <c r="G408" s="454" t="str">
        <f>20+IF(ISERROR(VLOOKUP("テリトリー",AR_スキルSL,7,0))=TRUE,"0",VLOOKUP("テリトリー",AR_スキルSL,7,0)*5)&amp;"m"</f>
        <v>20m</v>
      </c>
      <c r="H408" s="472">
        <f>4-IF(ISERROR(VLOOKUP("ブラッドパクト",AR_スキルSL,7,0))=TRUE,"0",VLOOKUP("ブラッドパクト",AR_スキルSL,7,0))</f>
        <v>4</v>
      </c>
      <c r="I408" s="454" t="s">
        <v>83</v>
      </c>
      <c r="J408" s="455" t="s">
        <v>911</v>
      </c>
      <c r="K408" s="467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t="11.25" customHeight="1">
      <c r="A409" s="448" t="s">
        <v>912</v>
      </c>
      <c r="B409" s="448" t="s">
        <v>888</v>
      </c>
      <c r="C409" s="448">
        <v>1</v>
      </c>
      <c r="D409" s="448" t="s">
        <v>410</v>
      </c>
      <c r="E409" s="448" t="s">
        <v>83</v>
      </c>
      <c r="F409" s="448" t="s">
        <v>411</v>
      </c>
      <c r="G409" s="448" t="s">
        <v>83</v>
      </c>
      <c r="H409" s="448" t="s">
        <v>83</v>
      </c>
      <c r="I409" s="448" t="s">
        <v>83</v>
      </c>
      <c r="J409" s="449"/>
      <c r="K409" s="467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t="11.25" customHeight="1">
      <c r="A410" s="454" t="s">
        <v>913</v>
      </c>
      <c r="B410" s="454" t="s">
        <v>888</v>
      </c>
      <c r="C410" s="454">
        <v>1</v>
      </c>
      <c r="D410" s="454" t="s">
        <v>566</v>
      </c>
      <c r="E410" s="448" t="s">
        <v>37</v>
      </c>
      <c r="F410" s="454" t="s">
        <v>547</v>
      </c>
      <c r="G410" s="454" t="str">
        <f>20+IF(ISERROR(VLOOKUP("テリトリー",AR_スキルSL,7,0))=TRUE,"0",VLOOKUP("テリトリー",AR_スキルSL,7,0)*5)&amp;"m"</f>
        <v>20m</v>
      </c>
      <c r="H410" s="472">
        <f>5-IF(ISERROR(VLOOKUP("ブラッドパクト",AR_スキルSL,7,0))=TRUE,"0",VLOOKUP("ブラッドパクト",AR_スキルSL,7,0))</f>
        <v>5</v>
      </c>
      <c r="I410" s="454" t="s">
        <v>83</v>
      </c>
      <c r="J410" s="455"/>
      <c r="K410" s="467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12" s="451" customFormat="1" ht="11.25" customHeight="1">
      <c r="A411" s="448" t="s">
        <v>914</v>
      </c>
      <c r="B411" s="454" t="s">
        <v>888</v>
      </c>
      <c r="C411" s="448">
        <v>1</v>
      </c>
      <c r="D411" s="448" t="s">
        <v>410</v>
      </c>
      <c r="E411" s="448" t="s">
        <v>83</v>
      </c>
      <c r="F411" s="448" t="s">
        <v>411</v>
      </c>
      <c r="G411" s="448" t="s">
        <v>83</v>
      </c>
      <c r="H411" s="448" t="s">
        <v>83</v>
      </c>
      <c r="I411" s="448" t="s">
        <v>83</v>
      </c>
      <c r="J411" s="449" t="s">
        <v>915</v>
      </c>
      <c r="K411" s="448"/>
      <c r="L411" s="450"/>
    </row>
    <row r="412" spans="1:256" ht="11.25" customHeight="1">
      <c r="A412" s="448" t="s">
        <v>916</v>
      </c>
      <c r="B412" s="448" t="s">
        <v>888</v>
      </c>
      <c r="C412" s="448">
        <v>1</v>
      </c>
      <c r="D412" s="448" t="s">
        <v>410</v>
      </c>
      <c r="E412" s="448" t="s">
        <v>83</v>
      </c>
      <c r="F412" s="448" t="s">
        <v>411</v>
      </c>
      <c r="G412" s="448" t="s">
        <v>83</v>
      </c>
      <c r="H412" s="448" t="s">
        <v>83</v>
      </c>
      <c r="I412" s="448" t="s">
        <v>83</v>
      </c>
      <c r="J412" s="449" t="s">
        <v>917</v>
      </c>
      <c r="K412" s="467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t="11.25" customHeight="1">
      <c r="A413" s="454" t="s">
        <v>918</v>
      </c>
      <c r="B413" s="454" t="s">
        <v>888</v>
      </c>
      <c r="C413" s="454">
        <v>1</v>
      </c>
      <c r="D413" s="454" t="s">
        <v>644</v>
      </c>
      <c r="E413" s="454" t="s">
        <v>424</v>
      </c>
      <c r="F413" s="454" t="s">
        <v>411</v>
      </c>
      <c r="G413" s="454" t="s">
        <v>83</v>
      </c>
      <c r="H413" s="472">
        <f>4-IF(ISERROR(VLOOKUP("ブラッドパクト",AR_スキルSL,7,0))=TRUE,"0",VLOOKUP("ブラッドパクト",AR_スキルSL,7,0))</f>
        <v>4</v>
      </c>
      <c r="I413" s="454" t="s">
        <v>83</v>
      </c>
      <c r="J413" s="455" t="s">
        <v>919</v>
      </c>
      <c r="K413" s="467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11" ht="11.25" customHeight="1">
      <c r="A414" s="454" t="s">
        <v>920</v>
      </c>
      <c r="B414" s="454" t="s">
        <v>888</v>
      </c>
      <c r="C414" s="454">
        <v>1</v>
      </c>
      <c r="D414" s="454" t="s">
        <v>644</v>
      </c>
      <c r="E414" s="454" t="s">
        <v>424</v>
      </c>
      <c r="F414" s="454" t="s">
        <v>411</v>
      </c>
      <c r="G414" s="454" t="s">
        <v>83</v>
      </c>
      <c r="H414" s="454" t="s">
        <v>83</v>
      </c>
      <c r="I414" s="454" t="s">
        <v>83</v>
      </c>
      <c r="J414" s="449"/>
      <c r="K414" s="448"/>
    </row>
    <row r="415" spans="1:12" s="451" customFormat="1" ht="11.25" customHeight="1">
      <c r="A415" s="454" t="s">
        <v>921</v>
      </c>
      <c r="B415" s="454" t="s">
        <v>888</v>
      </c>
      <c r="C415" s="448" t="s">
        <v>348</v>
      </c>
      <c r="D415" s="454" t="s">
        <v>488</v>
      </c>
      <c r="E415" s="454" t="s">
        <v>424</v>
      </c>
      <c r="F415" s="454" t="s">
        <v>411</v>
      </c>
      <c r="G415" s="454" t="s">
        <v>83</v>
      </c>
      <c r="H415" s="454" t="s">
        <v>83</v>
      </c>
      <c r="I415" s="454" t="s">
        <v>83</v>
      </c>
      <c r="J415" s="449"/>
      <c r="K415" s="448"/>
      <c r="L415" s="450"/>
    </row>
    <row r="416" spans="1:12" s="451" customFormat="1" ht="11.25" customHeight="1">
      <c r="A416" s="448" t="s">
        <v>922</v>
      </c>
      <c r="B416" s="454" t="s">
        <v>888</v>
      </c>
      <c r="C416" s="448">
        <v>1</v>
      </c>
      <c r="D416" s="448" t="s">
        <v>923</v>
      </c>
      <c r="E416" s="454" t="s">
        <v>424</v>
      </c>
      <c r="F416" s="454" t="s">
        <v>411</v>
      </c>
      <c r="G416" s="454" t="s">
        <v>83</v>
      </c>
      <c r="H416" s="454">
        <v>3</v>
      </c>
      <c r="I416" s="454" t="s">
        <v>83</v>
      </c>
      <c r="J416" s="449"/>
      <c r="K416" s="448"/>
      <c r="L416" s="450"/>
    </row>
    <row r="417" spans="1:12" s="451" customFormat="1" ht="11.25" customHeight="1">
      <c r="A417" s="448" t="s">
        <v>924</v>
      </c>
      <c r="B417" s="454" t="s">
        <v>888</v>
      </c>
      <c r="C417" s="448" t="s">
        <v>348</v>
      </c>
      <c r="D417" s="448" t="s">
        <v>410</v>
      </c>
      <c r="E417" s="454" t="s">
        <v>83</v>
      </c>
      <c r="F417" s="454" t="s">
        <v>411</v>
      </c>
      <c r="G417" s="454" t="s">
        <v>83</v>
      </c>
      <c r="H417" s="454" t="s">
        <v>83</v>
      </c>
      <c r="I417" s="454" t="s">
        <v>83</v>
      </c>
      <c r="J417" s="449"/>
      <c r="K417" s="448"/>
      <c r="L417" s="450"/>
    </row>
    <row r="418" spans="1:12" s="451" customFormat="1" ht="11.25" customHeight="1">
      <c r="A418" s="448" t="s">
        <v>925</v>
      </c>
      <c r="B418" s="454" t="s">
        <v>888</v>
      </c>
      <c r="C418" s="448">
        <v>1</v>
      </c>
      <c r="D418" s="448" t="s">
        <v>410</v>
      </c>
      <c r="E418" s="454" t="s">
        <v>83</v>
      </c>
      <c r="F418" s="454" t="s">
        <v>411</v>
      </c>
      <c r="G418" s="454" t="s">
        <v>83</v>
      </c>
      <c r="H418" s="454" t="s">
        <v>83</v>
      </c>
      <c r="I418" s="454" t="s">
        <v>83</v>
      </c>
      <c r="J418" s="449"/>
      <c r="K418" s="448"/>
      <c r="L418" s="450"/>
    </row>
    <row r="419" spans="1:12" s="451" customFormat="1" ht="11.25" customHeight="1">
      <c r="A419" s="454" t="s">
        <v>926</v>
      </c>
      <c r="B419" s="454" t="s">
        <v>888</v>
      </c>
      <c r="C419" s="448" t="s">
        <v>348</v>
      </c>
      <c r="D419" s="448" t="s">
        <v>410</v>
      </c>
      <c r="E419" s="454" t="s">
        <v>83</v>
      </c>
      <c r="F419" s="454" t="s">
        <v>411</v>
      </c>
      <c r="G419" s="454" t="s">
        <v>83</v>
      </c>
      <c r="H419" s="454" t="s">
        <v>83</v>
      </c>
      <c r="I419" s="454" t="s">
        <v>83</v>
      </c>
      <c r="J419" s="449"/>
      <c r="K419" s="448"/>
      <c r="L419" s="450"/>
    </row>
    <row r="420" spans="1:12" s="451" customFormat="1" ht="11.25" customHeight="1">
      <c r="A420" s="454" t="s">
        <v>927</v>
      </c>
      <c r="B420" s="454" t="s">
        <v>888</v>
      </c>
      <c r="C420" s="448" t="s">
        <v>348</v>
      </c>
      <c r="D420" s="448" t="s">
        <v>410</v>
      </c>
      <c r="E420" s="454" t="s">
        <v>83</v>
      </c>
      <c r="F420" s="454" t="s">
        <v>411</v>
      </c>
      <c r="G420" s="454" t="s">
        <v>83</v>
      </c>
      <c r="H420" s="454" t="s">
        <v>83</v>
      </c>
      <c r="I420" s="454" t="s">
        <v>83</v>
      </c>
      <c r="J420" s="455"/>
      <c r="K420" s="448"/>
      <c r="L420" s="450"/>
    </row>
    <row r="421" spans="1:12" s="451" customFormat="1" ht="11.25" customHeight="1">
      <c r="A421" s="454" t="s">
        <v>928</v>
      </c>
      <c r="B421" s="454" t="s">
        <v>888</v>
      </c>
      <c r="C421" s="448">
        <v>1</v>
      </c>
      <c r="D421" s="448" t="s">
        <v>644</v>
      </c>
      <c r="E421" s="454" t="s">
        <v>424</v>
      </c>
      <c r="F421" s="454" t="s">
        <v>411</v>
      </c>
      <c r="G421" s="454" t="s">
        <v>83</v>
      </c>
      <c r="H421" s="454">
        <v>7</v>
      </c>
      <c r="I421" s="454" t="s">
        <v>83</v>
      </c>
      <c r="J421" s="455"/>
      <c r="K421" s="448"/>
      <c r="L421" s="450"/>
    </row>
    <row r="422" spans="1:12" s="451" customFormat="1" ht="11.25" customHeight="1">
      <c r="A422" s="454" t="s">
        <v>929</v>
      </c>
      <c r="B422" s="454" t="s">
        <v>888</v>
      </c>
      <c r="C422" s="448" t="s">
        <v>348</v>
      </c>
      <c r="D422" s="448" t="s">
        <v>566</v>
      </c>
      <c r="E422" s="454" t="s">
        <v>424</v>
      </c>
      <c r="F422" s="454" t="s">
        <v>411</v>
      </c>
      <c r="G422" s="454" t="s">
        <v>83</v>
      </c>
      <c r="H422" s="454">
        <v>9</v>
      </c>
      <c r="I422" s="454" t="s">
        <v>83</v>
      </c>
      <c r="J422" s="455"/>
      <c r="K422" s="448"/>
      <c r="L422" s="450"/>
    </row>
    <row r="423" spans="1:11" ht="11.25" customHeight="1">
      <c r="A423" s="445" t="s">
        <v>930</v>
      </c>
      <c r="B423" s="446" t="s">
        <v>322</v>
      </c>
      <c r="C423" s="446" t="s">
        <v>323</v>
      </c>
      <c r="D423" s="446" t="s">
        <v>324</v>
      </c>
      <c r="E423" s="446" t="s">
        <v>185</v>
      </c>
      <c r="F423" s="446" t="s">
        <v>325</v>
      </c>
      <c r="G423" s="446" t="s">
        <v>261</v>
      </c>
      <c r="H423" s="446" t="s">
        <v>326</v>
      </c>
      <c r="I423" s="446" t="s">
        <v>254</v>
      </c>
      <c r="J423" s="459" t="s">
        <v>327</v>
      </c>
      <c r="K423" s="447" t="s">
        <v>408</v>
      </c>
    </row>
    <row r="424" spans="1:256" ht="11.25" customHeight="1">
      <c r="A424" s="448" t="s">
        <v>931</v>
      </c>
      <c r="B424" s="448" t="s">
        <v>930</v>
      </c>
      <c r="C424" s="448" t="s">
        <v>348</v>
      </c>
      <c r="D424" s="448" t="s">
        <v>410</v>
      </c>
      <c r="E424" s="448" t="s">
        <v>83</v>
      </c>
      <c r="F424" s="448" t="s">
        <v>411</v>
      </c>
      <c r="G424" s="448" t="s">
        <v>83</v>
      </c>
      <c r="H424" s="448" t="s">
        <v>83</v>
      </c>
      <c r="I424" s="448" t="s">
        <v>83</v>
      </c>
      <c r="J424" s="449"/>
      <c r="K424" s="45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t="11.25" customHeight="1">
      <c r="A425" s="454" t="s">
        <v>932</v>
      </c>
      <c r="B425" s="454" t="s">
        <v>930</v>
      </c>
      <c r="C425" s="454">
        <v>1</v>
      </c>
      <c r="D425" s="454" t="s">
        <v>566</v>
      </c>
      <c r="E425" s="448" t="s">
        <v>174</v>
      </c>
      <c r="F425" s="454" t="s">
        <v>327</v>
      </c>
      <c r="G425" s="454" t="s">
        <v>630</v>
      </c>
      <c r="H425" s="454">
        <v>4</v>
      </c>
      <c r="I425" s="454" t="s">
        <v>83</v>
      </c>
      <c r="J425" s="455"/>
      <c r="K425" s="454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t="11.25" customHeight="1">
      <c r="A426" s="454" t="s">
        <v>933</v>
      </c>
      <c r="B426" s="454" t="s">
        <v>930</v>
      </c>
      <c r="C426" s="454">
        <v>1</v>
      </c>
      <c r="D426" s="454" t="s">
        <v>644</v>
      </c>
      <c r="E426" s="454" t="s">
        <v>424</v>
      </c>
      <c r="F426" s="454" t="s">
        <v>411</v>
      </c>
      <c r="G426" s="454" t="s">
        <v>83</v>
      </c>
      <c r="H426" s="454">
        <v>2</v>
      </c>
      <c r="I426" s="454" t="s">
        <v>83</v>
      </c>
      <c r="J426" s="455"/>
      <c r="K426" s="454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t="11.25" customHeight="1">
      <c r="A427" s="454" t="s">
        <v>934</v>
      </c>
      <c r="B427" s="454" t="s">
        <v>930</v>
      </c>
      <c r="C427" s="454">
        <v>1</v>
      </c>
      <c r="D427" s="454" t="s">
        <v>644</v>
      </c>
      <c r="E427" s="454" t="s">
        <v>424</v>
      </c>
      <c r="F427" s="454" t="s">
        <v>411</v>
      </c>
      <c r="G427" s="454" t="s">
        <v>83</v>
      </c>
      <c r="H427" s="454">
        <v>8</v>
      </c>
      <c r="I427" s="454" t="s">
        <v>655</v>
      </c>
      <c r="J427" s="455"/>
      <c r="K427" s="454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ht="11.25" customHeight="1">
      <c r="A428" s="454" t="s">
        <v>935</v>
      </c>
      <c r="B428" s="454" t="s">
        <v>930</v>
      </c>
      <c r="C428" s="454" t="s">
        <v>348</v>
      </c>
      <c r="D428" s="454" t="s">
        <v>644</v>
      </c>
      <c r="E428" s="454" t="s">
        <v>424</v>
      </c>
      <c r="F428" s="454" t="s">
        <v>411</v>
      </c>
      <c r="G428" s="454" t="s">
        <v>83</v>
      </c>
      <c r="H428" s="454">
        <v>2</v>
      </c>
      <c r="I428" s="454" t="s">
        <v>83</v>
      </c>
      <c r="J428" s="467"/>
      <c r="K428" s="454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t="11.25" customHeight="1">
      <c r="A429" s="454" t="s">
        <v>936</v>
      </c>
      <c r="B429" s="454" t="s">
        <v>930</v>
      </c>
      <c r="C429" s="454" t="s">
        <v>348</v>
      </c>
      <c r="D429" s="454" t="s">
        <v>644</v>
      </c>
      <c r="E429" s="454" t="s">
        <v>424</v>
      </c>
      <c r="F429" s="454" t="s">
        <v>411</v>
      </c>
      <c r="G429" s="454" t="s">
        <v>83</v>
      </c>
      <c r="H429" s="454">
        <v>3</v>
      </c>
      <c r="I429" s="454" t="s">
        <v>83</v>
      </c>
      <c r="J429" s="455"/>
      <c r="K429" s="454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t="11.25" customHeight="1">
      <c r="A430" s="454" t="s">
        <v>937</v>
      </c>
      <c r="B430" s="454" t="s">
        <v>930</v>
      </c>
      <c r="C430" s="454">
        <v>1</v>
      </c>
      <c r="D430" s="448" t="s">
        <v>410</v>
      </c>
      <c r="E430" s="448" t="s">
        <v>83</v>
      </c>
      <c r="F430" s="448" t="s">
        <v>411</v>
      </c>
      <c r="G430" s="448" t="s">
        <v>83</v>
      </c>
      <c r="H430" s="448" t="s">
        <v>83</v>
      </c>
      <c r="I430" s="448" t="s">
        <v>83</v>
      </c>
      <c r="J430" s="449"/>
      <c r="K430" s="454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t="11.25" customHeight="1">
      <c r="A431" s="454" t="s">
        <v>938</v>
      </c>
      <c r="B431" s="454" t="s">
        <v>930</v>
      </c>
      <c r="C431" s="454">
        <v>1</v>
      </c>
      <c r="D431" s="454" t="s">
        <v>644</v>
      </c>
      <c r="E431" s="454" t="s">
        <v>424</v>
      </c>
      <c r="F431" s="454" t="s">
        <v>411</v>
      </c>
      <c r="G431" s="454" t="s">
        <v>83</v>
      </c>
      <c r="H431" s="454">
        <v>4</v>
      </c>
      <c r="I431" s="454" t="s">
        <v>83</v>
      </c>
      <c r="J431" s="449"/>
      <c r="K431" s="454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12" s="451" customFormat="1" ht="11.25" customHeight="1">
      <c r="A432" s="448" t="s">
        <v>939</v>
      </c>
      <c r="B432" s="454" t="s">
        <v>930</v>
      </c>
      <c r="C432" s="448">
        <v>1</v>
      </c>
      <c r="D432" s="448" t="s">
        <v>789</v>
      </c>
      <c r="E432" s="448" t="s">
        <v>174</v>
      </c>
      <c r="F432" s="448" t="s">
        <v>411</v>
      </c>
      <c r="G432" s="448" t="s">
        <v>83</v>
      </c>
      <c r="H432" s="448">
        <v>5</v>
      </c>
      <c r="I432" s="448" t="s">
        <v>323</v>
      </c>
      <c r="J432" s="449"/>
      <c r="K432" s="454"/>
      <c r="L432" s="450"/>
    </row>
    <row r="433" spans="1:256" ht="11.25" customHeight="1">
      <c r="A433" s="448" t="s">
        <v>940</v>
      </c>
      <c r="B433" s="448" t="s">
        <v>930</v>
      </c>
      <c r="C433" s="454" t="s">
        <v>348</v>
      </c>
      <c r="D433" s="448" t="s">
        <v>410</v>
      </c>
      <c r="E433" s="448" t="s">
        <v>83</v>
      </c>
      <c r="F433" s="448" t="s">
        <v>411</v>
      </c>
      <c r="G433" s="448" t="s">
        <v>83</v>
      </c>
      <c r="H433" s="448" t="s">
        <v>83</v>
      </c>
      <c r="I433" s="448" t="s">
        <v>83</v>
      </c>
      <c r="J433" s="449"/>
      <c r="K433" s="454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t="11.25" customHeight="1">
      <c r="A434" s="448" t="s">
        <v>941</v>
      </c>
      <c r="B434" s="448" t="s">
        <v>930</v>
      </c>
      <c r="C434" s="448">
        <v>1</v>
      </c>
      <c r="D434" s="448" t="s">
        <v>410</v>
      </c>
      <c r="E434" s="448" t="s">
        <v>83</v>
      </c>
      <c r="F434" s="448" t="s">
        <v>411</v>
      </c>
      <c r="G434" s="448" t="s">
        <v>83</v>
      </c>
      <c r="H434" s="448" t="s">
        <v>83</v>
      </c>
      <c r="I434" s="448" t="s">
        <v>83</v>
      </c>
      <c r="J434" s="449"/>
      <c r="K434" s="45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t="11.25" customHeight="1">
      <c r="A435" s="448" t="s">
        <v>942</v>
      </c>
      <c r="B435" s="448" t="s">
        <v>930</v>
      </c>
      <c r="C435" s="448">
        <v>1</v>
      </c>
      <c r="D435" s="448" t="s">
        <v>410</v>
      </c>
      <c r="E435" s="448" t="s">
        <v>83</v>
      </c>
      <c r="F435" s="448" t="s">
        <v>411</v>
      </c>
      <c r="G435" s="448" t="s">
        <v>83</v>
      </c>
      <c r="H435" s="448" t="s">
        <v>83</v>
      </c>
      <c r="I435" s="448" t="s">
        <v>83</v>
      </c>
      <c r="J435" s="449"/>
      <c r="K435" s="454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t="11.25" customHeight="1">
      <c r="A436" s="448" t="s">
        <v>943</v>
      </c>
      <c r="B436" s="448" t="s">
        <v>930</v>
      </c>
      <c r="C436" s="448">
        <v>1</v>
      </c>
      <c r="D436" s="448" t="s">
        <v>410</v>
      </c>
      <c r="E436" s="448" t="s">
        <v>83</v>
      </c>
      <c r="F436" s="448" t="s">
        <v>411</v>
      </c>
      <c r="G436" s="448" t="s">
        <v>83</v>
      </c>
      <c r="H436" s="448" t="s">
        <v>83</v>
      </c>
      <c r="I436" s="448" t="s">
        <v>83</v>
      </c>
      <c r="J436" s="449"/>
      <c r="K436" s="454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11.25" customHeight="1">
      <c r="A437" s="448" t="s">
        <v>944</v>
      </c>
      <c r="B437" s="448" t="s">
        <v>930</v>
      </c>
      <c r="C437" s="448">
        <v>1</v>
      </c>
      <c r="D437" s="448" t="s">
        <v>410</v>
      </c>
      <c r="E437" s="448" t="s">
        <v>83</v>
      </c>
      <c r="F437" s="448" t="s">
        <v>411</v>
      </c>
      <c r="G437" s="448" t="s">
        <v>83</v>
      </c>
      <c r="H437" s="448" t="s">
        <v>83</v>
      </c>
      <c r="I437" s="448" t="s">
        <v>83</v>
      </c>
      <c r="J437" s="449"/>
      <c r="K437" s="454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11.25" customHeight="1">
      <c r="A438" s="448" t="s">
        <v>945</v>
      </c>
      <c r="B438" s="448" t="s">
        <v>930</v>
      </c>
      <c r="C438" s="448">
        <v>1</v>
      </c>
      <c r="D438" s="448" t="s">
        <v>410</v>
      </c>
      <c r="E438" s="448" t="s">
        <v>83</v>
      </c>
      <c r="F438" s="448" t="s">
        <v>411</v>
      </c>
      <c r="G438" s="448" t="s">
        <v>83</v>
      </c>
      <c r="H438" s="448" t="s">
        <v>83</v>
      </c>
      <c r="I438" s="448" t="s">
        <v>83</v>
      </c>
      <c r="J438" s="449"/>
      <c r="K438" s="454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t="11.25" customHeight="1">
      <c r="A439" s="448" t="s">
        <v>946</v>
      </c>
      <c r="B439" s="448" t="s">
        <v>930</v>
      </c>
      <c r="C439" s="448">
        <v>1</v>
      </c>
      <c r="D439" s="448" t="s">
        <v>410</v>
      </c>
      <c r="E439" s="448" t="s">
        <v>83</v>
      </c>
      <c r="F439" s="448" t="s">
        <v>411</v>
      </c>
      <c r="G439" s="448" t="s">
        <v>83</v>
      </c>
      <c r="H439" s="448" t="s">
        <v>83</v>
      </c>
      <c r="I439" s="448" t="s">
        <v>83</v>
      </c>
      <c r="J439" s="449"/>
      <c r="K439" s="454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11.25" customHeight="1">
      <c r="A440" s="448" t="s">
        <v>947</v>
      </c>
      <c r="B440" s="448" t="s">
        <v>930</v>
      </c>
      <c r="C440" s="448">
        <v>1</v>
      </c>
      <c r="D440" s="448" t="s">
        <v>410</v>
      </c>
      <c r="E440" s="448" t="s">
        <v>83</v>
      </c>
      <c r="F440" s="448" t="s">
        <v>411</v>
      </c>
      <c r="G440" s="448" t="s">
        <v>83</v>
      </c>
      <c r="H440" s="448" t="s">
        <v>83</v>
      </c>
      <c r="I440" s="448" t="s">
        <v>83</v>
      </c>
      <c r="J440" s="449"/>
      <c r="K440" s="454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11.25" customHeight="1">
      <c r="A441" s="448" t="s">
        <v>948</v>
      </c>
      <c r="B441" s="448" t="s">
        <v>930</v>
      </c>
      <c r="C441" s="448">
        <v>1</v>
      </c>
      <c r="D441" s="448" t="s">
        <v>410</v>
      </c>
      <c r="E441" s="448" t="s">
        <v>83</v>
      </c>
      <c r="F441" s="448" t="s">
        <v>411</v>
      </c>
      <c r="G441" s="448" t="s">
        <v>83</v>
      </c>
      <c r="H441" s="448" t="s">
        <v>83</v>
      </c>
      <c r="I441" s="448" t="s">
        <v>83</v>
      </c>
      <c r="J441" s="449"/>
      <c r="K441" s="454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t="11.25" customHeight="1">
      <c r="A442" s="448" t="s">
        <v>949</v>
      </c>
      <c r="B442" s="448" t="s">
        <v>930</v>
      </c>
      <c r="C442" s="448">
        <v>1</v>
      </c>
      <c r="D442" s="448" t="s">
        <v>410</v>
      </c>
      <c r="E442" s="448" t="s">
        <v>83</v>
      </c>
      <c r="F442" s="448" t="s">
        <v>411</v>
      </c>
      <c r="G442" s="448" t="s">
        <v>83</v>
      </c>
      <c r="H442" s="448" t="s">
        <v>83</v>
      </c>
      <c r="I442" s="448" t="s">
        <v>83</v>
      </c>
      <c r="J442" s="449"/>
      <c r="K442" s="454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11.25" customHeight="1">
      <c r="A443" s="448" t="s">
        <v>950</v>
      </c>
      <c r="B443" s="448" t="s">
        <v>930</v>
      </c>
      <c r="C443" s="448">
        <v>1</v>
      </c>
      <c r="D443" s="448" t="s">
        <v>410</v>
      </c>
      <c r="E443" s="448" t="s">
        <v>83</v>
      </c>
      <c r="F443" s="448" t="s">
        <v>411</v>
      </c>
      <c r="G443" s="448" t="s">
        <v>83</v>
      </c>
      <c r="H443" s="448" t="s">
        <v>83</v>
      </c>
      <c r="I443" s="448" t="s">
        <v>83</v>
      </c>
      <c r="J443" s="449"/>
      <c r="K443" s="454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11.25" customHeight="1">
      <c r="A444" s="448" t="s">
        <v>951</v>
      </c>
      <c r="B444" s="448" t="s">
        <v>930</v>
      </c>
      <c r="C444" s="448">
        <v>1</v>
      </c>
      <c r="D444" s="448" t="s">
        <v>410</v>
      </c>
      <c r="E444" s="448" t="s">
        <v>83</v>
      </c>
      <c r="F444" s="448" t="s">
        <v>411</v>
      </c>
      <c r="G444" s="448" t="s">
        <v>83</v>
      </c>
      <c r="H444" s="448" t="s">
        <v>83</v>
      </c>
      <c r="I444" s="448" t="s">
        <v>83</v>
      </c>
      <c r="J444" s="449"/>
      <c r="K444" s="45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t="11.25" customHeight="1">
      <c r="A445" s="448" t="s">
        <v>952</v>
      </c>
      <c r="B445" s="448" t="s">
        <v>930</v>
      </c>
      <c r="C445" s="448">
        <v>1</v>
      </c>
      <c r="D445" s="448" t="s">
        <v>410</v>
      </c>
      <c r="E445" s="448" t="s">
        <v>83</v>
      </c>
      <c r="F445" s="448" t="s">
        <v>411</v>
      </c>
      <c r="G445" s="448" t="s">
        <v>83</v>
      </c>
      <c r="H445" s="448" t="s">
        <v>83</v>
      </c>
      <c r="I445" s="448" t="s">
        <v>83</v>
      </c>
      <c r="J445" s="449"/>
      <c r="K445" s="454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11.25" customHeight="1">
      <c r="A446" s="448" t="s">
        <v>953</v>
      </c>
      <c r="B446" s="448" t="s">
        <v>930</v>
      </c>
      <c r="C446" s="448">
        <v>1</v>
      </c>
      <c r="D446" s="448" t="s">
        <v>410</v>
      </c>
      <c r="E446" s="448" t="s">
        <v>83</v>
      </c>
      <c r="F446" s="448" t="s">
        <v>411</v>
      </c>
      <c r="G446" s="448" t="s">
        <v>83</v>
      </c>
      <c r="H446" s="448" t="s">
        <v>83</v>
      </c>
      <c r="I446" s="448" t="s">
        <v>83</v>
      </c>
      <c r="J446" s="449"/>
      <c r="K446" s="454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11.25" customHeight="1">
      <c r="A447" s="448" t="s">
        <v>954</v>
      </c>
      <c r="B447" s="448" t="s">
        <v>930</v>
      </c>
      <c r="C447" s="448">
        <v>1</v>
      </c>
      <c r="D447" s="448" t="s">
        <v>410</v>
      </c>
      <c r="E447" s="448" t="s">
        <v>83</v>
      </c>
      <c r="F447" s="448" t="s">
        <v>411</v>
      </c>
      <c r="G447" s="448" t="s">
        <v>83</v>
      </c>
      <c r="H447" s="448" t="s">
        <v>83</v>
      </c>
      <c r="I447" s="448" t="s">
        <v>83</v>
      </c>
      <c r="J447" s="449"/>
      <c r="K447" s="454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t="11.25" customHeight="1">
      <c r="A448" s="454" t="s">
        <v>955</v>
      </c>
      <c r="B448" s="454" t="s">
        <v>930</v>
      </c>
      <c r="C448" s="454">
        <v>1</v>
      </c>
      <c r="D448" s="454" t="s">
        <v>652</v>
      </c>
      <c r="E448" s="454" t="s">
        <v>424</v>
      </c>
      <c r="F448" s="454" t="s">
        <v>411</v>
      </c>
      <c r="G448" s="454" t="s">
        <v>83</v>
      </c>
      <c r="H448" s="454">
        <v>5</v>
      </c>
      <c r="I448" s="454" t="s">
        <v>323</v>
      </c>
      <c r="J448" s="449"/>
      <c r="K448" s="454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t="11.25" customHeight="1">
      <c r="A449" s="454" t="s">
        <v>956</v>
      </c>
      <c r="B449" s="454" t="s">
        <v>930</v>
      </c>
      <c r="C449" s="454">
        <v>1</v>
      </c>
      <c r="D449" s="454" t="s">
        <v>488</v>
      </c>
      <c r="E449" s="454" t="s">
        <v>424</v>
      </c>
      <c r="F449" s="454" t="s">
        <v>411</v>
      </c>
      <c r="G449" s="454" t="s">
        <v>83</v>
      </c>
      <c r="H449" s="454" t="s">
        <v>83</v>
      </c>
      <c r="I449" s="454" t="s">
        <v>655</v>
      </c>
      <c r="J449" s="455"/>
      <c r="K449" s="454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t="11.25" customHeight="1">
      <c r="A450" s="454" t="s">
        <v>957</v>
      </c>
      <c r="B450" s="454" t="s">
        <v>930</v>
      </c>
      <c r="C450" s="454" t="s">
        <v>348</v>
      </c>
      <c r="D450" s="454" t="s">
        <v>644</v>
      </c>
      <c r="E450" s="454" t="s">
        <v>424</v>
      </c>
      <c r="F450" s="454" t="s">
        <v>411</v>
      </c>
      <c r="G450" s="454" t="s">
        <v>83</v>
      </c>
      <c r="H450" s="454">
        <v>3</v>
      </c>
      <c r="I450" s="454" t="s">
        <v>83</v>
      </c>
      <c r="J450" s="455"/>
      <c r="K450" s="454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t="11.25" customHeight="1">
      <c r="A451" s="454" t="s">
        <v>958</v>
      </c>
      <c r="B451" s="454" t="s">
        <v>930</v>
      </c>
      <c r="C451" s="454" t="s">
        <v>348</v>
      </c>
      <c r="D451" s="454" t="s">
        <v>584</v>
      </c>
      <c r="E451" s="454" t="s">
        <v>424</v>
      </c>
      <c r="F451" s="454" t="s">
        <v>411</v>
      </c>
      <c r="G451" s="454" t="s">
        <v>83</v>
      </c>
      <c r="H451" s="454">
        <v>3</v>
      </c>
      <c r="I451" s="454" t="s">
        <v>83</v>
      </c>
      <c r="J451" s="467"/>
      <c r="K451" s="454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11.25" customHeight="1">
      <c r="A452" s="448" t="s">
        <v>959</v>
      </c>
      <c r="B452" s="448" t="s">
        <v>930</v>
      </c>
      <c r="C452" s="448">
        <v>1</v>
      </c>
      <c r="D452" s="448" t="s">
        <v>410</v>
      </c>
      <c r="E452" s="448" t="s">
        <v>83</v>
      </c>
      <c r="F452" s="448" t="s">
        <v>411</v>
      </c>
      <c r="G452" s="448" t="s">
        <v>83</v>
      </c>
      <c r="H452" s="448" t="s">
        <v>83</v>
      </c>
      <c r="I452" s="448" t="s">
        <v>83</v>
      </c>
      <c r="J452" s="449"/>
      <c r="K452" s="454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11.25" customHeight="1">
      <c r="A453" s="454" t="s">
        <v>960</v>
      </c>
      <c r="B453" s="454" t="s">
        <v>930</v>
      </c>
      <c r="C453" s="454" t="s">
        <v>348</v>
      </c>
      <c r="D453" s="454" t="s">
        <v>644</v>
      </c>
      <c r="E453" s="454" t="s">
        <v>424</v>
      </c>
      <c r="F453" s="454" t="s">
        <v>411</v>
      </c>
      <c r="G453" s="454" t="s">
        <v>83</v>
      </c>
      <c r="H453" s="454">
        <v>6</v>
      </c>
      <c r="I453" s="454" t="s">
        <v>83</v>
      </c>
      <c r="J453" s="455"/>
      <c r="K453" s="454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t="11.25" customHeight="1">
      <c r="A454" s="454" t="s">
        <v>961</v>
      </c>
      <c r="B454" s="454" t="s">
        <v>930</v>
      </c>
      <c r="C454" s="454">
        <v>1</v>
      </c>
      <c r="D454" s="454" t="s">
        <v>584</v>
      </c>
      <c r="E454" s="454" t="s">
        <v>424</v>
      </c>
      <c r="F454" s="454" t="s">
        <v>411</v>
      </c>
      <c r="G454" s="454" t="s">
        <v>83</v>
      </c>
      <c r="H454" s="454">
        <v>3</v>
      </c>
      <c r="I454" s="454" t="s">
        <v>83</v>
      </c>
      <c r="J454" s="455"/>
      <c r="K454" s="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t="11.25" customHeight="1">
      <c r="A455" s="454" t="s">
        <v>962</v>
      </c>
      <c r="B455" s="454" t="s">
        <v>930</v>
      </c>
      <c r="C455" s="454" t="s">
        <v>348</v>
      </c>
      <c r="D455" s="454" t="s">
        <v>488</v>
      </c>
      <c r="E455" s="454" t="s">
        <v>424</v>
      </c>
      <c r="F455" s="454" t="s">
        <v>411</v>
      </c>
      <c r="G455" s="454" t="s">
        <v>83</v>
      </c>
      <c r="H455" s="454">
        <v>8</v>
      </c>
      <c r="I455" s="454" t="s">
        <v>83</v>
      </c>
      <c r="J455" s="455"/>
      <c r="K455" s="454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t="11.25" customHeight="1">
      <c r="A456" s="454" t="s">
        <v>963</v>
      </c>
      <c r="B456" s="454" t="s">
        <v>930</v>
      </c>
      <c r="C456" s="454">
        <v>1</v>
      </c>
      <c r="D456" s="454" t="s">
        <v>644</v>
      </c>
      <c r="E456" s="454" t="s">
        <v>424</v>
      </c>
      <c r="F456" s="454" t="s">
        <v>411</v>
      </c>
      <c r="G456" s="454" t="s">
        <v>83</v>
      </c>
      <c r="H456" s="454">
        <v>3</v>
      </c>
      <c r="I456" s="454" t="s">
        <v>83</v>
      </c>
      <c r="J456" s="455"/>
      <c r="K456" s="454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12" s="451" customFormat="1" ht="11.25" customHeight="1">
      <c r="A457" s="454" t="s">
        <v>964</v>
      </c>
      <c r="B457" s="454" t="s">
        <v>930</v>
      </c>
      <c r="C457" s="454" t="s">
        <v>348</v>
      </c>
      <c r="D457" s="448" t="s">
        <v>495</v>
      </c>
      <c r="E457" s="454" t="s">
        <v>424</v>
      </c>
      <c r="F457" s="448" t="s">
        <v>411</v>
      </c>
      <c r="G457" s="448" t="s">
        <v>83</v>
      </c>
      <c r="H457" s="448" t="s">
        <v>83</v>
      </c>
      <c r="I457" s="448" t="s">
        <v>323</v>
      </c>
      <c r="J457" s="455"/>
      <c r="K457" s="454"/>
      <c r="L457" s="450"/>
    </row>
    <row r="458" spans="1:12" s="451" customFormat="1" ht="11.25" customHeight="1">
      <c r="A458" s="454" t="s">
        <v>965</v>
      </c>
      <c r="B458" s="454" t="s">
        <v>930</v>
      </c>
      <c r="C458" s="454" t="s">
        <v>348</v>
      </c>
      <c r="D458" s="448" t="s">
        <v>966</v>
      </c>
      <c r="E458" s="454" t="s">
        <v>424</v>
      </c>
      <c r="F458" s="448" t="s">
        <v>411</v>
      </c>
      <c r="G458" s="448" t="s">
        <v>83</v>
      </c>
      <c r="H458" s="448" t="s">
        <v>83</v>
      </c>
      <c r="I458" s="448">
        <v>1</v>
      </c>
      <c r="J458" s="455"/>
      <c r="K458" s="454"/>
      <c r="L458" s="450"/>
    </row>
    <row r="459" spans="1:11" ht="11.25" customHeight="1">
      <c r="A459" s="454" t="s">
        <v>967</v>
      </c>
      <c r="B459" s="454" t="s">
        <v>930</v>
      </c>
      <c r="C459" s="454" t="s">
        <v>348</v>
      </c>
      <c r="D459" s="448" t="s">
        <v>584</v>
      </c>
      <c r="E459" s="454" t="s">
        <v>424</v>
      </c>
      <c r="F459" s="448" t="s">
        <v>411</v>
      </c>
      <c r="G459" s="448" t="s">
        <v>83</v>
      </c>
      <c r="H459" s="448">
        <v>6</v>
      </c>
      <c r="I459" s="448" t="s">
        <v>655</v>
      </c>
      <c r="J459" s="455"/>
      <c r="K459" s="454"/>
    </row>
    <row r="460" spans="1:11" ht="11.25" customHeight="1">
      <c r="A460" s="454" t="s">
        <v>968</v>
      </c>
      <c r="B460" s="454" t="s">
        <v>930</v>
      </c>
      <c r="C460" s="454" t="s">
        <v>348</v>
      </c>
      <c r="D460" s="448" t="s">
        <v>644</v>
      </c>
      <c r="E460" s="454" t="s">
        <v>424</v>
      </c>
      <c r="F460" s="448" t="s">
        <v>411</v>
      </c>
      <c r="G460" s="448" t="s">
        <v>83</v>
      </c>
      <c r="H460" s="448">
        <v>3</v>
      </c>
      <c r="I460" s="448" t="s">
        <v>83</v>
      </c>
      <c r="J460" s="455"/>
      <c r="K460" s="454"/>
    </row>
    <row r="461" spans="1:12" s="458" customFormat="1" ht="11.25" customHeight="1">
      <c r="A461" s="448" t="s">
        <v>969</v>
      </c>
      <c r="B461" s="454" t="s">
        <v>930</v>
      </c>
      <c r="C461" s="454" t="s">
        <v>348</v>
      </c>
      <c r="D461" s="448" t="s">
        <v>584</v>
      </c>
      <c r="E461" s="454" t="s">
        <v>424</v>
      </c>
      <c r="F461" s="448" t="s">
        <v>411</v>
      </c>
      <c r="G461" s="448" t="s">
        <v>83</v>
      </c>
      <c r="H461" s="448">
        <v>6</v>
      </c>
      <c r="I461" s="448" t="s">
        <v>655</v>
      </c>
      <c r="J461" s="449"/>
      <c r="K461" s="454"/>
      <c r="L461" s="457"/>
    </row>
    <row r="462" spans="1:11" ht="11.25" customHeight="1">
      <c r="A462" s="454" t="s">
        <v>970</v>
      </c>
      <c r="B462" s="454" t="s">
        <v>930</v>
      </c>
      <c r="C462" s="454" t="s">
        <v>348</v>
      </c>
      <c r="D462" s="448" t="s">
        <v>971</v>
      </c>
      <c r="E462" s="448" t="s">
        <v>83</v>
      </c>
      <c r="F462" s="448" t="s">
        <v>411</v>
      </c>
      <c r="G462" s="448" t="s">
        <v>83</v>
      </c>
      <c r="H462" s="448" t="s">
        <v>83</v>
      </c>
      <c r="I462" s="448" t="s">
        <v>83</v>
      </c>
      <c r="J462" s="455"/>
      <c r="K462" s="454"/>
    </row>
    <row r="463" spans="1:256" ht="11.25" customHeight="1">
      <c r="A463" s="454" t="s">
        <v>972</v>
      </c>
      <c r="B463" s="454" t="s">
        <v>930</v>
      </c>
      <c r="C463" s="454" t="s">
        <v>348</v>
      </c>
      <c r="D463" s="448" t="s">
        <v>423</v>
      </c>
      <c r="E463" s="454" t="s">
        <v>424</v>
      </c>
      <c r="F463" s="448" t="s">
        <v>411</v>
      </c>
      <c r="G463" s="448" t="s">
        <v>83</v>
      </c>
      <c r="H463" s="448">
        <v>10</v>
      </c>
      <c r="I463" s="448">
        <v>1</v>
      </c>
      <c r="J463" s="467"/>
      <c r="K463" s="454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11" ht="11.25" customHeight="1">
      <c r="A464" s="454" t="s">
        <v>973</v>
      </c>
      <c r="B464" s="454" t="s">
        <v>930</v>
      </c>
      <c r="C464" s="454" t="s">
        <v>348</v>
      </c>
      <c r="D464" s="448" t="s">
        <v>644</v>
      </c>
      <c r="E464" s="454" t="s">
        <v>424</v>
      </c>
      <c r="F464" s="448" t="s">
        <v>411</v>
      </c>
      <c r="G464" s="448" t="s">
        <v>83</v>
      </c>
      <c r="H464" s="448" t="s">
        <v>83</v>
      </c>
      <c r="I464" s="448">
        <v>1</v>
      </c>
      <c r="J464" s="473"/>
      <c r="K464" s="474"/>
    </row>
    <row r="465" spans="1:11" ht="11.25" customHeight="1">
      <c r="A465" s="445" t="s">
        <v>974</v>
      </c>
      <c r="B465" s="446" t="s">
        <v>322</v>
      </c>
      <c r="C465" s="446" t="s">
        <v>323</v>
      </c>
      <c r="D465" s="446" t="s">
        <v>324</v>
      </c>
      <c r="E465" s="446" t="s">
        <v>185</v>
      </c>
      <c r="F465" s="446" t="s">
        <v>325</v>
      </c>
      <c r="G465" s="446" t="s">
        <v>261</v>
      </c>
      <c r="H465" s="446" t="s">
        <v>326</v>
      </c>
      <c r="I465" s="446" t="s">
        <v>254</v>
      </c>
      <c r="J465" s="459" t="s">
        <v>327</v>
      </c>
      <c r="K465" s="447" t="s">
        <v>408</v>
      </c>
    </row>
    <row r="466" spans="1:256" ht="11.25" customHeight="1">
      <c r="A466" s="454" t="s">
        <v>975</v>
      </c>
      <c r="B466" s="454" t="s">
        <v>974</v>
      </c>
      <c r="C466" s="454" t="s">
        <v>348</v>
      </c>
      <c r="D466" s="454" t="s">
        <v>584</v>
      </c>
      <c r="E466" s="454" t="s">
        <v>424</v>
      </c>
      <c r="F466" s="454" t="s">
        <v>411</v>
      </c>
      <c r="G466" s="454" t="s">
        <v>83</v>
      </c>
      <c r="H466" s="448">
        <v>4</v>
      </c>
      <c r="I466" s="454" t="s">
        <v>83</v>
      </c>
      <c r="J466" s="455"/>
      <c r="K466" s="467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ht="11.25" customHeight="1">
      <c r="A467" s="448" t="s">
        <v>976</v>
      </c>
      <c r="B467" s="448" t="s">
        <v>974</v>
      </c>
      <c r="C467" s="448">
        <v>1</v>
      </c>
      <c r="D467" s="448" t="s">
        <v>410</v>
      </c>
      <c r="E467" s="448" t="s">
        <v>83</v>
      </c>
      <c r="F467" s="448" t="s">
        <v>411</v>
      </c>
      <c r="G467" s="448" t="s">
        <v>83</v>
      </c>
      <c r="H467" s="448" t="s">
        <v>83</v>
      </c>
      <c r="I467" s="448" t="s">
        <v>83</v>
      </c>
      <c r="J467" s="449"/>
      <c r="K467" s="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ht="11.25" customHeight="1">
      <c r="A468" s="454" t="s">
        <v>977</v>
      </c>
      <c r="B468" s="454" t="s">
        <v>974</v>
      </c>
      <c r="C468" s="454" t="s">
        <v>348</v>
      </c>
      <c r="D468" s="454" t="s">
        <v>566</v>
      </c>
      <c r="E468" s="454" t="s">
        <v>978</v>
      </c>
      <c r="F468" s="454" t="s">
        <v>979</v>
      </c>
      <c r="G468" s="454" t="s">
        <v>548</v>
      </c>
      <c r="H468" s="472">
        <f>6-COUNTIF(AR_SHEET_防具,"楽器")-COUNTIF(AR_SHEET_防具,"高級楽器")*2</f>
        <v>6</v>
      </c>
      <c r="I468" s="454" t="s">
        <v>83</v>
      </c>
      <c r="J468" s="455"/>
      <c r="K468" s="467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ht="11.25" customHeight="1">
      <c r="A469" s="454" t="s">
        <v>980</v>
      </c>
      <c r="B469" s="454" t="s">
        <v>974</v>
      </c>
      <c r="C469" s="454">
        <v>1</v>
      </c>
      <c r="D469" s="454" t="s">
        <v>566</v>
      </c>
      <c r="E469" s="454" t="s">
        <v>978</v>
      </c>
      <c r="F469" s="454" t="s">
        <v>979</v>
      </c>
      <c r="G469" s="454" t="s">
        <v>548</v>
      </c>
      <c r="H469" s="472">
        <f>4-COUNTIF(AR_SHEET_防具,"楽器")-COUNTIF(AR_SHEET_防具,"高級楽器")*2</f>
        <v>4</v>
      </c>
      <c r="I469" s="454" t="s">
        <v>83</v>
      </c>
      <c r="J469" s="455"/>
      <c r="K469" s="467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1.25" customHeight="1">
      <c r="A470" s="454" t="s">
        <v>981</v>
      </c>
      <c r="B470" s="454" t="s">
        <v>974</v>
      </c>
      <c r="C470" s="454" t="s">
        <v>348</v>
      </c>
      <c r="D470" s="454" t="s">
        <v>488</v>
      </c>
      <c r="E470" s="454" t="s">
        <v>424</v>
      </c>
      <c r="F470" s="454" t="s">
        <v>547</v>
      </c>
      <c r="G470" s="454" t="s">
        <v>548</v>
      </c>
      <c r="H470" s="454" t="s">
        <v>83</v>
      </c>
      <c r="I470" s="454" t="s">
        <v>615</v>
      </c>
      <c r="J470" s="455"/>
      <c r="K470" s="467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1.25" customHeight="1">
      <c r="A471" s="454" t="s">
        <v>982</v>
      </c>
      <c r="B471" s="454" t="s">
        <v>974</v>
      </c>
      <c r="C471" s="454">
        <v>1</v>
      </c>
      <c r="D471" s="454" t="s">
        <v>566</v>
      </c>
      <c r="E471" s="454" t="s">
        <v>978</v>
      </c>
      <c r="F471" s="454" t="s">
        <v>979</v>
      </c>
      <c r="G471" s="454" t="s">
        <v>548</v>
      </c>
      <c r="H471" s="472">
        <f>4-COUNTIF(AR_SHEET_防具,"楽器")-COUNTIF(AR_SHEET_防具,"高級楽器")*2</f>
        <v>4</v>
      </c>
      <c r="I471" s="454" t="s">
        <v>83</v>
      </c>
      <c r="J471" s="455"/>
      <c r="K471" s="467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t="11.25" customHeight="1">
      <c r="A472" s="448" t="s">
        <v>983</v>
      </c>
      <c r="B472" s="448" t="s">
        <v>974</v>
      </c>
      <c r="C472" s="448" t="s">
        <v>348</v>
      </c>
      <c r="D472" s="448" t="s">
        <v>488</v>
      </c>
      <c r="E472" s="448" t="s">
        <v>424</v>
      </c>
      <c r="F472" s="448" t="s">
        <v>411</v>
      </c>
      <c r="G472" s="448" t="s">
        <v>83</v>
      </c>
      <c r="H472" s="472">
        <f>4-COUNTIF(AR_SHEET_防具,"楽器")-COUNTIF(AR_SHEET_防具,"高級楽器")*2</f>
        <v>4</v>
      </c>
      <c r="I472" s="448" t="s">
        <v>83</v>
      </c>
      <c r="J472" s="449"/>
      <c r="K472" s="467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ht="11.25" customHeight="1">
      <c r="A473" s="454" t="s">
        <v>984</v>
      </c>
      <c r="B473" s="454" t="s">
        <v>974</v>
      </c>
      <c r="C473" s="448" t="s">
        <v>348</v>
      </c>
      <c r="D473" s="454" t="s">
        <v>566</v>
      </c>
      <c r="E473" s="454" t="s">
        <v>978</v>
      </c>
      <c r="F473" s="454" t="s">
        <v>979</v>
      </c>
      <c r="G473" s="454" t="s">
        <v>548</v>
      </c>
      <c r="H473" s="472">
        <f>5-COUNTIF(AR_SHEET_防具,"楽器")-COUNTIF(AR_SHEET_防具,"高級楽器")*2</f>
        <v>5</v>
      </c>
      <c r="I473" s="454" t="s">
        <v>83</v>
      </c>
      <c r="J473" s="455"/>
      <c r="K473" s="467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 ht="11.25" customHeight="1">
      <c r="A474" s="454" t="s">
        <v>985</v>
      </c>
      <c r="B474" s="454" t="s">
        <v>974</v>
      </c>
      <c r="C474" s="454" t="s">
        <v>348</v>
      </c>
      <c r="D474" s="454" t="s">
        <v>566</v>
      </c>
      <c r="E474" s="448" t="s">
        <v>37</v>
      </c>
      <c r="F474" s="454" t="s">
        <v>411</v>
      </c>
      <c r="G474" s="454" t="s">
        <v>83</v>
      </c>
      <c r="H474" s="454" t="s">
        <v>83</v>
      </c>
      <c r="I474" s="454" t="s">
        <v>83</v>
      </c>
      <c r="J474" s="455"/>
      <c r="K474" s="467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11.25" customHeight="1">
      <c r="A475" s="454" t="s">
        <v>986</v>
      </c>
      <c r="B475" s="454" t="s">
        <v>974</v>
      </c>
      <c r="C475" s="454">
        <v>1</v>
      </c>
      <c r="D475" s="454" t="s">
        <v>566</v>
      </c>
      <c r="E475" s="454" t="s">
        <v>978</v>
      </c>
      <c r="F475" s="454" t="s">
        <v>987</v>
      </c>
      <c r="G475" s="454" t="s">
        <v>548</v>
      </c>
      <c r="H475" s="472">
        <f>5-COUNTIF(AR_SHEET_防具,"楽器")-COUNTIF(AR_SHEET_防具,"高級楽器")*2</f>
        <v>5</v>
      </c>
      <c r="I475" s="454" t="s">
        <v>655</v>
      </c>
      <c r="J475" s="455"/>
      <c r="K475" s="467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56" ht="11.25" customHeight="1">
      <c r="A476" s="448" t="s">
        <v>988</v>
      </c>
      <c r="B476" s="448" t="s">
        <v>974</v>
      </c>
      <c r="C476" s="448" t="s">
        <v>348</v>
      </c>
      <c r="D476" s="448" t="s">
        <v>410</v>
      </c>
      <c r="E476" s="448" t="s">
        <v>83</v>
      </c>
      <c r="F476" s="448" t="s">
        <v>411</v>
      </c>
      <c r="G476" s="448" t="s">
        <v>83</v>
      </c>
      <c r="H476" s="448" t="s">
        <v>83</v>
      </c>
      <c r="I476" s="448" t="s">
        <v>83</v>
      </c>
      <c r="J476" s="449"/>
      <c r="K476" s="467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 ht="11.25" customHeight="1">
      <c r="A477" s="454" t="s">
        <v>989</v>
      </c>
      <c r="B477" s="454" t="s">
        <v>974</v>
      </c>
      <c r="C477" s="454">
        <v>1</v>
      </c>
      <c r="D477" s="454" t="s">
        <v>566</v>
      </c>
      <c r="E477" s="454" t="s">
        <v>978</v>
      </c>
      <c r="F477" s="454" t="s">
        <v>979</v>
      </c>
      <c r="G477" s="454" t="s">
        <v>548</v>
      </c>
      <c r="H477" s="472">
        <f>10-COUNTIF(AR_SHEET_防具,"楽器")-COUNTIF(AR_SHEET_防具,"高級楽器")*2</f>
        <v>10</v>
      </c>
      <c r="I477" s="454" t="s">
        <v>323</v>
      </c>
      <c r="J477" s="455"/>
      <c r="K477" s="46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ht="11.25" customHeight="1">
      <c r="A478" s="454" t="s">
        <v>990</v>
      </c>
      <c r="B478" s="454" t="s">
        <v>974</v>
      </c>
      <c r="C478" s="454">
        <v>1</v>
      </c>
      <c r="D478" s="454" t="s">
        <v>652</v>
      </c>
      <c r="E478" s="454" t="s">
        <v>424</v>
      </c>
      <c r="F478" s="454" t="s">
        <v>547</v>
      </c>
      <c r="G478" s="454" t="s">
        <v>548</v>
      </c>
      <c r="H478" s="472">
        <f>4-COUNTIF(AR_SHEET_防具,"楽器")-COUNTIF(AR_SHEET_防具,"高級楽器")*2</f>
        <v>4</v>
      </c>
      <c r="I478" s="454" t="s">
        <v>991</v>
      </c>
      <c r="J478" s="455"/>
      <c r="K478" s="467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11.25" customHeight="1">
      <c r="A479" s="448" t="s">
        <v>992</v>
      </c>
      <c r="B479" s="448" t="s">
        <v>974</v>
      </c>
      <c r="C479" s="448" t="s">
        <v>348</v>
      </c>
      <c r="D479" s="448" t="s">
        <v>410</v>
      </c>
      <c r="E479" s="448" t="s">
        <v>83</v>
      </c>
      <c r="F479" s="448" t="s">
        <v>411</v>
      </c>
      <c r="G479" s="448" t="s">
        <v>83</v>
      </c>
      <c r="H479" s="448" t="s">
        <v>83</v>
      </c>
      <c r="I479" s="448" t="s">
        <v>83</v>
      </c>
      <c r="J479" s="449"/>
      <c r="K479" s="467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 ht="11.25" customHeight="1">
      <c r="A480" s="454" t="s">
        <v>993</v>
      </c>
      <c r="B480" s="454" t="s">
        <v>974</v>
      </c>
      <c r="C480" s="454">
        <v>1</v>
      </c>
      <c r="D480" s="454" t="s">
        <v>566</v>
      </c>
      <c r="E480" s="454" t="s">
        <v>978</v>
      </c>
      <c r="F480" s="454" t="s">
        <v>979</v>
      </c>
      <c r="G480" s="454" t="s">
        <v>548</v>
      </c>
      <c r="H480" s="472">
        <f>6-COUNTIF(AR_SHEET_防具,"楽器")-COUNTIF(AR_SHEET_防具,"高級楽器")*2</f>
        <v>6</v>
      </c>
      <c r="I480" s="454" t="s">
        <v>83</v>
      </c>
      <c r="J480" s="455"/>
      <c r="K480" s="467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 ht="11.25" customHeight="1">
      <c r="A481" s="454" t="s">
        <v>994</v>
      </c>
      <c r="B481" s="454" t="s">
        <v>974</v>
      </c>
      <c r="C481" s="454" t="s">
        <v>348</v>
      </c>
      <c r="D481" s="454" t="s">
        <v>495</v>
      </c>
      <c r="E481" s="454" t="s">
        <v>424</v>
      </c>
      <c r="F481" s="454" t="s">
        <v>987</v>
      </c>
      <c r="G481" s="454" t="s">
        <v>548</v>
      </c>
      <c r="H481" s="454" t="s">
        <v>83</v>
      </c>
      <c r="I481" s="454">
        <v>1</v>
      </c>
      <c r="J481" s="455"/>
      <c r="K481" s="467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 ht="11.25" customHeight="1">
      <c r="A482" s="448" t="s">
        <v>995</v>
      </c>
      <c r="B482" s="448" t="s">
        <v>974</v>
      </c>
      <c r="C482" s="448">
        <v>1</v>
      </c>
      <c r="D482" s="448" t="s">
        <v>488</v>
      </c>
      <c r="E482" s="448" t="s">
        <v>424</v>
      </c>
      <c r="F482" s="448" t="s">
        <v>411</v>
      </c>
      <c r="G482" s="448" t="s">
        <v>83</v>
      </c>
      <c r="H482" s="472">
        <f>IF(2-COUNTIF(AR_SHEET_防具,"楽器")-COUNTIF(AR_SHEET_防具,"高級楽器")*2&lt;1,1,2-COUNTIF(AR_SHEET_防具,"楽器")-COUNTIF(AR_SHEET_防具,"高級楽器")*2)</f>
        <v>2</v>
      </c>
      <c r="I482" s="448" t="s">
        <v>83</v>
      </c>
      <c r="J482" s="455"/>
      <c r="K482" s="467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 ht="11.25" customHeight="1">
      <c r="A483" s="454" t="s">
        <v>996</v>
      </c>
      <c r="B483" s="454" t="s">
        <v>974</v>
      </c>
      <c r="C483" s="454">
        <v>1</v>
      </c>
      <c r="D483" s="454" t="s">
        <v>566</v>
      </c>
      <c r="E483" s="454" t="s">
        <v>978</v>
      </c>
      <c r="F483" s="454" t="s">
        <v>979</v>
      </c>
      <c r="G483" s="454" t="s">
        <v>548</v>
      </c>
      <c r="H483" s="472">
        <f>4-COUNTIF(AR_SHEET_防具,"楽器")-COUNTIF(AR_SHEET_防具,"高級楽器")*2</f>
        <v>4</v>
      </c>
      <c r="I483" s="454" t="s">
        <v>83</v>
      </c>
      <c r="J483" s="455"/>
      <c r="K483" s="467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 ht="11.25" customHeight="1">
      <c r="A484" s="454" t="s">
        <v>997</v>
      </c>
      <c r="B484" s="454" t="s">
        <v>974</v>
      </c>
      <c r="C484" s="454">
        <v>1</v>
      </c>
      <c r="D484" s="454" t="s">
        <v>566</v>
      </c>
      <c r="E484" s="454" t="s">
        <v>978</v>
      </c>
      <c r="F484" s="454" t="s">
        <v>979</v>
      </c>
      <c r="G484" s="454" t="s">
        <v>548</v>
      </c>
      <c r="H484" s="472">
        <f>6-COUNTIF(AR_SHEET_防具,"楽器")-COUNTIF(AR_SHEET_防具,"高級楽器")*2</f>
        <v>6</v>
      </c>
      <c r="I484" s="454" t="s">
        <v>83</v>
      </c>
      <c r="J484" s="455"/>
      <c r="K484" s="467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1:256" ht="11.25" customHeight="1">
      <c r="A485" s="454" t="s">
        <v>998</v>
      </c>
      <c r="B485" s="454" t="s">
        <v>974</v>
      </c>
      <c r="C485" s="454" t="s">
        <v>348</v>
      </c>
      <c r="D485" s="454" t="s">
        <v>566</v>
      </c>
      <c r="E485" s="454" t="s">
        <v>978</v>
      </c>
      <c r="F485" s="454" t="s">
        <v>979</v>
      </c>
      <c r="G485" s="454" t="s">
        <v>548</v>
      </c>
      <c r="H485" s="472">
        <f>5-COUNTIF(AR_SHEET_防具,"楽器")-COUNTIF(AR_SHEET_防具,"高級楽器")*2</f>
        <v>5</v>
      </c>
      <c r="I485" s="454" t="s">
        <v>83</v>
      </c>
      <c r="J485" s="455"/>
      <c r="K485" s="467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1:11" ht="11.25" customHeight="1">
      <c r="A486" s="454" t="s">
        <v>999</v>
      </c>
      <c r="B486" s="454" t="s">
        <v>974</v>
      </c>
      <c r="C486" s="454" t="s">
        <v>348</v>
      </c>
      <c r="D486" s="454" t="s">
        <v>423</v>
      </c>
      <c r="E486" s="454" t="s">
        <v>424</v>
      </c>
      <c r="F486" s="454" t="s">
        <v>411</v>
      </c>
      <c r="G486" s="454" t="s">
        <v>83</v>
      </c>
      <c r="H486" s="454">
        <v>7</v>
      </c>
      <c r="I486" s="454" t="s">
        <v>615</v>
      </c>
      <c r="J486" s="455"/>
      <c r="K486" s="454"/>
    </row>
    <row r="487" spans="1:11" ht="11.25" customHeight="1">
      <c r="A487" s="454" t="s">
        <v>1000</v>
      </c>
      <c r="B487" s="454" t="s">
        <v>974</v>
      </c>
      <c r="C487" s="454" t="s">
        <v>348</v>
      </c>
      <c r="D487" s="454" t="s">
        <v>566</v>
      </c>
      <c r="E487" s="454" t="s">
        <v>978</v>
      </c>
      <c r="F487" s="454" t="s">
        <v>979</v>
      </c>
      <c r="G487" s="454" t="s">
        <v>548</v>
      </c>
      <c r="H487" s="472">
        <f>8-COUNTIF(AR_SHEET_防具,"楽器")-COUNTIF(AR_SHEET_防具,"高級楽器")*2</f>
        <v>8</v>
      </c>
      <c r="I487" s="454" t="s">
        <v>83</v>
      </c>
      <c r="J487" s="455"/>
      <c r="K487" s="454"/>
    </row>
    <row r="488" spans="1:11" ht="11.25" customHeight="1">
      <c r="A488" s="454" t="s">
        <v>1001</v>
      </c>
      <c r="B488" s="454" t="s">
        <v>974</v>
      </c>
      <c r="C488" s="454" t="s">
        <v>348</v>
      </c>
      <c r="D488" s="454" t="s">
        <v>566</v>
      </c>
      <c r="E488" s="454" t="s">
        <v>978</v>
      </c>
      <c r="F488" s="454" t="s">
        <v>547</v>
      </c>
      <c r="G488" s="454" t="s">
        <v>548</v>
      </c>
      <c r="H488" s="472">
        <f>8-COUNTIF(AR_SHEET_防具,"楽器")-COUNTIF(AR_SHEET_防具,"高級楽器")*2</f>
        <v>8</v>
      </c>
      <c r="I488" s="454">
        <v>1</v>
      </c>
      <c r="J488" s="455"/>
      <c r="K488" s="454"/>
    </row>
    <row r="489" spans="1:11" ht="11.25" customHeight="1">
      <c r="A489" s="454" t="s">
        <v>1002</v>
      </c>
      <c r="B489" s="454" t="s">
        <v>974</v>
      </c>
      <c r="C489" s="454" t="s">
        <v>348</v>
      </c>
      <c r="D489" s="454" t="s">
        <v>566</v>
      </c>
      <c r="E489" s="454" t="s">
        <v>978</v>
      </c>
      <c r="F489" s="454" t="s">
        <v>979</v>
      </c>
      <c r="G489" s="454" t="s">
        <v>548</v>
      </c>
      <c r="H489" s="472">
        <f>5-COUNTIF(AR_SHEET_防具,"楽器")-COUNTIF(AR_SHEET_防具,"高級楽器")*2</f>
        <v>5</v>
      </c>
      <c r="I489" s="454" t="s">
        <v>83</v>
      </c>
      <c r="J489" s="455"/>
      <c r="K489" s="454"/>
    </row>
    <row r="490" spans="1:11" ht="11.25" customHeight="1">
      <c r="A490" s="454" t="s">
        <v>1003</v>
      </c>
      <c r="B490" s="454" t="s">
        <v>974</v>
      </c>
      <c r="C490" s="454">
        <v>1</v>
      </c>
      <c r="D490" s="454" t="s">
        <v>488</v>
      </c>
      <c r="E490" s="454" t="s">
        <v>424</v>
      </c>
      <c r="F490" s="454" t="s">
        <v>547</v>
      </c>
      <c r="G490" s="454" t="s">
        <v>548</v>
      </c>
      <c r="H490" s="454">
        <v>8</v>
      </c>
      <c r="I490" s="454" t="s">
        <v>655</v>
      </c>
      <c r="J490" s="455"/>
      <c r="K490" s="454"/>
    </row>
    <row r="491" spans="1:11" ht="11.25" customHeight="1">
      <c r="A491" s="454" t="s">
        <v>1004</v>
      </c>
      <c r="B491" s="454" t="s">
        <v>974</v>
      </c>
      <c r="C491" s="454">
        <v>1</v>
      </c>
      <c r="D491" s="454" t="s">
        <v>566</v>
      </c>
      <c r="E491" s="454" t="s">
        <v>978</v>
      </c>
      <c r="F491" s="454" t="s">
        <v>979</v>
      </c>
      <c r="G491" s="454" t="s">
        <v>548</v>
      </c>
      <c r="H491" s="472">
        <f>10-COUNTIF(AR_SHEET_防具,"楽器")-COUNTIF(AR_SHEET_防具,"高級楽器")*2</f>
        <v>10</v>
      </c>
      <c r="I491" s="454" t="s">
        <v>83</v>
      </c>
      <c r="J491" s="455"/>
      <c r="K491" s="454"/>
    </row>
    <row r="492" spans="1:11" ht="11.25" customHeight="1">
      <c r="A492" s="454" t="s">
        <v>1005</v>
      </c>
      <c r="B492" s="454" t="s">
        <v>974</v>
      </c>
      <c r="C492" s="454">
        <v>1</v>
      </c>
      <c r="D492" s="454" t="s">
        <v>495</v>
      </c>
      <c r="E492" s="454" t="s">
        <v>424</v>
      </c>
      <c r="F492" s="454" t="s">
        <v>411</v>
      </c>
      <c r="G492" s="454" t="s">
        <v>83</v>
      </c>
      <c r="H492" s="454">
        <v>10</v>
      </c>
      <c r="I492" s="454" t="s">
        <v>655</v>
      </c>
      <c r="J492" s="455"/>
      <c r="K492" s="454"/>
    </row>
    <row r="493" spans="1:12" s="458" customFormat="1" ht="11.25" customHeight="1">
      <c r="A493" s="448" t="s">
        <v>1006</v>
      </c>
      <c r="B493" s="454" t="s">
        <v>974</v>
      </c>
      <c r="C493" s="454" t="s">
        <v>348</v>
      </c>
      <c r="D493" s="454" t="s">
        <v>488</v>
      </c>
      <c r="E493" s="454" t="s">
        <v>424</v>
      </c>
      <c r="F493" s="454" t="s">
        <v>411</v>
      </c>
      <c r="G493" s="454" t="s">
        <v>83</v>
      </c>
      <c r="H493" s="454" t="s">
        <v>83</v>
      </c>
      <c r="I493" s="454" t="s">
        <v>615</v>
      </c>
      <c r="J493" s="455"/>
      <c r="K493" s="454"/>
      <c r="L493" s="457"/>
    </row>
    <row r="494" spans="1:11" ht="11.25" customHeight="1">
      <c r="A494" s="445" t="s">
        <v>1007</v>
      </c>
      <c r="B494" s="446" t="s">
        <v>322</v>
      </c>
      <c r="C494" s="446" t="s">
        <v>323</v>
      </c>
      <c r="D494" s="446" t="s">
        <v>324</v>
      </c>
      <c r="E494" s="446" t="s">
        <v>185</v>
      </c>
      <c r="F494" s="446" t="s">
        <v>325</v>
      </c>
      <c r="G494" s="446" t="s">
        <v>261</v>
      </c>
      <c r="H494" s="446" t="s">
        <v>326</v>
      </c>
      <c r="I494" s="446" t="s">
        <v>254</v>
      </c>
      <c r="J494" s="459" t="s">
        <v>327</v>
      </c>
      <c r="K494" s="447" t="s">
        <v>408</v>
      </c>
    </row>
    <row r="495" spans="1:256" ht="11.25" customHeight="1">
      <c r="A495" s="448" t="s">
        <v>1008</v>
      </c>
      <c r="B495" s="454" t="s">
        <v>1007</v>
      </c>
      <c r="C495" s="454">
        <v>1</v>
      </c>
      <c r="D495" s="454" t="s">
        <v>566</v>
      </c>
      <c r="E495" s="448" t="s">
        <v>1009</v>
      </c>
      <c r="F495" s="454" t="s">
        <v>411</v>
      </c>
      <c r="G495" s="454" t="s">
        <v>83</v>
      </c>
      <c r="H495" s="454">
        <v>6</v>
      </c>
      <c r="I495" s="454" t="s">
        <v>83</v>
      </c>
      <c r="J495" s="455"/>
      <c r="K495" s="448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ht="11.25" customHeight="1">
      <c r="A496" s="448" t="s">
        <v>1010</v>
      </c>
      <c r="B496" s="448" t="s">
        <v>1007</v>
      </c>
      <c r="C496" s="448" t="s">
        <v>348</v>
      </c>
      <c r="D496" s="448" t="s">
        <v>410</v>
      </c>
      <c r="E496" s="448" t="s">
        <v>83</v>
      </c>
      <c r="F496" s="448" t="s">
        <v>411</v>
      </c>
      <c r="G496" s="448" t="s">
        <v>83</v>
      </c>
      <c r="H496" s="448" t="s">
        <v>83</v>
      </c>
      <c r="I496" s="448" t="s">
        <v>83</v>
      </c>
      <c r="J496" s="455"/>
      <c r="K496" s="448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ht="11.25" customHeight="1">
      <c r="A497" s="448" t="s">
        <v>1011</v>
      </c>
      <c r="B497" s="448" t="s">
        <v>1007</v>
      </c>
      <c r="C497" s="448" t="s">
        <v>348</v>
      </c>
      <c r="D497" s="448" t="s">
        <v>410</v>
      </c>
      <c r="E497" s="448" t="s">
        <v>83</v>
      </c>
      <c r="F497" s="448" t="s">
        <v>411</v>
      </c>
      <c r="G497" s="448" t="s">
        <v>83</v>
      </c>
      <c r="H497" s="448" t="s">
        <v>83</v>
      </c>
      <c r="I497" s="448" t="s">
        <v>83</v>
      </c>
      <c r="J497" s="455"/>
      <c r="K497" s="448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11.25" customHeight="1">
      <c r="A498" s="454" t="s">
        <v>1012</v>
      </c>
      <c r="B498" s="454" t="s">
        <v>1007</v>
      </c>
      <c r="C498" s="454">
        <v>1</v>
      </c>
      <c r="D498" s="454" t="s">
        <v>644</v>
      </c>
      <c r="E498" s="454" t="s">
        <v>424</v>
      </c>
      <c r="F498" s="454" t="s">
        <v>411</v>
      </c>
      <c r="G498" s="454" t="s">
        <v>83</v>
      </c>
      <c r="H498" s="454">
        <v>7</v>
      </c>
      <c r="I498" s="454" t="s">
        <v>83</v>
      </c>
      <c r="J498" s="455"/>
      <c r="K498" s="44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t="11.25" customHeight="1">
      <c r="A499" s="454" t="s">
        <v>1013</v>
      </c>
      <c r="B499" s="454" t="s">
        <v>1007</v>
      </c>
      <c r="C499" s="454">
        <v>1</v>
      </c>
      <c r="D499" s="454" t="s">
        <v>566</v>
      </c>
      <c r="E499" s="448" t="s">
        <v>1009</v>
      </c>
      <c r="F499" s="454" t="s">
        <v>411</v>
      </c>
      <c r="G499" s="454" t="s">
        <v>83</v>
      </c>
      <c r="H499" s="454">
        <v>8</v>
      </c>
      <c r="I499" s="454" t="s">
        <v>83</v>
      </c>
      <c r="J499" s="455"/>
      <c r="K499" s="448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ht="11.25" customHeight="1">
      <c r="A500" s="448" t="s">
        <v>1014</v>
      </c>
      <c r="B500" s="448" t="s">
        <v>1007</v>
      </c>
      <c r="C500" s="448" t="s">
        <v>348</v>
      </c>
      <c r="D500" s="448" t="s">
        <v>410</v>
      </c>
      <c r="E500" s="448" t="s">
        <v>83</v>
      </c>
      <c r="F500" s="448" t="s">
        <v>411</v>
      </c>
      <c r="G500" s="448" t="s">
        <v>83</v>
      </c>
      <c r="H500" s="448" t="s">
        <v>83</v>
      </c>
      <c r="I500" s="448" t="s">
        <v>83</v>
      </c>
      <c r="J500" s="455"/>
      <c r="K500" s="448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ht="11.25" customHeight="1">
      <c r="A501" s="448" t="s">
        <v>1015</v>
      </c>
      <c r="B501" s="448" t="s">
        <v>1007</v>
      </c>
      <c r="C501" s="448" t="s">
        <v>348</v>
      </c>
      <c r="D501" s="448" t="s">
        <v>500</v>
      </c>
      <c r="E501" s="448" t="s">
        <v>83</v>
      </c>
      <c r="F501" s="448" t="s">
        <v>411</v>
      </c>
      <c r="G501" s="448" t="s">
        <v>83</v>
      </c>
      <c r="H501" s="448" t="s">
        <v>83</v>
      </c>
      <c r="I501" s="448" t="s">
        <v>83</v>
      </c>
      <c r="J501" s="449"/>
      <c r="K501" s="448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12" s="451" customFormat="1" ht="11.25" customHeight="1">
      <c r="A502" s="448" t="s">
        <v>1016</v>
      </c>
      <c r="B502" s="448" t="s">
        <v>1007</v>
      </c>
      <c r="C502" s="454">
        <v>1</v>
      </c>
      <c r="D502" s="448" t="s">
        <v>500</v>
      </c>
      <c r="E502" s="448" t="s">
        <v>83</v>
      </c>
      <c r="F502" s="448" t="s">
        <v>327</v>
      </c>
      <c r="G502" s="448" t="s">
        <v>83</v>
      </c>
      <c r="H502" s="448" t="s">
        <v>83</v>
      </c>
      <c r="I502" s="448" t="s">
        <v>83</v>
      </c>
      <c r="J502" s="449"/>
      <c r="K502" s="448"/>
      <c r="L502" s="450"/>
    </row>
    <row r="503" spans="1:12" s="451" customFormat="1" ht="11.25" customHeight="1">
      <c r="A503" s="448" t="s">
        <v>1017</v>
      </c>
      <c r="B503" s="448" t="s">
        <v>1007</v>
      </c>
      <c r="C503" s="454">
        <v>1</v>
      </c>
      <c r="D503" s="448" t="s">
        <v>500</v>
      </c>
      <c r="E503" s="448" t="s">
        <v>83</v>
      </c>
      <c r="F503" s="448" t="s">
        <v>327</v>
      </c>
      <c r="G503" s="448" t="s">
        <v>83</v>
      </c>
      <c r="H503" s="448" t="s">
        <v>83</v>
      </c>
      <c r="I503" s="448" t="s">
        <v>83</v>
      </c>
      <c r="J503" s="449"/>
      <c r="K503" s="448"/>
      <c r="L503" s="450"/>
    </row>
    <row r="504" spans="1:12" s="451" customFormat="1" ht="11.25" customHeight="1">
      <c r="A504" s="448" t="s">
        <v>1018</v>
      </c>
      <c r="B504" s="448" t="s">
        <v>1007</v>
      </c>
      <c r="C504" s="454">
        <v>1</v>
      </c>
      <c r="D504" s="448" t="s">
        <v>500</v>
      </c>
      <c r="E504" s="448" t="s">
        <v>83</v>
      </c>
      <c r="F504" s="448" t="s">
        <v>327</v>
      </c>
      <c r="G504" s="448" t="s">
        <v>83</v>
      </c>
      <c r="H504" s="448" t="s">
        <v>83</v>
      </c>
      <c r="I504" s="448" t="s">
        <v>83</v>
      </c>
      <c r="J504" s="449"/>
      <c r="K504" s="448"/>
      <c r="L504" s="450"/>
    </row>
    <row r="505" spans="1:256" ht="11.25" customHeight="1">
      <c r="A505" s="454" t="s">
        <v>1019</v>
      </c>
      <c r="B505" s="454" t="s">
        <v>1007</v>
      </c>
      <c r="C505" s="454" t="s">
        <v>348</v>
      </c>
      <c r="D505" s="454" t="s">
        <v>584</v>
      </c>
      <c r="E505" s="454" t="s">
        <v>424</v>
      </c>
      <c r="F505" s="454" t="s">
        <v>411</v>
      </c>
      <c r="G505" s="454" t="s">
        <v>83</v>
      </c>
      <c r="H505" s="454">
        <v>5</v>
      </c>
      <c r="I505" s="454" t="s">
        <v>83</v>
      </c>
      <c r="J505" s="455"/>
      <c r="K505" s="448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ht="11.25" customHeight="1">
      <c r="A506" s="454" t="s">
        <v>1020</v>
      </c>
      <c r="B506" s="454" t="s">
        <v>1007</v>
      </c>
      <c r="C506" s="454">
        <v>1</v>
      </c>
      <c r="D506" s="454" t="s">
        <v>644</v>
      </c>
      <c r="E506" s="448" t="s">
        <v>424</v>
      </c>
      <c r="F506" s="454" t="s">
        <v>411</v>
      </c>
      <c r="G506" s="454" t="s">
        <v>83</v>
      </c>
      <c r="H506" s="454">
        <v>4</v>
      </c>
      <c r="I506" s="454" t="s">
        <v>83</v>
      </c>
      <c r="J506" s="455"/>
      <c r="K506" s="448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ht="11.25" customHeight="1">
      <c r="A507" s="448" t="s">
        <v>1021</v>
      </c>
      <c r="B507" s="454" t="s">
        <v>1007</v>
      </c>
      <c r="C507" s="454" t="s">
        <v>348</v>
      </c>
      <c r="D507" s="454" t="s">
        <v>644</v>
      </c>
      <c r="E507" s="454" t="s">
        <v>424</v>
      </c>
      <c r="F507" s="454" t="s">
        <v>411</v>
      </c>
      <c r="G507" s="454" t="s">
        <v>83</v>
      </c>
      <c r="H507" s="454">
        <v>3</v>
      </c>
      <c r="I507" s="454" t="s">
        <v>83</v>
      </c>
      <c r="J507" s="455"/>
      <c r="K507" s="448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ht="11.25" customHeight="1">
      <c r="A508" s="448" t="s">
        <v>1022</v>
      </c>
      <c r="B508" s="454" t="s">
        <v>1007</v>
      </c>
      <c r="C508" s="454" t="s">
        <v>348</v>
      </c>
      <c r="D508" s="454" t="s">
        <v>644</v>
      </c>
      <c r="E508" s="454" t="s">
        <v>424</v>
      </c>
      <c r="F508" s="454" t="s">
        <v>411</v>
      </c>
      <c r="G508" s="454" t="s">
        <v>83</v>
      </c>
      <c r="H508" s="454">
        <v>7</v>
      </c>
      <c r="I508" s="454" t="s">
        <v>83</v>
      </c>
      <c r="J508" s="449"/>
      <c r="K508" s="44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11.25" customHeight="1">
      <c r="A509" s="454" t="s">
        <v>1023</v>
      </c>
      <c r="B509" s="454" t="s">
        <v>1007</v>
      </c>
      <c r="C509" s="454">
        <v>1</v>
      </c>
      <c r="D509" s="454" t="s">
        <v>500</v>
      </c>
      <c r="E509" s="454" t="s">
        <v>83</v>
      </c>
      <c r="F509" s="454" t="s">
        <v>411</v>
      </c>
      <c r="G509" s="454" t="s">
        <v>83</v>
      </c>
      <c r="H509" s="454" t="s">
        <v>83</v>
      </c>
      <c r="I509" s="454" t="s">
        <v>83</v>
      </c>
      <c r="J509" s="455"/>
      <c r="K509" s="448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11.25" customHeight="1">
      <c r="A510" s="454" t="s">
        <v>1024</v>
      </c>
      <c r="B510" s="454" t="s">
        <v>1007</v>
      </c>
      <c r="C510" s="454">
        <v>1</v>
      </c>
      <c r="D510" s="454" t="s">
        <v>644</v>
      </c>
      <c r="E510" s="454" t="s">
        <v>424</v>
      </c>
      <c r="F510" s="454" t="s">
        <v>411</v>
      </c>
      <c r="G510" s="454" t="s">
        <v>83</v>
      </c>
      <c r="H510" s="454">
        <v>4</v>
      </c>
      <c r="I510" s="454" t="s">
        <v>83</v>
      </c>
      <c r="J510" s="455"/>
      <c r="K510" s="448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t="11.25" customHeight="1">
      <c r="A511" s="454" t="s">
        <v>1025</v>
      </c>
      <c r="B511" s="454" t="s">
        <v>1007</v>
      </c>
      <c r="C511" s="454" t="s">
        <v>348</v>
      </c>
      <c r="D511" s="454" t="s">
        <v>566</v>
      </c>
      <c r="E511" s="454" t="s">
        <v>1026</v>
      </c>
      <c r="F511" s="454" t="s">
        <v>547</v>
      </c>
      <c r="G511" s="454" t="s">
        <v>548</v>
      </c>
      <c r="H511" s="454">
        <v>3</v>
      </c>
      <c r="I511" s="454" t="s">
        <v>83</v>
      </c>
      <c r="J511" s="455"/>
      <c r="K511" s="448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t="11.25" customHeight="1">
      <c r="A512" s="448" t="s">
        <v>1027</v>
      </c>
      <c r="B512" s="454" t="s">
        <v>1007</v>
      </c>
      <c r="C512" s="454" t="s">
        <v>348</v>
      </c>
      <c r="D512" s="454" t="s">
        <v>644</v>
      </c>
      <c r="E512" s="454" t="s">
        <v>424</v>
      </c>
      <c r="F512" s="454" t="s">
        <v>411</v>
      </c>
      <c r="G512" s="454" t="s">
        <v>83</v>
      </c>
      <c r="H512" s="454">
        <v>5</v>
      </c>
      <c r="I512" s="454" t="s">
        <v>83</v>
      </c>
      <c r="J512" s="455"/>
      <c r="K512" s="448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t="11.25" customHeight="1">
      <c r="A513" s="454" t="s">
        <v>1028</v>
      </c>
      <c r="B513" s="454" t="s">
        <v>1007</v>
      </c>
      <c r="C513" s="454" t="s">
        <v>348</v>
      </c>
      <c r="D513" s="454" t="s">
        <v>566</v>
      </c>
      <c r="E513" s="454" t="s">
        <v>1026</v>
      </c>
      <c r="F513" s="454" t="s">
        <v>702</v>
      </c>
      <c r="G513" s="454" t="s">
        <v>572</v>
      </c>
      <c r="H513" s="454">
        <v>6</v>
      </c>
      <c r="I513" s="454" t="s">
        <v>83</v>
      </c>
      <c r="J513" s="455"/>
      <c r="K513" s="448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11.25" customHeight="1">
      <c r="A514" s="448" t="s">
        <v>1029</v>
      </c>
      <c r="B514" s="448" t="s">
        <v>1007</v>
      </c>
      <c r="C514" s="448">
        <v>1</v>
      </c>
      <c r="D514" s="448" t="s">
        <v>410</v>
      </c>
      <c r="E514" s="448" t="s">
        <v>83</v>
      </c>
      <c r="F514" s="448" t="s">
        <v>411</v>
      </c>
      <c r="G514" s="448" t="s">
        <v>83</v>
      </c>
      <c r="H514" s="448" t="s">
        <v>83</v>
      </c>
      <c r="I514" s="448" t="s">
        <v>83</v>
      </c>
      <c r="J514" s="455"/>
      <c r="K514" s="448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12" s="451" customFormat="1" ht="11.25" customHeight="1">
      <c r="A515" s="448" t="s">
        <v>1030</v>
      </c>
      <c r="B515" s="448" t="s">
        <v>1007</v>
      </c>
      <c r="C515" s="454">
        <v>1</v>
      </c>
      <c r="D515" s="448" t="s">
        <v>500</v>
      </c>
      <c r="E515" s="448" t="s">
        <v>83</v>
      </c>
      <c r="F515" s="448" t="s">
        <v>411</v>
      </c>
      <c r="G515" s="448" t="s">
        <v>83</v>
      </c>
      <c r="H515" s="448" t="s">
        <v>83</v>
      </c>
      <c r="I515" s="448" t="s">
        <v>83</v>
      </c>
      <c r="J515" s="449"/>
      <c r="K515" s="448"/>
      <c r="L515" s="450"/>
    </row>
    <row r="516" spans="1:12" s="451" customFormat="1" ht="11.25" customHeight="1">
      <c r="A516" s="448" t="s">
        <v>1031</v>
      </c>
      <c r="B516" s="448" t="s">
        <v>1007</v>
      </c>
      <c r="C516" s="454" t="s">
        <v>348</v>
      </c>
      <c r="D516" s="448" t="s">
        <v>644</v>
      </c>
      <c r="E516" s="448" t="s">
        <v>424</v>
      </c>
      <c r="F516" s="448" t="s">
        <v>411</v>
      </c>
      <c r="G516" s="448" t="s">
        <v>83</v>
      </c>
      <c r="H516" s="448">
        <v>4</v>
      </c>
      <c r="I516" s="448" t="s">
        <v>83</v>
      </c>
      <c r="J516" s="449"/>
      <c r="K516" s="448"/>
      <c r="L516" s="450"/>
    </row>
    <row r="517" spans="1:12" s="451" customFormat="1" ht="11.25" customHeight="1">
      <c r="A517" s="448" t="s">
        <v>1032</v>
      </c>
      <c r="B517" s="448" t="s">
        <v>1007</v>
      </c>
      <c r="C517" s="454" t="s">
        <v>348</v>
      </c>
      <c r="D517" s="448" t="s">
        <v>584</v>
      </c>
      <c r="E517" s="448" t="s">
        <v>424</v>
      </c>
      <c r="F517" s="448" t="s">
        <v>411</v>
      </c>
      <c r="G517" s="448" t="s">
        <v>83</v>
      </c>
      <c r="H517" s="448">
        <v>2</v>
      </c>
      <c r="I517" s="448" t="s">
        <v>83</v>
      </c>
      <c r="J517" s="449"/>
      <c r="K517" s="448"/>
      <c r="L517" s="450"/>
    </row>
    <row r="518" spans="1:12" s="451" customFormat="1" ht="11.25" customHeight="1">
      <c r="A518" s="448" t="s">
        <v>1033</v>
      </c>
      <c r="B518" s="448" t="s">
        <v>1007</v>
      </c>
      <c r="C518" s="454">
        <v>1</v>
      </c>
      <c r="D518" s="448" t="s">
        <v>500</v>
      </c>
      <c r="E518" s="448" t="s">
        <v>83</v>
      </c>
      <c r="F518" s="448" t="s">
        <v>327</v>
      </c>
      <c r="G518" s="448" t="s">
        <v>83</v>
      </c>
      <c r="H518" s="448" t="s">
        <v>83</v>
      </c>
      <c r="I518" s="448" t="s">
        <v>83</v>
      </c>
      <c r="J518" s="449"/>
      <c r="K518" s="448"/>
      <c r="L518" s="450"/>
    </row>
    <row r="519" spans="1:12" s="451" customFormat="1" ht="11.25" customHeight="1">
      <c r="A519" s="448" t="s">
        <v>1034</v>
      </c>
      <c r="B519" s="448" t="s">
        <v>1007</v>
      </c>
      <c r="C519" s="454" t="s">
        <v>348</v>
      </c>
      <c r="D519" s="448" t="s">
        <v>566</v>
      </c>
      <c r="E519" s="448" t="s">
        <v>1026</v>
      </c>
      <c r="F519" s="448" t="s">
        <v>547</v>
      </c>
      <c r="G519" s="448" t="s">
        <v>83</v>
      </c>
      <c r="H519" s="448" t="s">
        <v>83</v>
      </c>
      <c r="I519" s="448" t="s">
        <v>83</v>
      </c>
      <c r="J519" s="449"/>
      <c r="K519" s="448"/>
      <c r="L519" s="450"/>
    </row>
    <row r="520" spans="1:12" s="451" customFormat="1" ht="11.25" customHeight="1">
      <c r="A520" s="448" t="s">
        <v>1035</v>
      </c>
      <c r="B520" s="448" t="s">
        <v>1007</v>
      </c>
      <c r="C520" s="454">
        <v>1</v>
      </c>
      <c r="D520" s="448" t="s">
        <v>495</v>
      </c>
      <c r="E520" s="448" t="s">
        <v>424</v>
      </c>
      <c r="F520" s="448" t="s">
        <v>411</v>
      </c>
      <c r="G520" s="448" t="s">
        <v>83</v>
      </c>
      <c r="H520" s="448">
        <v>5</v>
      </c>
      <c r="I520" s="448" t="s">
        <v>655</v>
      </c>
      <c r="J520" s="449"/>
      <c r="K520" s="448"/>
      <c r="L520" s="450"/>
    </row>
    <row r="521" spans="1:12" s="451" customFormat="1" ht="11.25" customHeight="1">
      <c r="A521" s="448" t="s">
        <v>1036</v>
      </c>
      <c r="B521" s="448" t="s">
        <v>1007</v>
      </c>
      <c r="C521" s="454">
        <v>1</v>
      </c>
      <c r="D521" s="448" t="s">
        <v>495</v>
      </c>
      <c r="E521" s="448" t="s">
        <v>424</v>
      </c>
      <c r="F521" s="448" t="s">
        <v>411</v>
      </c>
      <c r="G521" s="448" t="s">
        <v>83</v>
      </c>
      <c r="H521" s="448">
        <v>3</v>
      </c>
      <c r="I521" s="448" t="s">
        <v>655</v>
      </c>
      <c r="J521" s="449"/>
      <c r="K521" s="448"/>
      <c r="L521" s="450"/>
    </row>
    <row r="522" spans="1:12" s="458" customFormat="1" ht="11.25" customHeight="1">
      <c r="A522" s="448" t="s">
        <v>1037</v>
      </c>
      <c r="B522" s="448" t="s">
        <v>1007</v>
      </c>
      <c r="C522" s="454">
        <v>1</v>
      </c>
      <c r="D522" s="448" t="s">
        <v>500</v>
      </c>
      <c r="E522" s="448" t="s">
        <v>83</v>
      </c>
      <c r="F522" s="448" t="s">
        <v>327</v>
      </c>
      <c r="G522" s="448" t="s">
        <v>83</v>
      </c>
      <c r="H522" s="448" t="s">
        <v>83</v>
      </c>
      <c r="I522" s="448" t="s">
        <v>83</v>
      </c>
      <c r="J522" s="455"/>
      <c r="K522" s="448"/>
      <c r="L522" s="457"/>
    </row>
    <row r="523" spans="1:11" ht="11.25" customHeight="1">
      <c r="A523" s="445" t="s">
        <v>1038</v>
      </c>
      <c r="B523" s="446" t="s">
        <v>322</v>
      </c>
      <c r="C523" s="446" t="s">
        <v>323</v>
      </c>
      <c r="D523" s="446" t="s">
        <v>324</v>
      </c>
      <c r="E523" s="446" t="s">
        <v>185</v>
      </c>
      <c r="F523" s="446" t="s">
        <v>325</v>
      </c>
      <c r="G523" s="446" t="s">
        <v>261</v>
      </c>
      <c r="H523" s="446" t="s">
        <v>326</v>
      </c>
      <c r="I523" s="446" t="s">
        <v>254</v>
      </c>
      <c r="J523" s="459" t="s">
        <v>327</v>
      </c>
      <c r="K523" s="447" t="s">
        <v>408</v>
      </c>
    </row>
    <row r="524" spans="1:256" ht="11.25" customHeight="1">
      <c r="A524" s="448" t="s">
        <v>1039</v>
      </c>
      <c r="B524" s="448" t="s">
        <v>1038</v>
      </c>
      <c r="C524" s="448" t="s">
        <v>348</v>
      </c>
      <c r="D524" s="448" t="s">
        <v>410</v>
      </c>
      <c r="E524" s="448" t="s">
        <v>83</v>
      </c>
      <c r="F524" s="448" t="s">
        <v>411</v>
      </c>
      <c r="G524" s="448" t="s">
        <v>83</v>
      </c>
      <c r="H524" s="448" t="s">
        <v>83</v>
      </c>
      <c r="I524" s="448" t="s">
        <v>83</v>
      </c>
      <c r="J524" s="449"/>
      <c r="K524" s="467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t="11.25" customHeight="1">
      <c r="A525" s="454" t="s">
        <v>1040</v>
      </c>
      <c r="B525" s="454" t="s">
        <v>1038</v>
      </c>
      <c r="C525" s="454">
        <v>1</v>
      </c>
      <c r="D525" s="454" t="s">
        <v>789</v>
      </c>
      <c r="E525" s="448" t="s">
        <v>174</v>
      </c>
      <c r="F525" s="454" t="s">
        <v>411</v>
      </c>
      <c r="G525" s="448" t="s">
        <v>83</v>
      </c>
      <c r="H525" s="454">
        <v>5</v>
      </c>
      <c r="I525" s="448" t="s">
        <v>83</v>
      </c>
      <c r="J525" s="455"/>
      <c r="K525" s="467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t="11.25" customHeight="1">
      <c r="A526" s="454" t="s">
        <v>1041</v>
      </c>
      <c r="B526" s="454" t="s">
        <v>1038</v>
      </c>
      <c r="C526" s="454">
        <v>1</v>
      </c>
      <c r="D526" s="454" t="s">
        <v>644</v>
      </c>
      <c r="E526" s="448" t="s">
        <v>424</v>
      </c>
      <c r="F526" s="454" t="s">
        <v>411</v>
      </c>
      <c r="G526" s="454" t="s">
        <v>83</v>
      </c>
      <c r="H526" s="454" t="s">
        <v>83</v>
      </c>
      <c r="I526" s="454" t="s">
        <v>83</v>
      </c>
      <c r="J526" s="455"/>
      <c r="K526" s="467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t="11.25" customHeight="1">
      <c r="A527" s="454" t="s">
        <v>1042</v>
      </c>
      <c r="B527" s="454" t="s">
        <v>1038</v>
      </c>
      <c r="C527" s="454" t="s">
        <v>348</v>
      </c>
      <c r="D527" s="454" t="s">
        <v>588</v>
      </c>
      <c r="E527" s="448" t="s">
        <v>174</v>
      </c>
      <c r="F527" s="454" t="s">
        <v>547</v>
      </c>
      <c r="G527" s="454" t="s">
        <v>630</v>
      </c>
      <c r="H527" s="454" t="s">
        <v>83</v>
      </c>
      <c r="I527" s="454">
        <v>1</v>
      </c>
      <c r="J527" s="455"/>
      <c r="K527" s="46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t="11.25" customHeight="1">
      <c r="A528" s="454" t="s">
        <v>1043</v>
      </c>
      <c r="B528" s="454" t="s">
        <v>1038</v>
      </c>
      <c r="C528" s="454" t="s">
        <v>348</v>
      </c>
      <c r="D528" s="454" t="s">
        <v>1044</v>
      </c>
      <c r="E528" s="454" t="s">
        <v>424</v>
      </c>
      <c r="F528" s="454" t="s">
        <v>411</v>
      </c>
      <c r="G528" s="448" t="s">
        <v>83</v>
      </c>
      <c r="H528" s="454" t="s">
        <v>83</v>
      </c>
      <c r="I528" s="448" t="s">
        <v>615</v>
      </c>
      <c r="J528" s="455"/>
      <c r="K528" s="467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ht="11.25" customHeight="1">
      <c r="A529" s="454" t="s">
        <v>1045</v>
      </c>
      <c r="B529" s="454" t="s">
        <v>1038</v>
      </c>
      <c r="C529" s="454">
        <v>1</v>
      </c>
      <c r="D529" s="454" t="s">
        <v>1044</v>
      </c>
      <c r="E529" s="454" t="s">
        <v>33</v>
      </c>
      <c r="F529" s="454" t="s">
        <v>547</v>
      </c>
      <c r="G529" s="448" t="s">
        <v>674</v>
      </c>
      <c r="H529" s="454">
        <v>4</v>
      </c>
      <c r="I529" s="448" t="s">
        <v>83</v>
      </c>
      <c r="J529" s="455"/>
      <c r="K529" s="467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ht="11.25" customHeight="1">
      <c r="A530" s="454" t="s">
        <v>1046</v>
      </c>
      <c r="B530" s="454" t="s">
        <v>1038</v>
      </c>
      <c r="C530" s="454">
        <v>1</v>
      </c>
      <c r="D530" s="454" t="s">
        <v>566</v>
      </c>
      <c r="E530" s="448" t="s">
        <v>174</v>
      </c>
      <c r="F530" s="454" t="s">
        <v>547</v>
      </c>
      <c r="G530" s="454" t="s">
        <v>630</v>
      </c>
      <c r="H530" s="454">
        <v>5</v>
      </c>
      <c r="I530" s="448" t="s">
        <v>83</v>
      </c>
      <c r="J530" s="455"/>
      <c r="K530" s="467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ht="11.25" customHeight="1">
      <c r="A531" s="448" t="s">
        <v>1047</v>
      </c>
      <c r="B531" s="448" t="s">
        <v>1038</v>
      </c>
      <c r="C531" s="448" t="s">
        <v>348</v>
      </c>
      <c r="D531" s="448" t="s">
        <v>500</v>
      </c>
      <c r="E531" s="448" t="s">
        <v>83</v>
      </c>
      <c r="F531" s="448" t="s">
        <v>411</v>
      </c>
      <c r="G531" s="448" t="s">
        <v>83</v>
      </c>
      <c r="H531" s="448" t="s">
        <v>83</v>
      </c>
      <c r="I531" s="448" t="s">
        <v>83</v>
      </c>
      <c r="J531" s="449"/>
      <c r="K531" s="467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ht="11.25" customHeight="1">
      <c r="A532" s="448" t="s">
        <v>1048</v>
      </c>
      <c r="B532" s="448" t="s">
        <v>1038</v>
      </c>
      <c r="C532" s="448">
        <v>1</v>
      </c>
      <c r="D532" s="448" t="s">
        <v>500</v>
      </c>
      <c r="E532" s="448" t="s">
        <v>83</v>
      </c>
      <c r="F532" s="448" t="s">
        <v>327</v>
      </c>
      <c r="G532" s="448" t="s">
        <v>83</v>
      </c>
      <c r="H532" s="448" t="s">
        <v>83</v>
      </c>
      <c r="I532" s="448" t="s">
        <v>83</v>
      </c>
      <c r="J532" s="449"/>
      <c r="K532" s="467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ht="11.25" customHeight="1">
      <c r="A533" s="454" t="s">
        <v>1049</v>
      </c>
      <c r="B533" s="454" t="s">
        <v>1038</v>
      </c>
      <c r="C533" s="454" t="s">
        <v>348</v>
      </c>
      <c r="D533" s="454" t="s">
        <v>644</v>
      </c>
      <c r="E533" s="454" t="s">
        <v>424</v>
      </c>
      <c r="F533" s="454" t="s">
        <v>411</v>
      </c>
      <c r="G533" s="448" t="s">
        <v>83</v>
      </c>
      <c r="H533" s="454">
        <v>2</v>
      </c>
      <c r="I533" s="448" t="s">
        <v>83</v>
      </c>
      <c r="J533" s="455"/>
      <c r="K533" s="467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t="11.25" customHeight="1">
      <c r="A534" s="454" t="s">
        <v>1050</v>
      </c>
      <c r="B534" s="454" t="s">
        <v>1038</v>
      </c>
      <c r="C534" s="454">
        <v>1</v>
      </c>
      <c r="D534" s="454" t="s">
        <v>495</v>
      </c>
      <c r="E534" s="454" t="s">
        <v>424</v>
      </c>
      <c r="F534" s="454" t="s">
        <v>411</v>
      </c>
      <c r="G534" s="448" t="s">
        <v>83</v>
      </c>
      <c r="H534" s="454">
        <v>4</v>
      </c>
      <c r="I534" s="448" t="s">
        <v>83</v>
      </c>
      <c r="J534" s="455"/>
      <c r="K534" s="467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ht="11.25" customHeight="1">
      <c r="A535" s="454" t="s">
        <v>1051</v>
      </c>
      <c r="B535" s="454" t="s">
        <v>1038</v>
      </c>
      <c r="C535" s="454" t="s">
        <v>348</v>
      </c>
      <c r="D535" s="454" t="s">
        <v>644</v>
      </c>
      <c r="E535" s="454" t="s">
        <v>424</v>
      </c>
      <c r="F535" s="454" t="s">
        <v>411</v>
      </c>
      <c r="G535" s="448" t="s">
        <v>83</v>
      </c>
      <c r="H535" s="454">
        <v>6</v>
      </c>
      <c r="I535" s="448" t="s">
        <v>83</v>
      </c>
      <c r="J535" s="455"/>
      <c r="K535" s="467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ht="11.25" customHeight="1">
      <c r="A536" s="454" t="s">
        <v>1052</v>
      </c>
      <c r="B536" s="454" t="s">
        <v>1038</v>
      </c>
      <c r="C536" s="454" t="s">
        <v>348</v>
      </c>
      <c r="D536" s="454" t="s">
        <v>488</v>
      </c>
      <c r="E536" s="454" t="s">
        <v>424</v>
      </c>
      <c r="F536" s="454" t="s">
        <v>327</v>
      </c>
      <c r="G536" s="448" t="s">
        <v>83</v>
      </c>
      <c r="H536" s="454">
        <v>15</v>
      </c>
      <c r="I536" s="448" t="s">
        <v>615</v>
      </c>
      <c r="J536" s="455"/>
      <c r="K536" s="467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ht="11.25" customHeight="1">
      <c r="A537" s="454" t="s">
        <v>1053</v>
      </c>
      <c r="B537" s="454" t="s">
        <v>1038</v>
      </c>
      <c r="C537" s="454">
        <v>1</v>
      </c>
      <c r="D537" s="454" t="s">
        <v>789</v>
      </c>
      <c r="E537" s="448" t="s">
        <v>174</v>
      </c>
      <c r="F537" s="454" t="s">
        <v>547</v>
      </c>
      <c r="G537" s="448" t="s">
        <v>630</v>
      </c>
      <c r="H537" s="454">
        <v>5</v>
      </c>
      <c r="I537" s="448" t="s">
        <v>83</v>
      </c>
      <c r="J537" s="455"/>
      <c r="K537" s="46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 ht="11.25" customHeight="1">
      <c r="A538" s="454" t="s">
        <v>1054</v>
      </c>
      <c r="B538" s="454" t="s">
        <v>1038</v>
      </c>
      <c r="C538" s="454">
        <v>1</v>
      </c>
      <c r="D538" s="454" t="s">
        <v>566</v>
      </c>
      <c r="E538" s="448" t="s">
        <v>174</v>
      </c>
      <c r="F538" s="454" t="s">
        <v>327</v>
      </c>
      <c r="G538" s="454" t="s">
        <v>630</v>
      </c>
      <c r="H538" s="454">
        <v>5</v>
      </c>
      <c r="I538" s="448" t="s">
        <v>83</v>
      </c>
      <c r="J538" s="455"/>
      <c r="K538" s="467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 ht="11.25" customHeight="1">
      <c r="A539" s="454" t="s">
        <v>1055</v>
      </c>
      <c r="B539" s="454" t="s">
        <v>1038</v>
      </c>
      <c r="C539" s="454">
        <v>1</v>
      </c>
      <c r="D539" s="454" t="s">
        <v>644</v>
      </c>
      <c r="E539" s="454" t="s">
        <v>424</v>
      </c>
      <c r="F539" s="454" t="s">
        <v>411</v>
      </c>
      <c r="G539" s="448" t="s">
        <v>83</v>
      </c>
      <c r="H539" s="454">
        <v>5</v>
      </c>
      <c r="I539" s="448" t="s">
        <v>83</v>
      </c>
      <c r="J539" s="455"/>
      <c r="K539" s="467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1:256" ht="11.25" customHeight="1">
      <c r="A540" s="448" t="s">
        <v>1056</v>
      </c>
      <c r="B540" s="448" t="s">
        <v>1038</v>
      </c>
      <c r="C540" s="448" t="s">
        <v>348</v>
      </c>
      <c r="D540" s="448" t="s">
        <v>410</v>
      </c>
      <c r="E540" s="448" t="s">
        <v>83</v>
      </c>
      <c r="F540" s="448" t="s">
        <v>411</v>
      </c>
      <c r="G540" s="448" t="s">
        <v>83</v>
      </c>
      <c r="H540" s="448" t="s">
        <v>83</v>
      </c>
      <c r="I540" s="448" t="s">
        <v>83</v>
      </c>
      <c r="J540" s="449"/>
      <c r="K540" s="467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ht="11.25" customHeight="1">
      <c r="A541" s="454" t="s">
        <v>1057</v>
      </c>
      <c r="B541" s="454" t="s">
        <v>1038</v>
      </c>
      <c r="C541" s="454">
        <v>1</v>
      </c>
      <c r="D541" s="454" t="s">
        <v>644</v>
      </c>
      <c r="E541" s="448" t="s">
        <v>424</v>
      </c>
      <c r="F541" s="454" t="s">
        <v>411</v>
      </c>
      <c r="G541" s="454" t="s">
        <v>83</v>
      </c>
      <c r="H541" s="454">
        <v>6</v>
      </c>
      <c r="I541" s="448" t="s">
        <v>83</v>
      </c>
      <c r="J541" s="455"/>
      <c r="K541" s="467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ht="11.25" customHeight="1">
      <c r="A542" s="454" t="s">
        <v>1058</v>
      </c>
      <c r="B542" s="448" t="s">
        <v>1038</v>
      </c>
      <c r="C542" s="448" t="s">
        <v>348</v>
      </c>
      <c r="D542" s="448" t="s">
        <v>500</v>
      </c>
      <c r="E542" s="448" t="s">
        <v>83</v>
      </c>
      <c r="F542" s="448" t="s">
        <v>327</v>
      </c>
      <c r="G542" s="448" t="s">
        <v>83</v>
      </c>
      <c r="H542" s="448" t="s">
        <v>83</v>
      </c>
      <c r="I542" s="448" t="s">
        <v>83</v>
      </c>
      <c r="J542" s="455"/>
      <c r="K542" s="467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t="11.25" customHeight="1">
      <c r="A543" s="454" t="s">
        <v>1059</v>
      </c>
      <c r="B543" s="454" t="s">
        <v>1038</v>
      </c>
      <c r="C543" s="454">
        <v>1</v>
      </c>
      <c r="D543" s="454" t="s">
        <v>652</v>
      </c>
      <c r="E543" s="454" t="s">
        <v>424</v>
      </c>
      <c r="F543" s="454" t="s">
        <v>411</v>
      </c>
      <c r="G543" s="448" t="s">
        <v>83</v>
      </c>
      <c r="H543" s="454">
        <v>4</v>
      </c>
      <c r="I543" s="448" t="s">
        <v>83</v>
      </c>
      <c r="J543" s="455"/>
      <c r="K543" s="467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12" s="458" customFormat="1" ht="11.25" customHeight="1">
      <c r="A544" s="448" t="s">
        <v>1060</v>
      </c>
      <c r="B544" s="454" t="s">
        <v>1038</v>
      </c>
      <c r="C544" s="448" t="s">
        <v>348</v>
      </c>
      <c r="D544" s="448" t="s">
        <v>500</v>
      </c>
      <c r="E544" s="448" t="s">
        <v>83</v>
      </c>
      <c r="F544" s="454" t="s">
        <v>327</v>
      </c>
      <c r="G544" s="448" t="s">
        <v>83</v>
      </c>
      <c r="H544" s="448" t="s">
        <v>83</v>
      </c>
      <c r="I544" s="448" t="s">
        <v>83</v>
      </c>
      <c r="J544" s="455"/>
      <c r="K544" s="454"/>
      <c r="L544" s="457"/>
    </row>
    <row r="545" spans="1:11" ht="11.25" customHeight="1">
      <c r="A545" s="454" t="s">
        <v>1061</v>
      </c>
      <c r="B545" s="454" t="s">
        <v>1038</v>
      </c>
      <c r="C545" s="448" t="s">
        <v>348</v>
      </c>
      <c r="D545" s="448" t="s">
        <v>423</v>
      </c>
      <c r="E545" s="454" t="s">
        <v>424</v>
      </c>
      <c r="F545" s="454" t="s">
        <v>411</v>
      </c>
      <c r="G545" s="448" t="s">
        <v>83</v>
      </c>
      <c r="H545" s="448">
        <v>3</v>
      </c>
      <c r="I545" s="448" t="s">
        <v>83</v>
      </c>
      <c r="J545" s="455"/>
      <c r="K545" s="454"/>
    </row>
    <row r="546" spans="1:11" ht="11.25" customHeight="1">
      <c r="A546" s="454" t="s">
        <v>1062</v>
      </c>
      <c r="B546" s="454" t="s">
        <v>1038</v>
      </c>
      <c r="C546" s="448" t="s">
        <v>348</v>
      </c>
      <c r="D546" s="448" t="s">
        <v>1063</v>
      </c>
      <c r="E546" s="454" t="s">
        <v>424</v>
      </c>
      <c r="F546" s="454" t="s">
        <v>411</v>
      </c>
      <c r="G546" s="448" t="s">
        <v>83</v>
      </c>
      <c r="H546" s="448">
        <v>7</v>
      </c>
      <c r="I546" s="448" t="s">
        <v>83</v>
      </c>
      <c r="J546" s="455"/>
      <c r="K546" s="454"/>
    </row>
    <row r="547" spans="1:11" ht="11.25" customHeight="1">
      <c r="A547" s="454" t="s">
        <v>1064</v>
      </c>
      <c r="B547" s="454" t="s">
        <v>1038</v>
      </c>
      <c r="C547" s="448" t="s">
        <v>348</v>
      </c>
      <c r="D547" s="448" t="s">
        <v>1065</v>
      </c>
      <c r="E547" s="454" t="s">
        <v>424</v>
      </c>
      <c r="F547" s="454" t="s">
        <v>411</v>
      </c>
      <c r="G547" s="448" t="s">
        <v>83</v>
      </c>
      <c r="H547" s="448">
        <v>10</v>
      </c>
      <c r="I547" s="448">
        <v>1</v>
      </c>
      <c r="J547" s="455"/>
      <c r="K547" s="454"/>
    </row>
    <row r="548" spans="1:12" s="458" customFormat="1" ht="11.25" customHeight="1">
      <c r="A548" s="448" t="s">
        <v>1066</v>
      </c>
      <c r="B548" s="454" t="s">
        <v>1038</v>
      </c>
      <c r="C548" s="448" t="s">
        <v>348</v>
      </c>
      <c r="D548" s="448" t="s">
        <v>500</v>
      </c>
      <c r="E548" s="448" t="s">
        <v>83</v>
      </c>
      <c r="F548" s="454" t="s">
        <v>327</v>
      </c>
      <c r="G548" s="448" t="s">
        <v>83</v>
      </c>
      <c r="H548" s="448" t="s">
        <v>83</v>
      </c>
      <c r="I548" s="448" t="s">
        <v>83</v>
      </c>
      <c r="J548" s="455"/>
      <c r="K548" s="454"/>
      <c r="L548" s="457"/>
    </row>
    <row r="549" spans="1:11" ht="11.25" customHeight="1">
      <c r="A549" s="454" t="s">
        <v>1067</v>
      </c>
      <c r="B549" s="454" t="s">
        <v>1038</v>
      </c>
      <c r="C549" s="448" t="s">
        <v>348</v>
      </c>
      <c r="D549" s="448" t="s">
        <v>500</v>
      </c>
      <c r="E549" s="448" t="s">
        <v>83</v>
      </c>
      <c r="F549" s="454" t="s">
        <v>327</v>
      </c>
      <c r="G549" s="448" t="s">
        <v>83</v>
      </c>
      <c r="H549" s="448" t="s">
        <v>83</v>
      </c>
      <c r="I549" s="448" t="s">
        <v>83</v>
      </c>
      <c r="J549" s="455"/>
      <c r="K549" s="454"/>
    </row>
    <row r="550" spans="1:11" ht="11.25" customHeight="1">
      <c r="A550" s="454" t="s">
        <v>1068</v>
      </c>
      <c r="B550" s="454" t="s">
        <v>1038</v>
      </c>
      <c r="C550" s="448" t="s">
        <v>348</v>
      </c>
      <c r="D550" s="448" t="s">
        <v>1069</v>
      </c>
      <c r="E550" s="454" t="s">
        <v>424</v>
      </c>
      <c r="F550" s="454" t="s">
        <v>411</v>
      </c>
      <c r="G550" s="448" t="s">
        <v>83</v>
      </c>
      <c r="H550" s="448">
        <v>7</v>
      </c>
      <c r="I550" s="448" t="s">
        <v>83</v>
      </c>
      <c r="J550" s="455"/>
      <c r="K550" s="454"/>
    </row>
    <row r="551" spans="1:12" s="458" customFormat="1" ht="11.25" customHeight="1">
      <c r="A551" s="448" t="s">
        <v>1070</v>
      </c>
      <c r="B551" s="454" t="s">
        <v>1038</v>
      </c>
      <c r="C551" s="448" t="s">
        <v>348</v>
      </c>
      <c r="D551" s="448" t="s">
        <v>1071</v>
      </c>
      <c r="E551" s="454" t="s">
        <v>424</v>
      </c>
      <c r="F551" s="454" t="s">
        <v>411</v>
      </c>
      <c r="G551" s="448" t="s">
        <v>83</v>
      </c>
      <c r="H551" s="448" t="s">
        <v>83</v>
      </c>
      <c r="I551" s="448" t="s">
        <v>83</v>
      </c>
      <c r="J551" s="455"/>
      <c r="K551" s="454"/>
      <c r="L551" s="457"/>
    </row>
    <row r="552" spans="1:11" ht="11.25" customHeight="1">
      <c r="A552" s="445" t="s">
        <v>1072</v>
      </c>
      <c r="B552" s="446" t="s">
        <v>322</v>
      </c>
      <c r="C552" s="446" t="s">
        <v>323</v>
      </c>
      <c r="D552" s="446" t="s">
        <v>324</v>
      </c>
      <c r="E552" s="446" t="s">
        <v>185</v>
      </c>
      <c r="F552" s="446" t="s">
        <v>325</v>
      </c>
      <c r="G552" s="446" t="s">
        <v>261</v>
      </c>
      <c r="H552" s="446" t="s">
        <v>326</v>
      </c>
      <c r="I552" s="446" t="s">
        <v>254</v>
      </c>
      <c r="J552" s="459" t="s">
        <v>327</v>
      </c>
      <c r="K552" s="447" t="s">
        <v>408</v>
      </c>
    </row>
    <row r="553" spans="1:256" ht="11.25" customHeight="1">
      <c r="A553" s="454" t="s">
        <v>1073</v>
      </c>
      <c r="B553" s="454" t="s">
        <v>1072</v>
      </c>
      <c r="C553" s="454">
        <v>1</v>
      </c>
      <c r="D553" s="454" t="s">
        <v>423</v>
      </c>
      <c r="E553" s="448" t="s">
        <v>424</v>
      </c>
      <c r="F553" s="454" t="s">
        <v>547</v>
      </c>
      <c r="G553" s="454" t="s">
        <v>548</v>
      </c>
      <c r="H553" s="454" t="s">
        <v>83</v>
      </c>
      <c r="I553" s="454" t="s">
        <v>83</v>
      </c>
      <c r="J553" s="455"/>
      <c r="K553" s="467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ht="11.25" customHeight="1">
      <c r="A554" s="448" t="s">
        <v>1074</v>
      </c>
      <c r="B554" s="448" t="s">
        <v>1072</v>
      </c>
      <c r="C554" s="448">
        <v>1</v>
      </c>
      <c r="D554" s="448" t="s">
        <v>410</v>
      </c>
      <c r="E554" s="448" t="s">
        <v>83</v>
      </c>
      <c r="F554" s="448" t="s">
        <v>411</v>
      </c>
      <c r="G554" s="448" t="s">
        <v>83</v>
      </c>
      <c r="H554" s="448" t="s">
        <v>83</v>
      </c>
      <c r="I554" s="448" t="s">
        <v>83</v>
      </c>
      <c r="J554" s="449"/>
      <c r="K554" s="467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ht="11.25" customHeight="1">
      <c r="A555" s="454" t="s">
        <v>1075</v>
      </c>
      <c r="B555" s="454" t="s">
        <v>1072</v>
      </c>
      <c r="C555" s="454">
        <v>1</v>
      </c>
      <c r="D555" s="454" t="s">
        <v>495</v>
      </c>
      <c r="E555" s="448" t="s">
        <v>35</v>
      </c>
      <c r="F555" s="454" t="s">
        <v>327</v>
      </c>
      <c r="G555" s="454" t="s">
        <v>548</v>
      </c>
      <c r="H555" s="454">
        <v>8</v>
      </c>
      <c r="I555" s="454" t="s">
        <v>83</v>
      </c>
      <c r="J555" s="455"/>
      <c r="K555" s="467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ht="11.25" customHeight="1">
      <c r="A556" s="454" t="s">
        <v>1076</v>
      </c>
      <c r="B556" s="454" t="s">
        <v>1072</v>
      </c>
      <c r="C556" s="454" t="s">
        <v>348</v>
      </c>
      <c r="D556" s="454" t="s">
        <v>566</v>
      </c>
      <c r="E556" s="448" t="s">
        <v>35</v>
      </c>
      <c r="F556" s="454" t="s">
        <v>411</v>
      </c>
      <c r="G556" s="448" t="s">
        <v>83</v>
      </c>
      <c r="H556" s="454" t="s">
        <v>83</v>
      </c>
      <c r="I556" s="454" t="s">
        <v>83</v>
      </c>
      <c r="J556" s="455"/>
      <c r="K556" s="467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11" ht="11.25" customHeight="1">
      <c r="A557" s="454" t="s">
        <v>1077</v>
      </c>
      <c r="B557" s="454" t="s">
        <v>1072</v>
      </c>
      <c r="C557" s="454">
        <v>1</v>
      </c>
      <c r="D557" s="454" t="s">
        <v>644</v>
      </c>
      <c r="E557" s="448" t="s">
        <v>424</v>
      </c>
      <c r="F557" s="454" t="s">
        <v>411</v>
      </c>
      <c r="G557" s="448" t="s">
        <v>83</v>
      </c>
      <c r="H557" s="454">
        <v>2</v>
      </c>
      <c r="I557" s="454" t="s">
        <v>83</v>
      </c>
      <c r="J557" s="455"/>
      <c r="K557" s="454"/>
    </row>
    <row r="558" spans="1:256" ht="11.25" customHeight="1">
      <c r="A558" s="448" t="s">
        <v>1078</v>
      </c>
      <c r="B558" s="448" t="s">
        <v>1072</v>
      </c>
      <c r="C558" s="448">
        <v>1</v>
      </c>
      <c r="D558" s="448" t="s">
        <v>410</v>
      </c>
      <c r="E558" s="448" t="s">
        <v>83</v>
      </c>
      <c r="F558" s="448" t="s">
        <v>411</v>
      </c>
      <c r="G558" s="448" t="s">
        <v>83</v>
      </c>
      <c r="H558" s="448" t="s">
        <v>83</v>
      </c>
      <c r="I558" s="448" t="s">
        <v>83</v>
      </c>
      <c r="J558" s="449"/>
      <c r="K558" s="467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ht="11.25" customHeight="1">
      <c r="A559" s="448" t="s">
        <v>1079</v>
      </c>
      <c r="B559" s="448" t="s">
        <v>1072</v>
      </c>
      <c r="C559" s="448" t="s">
        <v>348</v>
      </c>
      <c r="D559" s="448" t="s">
        <v>410</v>
      </c>
      <c r="E559" s="448" t="s">
        <v>83</v>
      </c>
      <c r="F559" s="448" t="s">
        <v>411</v>
      </c>
      <c r="G559" s="448" t="s">
        <v>83</v>
      </c>
      <c r="H559" s="448" t="s">
        <v>83</v>
      </c>
      <c r="I559" s="448" t="s">
        <v>83</v>
      </c>
      <c r="J559" s="449"/>
      <c r="K559" s="467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ht="11.25" customHeight="1">
      <c r="A560" s="454" t="s">
        <v>1080</v>
      </c>
      <c r="B560" s="454" t="s">
        <v>1072</v>
      </c>
      <c r="C560" s="454" t="s">
        <v>348</v>
      </c>
      <c r="D560" s="454" t="s">
        <v>495</v>
      </c>
      <c r="E560" s="448" t="s">
        <v>35</v>
      </c>
      <c r="F560" s="454" t="s">
        <v>547</v>
      </c>
      <c r="G560" s="454" t="s">
        <v>489</v>
      </c>
      <c r="H560" s="454" t="s">
        <v>83</v>
      </c>
      <c r="I560" s="454" t="s">
        <v>83</v>
      </c>
      <c r="J560" s="455"/>
      <c r="K560" s="467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ht="11.25" customHeight="1">
      <c r="A561" s="454" t="s">
        <v>1081</v>
      </c>
      <c r="B561" s="454" t="s">
        <v>1072</v>
      </c>
      <c r="C561" s="454">
        <v>1</v>
      </c>
      <c r="D561" s="448" t="s">
        <v>410</v>
      </c>
      <c r="E561" s="448" t="s">
        <v>83</v>
      </c>
      <c r="F561" s="448" t="s">
        <v>411</v>
      </c>
      <c r="G561" s="448" t="s">
        <v>83</v>
      </c>
      <c r="H561" s="448" t="s">
        <v>83</v>
      </c>
      <c r="I561" s="448" t="s">
        <v>83</v>
      </c>
      <c r="J561" s="449"/>
      <c r="K561" s="467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ht="11.25" customHeight="1">
      <c r="A562" s="454" t="s">
        <v>1082</v>
      </c>
      <c r="B562" s="454" t="s">
        <v>1072</v>
      </c>
      <c r="C562" s="454">
        <v>1</v>
      </c>
      <c r="D562" s="454" t="s">
        <v>495</v>
      </c>
      <c r="E562" s="448" t="s">
        <v>35</v>
      </c>
      <c r="F562" s="454" t="s">
        <v>702</v>
      </c>
      <c r="G562" s="454" t="s">
        <v>548</v>
      </c>
      <c r="H562" s="454">
        <v>6</v>
      </c>
      <c r="I562" s="454" t="s">
        <v>83</v>
      </c>
      <c r="J562" s="455"/>
      <c r="K562" s="467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ht="11.25" customHeight="1">
      <c r="A563" s="448" t="s">
        <v>1083</v>
      </c>
      <c r="B563" s="448" t="s">
        <v>1072</v>
      </c>
      <c r="C563" s="448" t="s">
        <v>348</v>
      </c>
      <c r="D563" s="448" t="s">
        <v>410</v>
      </c>
      <c r="E563" s="448" t="s">
        <v>83</v>
      </c>
      <c r="F563" s="448" t="s">
        <v>411</v>
      </c>
      <c r="G563" s="448" t="s">
        <v>83</v>
      </c>
      <c r="H563" s="448" t="s">
        <v>83</v>
      </c>
      <c r="I563" s="448" t="s">
        <v>83</v>
      </c>
      <c r="J563" s="449"/>
      <c r="K563" s="467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ht="11.25" customHeight="1">
      <c r="A564" s="454" t="s">
        <v>1084</v>
      </c>
      <c r="B564" s="454" t="s">
        <v>1072</v>
      </c>
      <c r="C564" s="454" t="s">
        <v>348</v>
      </c>
      <c r="D564" s="454" t="s">
        <v>423</v>
      </c>
      <c r="E564" s="454" t="s">
        <v>424</v>
      </c>
      <c r="F564" s="454" t="s">
        <v>411</v>
      </c>
      <c r="G564" s="448" t="s">
        <v>83</v>
      </c>
      <c r="H564" s="454">
        <v>6</v>
      </c>
      <c r="I564" s="454" t="s">
        <v>615</v>
      </c>
      <c r="J564" s="455"/>
      <c r="K564" s="467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56" ht="11.25" customHeight="1">
      <c r="A565" s="448" t="s">
        <v>1085</v>
      </c>
      <c r="B565" s="448" t="s">
        <v>1072</v>
      </c>
      <c r="C565" s="448" t="s">
        <v>348</v>
      </c>
      <c r="D565" s="448" t="s">
        <v>410</v>
      </c>
      <c r="E565" s="448" t="s">
        <v>83</v>
      </c>
      <c r="F565" s="448" t="s">
        <v>411</v>
      </c>
      <c r="G565" s="448" t="s">
        <v>83</v>
      </c>
      <c r="H565" s="448" t="s">
        <v>83</v>
      </c>
      <c r="I565" s="448" t="s">
        <v>83</v>
      </c>
      <c r="J565" s="449"/>
      <c r="K565" s="467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1:256" ht="11.25" customHeight="1">
      <c r="A566" s="448" t="s">
        <v>1086</v>
      </c>
      <c r="B566" s="448" t="s">
        <v>1072</v>
      </c>
      <c r="C566" s="448">
        <v>1</v>
      </c>
      <c r="D566" s="448" t="s">
        <v>410</v>
      </c>
      <c r="E566" s="448" t="s">
        <v>83</v>
      </c>
      <c r="F566" s="448" t="s">
        <v>411</v>
      </c>
      <c r="G566" s="448" t="s">
        <v>83</v>
      </c>
      <c r="H566" s="448" t="s">
        <v>83</v>
      </c>
      <c r="I566" s="448" t="s">
        <v>83</v>
      </c>
      <c r="J566" s="449"/>
      <c r="K566" s="467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 ht="11.25" customHeight="1">
      <c r="A567" s="448" t="s">
        <v>1087</v>
      </c>
      <c r="B567" s="448" t="s">
        <v>1072</v>
      </c>
      <c r="C567" s="448">
        <v>1</v>
      </c>
      <c r="D567" s="448" t="s">
        <v>410</v>
      </c>
      <c r="E567" s="448" t="s">
        <v>83</v>
      </c>
      <c r="F567" s="448" t="s">
        <v>411</v>
      </c>
      <c r="G567" s="448" t="s">
        <v>83</v>
      </c>
      <c r="H567" s="448" t="s">
        <v>83</v>
      </c>
      <c r="I567" s="448" t="s">
        <v>83</v>
      </c>
      <c r="J567" s="449"/>
      <c r="K567" s="4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ht="11.25" customHeight="1">
      <c r="A568" s="448" t="s">
        <v>1088</v>
      </c>
      <c r="B568" s="448" t="s">
        <v>1072</v>
      </c>
      <c r="C568" s="448">
        <v>1</v>
      </c>
      <c r="D568" s="448" t="s">
        <v>410</v>
      </c>
      <c r="E568" s="448" t="s">
        <v>83</v>
      </c>
      <c r="F568" s="448" t="s">
        <v>411</v>
      </c>
      <c r="G568" s="448" t="s">
        <v>83</v>
      </c>
      <c r="H568" s="448" t="s">
        <v>83</v>
      </c>
      <c r="I568" s="448" t="s">
        <v>83</v>
      </c>
      <c r="J568" s="449"/>
      <c r="K568" s="467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ht="11.25" customHeight="1">
      <c r="A569" s="448" t="s">
        <v>1089</v>
      </c>
      <c r="B569" s="448" t="s">
        <v>1072</v>
      </c>
      <c r="C569" s="448">
        <v>1</v>
      </c>
      <c r="D569" s="448" t="s">
        <v>410</v>
      </c>
      <c r="E569" s="448" t="s">
        <v>83</v>
      </c>
      <c r="F569" s="448" t="s">
        <v>411</v>
      </c>
      <c r="G569" s="448" t="s">
        <v>83</v>
      </c>
      <c r="H569" s="448" t="s">
        <v>83</v>
      </c>
      <c r="I569" s="448" t="s">
        <v>83</v>
      </c>
      <c r="J569" s="449"/>
      <c r="K569" s="467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1:256" ht="11.25" customHeight="1">
      <c r="A570" s="448" t="s">
        <v>1090</v>
      </c>
      <c r="B570" s="448" t="s">
        <v>1072</v>
      </c>
      <c r="C570" s="448">
        <v>1</v>
      </c>
      <c r="D570" s="448" t="s">
        <v>410</v>
      </c>
      <c r="E570" s="448" t="s">
        <v>83</v>
      </c>
      <c r="F570" s="448" t="s">
        <v>411</v>
      </c>
      <c r="G570" s="448" t="s">
        <v>83</v>
      </c>
      <c r="H570" s="448" t="s">
        <v>83</v>
      </c>
      <c r="I570" s="448" t="s">
        <v>83</v>
      </c>
      <c r="J570" s="449"/>
      <c r="K570" s="467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1:256" ht="11.25" customHeight="1">
      <c r="A571" s="448" t="s">
        <v>1091</v>
      </c>
      <c r="B571" s="448" t="s">
        <v>1072</v>
      </c>
      <c r="C571" s="448">
        <v>1</v>
      </c>
      <c r="D571" s="448" t="s">
        <v>410</v>
      </c>
      <c r="E571" s="448" t="s">
        <v>83</v>
      </c>
      <c r="F571" s="448" t="s">
        <v>411</v>
      </c>
      <c r="G571" s="448" t="s">
        <v>83</v>
      </c>
      <c r="H571" s="448" t="s">
        <v>83</v>
      </c>
      <c r="I571" s="448" t="s">
        <v>83</v>
      </c>
      <c r="J571" s="449"/>
      <c r="K571" s="467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1:256" ht="11.25" customHeight="1">
      <c r="A572" s="448" t="s">
        <v>1092</v>
      </c>
      <c r="B572" s="448" t="s">
        <v>1072</v>
      </c>
      <c r="C572" s="448">
        <v>1</v>
      </c>
      <c r="D572" s="448" t="s">
        <v>410</v>
      </c>
      <c r="E572" s="448" t="s">
        <v>83</v>
      </c>
      <c r="F572" s="448" t="s">
        <v>411</v>
      </c>
      <c r="G572" s="448" t="s">
        <v>83</v>
      </c>
      <c r="H572" s="448" t="s">
        <v>83</v>
      </c>
      <c r="I572" s="448" t="s">
        <v>83</v>
      </c>
      <c r="J572" s="449"/>
      <c r="K572" s="467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1:256" ht="11.25" customHeight="1">
      <c r="A573" s="448" t="s">
        <v>1093</v>
      </c>
      <c r="B573" s="448" t="s">
        <v>1072</v>
      </c>
      <c r="C573" s="448">
        <v>1</v>
      </c>
      <c r="D573" s="448" t="s">
        <v>410</v>
      </c>
      <c r="E573" s="448" t="s">
        <v>83</v>
      </c>
      <c r="F573" s="448" t="s">
        <v>411</v>
      </c>
      <c r="G573" s="448" t="s">
        <v>83</v>
      </c>
      <c r="H573" s="448" t="s">
        <v>83</v>
      </c>
      <c r="I573" s="448" t="s">
        <v>83</v>
      </c>
      <c r="J573" s="449"/>
      <c r="K573" s="467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1:256" ht="11.25" customHeight="1">
      <c r="A574" s="448" t="s">
        <v>1094</v>
      </c>
      <c r="B574" s="448" t="s">
        <v>1072</v>
      </c>
      <c r="C574" s="448">
        <v>1</v>
      </c>
      <c r="D574" s="448" t="s">
        <v>410</v>
      </c>
      <c r="E574" s="448" t="s">
        <v>83</v>
      </c>
      <c r="F574" s="448" t="s">
        <v>411</v>
      </c>
      <c r="G574" s="448" t="s">
        <v>83</v>
      </c>
      <c r="H574" s="448" t="s">
        <v>83</v>
      </c>
      <c r="I574" s="448" t="s">
        <v>83</v>
      </c>
      <c r="J574" s="449"/>
      <c r="K574" s="467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1:256" ht="11.25" customHeight="1">
      <c r="A575" s="448" t="s">
        <v>1095</v>
      </c>
      <c r="B575" s="448" t="s">
        <v>1072</v>
      </c>
      <c r="C575" s="448">
        <v>1</v>
      </c>
      <c r="D575" s="448" t="s">
        <v>410</v>
      </c>
      <c r="E575" s="448" t="s">
        <v>83</v>
      </c>
      <c r="F575" s="448" t="s">
        <v>411</v>
      </c>
      <c r="G575" s="448" t="s">
        <v>83</v>
      </c>
      <c r="H575" s="448" t="s">
        <v>83</v>
      </c>
      <c r="I575" s="448" t="s">
        <v>83</v>
      </c>
      <c r="J575" s="449"/>
      <c r="K575" s="467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1:256" ht="11.25" customHeight="1">
      <c r="A576" s="448" t="s">
        <v>1096</v>
      </c>
      <c r="B576" s="448" t="s">
        <v>1072</v>
      </c>
      <c r="C576" s="448">
        <v>1</v>
      </c>
      <c r="D576" s="448" t="s">
        <v>410</v>
      </c>
      <c r="E576" s="448" t="s">
        <v>83</v>
      </c>
      <c r="F576" s="448" t="s">
        <v>411</v>
      </c>
      <c r="G576" s="448" t="s">
        <v>83</v>
      </c>
      <c r="H576" s="448" t="s">
        <v>83</v>
      </c>
      <c r="I576" s="448" t="s">
        <v>83</v>
      </c>
      <c r="J576" s="449"/>
      <c r="K576" s="467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1:256" ht="11.25" customHeight="1">
      <c r="A577" s="448" t="s">
        <v>1097</v>
      </c>
      <c r="B577" s="448" t="s">
        <v>1072</v>
      </c>
      <c r="C577" s="448">
        <v>1</v>
      </c>
      <c r="D577" s="448" t="s">
        <v>410</v>
      </c>
      <c r="E577" s="448" t="s">
        <v>83</v>
      </c>
      <c r="F577" s="448" t="s">
        <v>411</v>
      </c>
      <c r="G577" s="448" t="s">
        <v>83</v>
      </c>
      <c r="H577" s="448" t="s">
        <v>83</v>
      </c>
      <c r="I577" s="448" t="s">
        <v>83</v>
      </c>
      <c r="J577" s="449"/>
      <c r="K577" s="46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1:256" ht="11.25" customHeight="1">
      <c r="A578" s="448" t="s">
        <v>1098</v>
      </c>
      <c r="B578" s="448" t="s">
        <v>1072</v>
      </c>
      <c r="C578" s="448">
        <v>1</v>
      </c>
      <c r="D578" s="448" t="s">
        <v>410</v>
      </c>
      <c r="E578" s="448" t="s">
        <v>83</v>
      </c>
      <c r="F578" s="448" t="s">
        <v>411</v>
      </c>
      <c r="G578" s="448" t="s">
        <v>83</v>
      </c>
      <c r="H578" s="448" t="s">
        <v>83</v>
      </c>
      <c r="I578" s="448" t="s">
        <v>83</v>
      </c>
      <c r="J578" s="449"/>
      <c r="K578" s="467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</row>
    <row r="579" spans="1:256" ht="11.25" customHeight="1">
      <c r="A579" s="448" t="s">
        <v>1099</v>
      </c>
      <c r="B579" s="448" t="s">
        <v>1072</v>
      </c>
      <c r="C579" s="448">
        <v>1</v>
      </c>
      <c r="D579" s="448" t="s">
        <v>410</v>
      </c>
      <c r="E579" s="448" t="s">
        <v>83</v>
      </c>
      <c r="F579" s="448" t="s">
        <v>411</v>
      </c>
      <c r="G579" s="448" t="s">
        <v>83</v>
      </c>
      <c r="H579" s="448" t="s">
        <v>83</v>
      </c>
      <c r="I579" s="448" t="s">
        <v>83</v>
      </c>
      <c r="J579" s="449"/>
      <c r="K579" s="467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</row>
    <row r="580" spans="1:256" ht="11.25" customHeight="1">
      <c r="A580" s="448" t="s">
        <v>1100</v>
      </c>
      <c r="B580" s="448" t="s">
        <v>1072</v>
      </c>
      <c r="C580" s="448">
        <v>1</v>
      </c>
      <c r="D580" s="448" t="s">
        <v>410</v>
      </c>
      <c r="E580" s="448" t="s">
        <v>83</v>
      </c>
      <c r="F580" s="448" t="s">
        <v>411</v>
      </c>
      <c r="G580" s="448" t="s">
        <v>83</v>
      </c>
      <c r="H580" s="448" t="s">
        <v>83</v>
      </c>
      <c r="I580" s="448" t="s">
        <v>83</v>
      </c>
      <c r="J580" s="449"/>
      <c r="K580" s="467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1:256" ht="11.25" customHeight="1">
      <c r="A581" s="454" t="s">
        <v>1101</v>
      </c>
      <c r="B581" s="454" t="s">
        <v>1072</v>
      </c>
      <c r="C581" s="448" t="s">
        <v>348</v>
      </c>
      <c r="D581" s="448" t="s">
        <v>410</v>
      </c>
      <c r="E581" s="448" t="s">
        <v>83</v>
      </c>
      <c r="F581" s="448" t="s">
        <v>411</v>
      </c>
      <c r="G581" s="448" t="s">
        <v>83</v>
      </c>
      <c r="H581" s="448" t="s">
        <v>83</v>
      </c>
      <c r="I581" s="448" t="s">
        <v>83</v>
      </c>
      <c r="J581" s="455"/>
      <c r="K581" s="467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1:256" ht="11.25" customHeight="1">
      <c r="A582" s="454" t="s">
        <v>1102</v>
      </c>
      <c r="B582" s="454" t="s">
        <v>1072</v>
      </c>
      <c r="C582" s="454">
        <v>1</v>
      </c>
      <c r="D582" s="454" t="s">
        <v>488</v>
      </c>
      <c r="E582" s="448" t="s">
        <v>424</v>
      </c>
      <c r="F582" s="454" t="s">
        <v>547</v>
      </c>
      <c r="G582" s="454" t="s">
        <v>548</v>
      </c>
      <c r="H582" s="454">
        <v>5</v>
      </c>
      <c r="I582" s="454" t="s">
        <v>83</v>
      </c>
      <c r="J582" s="455"/>
      <c r="K582" s="467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</row>
    <row r="583" spans="1:256" ht="11.25" customHeight="1">
      <c r="A583" s="454" t="s">
        <v>1103</v>
      </c>
      <c r="B583" s="454" t="s">
        <v>1072</v>
      </c>
      <c r="C583" s="454" t="s">
        <v>348</v>
      </c>
      <c r="D583" s="454" t="s">
        <v>644</v>
      </c>
      <c r="E583" s="454" t="s">
        <v>424</v>
      </c>
      <c r="F583" s="454" t="s">
        <v>411</v>
      </c>
      <c r="G583" s="448" t="s">
        <v>83</v>
      </c>
      <c r="H583" s="454">
        <v>5</v>
      </c>
      <c r="I583" s="454" t="s">
        <v>83</v>
      </c>
      <c r="J583" s="455"/>
      <c r="K583" s="467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</row>
    <row r="584" spans="1:256" ht="11.25" customHeight="1">
      <c r="A584" s="454" t="s">
        <v>1104</v>
      </c>
      <c r="B584" s="454" t="s">
        <v>1072</v>
      </c>
      <c r="C584" s="454" t="s">
        <v>348</v>
      </c>
      <c r="D584" s="454" t="s">
        <v>588</v>
      </c>
      <c r="E584" s="454" t="s">
        <v>424</v>
      </c>
      <c r="F584" s="454" t="s">
        <v>411</v>
      </c>
      <c r="G584" s="448" t="s">
        <v>83</v>
      </c>
      <c r="H584" s="454">
        <v>4</v>
      </c>
      <c r="I584" s="454" t="s">
        <v>615</v>
      </c>
      <c r="J584" s="455"/>
      <c r="K584" s="467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</row>
    <row r="585" spans="1:256" ht="11.25" customHeight="1">
      <c r="A585" s="454" t="s">
        <v>1105</v>
      </c>
      <c r="B585" s="454" t="s">
        <v>1072</v>
      </c>
      <c r="C585" s="454">
        <v>1</v>
      </c>
      <c r="D585" s="454" t="s">
        <v>588</v>
      </c>
      <c r="E585" s="454" t="s">
        <v>424</v>
      </c>
      <c r="F585" s="454" t="s">
        <v>547</v>
      </c>
      <c r="G585" s="454" t="s">
        <v>548</v>
      </c>
      <c r="H585" s="454">
        <v>10</v>
      </c>
      <c r="I585" s="454" t="s">
        <v>83</v>
      </c>
      <c r="J585" s="455"/>
      <c r="K585" s="467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</row>
    <row r="586" spans="1:11" ht="11.25" customHeight="1">
      <c r="A586" s="454" t="s">
        <v>1106</v>
      </c>
      <c r="B586" s="454" t="s">
        <v>1072</v>
      </c>
      <c r="C586" s="454">
        <v>1</v>
      </c>
      <c r="D586" s="454" t="s">
        <v>495</v>
      </c>
      <c r="E586" s="454" t="s">
        <v>35</v>
      </c>
      <c r="F586" s="454" t="s">
        <v>547</v>
      </c>
      <c r="G586" s="448" t="s">
        <v>548</v>
      </c>
      <c r="H586" s="448">
        <v>8</v>
      </c>
      <c r="I586" s="448" t="s">
        <v>83</v>
      </c>
      <c r="J586" s="455"/>
      <c r="K586" s="448"/>
    </row>
    <row r="587" spans="1:11" ht="11.25" customHeight="1">
      <c r="A587" s="454" t="s">
        <v>1107</v>
      </c>
      <c r="B587" s="454" t="s">
        <v>1072</v>
      </c>
      <c r="C587" s="454">
        <v>1</v>
      </c>
      <c r="D587" s="454" t="s">
        <v>495</v>
      </c>
      <c r="E587" s="454" t="s">
        <v>424</v>
      </c>
      <c r="F587" s="454" t="s">
        <v>411</v>
      </c>
      <c r="G587" s="448" t="s">
        <v>83</v>
      </c>
      <c r="H587" s="448" t="s">
        <v>83</v>
      </c>
      <c r="I587" s="448" t="s">
        <v>323</v>
      </c>
      <c r="J587" s="455"/>
      <c r="K587" s="448"/>
    </row>
    <row r="588" spans="1:11" ht="11.25" customHeight="1">
      <c r="A588" s="454" t="s">
        <v>1108</v>
      </c>
      <c r="B588" s="454" t="s">
        <v>1072</v>
      </c>
      <c r="C588" s="454">
        <v>1</v>
      </c>
      <c r="D588" s="448" t="s">
        <v>652</v>
      </c>
      <c r="E588" s="454" t="s">
        <v>424</v>
      </c>
      <c r="F588" s="454" t="s">
        <v>411</v>
      </c>
      <c r="G588" s="448" t="s">
        <v>83</v>
      </c>
      <c r="H588" s="448" t="s">
        <v>83</v>
      </c>
      <c r="I588" s="448" t="s">
        <v>647</v>
      </c>
      <c r="J588" s="455"/>
      <c r="K588" s="448"/>
    </row>
    <row r="589" spans="1:11" ht="11.25" customHeight="1">
      <c r="A589" s="454" t="s">
        <v>1109</v>
      </c>
      <c r="B589" s="454" t="s">
        <v>1072</v>
      </c>
      <c r="C589" s="454">
        <v>1</v>
      </c>
      <c r="D589" s="448" t="s">
        <v>423</v>
      </c>
      <c r="E589" s="454" t="s">
        <v>424</v>
      </c>
      <c r="F589" s="454" t="s">
        <v>411</v>
      </c>
      <c r="G589" s="448" t="s">
        <v>83</v>
      </c>
      <c r="H589" s="448">
        <v>10</v>
      </c>
      <c r="I589" s="448" t="s">
        <v>323</v>
      </c>
      <c r="J589" s="455"/>
      <c r="K589" s="448"/>
    </row>
    <row r="590" spans="1:12" s="458" customFormat="1" ht="11.25" customHeight="1">
      <c r="A590" s="448" t="s">
        <v>1110</v>
      </c>
      <c r="B590" s="454" t="s">
        <v>1072</v>
      </c>
      <c r="C590" s="454" t="s">
        <v>348</v>
      </c>
      <c r="D590" s="448" t="s">
        <v>488</v>
      </c>
      <c r="E590" s="448" t="s">
        <v>83</v>
      </c>
      <c r="F590" s="454" t="s">
        <v>411</v>
      </c>
      <c r="G590" s="448" t="s">
        <v>83</v>
      </c>
      <c r="H590" s="448" t="s">
        <v>83</v>
      </c>
      <c r="I590" s="448" t="s">
        <v>83</v>
      </c>
      <c r="J590" s="455"/>
      <c r="K590" s="448"/>
      <c r="L590" s="457"/>
    </row>
    <row r="591" spans="1:12" s="458" customFormat="1" ht="11.25" customHeight="1">
      <c r="A591" s="448" t="s">
        <v>1111</v>
      </c>
      <c r="B591" s="454" t="s">
        <v>1072</v>
      </c>
      <c r="C591" s="454">
        <v>1</v>
      </c>
      <c r="D591" s="448" t="s">
        <v>410</v>
      </c>
      <c r="E591" s="448" t="s">
        <v>83</v>
      </c>
      <c r="F591" s="454" t="s">
        <v>411</v>
      </c>
      <c r="G591" s="448" t="s">
        <v>83</v>
      </c>
      <c r="H591" s="448" t="s">
        <v>83</v>
      </c>
      <c r="I591" s="448" t="s">
        <v>83</v>
      </c>
      <c r="J591" s="455"/>
      <c r="K591" s="448"/>
      <c r="L591" s="457"/>
    </row>
    <row r="592" spans="1:12" s="458" customFormat="1" ht="11.25" customHeight="1">
      <c r="A592" s="448" t="s">
        <v>1112</v>
      </c>
      <c r="B592" s="454" t="s">
        <v>1072</v>
      </c>
      <c r="C592" s="454" t="s">
        <v>348</v>
      </c>
      <c r="D592" s="448" t="s">
        <v>410</v>
      </c>
      <c r="E592" s="448" t="s">
        <v>83</v>
      </c>
      <c r="F592" s="454" t="s">
        <v>411</v>
      </c>
      <c r="G592" s="448" t="s">
        <v>83</v>
      </c>
      <c r="H592" s="448" t="s">
        <v>83</v>
      </c>
      <c r="I592" s="448" t="s">
        <v>83</v>
      </c>
      <c r="J592" s="455"/>
      <c r="K592" s="448"/>
      <c r="L592" s="457"/>
    </row>
    <row r="593" spans="1:11" ht="11.25" customHeight="1">
      <c r="A593" s="454" t="s">
        <v>1113</v>
      </c>
      <c r="B593" s="454" t="s">
        <v>1072</v>
      </c>
      <c r="C593" s="454" t="s">
        <v>348</v>
      </c>
      <c r="D593" s="448" t="s">
        <v>584</v>
      </c>
      <c r="E593" s="454" t="s">
        <v>424</v>
      </c>
      <c r="F593" s="454" t="s">
        <v>411</v>
      </c>
      <c r="G593" s="448" t="s">
        <v>83</v>
      </c>
      <c r="H593" s="448">
        <v>5</v>
      </c>
      <c r="I593" s="448" t="s">
        <v>83</v>
      </c>
      <c r="J593" s="455"/>
      <c r="K593" s="448"/>
    </row>
    <row r="594" spans="1:11" ht="11.25" customHeight="1">
      <c r="A594" s="445" t="s">
        <v>1114</v>
      </c>
      <c r="B594" s="446" t="s">
        <v>322</v>
      </c>
      <c r="C594" s="446" t="s">
        <v>323</v>
      </c>
      <c r="D594" s="446" t="s">
        <v>324</v>
      </c>
      <c r="E594" s="446" t="s">
        <v>185</v>
      </c>
      <c r="F594" s="446" t="s">
        <v>325</v>
      </c>
      <c r="G594" s="446" t="s">
        <v>261</v>
      </c>
      <c r="H594" s="446" t="s">
        <v>326</v>
      </c>
      <c r="I594" s="446" t="s">
        <v>254</v>
      </c>
      <c r="J594" s="459" t="s">
        <v>327</v>
      </c>
      <c r="K594" s="447" t="s">
        <v>408</v>
      </c>
    </row>
    <row r="595" spans="1:256" ht="11.25" customHeight="1">
      <c r="A595" s="454" t="s">
        <v>1115</v>
      </c>
      <c r="B595" s="454" t="s">
        <v>1114</v>
      </c>
      <c r="C595" s="454">
        <v>1</v>
      </c>
      <c r="D595" s="454" t="s">
        <v>495</v>
      </c>
      <c r="E595" s="448" t="s">
        <v>613</v>
      </c>
      <c r="F595" s="454" t="s">
        <v>411</v>
      </c>
      <c r="G595" s="448" t="s">
        <v>83</v>
      </c>
      <c r="H595" s="454">
        <v>5</v>
      </c>
      <c r="I595" s="454" t="s">
        <v>83</v>
      </c>
      <c r="J595" s="455"/>
      <c r="K595" s="467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</row>
    <row r="596" spans="1:256" ht="11.25" customHeight="1">
      <c r="A596" s="454" t="s">
        <v>1116</v>
      </c>
      <c r="B596" s="454" t="s">
        <v>1114</v>
      </c>
      <c r="C596" s="454" t="s">
        <v>348</v>
      </c>
      <c r="D596" s="454" t="s">
        <v>488</v>
      </c>
      <c r="E596" s="454" t="s">
        <v>424</v>
      </c>
      <c r="F596" s="454" t="s">
        <v>411</v>
      </c>
      <c r="G596" s="448" t="s">
        <v>83</v>
      </c>
      <c r="H596" s="454">
        <v>8</v>
      </c>
      <c r="I596" s="454" t="s">
        <v>83</v>
      </c>
      <c r="J596" s="455"/>
      <c r="K596" s="467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</row>
    <row r="597" spans="1:256" ht="11.25" customHeight="1">
      <c r="A597" s="454" t="s">
        <v>1117</v>
      </c>
      <c r="B597" s="454" t="s">
        <v>1114</v>
      </c>
      <c r="C597" s="454" t="s">
        <v>348</v>
      </c>
      <c r="D597" s="454" t="s">
        <v>566</v>
      </c>
      <c r="E597" s="448" t="s">
        <v>613</v>
      </c>
      <c r="F597" s="454" t="s">
        <v>547</v>
      </c>
      <c r="G597" s="454" t="s">
        <v>548</v>
      </c>
      <c r="H597" s="454">
        <v>6</v>
      </c>
      <c r="I597" s="454" t="s">
        <v>83</v>
      </c>
      <c r="J597" s="455"/>
      <c r="K597" s="46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</row>
    <row r="598" spans="1:256" ht="11.25" customHeight="1">
      <c r="A598" s="454" t="s">
        <v>1118</v>
      </c>
      <c r="B598" s="454" t="s">
        <v>1114</v>
      </c>
      <c r="C598" s="454">
        <v>1</v>
      </c>
      <c r="D598" s="454" t="s">
        <v>644</v>
      </c>
      <c r="E598" s="454" t="s">
        <v>424</v>
      </c>
      <c r="F598" s="454" t="s">
        <v>411</v>
      </c>
      <c r="G598" s="448" t="s">
        <v>83</v>
      </c>
      <c r="H598" s="454">
        <v>4</v>
      </c>
      <c r="I598" s="454" t="s">
        <v>83</v>
      </c>
      <c r="J598" s="455"/>
      <c r="K598" s="467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</row>
    <row r="599" spans="1:256" ht="11.25" customHeight="1">
      <c r="A599" s="454" t="s">
        <v>1119</v>
      </c>
      <c r="B599" s="454" t="s">
        <v>1114</v>
      </c>
      <c r="C599" s="454" t="s">
        <v>348</v>
      </c>
      <c r="D599" s="454" t="s">
        <v>584</v>
      </c>
      <c r="E599" s="454" t="s">
        <v>424</v>
      </c>
      <c r="F599" s="454" t="s">
        <v>411</v>
      </c>
      <c r="G599" s="448" t="s">
        <v>83</v>
      </c>
      <c r="H599" s="454">
        <v>3</v>
      </c>
      <c r="I599" s="454" t="s">
        <v>83</v>
      </c>
      <c r="J599" s="455"/>
      <c r="K599" s="467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  <c r="IU599"/>
      <c r="IV599"/>
    </row>
    <row r="600" spans="1:256" ht="11.25" customHeight="1">
      <c r="A600" s="448" t="s">
        <v>1120</v>
      </c>
      <c r="B600" s="448" t="s">
        <v>1114</v>
      </c>
      <c r="C600" s="448">
        <v>1</v>
      </c>
      <c r="D600" s="448" t="s">
        <v>410</v>
      </c>
      <c r="E600" s="448" t="s">
        <v>83</v>
      </c>
      <c r="F600" s="448" t="s">
        <v>411</v>
      </c>
      <c r="G600" s="448" t="s">
        <v>83</v>
      </c>
      <c r="H600" s="448" t="s">
        <v>83</v>
      </c>
      <c r="I600" s="448" t="s">
        <v>83</v>
      </c>
      <c r="J600" s="449"/>
      <c r="K600" s="467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  <c r="IU600"/>
      <c r="IV600"/>
    </row>
    <row r="601" spans="1:256" ht="11.25" customHeight="1">
      <c r="A601" s="454" t="s">
        <v>1121</v>
      </c>
      <c r="B601" s="454" t="s">
        <v>1114</v>
      </c>
      <c r="C601" s="454">
        <v>1</v>
      </c>
      <c r="D601" s="454" t="s">
        <v>588</v>
      </c>
      <c r="E601" s="454" t="s">
        <v>424</v>
      </c>
      <c r="F601" s="454" t="s">
        <v>411</v>
      </c>
      <c r="G601" s="448" t="s">
        <v>83</v>
      </c>
      <c r="H601" s="454">
        <v>8</v>
      </c>
      <c r="I601" s="454" t="s">
        <v>323</v>
      </c>
      <c r="J601" s="455"/>
      <c r="K601" s="467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  <c r="IS601"/>
      <c r="IT601"/>
      <c r="IU601"/>
      <c r="IV601"/>
    </row>
    <row r="602" spans="1:256" ht="11.25" customHeight="1">
      <c r="A602" s="454" t="s">
        <v>1122</v>
      </c>
      <c r="B602" s="454" t="s">
        <v>1114</v>
      </c>
      <c r="C602" s="454">
        <v>1</v>
      </c>
      <c r="D602" s="454" t="s">
        <v>495</v>
      </c>
      <c r="E602" s="448" t="s">
        <v>613</v>
      </c>
      <c r="F602" s="454" t="s">
        <v>547</v>
      </c>
      <c r="G602" s="454" t="s">
        <v>548</v>
      </c>
      <c r="H602" s="454">
        <v>5</v>
      </c>
      <c r="I602" s="454" t="s">
        <v>83</v>
      </c>
      <c r="J602" s="455"/>
      <c r="K602" s="467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  <c r="IO602"/>
      <c r="IP602"/>
      <c r="IQ602"/>
      <c r="IR602"/>
      <c r="IS602"/>
      <c r="IT602"/>
      <c r="IU602"/>
      <c r="IV602"/>
    </row>
    <row r="603" spans="1:256" ht="11.25" customHeight="1">
      <c r="A603" s="454" t="s">
        <v>1123</v>
      </c>
      <c r="B603" s="454" t="s">
        <v>1114</v>
      </c>
      <c r="C603" s="454">
        <v>1</v>
      </c>
      <c r="D603" s="454" t="s">
        <v>644</v>
      </c>
      <c r="E603" s="454" t="s">
        <v>424</v>
      </c>
      <c r="F603" s="454" t="s">
        <v>411</v>
      </c>
      <c r="G603" s="448" t="s">
        <v>83</v>
      </c>
      <c r="H603" s="454">
        <v>3</v>
      </c>
      <c r="I603" s="454" t="s">
        <v>83</v>
      </c>
      <c r="J603" s="455"/>
      <c r="K603" s="467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  <c r="IO603"/>
      <c r="IP603"/>
      <c r="IQ603"/>
      <c r="IR603"/>
      <c r="IS603"/>
      <c r="IT603"/>
      <c r="IU603"/>
      <c r="IV603"/>
    </row>
    <row r="604" spans="1:256" ht="11.25" customHeight="1">
      <c r="A604" s="454" t="s">
        <v>1124</v>
      </c>
      <c r="B604" s="454" t="s">
        <v>1114</v>
      </c>
      <c r="C604" s="454" t="s">
        <v>348</v>
      </c>
      <c r="D604" s="454" t="s">
        <v>488</v>
      </c>
      <c r="E604" s="454" t="s">
        <v>424</v>
      </c>
      <c r="F604" s="454" t="s">
        <v>411</v>
      </c>
      <c r="G604" s="448" t="s">
        <v>83</v>
      </c>
      <c r="H604" s="454">
        <v>6</v>
      </c>
      <c r="I604" s="454" t="s">
        <v>83</v>
      </c>
      <c r="J604" s="455"/>
      <c r="K604" s="467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  <c r="IM604"/>
      <c r="IN604"/>
      <c r="IO604"/>
      <c r="IP604"/>
      <c r="IQ604"/>
      <c r="IR604"/>
      <c r="IS604"/>
      <c r="IT604"/>
      <c r="IU604"/>
      <c r="IV604"/>
    </row>
    <row r="605" spans="1:256" ht="11.25" customHeight="1">
      <c r="A605" s="454" t="s">
        <v>1125</v>
      </c>
      <c r="B605" s="454" t="s">
        <v>1114</v>
      </c>
      <c r="C605" s="454">
        <v>1</v>
      </c>
      <c r="D605" s="454" t="s">
        <v>641</v>
      </c>
      <c r="E605" s="454" t="s">
        <v>424</v>
      </c>
      <c r="F605" s="454" t="s">
        <v>411</v>
      </c>
      <c r="G605" s="448" t="s">
        <v>83</v>
      </c>
      <c r="H605" s="454">
        <v>3</v>
      </c>
      <c r="I605" s="454" t="s">
        <v>83</v>
      </c>
      <c r="J605" s="455"/>
      <c r="K605" s="467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  <c r="IO605"/>
      <c r="IP605"/>
      <c r="IQ605"/>
      <c r="IR605"/>
      <c r="IS605"/>
      <c r="IT605"/>
      <c r="IU605"/>
      <c r="IV605"/>
    </row>
    <row r="606" spans="1:256" ht="11.25" customHeight="1">
      <c r="A606" s="454" t="s">
        <v>1126</v>
      </c>
      <c r="B606" s="454" t="s">
        <v>1114</v>
      </c>
      <c r="C606" s="454" t="s">
        <v>348</v>
      </c>
      <c r="D606" s="454" t="s">
        <v>495</v>
      </c>
      <c r="E606" s="454" t="s">
        <v>424</v>
      </c>
      <c r="F606" s="454" t="s">
        <v>411</v>
      </c>
      <c r="G606" s="448" t="s">
        <v>83</v>
      </c>
      <c r="H606" s="454" t="s">
        <v>83</v>
      </c>
      <c r="I606" s="454">
        <v>1</v>
      </c>
      <c r="J606" s="455"/>
      <c r="K606" s="467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  <c r="IO606"/>
      <c r="IP606"/>
      <c r="IQ606"/>
      <c r="IR606"/>
      <c r="IS606"/>
      <c r="IT606"/>
      <c r="IU606"/>
      <c r="IV606"/>
    </row>
    <row r="607" spans="1:256" ht="11.25" customHeight="1">
      <c r="A607" s="448" t="s">
        <v>1127</v>
      </c>
      <c r="B607" s="448" t="s">
        <v>1114</v>
      </c>
      <c r="C607" s="448">
        <v>1</v>
      </c>
      <c r="D607" s="448" t="s">
        <v>588</v>
      </c>
      <c r="E607" s="448" t="s">
        <v>424</v>
      </c>
      <c r="F607" s="448" t="s">
        <v>411</v>
      </c>
      <c r="G607" s="448" t="s">
        <v>83</v>
      </c>
      <c r="H607" s="448">
        <v>8</v>
      </c>
      <c r="I607" s="448" t="s">
        <v>83</v>
      </c>
      <c r="J607" s="449"/>
      <c r="K607" s="46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  <c r="IM607"/>
      <c r="IN607"/>
      <c r="IO607"/>
      <c r="IP607"/>
      <c r="IQ607"/>
      <c r="IR607"/>
      <c r="IS607"/>
      <c r="IT607"/>
      <c r="IU607"/>
      <c r="IV607"/>
    </row>
    <row r="608" spans="1:256" ht="11.25" customHeight="1">
      <c r="A608" s="454" t="s">
        <v>1128</v>
      </c>
      <c r="B608" s="454" t="s">
        <v>1114</v>
      </c>
      <c r="C608" s="454">
        <v>1</v>
      </c>
      <c r="D608" s="454" t="s">
        <v>566</v>
      </c>
      <c r="E608" s="454" t="s">
        <v>424</v>
      </c>
      <c r="F608" s="454" t="s">
        <v>702</v>
      </c>
      <c r="G608" s="454" t="s">
        <v>548</v>
      </c>
      <c r="H608" s="454" t="s">
        <v>83</v>
      </c>
      <c r="I608" s="454">
        <v>1</v>
      </c>
      <c r="J608" s="455"/>
      <c r="K608" s="467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  <c r="IM608"/>
      <c r="IN608"/>
      <c r="IO608"/>
      <c r="IP608"/>
      <c r="IQ608"/>
      <c r="IR608"/>
      <c r="IS608"/>
      <c r="IT608"/>
      <c r="IU608"/>
      <c r="IV608"/>
    </row>
    <row r="609" spans="1:256" ht="11.25" customHeight="1">
      <c r="A609" s="454" t="s">
        <v>1129</v>
      </c>
      <c r="B609" s="454" t="s">
        <v>1114</v>
      </c>
      <c r="C609" s="454" t="s">
        <v>348</v>
      </c>
      <c r="D609" s="454" t="s">
        <v>566</v>
      </c>
      <c r="E609" s="448" t="s">
        <v>613</v>
      </c>
      <c r="F609" s="454" t="s">
        <v>547</v>
      </c>
      <c r="G609" s="454" t="s">
        <v>548</v>
      </c>
      <c r="H609" s="454">
        <v>6</v>
      </c>
      <c r="I609" s="454" t="s">
        <v>83</v>
      </c>
      <c r="J609" s="455"/>
      <c r="K609" s="467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  <c r="IM609"/>
      <c r="IN609"/>
      <c r="IO609"/>
      <c r="IP609"/>
      <c r="IQ609"/>
      <c r="IR609"/>
      <c r="IS609"/>
      <c r="IT609"/>
      <c r="IU609"/>
      <c r="IV609"/>
    </row>
    <row r="610" spans="1:256" ht="11.25" customHeight="1">
      <c r="A610" s="454" t="s">
        <v>1130</v>
      </c>
      <c r="B610" s="454" t="s">
        <v>1114</v>
      </c>
      <c r="C610" s="454" t="s">
        <v>348</v>
      </c>
      <c r="D610" s="454" t="s">
        <v>644</v>
      </c>
      <c r="E610" s="448" t="s">
        <v>424</v>
      </c>
      <c r="F610" s="454" t="s">
        <v>411</v>
      </c>
      <c r="G610" s="448" t="s">
        <v>83</v>
      </c>
      <c r="H610" s="454">
        <v>5</v>
      </c>
      <c r="I610" s="454" t="s">
        <v>83</v>
      </c>
      <c r="J610" s="455"/>
      <c r="K610" s="467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  <c r="IO610"/>
      <c r="IP610"/>
      <c r="IQ610"/>
      <c r="IR610"/>
      <c r="IS610"/>
      <c r="IT610"/>
      <c r="IU610"/>
      <c r="IV610"/>
    </row>
    <row r="611" spans="1:256" ht="11.25" customHeight="1">
      <c r="A611" s="454" t="s">
        <v>1131</v>
      </c>
      <c r="B611" s="454" t="s">
        <v>1114</v>
      </c>
      <c r="C611" s="454" t="s">
        <v>348</v>
      </c>
      <c r="D611" s="454" t="s">
        <v>566</v>
      </c>
      <c r="E611" s="448" t="s">
        <v>613</v>
      </c>
      <c r="F611" s="454" t="s">
        <v>547</v>
      </c>
      <c r="G611" s="454" t="s">
        <v>548</v>
      </c>
      <c r="H611" s="454">
        <v>6</v>
      </c>
      <c r="I611" s="454" t="s">
        <v>83</v>
      </c>
      <c r="J611" s="455"/>
      <c r="K611" s="467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  <c r="IM611"/>
      <c r="IN611"/>
      <c r="IO611"/>
      <c r="IP611"/>
      <c r="IQ611"/>
      <c r="IR611"/>
      <c r="IS611"/>
      <c r="IT611"/>
      <c r="IU611"/>
      <c r="IV611"/>
    </row>
    <row r="612" spans="1:256" ht="11.25" customHeight="1">
      <c r="A612" s="454" t="s">
        <v>1132</v>
      </c>
      <c r="B612" s="454" t="s">
        <v>1114</v>
      </c>
      <c r="C612" s="454" t="s">
        <v>348</v>
      </c>
      <c r="D612" s="454" t="s">
        <v>423</v>
      </c>
      <c r="E612" s="454" t="s">
        <v>424</v>
      </c>
      <c r="F612" s="454" t="s">
        <v>411</v>
      </c>
      <c r="G612" s="448" t="s">
        <v>83</v>
      </c>
      <c r="H612" s="454" t="s">
        <v>83</v>
      </c>
      <c r="I612" s="454">
        <v>1</v>
      </c>
      <c r="J612" s="455"/>
      <c r="K612" s="467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  <c r="IM612"/>
      <c r="IN612"/>
      <c r="IO612"/>
      <c r="IP612"/>
      <c r="IQ612"/>
      <c r="IR612"/>
      <c r="IS612"/>
      <c r="IT612"/>
      <c r="IU612"/>
      <c r="IV612"/>
    </row>
    <row r="613" spans="1:256" ht="11.25" customHeight="1">
      <c r="A613" s="448" t="s">
        <v>1133</v>
      </c>
      <c r="B613" s="448" t="s">
        <v>1114</v>
      </c>
      <c r="C613" s="448">
        <v>1</v>
      </c>
      <c r="D613" s="448" t="s">
        <v>410</v>
      </c>
      <c r="E613" s="448" t="s">
        <v>83</v>
      </c>
      <c r="F613" s="448" t="s">
        <v>411</v>
      </c>
      <c r="G613" s="448" t="s">
        <v>83</v>
      </c>
      <c r="H613" s="448" t="s">
        <v>83</v>
      </c>
      <c r="I613" s="448" t="s">
        <v>83</v>
      </c>
      <c r="J613" s="449"/>
      <c r="K613" s="467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  <c r="IM613"/>
      <c r="IN613"/>
      <c r="IO613"/>
      <c r="IP613"/>
      <c r="IQ613"/>
      <c r="IR613"/>
      <c r="IS613"/>
      <c r="IT613"/>
      <c r="IU613"/>
      <c r="IV613"/>
    </row>
    <row r="614" spans="1:256" ht="11.25" customHeight="1">
      <c r="A614" s="454" t="s">
        <v>1134</v>
      </c>
      <c r="B614" s="454" t="s">
        <v>1114</v>
      </c>
      <c r="C614" s="454" t="s">
        <v>348</v>
      </c>
      <c r="D614" s="454" t="s">
        <v>566</v>
      </c>
      <c r="E614" s="448" t="s">
        <v>613</v>
      </c>
      <c r="F614" s="454" t="s">
        <v>547</v>
      </c>
      <c r="G614" s="454" t="s">
        <v>548</v>
      </c>
      <c r="H614" s="454">
        <v>6</v>
      </c>
      <c r="I614" s="454" t="s">
        <v>83</v>
      </c>
      <c r="J614" s="455"/>
      <c r="K614" s="467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  <c r="IJ614"/>
      <c r="IK614"/>
      <c r="IL614"/>
      <c r="IM614"/>
      <c r="IN614"/>
      <c r="IO614"/>
      <c r="IP614"/>
      <c r="IQ614"/>
      <c r="IR614"/>
      <c r="IS614"/>
      <c r="IT614"/>
      <c r="IU614"/>
      <c r="IV614"/>
    </row>
    <row r="615" spans="1:11" ht="11.25" customHeight="1">
      <c r="A615" s="454" t="s">
        <v>1135</v>
      </c>
      <c r="B615" s="454" t="s">
        <v>1114</v>
      </c>
      <c r="C615" s="454" t="s">
        <v>348</v>
      </c>
      <c r="D615" s="448" t="s">
        <v>566</v>
      </c>
      <c r="E615" s="454" t="s">
        <v>174</v>
      </c>
      <c r="F615" s="448" t="s">
        <v>411</v>
      </c>
      <c r="G615" s="454" t="s">
        <v>548</v>
      </c>
      <c r="H615" s="454">
        <v>5</v>
      </c>
      <c r="I615" s="454" t="s">
        <v>83</v>
      </c>
      <c r="J615" s="455"/>
      <c r="K615" s="454"/>
    </row>
    <row r="616" spans="1:11" ht="11.25" customHeight="1">
      <c r="A616" s="454" t="s">
        <v>1136</v>
      </c>
      <c r="B616" s="454" t="s">
        <v>1114</v>
      </c>
      <c r="C616" s="454">
        <v>1</v>
      </c>
      <c r="D616" s="448" t="s">
        <v>652</v>
      </c>
      <c r="E616" s="454" t="s">
        <v>424</v>
      </c>
      <c r="F616" s="448" t="s">
        <v>411</v>
      </c>
      <c r="G616" s="454" t="s">
        <v>83</v>
      </c>
      <c r="H616" s="454">
        <v>9</v>
      </c>
      <c r="I616" s="454" t="s">
        <v>615</v>
      </c>
      <c r="J616" s="455"/>
      <c r="K616" s="454"/>
    </row>
    <row r="617" spans="1:11" ht="11.25" customHeight="1">
      <c r="A617" s="454" t="s">
        <v>1137</v>
      </c>
      <c r="B617" s="454" t="s">
        <v>1114</v>
      </c>
      <c r="C617" s="454" t="s">
        <v>348</v>
      </c>
      <c r="D617" s="448" t="s">
        <v>566</v>
      </c>
      <c r="E617" s="454" t="s">
        <v>613</v>
      </c>
      <c r="F617" s="448" t="s">
        <v>411</v>
      </c>
      <c r="G617" s="454" t="s">
        <v>572</v>
      </c>
      <c r="H617" s="454" t="s">
        <v>83</v>
      </c>
      <c r="I617" s="454" t="s">
        <v>83</v>
      </c>
      <c r="J617" s="455"/>
      <c r="K617" s="454"/>
    </row>
    <row r="618" spans="1:12" s="451" customFormat="1" ht="11.25" customHeight="1">
      <c r="A618" s="448" t="s">
        <v>1138</v>
      </c>
      <c r="B618" s="454" t="s">
        <v>1114</v>
      </c>
      <c r="C618" s="454" t="s">
        <v>348</v>
      </c>
      <c r="D618" s="448" t="s">
        <v>495</v>
      </c>
      <c r="E618" s="454" t="s">
        <v>424</v>
      </c>
      <c r="F618" s="448" t="s">
        <v>411</v>
      </c>
      <c r="G618" s="454" t="s">
        <v>83</v>
      </c>
      <c r="H618" s="454">
        <v>14</v>
      </c>
      <c r="I618" s="454">
        <v>1</v>
      </c>
      <c r="J618" s="449"/>
      <c r="K618" s="454"/>
      <c r="L618" s="450"/>
    </row>
    <row r="619" spans="1:11" ht="11.25" customHeight="1">
      <c r="A619" s="454" t="s">
        <v>1139</v>
      </c>
      <c r="B619" s="454" t="s">
        <v>1114</v>
      </c>
      <c r="C619" s="454" t="s">
        <v>348</v>
      </c>
      <c r="D619" s="448" t="s">
        <v>410</v>
      </c>
      <c r="E619" s="454" t="s">
        <v>83</v>
      </c>
      <c r="F619" s="448" t="s">
        <v>411</v>
      </c>
      <c r="G619" s="454" t="s">
        <v>83</v>
      </c>
      <c r="H619" s="454" t="s">
        <v>83</v>
      </c>
      <c r="I619" s="454" t="s">
        <v>83</v>
      </c>
      <c r="J619" s="455"/>
      <c r="K619" s="454"/>
    </row>
    <row r="620" spans="1:12" s="451" customFormat="1" ht="11.25" customHeight="1">
      <c r="A620" s="448" t="s">
        <v>1140</v>
      </c>
      <c r="B620" s="454" t="s">
        <v>1114</v>
      </c>
      <c r="C620" s="454" t="s">
        <v>348</v>
      </c>
      <c r="D620" s="448" t="s">
        <v>410</v>
      </c>
      <c r="E620" s="454" t="s">
        <v>83</v>
      </c>
      <c r="F620" s="448" t="s">
        <v>411</v>
      </c>
      <c r="G620" s="454" t="s">
        <v>83</v>
      </c>
      <c r="H620" s="454" t="s">
        <v>83</v>
      </c>
      <c r="I620" s="454" t="s">
        <v>83</v>
      </c>
      <c r="J620" s="449"/>
      <c r="K620" s="454"/>
      <c r="L620" s="450"/>
    </row>
    <row r="621" spans="1:11" ht="11.25" customHeight="1">
      <c r="A621" s="454" t="s">
        <v>1141</v>
      </c>
      <c r="B621" s="454" t="s">
        <v>1114</v>
      </c>
      <c r="C621" s="454" t="s">
        <v>348</v>
      </c>
      <c r="D621" s="448" t="s">
        <v>566</v>
      </c>
      <c r="E621" s="454" t="s">
        <v>424</v>
      </c>
      <c r="F621" s="448" t="s">
        <v>411</v>
      </c>
      <c r="G621" s="454" t="s">
        <v>83</v>
      </c>
      <c r="H621" s="454">
        <v>20</v>
      </c>
      <c r="I621" s="454">
        <v>1</v>
      </c>
      <c r="J621" s="455"/>
      <c r="K621" s="454"/>
    </row>
    <row r="622" spans="1:12" s="451" customFormat="1" ht="11.25" customHeight="1">
      <c r="A622" s="448" t="s">
        <v>1142</v>
      </c>
      <c r="B622" s="454" t="s">
        <v>1114</v>
      </c>
      <c r="C622" s="454" t="s">
        <v>348</v>
      </c>
      <c r="D622" s="448" t="s">
        <v>584</v>
      </c>
      <c r="E622" s="454" t="s">
        <v>424</v>
      </c>
      <c r="F622" s="448" t="s">
        <v>411</v>
      </c>
      <c r="G622" s="454" t="s">
        <v>83</v>
      </c>
      <c r="H622" s="454">
        <v>3</v>
      </c>
      <c r="I622" s="454" t="s">
        <v>83</v>
      </c>
      <c r="J622" s="449"/>
      <c r="K622" s="454"/>
      <c r="L622" s="450"/>
    </row>
    <row r="623" spans="1:11" ht="11.25" customHeight="1">
      <c r="A623" s="445" t="s">
        <v>1143</v>
      </c>
      <c r="B623" s="446" t="s">
        <v>322</v>
      </c>
      <c r="C623" s="446" t="s">
        <v>323</v>
      </c>
      <c r="D623" s="446" t="s">
        <v>324</v>
      </c>
      <c r="E623" s="446" t="s">
        <v>185</v>
      </c>
      <c r="F623" s="446" t="s">
        <v>325</v>
      </c>
      <c r="G623" s="446" t="s">
        <v>261</v>
      </c>
      <c r="H623" s="446" t="s">
        <v>326</v>
      </c>
      <c r="I623" s="446" t="s">
        <v>254</v>
      </c>
      <c r="J623" s="459" t="s">
        <v>327</v>
      </c>
      <c r="K623" s="447" t="s">
        <v>408</v>
      </c>
    </row>
    <row r="624" spans="1:256" ht="11.25" customHeight="1">
      <c r="A624" s="454" t="s">
        <v>1144</v>
      </c>
      <c r="B624" s="454" t="s">
        <v>1143</v>
      </c>
      <c r="C624" s="454">
        <v>1</v>
      </c>
      <c r="D624" s="454" t="s">
        <v>566</v>
      </c>
      <c r="E624" s="454" t="s">
        <v>424</v>
      </c>
      <c r="F624" s="454" t="s">
        <v>411</v>
      </c>
      <c r="G624" s="448" t="s">
        <v>83</v>
      </c>
      <c r="H624" s="454">
        <v>5</v>
      </c>
      <c r="I624" s="454" t="s">
        <v>83</v>
      </c>
      <c r="J624" s="455"/>
      <c r="K624" s="467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  <c r="IS624"/>
      <c r="IT624"/>
      <c r="IU624"/>
      <c r="IV624"/>
    </row>
    <row r="625" spans="1:256" ht="11.25" customHeight="1">
      <c r="A625" s="454" t="s">
        <v>1145</v>
      </c>
      <c r="B625" s="454" t="s">
        <v>1143</v>
      </c>
      <c r="C625" s="454" t="s">
        <v>348</v>
      </c>
      <c r="D625" s="454" t="s">
        <v>584</v>
      </c>
      <c r="E625" s="454" t="s">
        <v>424</v>
      </c>
      <c r="F625" s="454" t="s">
        <v>411</v>
      </c>
      <c r="G625" s="448" t="s">
        <v>83</v>
      </c>
      <c r="H625" s="454">
        <v>4</v>
      </c>
      <c r="I625" s="454" t="s">
        <v>83</v>
      </c>
      <c r="J625" s="455"/>
      <c r="K625" s="467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  <c r="IS625"/>
      <c r="IT625"/>
      <c r="IU625"/>
      <c r="IV625"/>
    </row>
    <row r="626" spans="1:256" ht="11.25" customHeight="1">
      <c r="A626" s="454" t="s">
        <v>1146</v>
      </c>
      <c r="B626" s="454" t="s">
        <v>1143</v>
      </c>
      <c r="C626" s="454">
        <v>1</v>
      </c>
      <c r="D626" s="454" t="s">
        <v>789</v>
      </c>
      <c r="E626" s="448" t="s">
        <v>233</v>
      </c>
      <c r="F626" s="454" t="s">
        <v>411</v>
      </c>
      <c r="G626" s="448" t="s">
        <v>83</v>
      </c>
      <c r="H626" s="454">
        <v>4</v>
      </c>
      <c r="I626" s="454" t="s">
        <v>83</v>
      </c>
      <c r="J626" s="455"/>
      <c r="K626" s="467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  <c r="IS626"/>
      <c r="IT626"/>
      <c r="IU626"/>
      <c r="IV626"/>
    </row>
    <row r="627" spans="1:256" ht="11.25" customHeight="1">
      <c r="A627" s="454" t="s">
        <v>1147</v>
      </c>
      <c r="B627" s="454" t="s">
        <v>1143</v>
      </c>
      <c r="C627" s="454">
        <v>1</v>
      </c>
      <c r="D627" s="454" t="s">
        <v>644</v>
      </c>
      <c r="E627" s="454" t="s">
        <v>424</v>
      </c>
      <c r="F627" s="454" t="s">
        <v>411</v>
      </c>
      <c r="G627" s="448" t="s">
        <v>83</v>
      </c>
      <c r="H627" s="454" t="s">
        <v>83</v>
      </c>
      <c r="I627" s="454">
        <v>1</v>
      </c>
      <c r="J627" s="455"/>
      <c r="K627" s="46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  <c r="IS627"/>
      <c r="IT627"/>
      <c r="IU627"/>
      <c r="IV627"/>
    </row>
    <row r="628" spans="1:256" ht="11.25" customHeight="1">
      <c r="A628" s="454" t="s">
        <v>1148</v>
      </c>
      <c r="B628" s="454" t="s">
        <v>1143</v>
      </c>
      <c r="C628" s="454">
        <v>1</v>
      </c>
      <c r="D628" s="454" t="s">
        <v>566</v>
      </c>
      <c r="E628" s="454" t="s">
        <v>424</v>
      </c>
      <c r="F628" s="454" t="s">
        <v>411</v>
      </c>
      <c r="G628" s="448" t="s">
        <v>83</v>
      </c>
      <c r="H628" s="454">
        <v>5</v>
      </c>
      <c r="I628" s="454" t="s">
        <v>83</v>
      </c>
      <c r="J628" s="455"/>
      <c r="K628" s="467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  <c r="IP628"/>
      <c r="IQ628"/>
      <c r="IR628"/>
      <c r="IS628"/>
      <c r="IT628"/>
      <c r="IU628"/>
      <c r="IV628"/>
    </row>
    <row r="629" spans="1:256" ht="11.25" customHeight="1">
      <c r="A629" s="454" t="s">
        <v>1149</v>
      </c>
      <c r="B629" s="454" t="s">
        <v>1143</v>
      </c>
      <c r="C629" s="454">
        <v>1</v>
      </c>
      <c r="D629" s="454" t="s">
        <v>566</v>
      </c>
      <c r="E629" s="454" t="s">
        <v>424</v>
      </c>
      <c r="F629" s="454" t="s">
        <v>411</v>
      </c>
      <c r="G629" s="448" t="s">
        <v>83</v>
      </c>
      <c r="H629" s="454">
        <v>3</v>
      </c>
      <c r="I629" s="454" t="s">
        <v>83</v>
      </c>
      <c r="J629" s="455"/>
      <c r="K629" s="467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  <c r="IO629"/>
      <c r="IP629"/>
      <c r="IQ629"/>
      <c r="IR629"/>
      <c r="IS629"/>
      <c r="IT629"/>
      <c r="IU629"/>
      <c r="IV629"/>
    </row>
    <row r="630" spans="1:256" ht="11.25" customHeight="1">
      <c r="A630" s="454" t="s">
        <v>1150</v>
      </c>
      <c r="B630" s="454" t="s">
        <v>1143</v>
      </c>
      <c r="C630" s="454">
        <v>1</v>
      </c>
      <c r="D630" s="454" t="s">
        <v>566</v>
      </c>
      <c r="E630" s="448" t="s">
        <v>174</v>
      </c>
      <c r="F630" s="454" t="s">
        <v>547</v>
      </c>
      <c r="G630" s="454" t="s">
        <v>572</v>
      </c>
      <c r="H630" s="454">
        <v>7</v>
      </c>
      <c r="I630" s="454" t="s">
        <v>83</v>
      </c>
      <c r="J630" s="455"/>
      <c r="K630" s="467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  <c r="IP630"/>
      <c r="IQ630"/>
      <c r="IR630"/>
      <c r="IS630"/>
      <c r="IT630"/>
      <c r="IU630"/>
      <c r="IV630"/>
    </row>
    <row r="631" spans="1:256" ht="11.25" customHeight="1">
      <c r="A631" s="448" t="s">
        <v>1151</v>
      </c>
      <c r="B631" s="448" t="s">
        <v>1143</v>
      </c>
      <c r="C631" s="448" t="s">
        <v>348</v>
      </c>
      <c r="D631" s="448" t="s">
        <v>423</v>
      </c>
      <c r="E631" s="448" t="s">
        <v>424</v>
      </c>
      <c r="F631" s="448" t="s">
        <v>411</v>
      </c>
      <c r="G631" s="448" t="s">
        <v>83</v>
      </c>
      <c r="H631" s="448">
        <v>10</v>
      </c>
      <c r="I631" s="448" t="s">
        <v>83</v>
      </c>
      <c r="J631" s="455"/>
      <c r="K631" s="467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</row>
    <row r="632" spans="1:256" ht="11.25" customHeight="1">
      <c r="A632" s="454" t="s">
        <v>1152</v>
      </c>
      <c r="B632" s="454" t="s">
        <v>1143</v>
      </c>
      <c r="C632" s="454" t="s">
        <v>348</v>
      </c>
      <c r="D632" s="454" t="s">
        <v>1044</v>
      </c>
      <c r="E632" s="454" t="s">
        <v>424</v>
      </c>
      <c r="F632" s="454" t="s">
        <v>547</v>
      </c>
      <c r="G632" s="454" t="s">
        <v>548</v>
      </c>
      <c r="H632" s="454">
        <v>6</v>
      </c>
      <c r="I632" s="454" t="s">
        <v>615</v>
      </c>
      <c r="J632" s="455" t="s">
        <v>1153</v>
      </c>
      <c r="K632" s="467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</row>
    <row r="633" spans="1:256" ht="11.25" customHeight="1">
      <c r="A633" s="454" t="s">
        <v>1154</v>
      </c>
      <c r="B633" s="454" t="s">
        <v>1143</v>
      </c>
      <c r="C633" s="454" t="s">
        <v>348</v>
      </c>
      <c r="D633" s="454" t="s">
        <v>644</v>
      </c>
      <c r="E633" s="454" t="s">
        <v>424</v>
      </c>
      <c r="F633" s="454" t="s">
        <v>411</v>
      </c>
      <c r="G633" s="448" t="s">
        <v>83</v>
      </c>
      <c r="H633" s="454">
        <v>5</v>
      </c>
      <c r="I633" s="454" t="s">
        <v>83</v>
      </c>
      <c r="J633" s="455" t="s">
        <v>1155</v>
      </c>
      <c r="K633" s="467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  <c r="IP633"/>
      <c r="IQ633"/>
      <c r="IR633"/>
      <c r="IS633"/>
      <c r="IT633"/>
      <c r="IU633"/>
      <c r="IV633"/>
    </row>
    <row r="634" spans="1:256" ht="11.25" customHeight="1">
      <c r="A634" s="454" t="s">
        <v>1156</v>
      </c>
      <c r="B634" s="454" t="s">
        <v>1143</v>
      </c>
      <c r="C634" s="454">
        <v>1</v>
      </c>
      <c r="D634" s="454" t="s">
        <v>566</v>
      </c>
      <c r="E634" s="454" t="s">
        <v>424</v>
      </c>
      <c r="F634" s="454" t="s">
        <v>411</v>
      </c>
      <c r="G634" s="448" t="s">
        <v>83</v>
      </c>
      <c r="H634" s="454">
        <v>4</v>
      </c>
      <c r="I634" s="454" t="s">
        <v>83</v>
      </c>
      <c r="J634" s="455"/>
      <c r="K634" s="467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  <c r="IO634"/>
      <c r="IP634"/>
      <c r="IQ634"/>
      <c r="IR634"/>
      <c r="IS634"/>
      <c r="IT634"/>
      <c r="IU634"/>
      <c r="IV634"/>
    </row>
    <row r="635" spans="1:256" ht="11.25" customHeight="1">
      <c r="A635" s="454" t="s">
        <v>1157</v>
      </c>
      <c r="B635" s="454" t="s">
        <v>1143</v>
      </c>
      <c r="C635" s="454" t="s">
        <v>348</v>
      </c>
      <c r="D635" s="454" t="s">
        <v>423</v>
      </c>
      <c r="E635" s="454" t="s">
        <v>424</v>
      </c>
      <c r="F635" s="454" t="s">
        <v>411</v>
      </c>
      <c r="G635" s="448" t="s">
        <v>83</v>
      </c>
      <c r="H635" s="454" t="s">
        <v>83</v>
      </c>
      <c r="I635" s="454" t="s">
        <v>615</v>
      </c>
      <c r="J635" s="455" t="s">
        <v>1158</v>
      </c>
      <c r="K635" s="467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  <c r="IP635"/>
      <c r="IQ635"/>
      <c r="IR635"/>
      <c r="IS635"/>
      <c r="IT635"/>
      <c r="IU635"/>
      <c r="IV635"/>
    </row>
    <row r="636" spans="1:256" ht="11.25" customHeight="1">
      <c r="A636" s="454" t="s">
        <v>1159</v>
      </c>
      <c r="B636" s="454" t="s">
        <v>1143</v>
      </c>
      <c r="C636" s="454">
        <v>1</v>
      </c>
      <c r="D636" s="454" t="s">
        <v>566</v>
      </c>
      <c r="E636" s="454" t="s">
        <v>424</v>
      </c>
      <c r="F636" s="454" t="s">
        <v>547</v>
      </c>
      <c r="G636" s="454" t="s">
        <v>548</v>
      </c>
      <c r="H636" s="454">
        <v>12</v>
      </c>
      <c r="I636" s="454" t="s">
        <v>323</v>
      </c>
      <c r="J636" s="455"/>
      <c r="K636" s="467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  <c r="IM636"/>
      <c r="IN636"/>
      <c r="IO636"/>
      <c r="IP636"/>
      <c r="IQ636"/>
      <c r="IR636"/>
      <c r="IS636"/>
      <c r="IT636"/>
      <c r="IU636"/>
      <c r="IV636"/>
    </row>
    <row r="637" spans="1:256" ht="11.25" customHeight="1">
      <c r="A637" s="454" t="s">
        <v>1160</v>
      </c>
      <c r="B637" s="454" t="s">
        <v>1143</v>
      </c>
      <c r="C637" s="454">
        <v>1</v>
      </c>
      <c r="D637" s="454" t="s">
        <v>641</v>
      </c>
      <c r="E637" s="454" t="s">
        <v>424</v>
      </c>
      <c r="F637" s="454" t="s">
        <v>411</v>
      </c>
      <c r="G637" s="448" t="s">
        <v>83</v>
      </c>
      <c r="H637" s="454">
        <v>5</v>
      </c>
      <c r="I637" s="454" t="s">
        <v>83</v>
      </c>
      <c r="J637" s="455"/>
      <c r="K637" s="46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  <c r="IO637"/>
      <c r="IP637"/>
      <c r="IQ637"/>
      <c r="IR637"/>
      <c r="IS637"/>
      <c r="IT637"/>
      <c r="IU637"/>
      <c r="IV637"/>
    </row>
    <row r="638" spans="1:256" ht="11.25" customHeight="1">
      <c r="A638" s="448" t="s">
        <v>1161</v>
      </c>
      <c r="B638" s="448" t="s">
        <v>1143</v>
      </c>
      <c r="C638" s="448" t="s">
        <v>348</v>
      </c>
      <c r="D638" s="448" t="s">
        <v>410</v>
      </c>
      <c r="E638" s="448" t="s">
        <v>83</v>
      </c>
      <c r="F638" s="448" t="s">
        <v>411</v>
      </c>
      <c r="G638" s="448" t="s">
        <v>83</v>
      </c>
      <c r="H638" s="448" t="s">
        <v>83</v>
      </c>
      <c r="I638" s="448" t="s">
        <v>83</v>
      </c>
      <c r="J638" s="449"/>
      <c r="K638" s="467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</row>
    <row r="639" spans="1:256" ht="11.25" customHeight="1">
      <c r="A639" s="454" t="s">
        <v>1162</v>
      </c>
      <c r="B639" s="454" t="s">
        <v>1143</v>
      </c>
      <c r="C639" s="454">
        <v>1</v>
      </c>
      <c r="D639" s="454" t="s">
        <v>566</v>
      </c>
      <c r="E639" s="454" t="s">
        <v>424</v>
      </c>
      <c r="F639" s="454" t="s">
        <v>411</v>
      </c>
      <c r="G639" s="448" t="s">
        <v>83</v>
      </c>
      <c r="H639" s="454">
        <v>4</v>
      </c>
      <c r="I639" s="454" t="s">
        <v>83</v>
      </c>
      <c r="J639" s="455"/>
      <c r="K639" s="467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  <c r="IT639"/>
      <c r="IU639"/>
      <c r="IV639"/>
    </row>
    <row r="640" spans="1:256" ht="11.25" customHeight="1">
      <c r="A640" s="454" t="s">
        <v>1163</v>
      </c>
      <c r="B640" s="454" t="s">
        <v>1143</v>
      </c>
      <c r="C640" s="454" t="s">
        <v>348</v>
      </c>
      <c r="D640" s="454" t="s">
        <v>584</v>
      </c>
      <c r="E640" s="454" t="s">
        <v>424</v>
      </c>
      <c r="F640" s="454" t="s">
        <v>411</v>
      </c>
      <c r="G640" s="448" t="s">
        <v>83</v>
      </c>
      <c r="H640" s="454">
        <v>3</v>
      </c>
      <c r="I640" s="454" t="s">
        <v>83</v>
      </c>
      <c r="J640" s="455"/>
      <c r="K640" s="467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  <c r="IP640"/>
      <c r="IQ640"/>
      <c r="IR640"/>
      <c r="IS640"/>
      <c r="IT640"/>
      <c r="IU640"/>
      <c r="IV640"/>
    </row>
    <row r="641" spans="1:256" ht="11.25" customHeight="1">
      <c r="A641" s="454" t="s">
        <v>1164</v>
      </c>
      <c r="B641" s="454" t="s">
        <v>1143</v>
      </c>
      <c r="C641" s="454">
        <v>1</v>
      </c>
      <c r="D641" s="454" t="s">
        <v>566</v>
      </c>
      <c r="E641" s="454" t="s">
        <v>424</v>
      </c>
      <c r="F641" s="454" t="s">
        <v>411</v>
      </c>
      <c r="G641" s="448" t="s">
        <v>83</v>
      </c>
      <c r="H641" s="454">
        <v>5</v>
      </c>
      <c r="I641" s="454" t="s">
        <v>83</v>
      </c>
      <c r="J641" s="455"/>
      <c r="K641" s="467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  <c r="IT641"/>
      <c r="IU641"/>
      <c r="IV641"/>
    </row>
    <row r="642" spans="1:256" ht="11.25" customHeight="1">
      <c r="A642" s="454" t="s">
        <v>1165</v>
      </c>
      <c r="B642" s="454" t="s">
        <v>1143</v>
      </c>
      <c r="C642" s="454">
        <v>1</v>
      </c>
      <c r="D642" s="454" t="s">
        <v>423</v>
      </c>
      <c r="E642" s="454" t="s">
        <v>424</v>
      </c>
      <c r="F642" s="454" t="s">
        <v>411</v>
      </c>
      <c r="G642" s="448" t="s">
        <v>83</v>
      </c>
      <c r="H642" s="454">
        <v>4</v>
      </c>
      <c r="I642" s="454" t="s">
        <v>83</v>
      </c>
      <c r="J642" s="455"/>
      <c r="K642" s="467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  <c r="IT642"/>
      <c r="IU642"/>
      <c r="IV642"/>
    </row>
    <row r="643" spans="1:256" ht="11.25" customHeight="1">
      <c r="A643" s="454" t="s">
        <v>1166</v>
      </c>
      <c r="B643" s="454" t="s">
        <v>1143</v>
      </c>
      <c r="C643" s="454">
        <v>1</v>
      </c>
      <c r="D643" s="454" t="s">
        <v>495</v>
      </c>
      <c r="E643" s="448" t="s">
        <v>34</v>
      </c>
      <c r="F643" s="454" t="s">
        <v>547</v>
      </c>
      <c r="G643" s="454" t="s">
        <v>548</v>
      </c>
      <c r="H643" s="454">
        <v>4</v>
      </c>
      <c r="I643" s="454" t="s">
        <v>83</v>
      </c>
      <c r="J643" s="455"/>
      <c r="K643" s="467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  <c r="IS643"/>
      <c r="IT643"/>
      <c r="IU643"/>
      <c r="IV643"/>
    </row>
    <row r="644" spans="1:11" ht="11.25" customHeight="1">
      <c r="A644" s="454" t="s">
        <v>1167</v>
      </c>
      <c r="B644" s="454" t="s">
        <v>1143</v>
      </c>
      <c r="C644" s="454" t="s">
        <v>348</v>
      </c>
      <c r="D644" s="454" t="s">
        <v>495</v>
      </c>
      <c r="E644" s="454" t="s">
        <v>424</v>
      </c>
      <c r="F644" s="454" t="s">
        <v>411</v>
      </c>
      <c r="G644" s="448" t="s">
        <v>83</v>
      </c>
      <c r="H644" s="454">
        <v>5</v>
      </c>
      <c r="I644" s="454" t="s">
        <v>83</v>
      </c>
      <c r="J644" s="455"/>
      <c r="K644" s="454"/>
    </row>
    <row r="645" spans="1:11" ht="11.25" customHeight="1">
      <c r="A645" s="454" t="s">
        <v>1168</v>
      </c>
      <c r="B645" s="454" t="s">
        <v>1143</v>
      </c>
      <c r="C645" s="454" t="s">
        <v>348</v>
      </c>
      <c r="D645" s="448" t="s">
        <v>1169</v>
      </c>
      <c r="E645" s="454" t="s">
        <v>424</v>
      </c>
      <c r="F645" s="454" t="s">
        <v>411</v>
      </c>
      <c r="G645" s="448" t="s">
        <v>83</v>
      </c>
      <c r="H645" s="454">
        <v>6</v>
      </c>
      <c r="I645" s="454" t="s">
        <v>655</v>
      </c>
      <c r="J645" s="455"/>
      <c r="K645" s="454"/>
    </row>
    <row r="646" spans="1:11" ht="11.25" customHeight="1">
      <c r="A646" s="454" t="s">
        <v>1170</v>
      </c>
      <c r="B646" s="454" t="s">
        <v>1143</v>
      </c>
      <c r="C646" s="454" t="s">
        <v>348</v>
      </c>
      <c r="D646" s="448" t="s">
        <v>410</v>
      </c>
      <c r="E646" s="448" t="s">
        <v>83</v>
      </c>
      <c r="F646" s="454" t="s">
        <v>411</v>
      </c>
      <c r="G646" s="448" t="s">
        <v>83</v>
      </c>
      <c r="H646" s="454" t="s">
        <v>83</v>
      </c>
      <c r="I646" s="454" t="s">
        <v>83</v>
      </c>
      <c r="J646" s="455"/>
      <c r="K646" s="454"/>
    </row>
    <row r="647" spans="1:11" ht="11.25" customHeight="1">
      <c r="A647" s="454" t="s">
        <v>1171</v>
      </c>
      <c r="B647" s="454" t="s">
        <v>1143</v>
      </c>
      <c r="C647" s="454" t="s">
        <v>348</v>
      </c>
      <c r="D647" s="448" t="s">
        <v>423</v>
      </c>
      <c r="E647" s="454" t="s">
        <v>424</v>
      </c>
      <c r="F647" s="454" t="s">
        <v>547</v>
      </c>
      <c r="G647" s="448" t="s">
        <v>572</v>
      </c>
      <c r="H647" s="454">
        <v>4</v>
      </c>
      <c r="I647" s="454" t="s">
        <v>655</v>
      </c>
      <c r="J647" s="455"/>
      <c r="K647" s="454"/>
    </row>
    <row r="648" spans="1:11" ht="11.25" customHeight="1">
      <c r="A648" s="454" t="s">
        <v>1172</v>
      </c>
      <c r="B648" s="454" t="s">
        <v>1143</v>
      </c>
      <c r="C648" s="454" t="s">
        <v>348</v>
      </c>
      <c r="D648" s="448" t="s">
        <v>626</v>
      </c>
      <c r="E648" s="454" t="s">
        <v>424</v>
      </c>
      <c r="F648" s="454" t="s">
        <v>411</v>
      </c>
      <c r="G648" s="448" t="s">
        <v>83</v>
      </c>
      <c r="H648" s="454">
        <v>10</v>
      </c>
      <c r="I648" s="454">
        <v>1</v>
      </c>
      <c r="J648" s="455"/>
      <c r="K648" s="454"/>
    </row>
    <row r="649" spans="1:11" ht="11.25" customHeight="1">
      <c r="A649" s="454" t="s">
        <v>1173</v>
      </c>
      <c r="B649" s="454" t="s">
        <v>1143</v>
      </c>
      <c r="C649" s="454" t="s">
        <v>348</v>
      </c>
      <c r="D649" s="454" t="s">
        <v>495</v>
      </c>
      <c r="E649" s="454" t="s">
        <v>424</v>
      </c>
      <c r="F649" s="454" t="s">
        <v>411</v>
      </c>
      <c r="G649" s="448" t="s">
        <v>83</v>
      </c>
      <c r="H649" s="454">
        <v>5</v>
      </c>
      <c r="I649" s="454" t="s">
        <v>83</v>
      </c>
      <c r="J649" s="455"/>
      <c r="K649" s="454"/>
    </row>
    <row r="650" spans="1:11" ht="11.25" customHeight="1">
      <c r="A650" s="454" t="s">
        <v>1174</v>
      </c>
      <c r="B650" s="454" t="s">
        <v>1143</v>
      </c>
      <c r="C650" s="454" t="s">
        <v>348</v>
      </c>
      <c r="D650" s="448" t="s">
        <v>488</v>
      </c>
      <c r="E650" s="454" t="s">
        <v>424</v>
      </c>
      <c r="F650" s="454" t="s">
        <v>411</v>
      </c>
      <c r="G650" s="448" t="s">
        <v>83</v>
      </c>
      <c r="H650" s="454">
        <v>4</v>
      </c>
      <c r="I650" s="454" t="s">
        <v>655</v>
      </c>
      <c r="J650" s="455"/>
      <c r="K650" s="454"/>
    </row>
    <row r="651" spans="1:11" ht="11.25" customHeight="1">
      <c r="A651" s="454" t="s">
        <v>1175</v>
      </c>
      <c r="B651" s="454" t="s">
        <v>1143</v>
      </c>
      <c r="C651" s="454" t="s">
        <v>348</v>
      </c>
      <c r="D651" s="448" t="s">
        <v>641</v>
      </c>
      <c r="E651" s="454" t="s">
        <v>424</v>
      </c>
      <c r="F651" s="454" t="s">
        <v>411</v>
      </c>
      <c r="G651" s="448" t="s">
        <v>83</v>
      </c>
      <c r="H651" s="454" t="s">
        <v>83</v>
      </c>
      <c r="I651" s="454" t="s">
        <v>323</v>
      </c>
      <c r="J651" s="455"/>
      <c r="K651" s="454"/>
    </row>
    <row r="652" spans="1:11" ht="11.25" customHeight="1">
      <c r="A652" s="445" t="s">
        <v>1176</v>
      </c>
      <c r="B652" s="446" t="s">
        <v>322</v>
      </c>
      <c r="C652" s="446" t="s">
        <v>323</v>
      </c>
      <c r="D652" s="446" t="s">
        <v>324</v>
      </c>
      <c r="E652" s="446" t="s">
        <v>185</v>
      </c>
      <c r="F652" s="446" t="s">
        <v>325</v>
      </c>
      <c r="G652" s="446" t="s">
        <v>261</v>
      </c>
      <c r="H652" s="446" t="s">
        <v>326</v>
      </c>
      <c r="I652" s="446" t="s">
        <v>254</v>
      </c>
      <c r="J652" s="459" t="s">
        <v>327</v>
      </c>
      <c r="K652" s="447" t="s">
        <v>408</v>
      </c>
    </row>
    <row r="653" spans="1:11" ht="11.25" customHeight="1">
      <c r="A653" s="390" t="s">
        <v>1177</v>
      </c>
      <c r="B653" s="202" t="s">
        <v>1176</v>
      </c>
      <c r="C653" s="202" t="s">
        <v>348</v>
      </c>
      <c r="D653" s="202" t="s">
        <v>495</v>
      </c>
      <c r="E653" s="202" t="s">
        <v>424</v>
      </c>
      <c r="F653" s="202" t="s">
        <v>411</v>
      </c>
      <c r="G653" s="202" t="s">
        <v>83</v>
      </c>
      <c r="H653" s="202" t="s">
        <v>83</v>
      </c>
      <c r="I653" s="202">
        <v>1</v>
      </c>
      <c r="J653" s="469" t="s">
        <v>1178</v>
      </c>
      <c r="K653" s="390" t="s">
        <v>1179</v>
      </c>
    </row>
    <row r="654" spans="1:12" s="451" customFormat="1" ht="11.25" customHeight="1">
      <c r="A654" s="451" t="s">
        <v>1180</v>
      </c>
      <c r="B654" s="451" t="s">
        <v>1176</v>
      </c>
      <c r="C654" s="451" t="s">
        <v>348</v>
      </c>
      <c r="D654" s="451" t="s">
        <v>410</v>
      </c>
      <c r="E654" s="451" t="s">
        <v>83</v>
      </c>
      <c r="F654" s="451" t="s">
        <v>411</v>
      </c>
      <c r="G654" s="451" t="s">
        <v>83</v>
      </c>
      <c r="H654" s="451" t="s">
        <v>83</v>
      </c>
      <c r="I654" s="451" t="s">
        <v>83</v>
      </c>
      <c r="J654" s="465"/>
      <c r="K654" s="451" t="s">
        <v>1179</v>
      </c>
      <c r="L654" s="450"/>
    </row>
    <row r="655" spans="1:11" ht="11.25" customHeight="1">
      <c r="A655" s="390" t="s">
        <v>1181</v>
      </c>
      <c r="B655" s="202" t="s">
        <v>1176</v>
      </c>
      <c r="C655" s="202" t="s">
        <v>348</v>
      </c>
      <c r="D655" s="202" t="s">
        <v>495</v>
      </c>
      <c r="E655" s="202" t="s">
        <v>424</v>
      </c>
      <c r="F655" s="202" t="s">
        <v>411</v>
      </c>
      <c r="G655" s="202" t="s">
        <v>83</v>
      </c>
      <c r="H655" s="202">
        <v>7</v>
      </c>
      <c r="I655" s="202" t="s">
        <v>83</v>
      </c>
      <c r="J655" s="465" t="s">
        <v>1182</v>
      </c>
      <c r="K655" s="390" t="s">
        <v>1179</v>
      </c>
    </row>
    <row r="656" spans="1:11" ht="11.25" customHeight="1">
      <c r="A656" s="390" t="s">
        <v>1183</v>
      </c>
      <c r="B656" s="202" t="s">
        <v>1176</v>
      </c>
      <c r="C656" s="202" t="s">
        <v>348</v>
      </c>
      <c r="D656" s="65" t="s">
        <v>566</v>
      </c>
      <c r="E656" s="390" t="s">
        <v>174</v>
      </c>
      <c r="F656" s="65" t="s">
        <v>547</v>
      </c>
      <c r="G656" s="65" t="s">
        <v>1184</v>
      </c>
      <c r="H656" s="202">
        <v>5</v>
      </c>
      <c r="I656" s="202" t="s">
        <v>83</v>
      </c>
      <c r="J656" s="469"/>
      <c r="K656" s="390" t="s">
        <v>1179</v>
      </c>
    </row>
    <row r="657" spans="1:11" ht="11.25" customHeight="1">
      <c r="A657" s="390" t="s">
        <v>1185</v>
      </c>
      <c r="B657" s="202" t="s">
        <v>1176</v>
      </c>
      <c r="C657" s="202">
        <v>1</v>
      </c>
      <c r="D657" s="65" t="s">
        <v>488</v>
      </c>
      <c r="E657" s="65" t="s">
        <v>424</v>
      </c>
      <c r="F657" s="65" t="s">
        <v>547</v>
      </c>
      <c r="G657" s="65" t="s">
        <v>548</v>
      </c>
      <c r="H657" s="202">
        <v>5</v>
      </c>
      <c r="I657" s="202" t="s">
        <v>83</v>
      </c>
      <c r="J657" s="469"/>
      <c r="K657" s="390" t="s">
        <v>1179</v>
      </c>
    </row>
    <row r="658" spans="1:11" ht="11.25" customHeight="1">
      <c r="A658" s="390" t="s">
        <v>1186</v>
      </c>
      <c r="B658" s="202" t="s">
        <v>1176</v>
      </c>
      <c r="C658" s="202" t="s">
        <v>348</v>
      </c>
      <c r="D658" s="65" t="s">
        <v>644</v>
      </c>
      <c r="E658" s="65" t="s">
        <v>424</v>
      </c>
      <c r="F658" s="65" t="s">
        <v>411</v>
      </c>
      <c r="G658" s="390" t="s">
        <v>83</v>
      </c>
      <c r="H658" s="202">
        <v>2</v>
      </c>
      <c r="I658" s="202" t="s">
        <v>83</v>
      </c>
      <c r="J658" s="469"/>
      <c r="K658" s="390" t="s">
        <v>1179</v>
      </c>
    </row>
    <row r="659" spans="1:11" ht="11.25" customHeight="1">
      <c r="A659" s="390" t="s">
        <v>1187</v>
      </c>
      <c r="B659" s="202" t="s">
        <v>1176</v>
      </c>
      <c r="C659" s="202">
        <v>1</v>
      </c>
      <c r="D659" s="65" t="s">
        <v>644</v>
      </c>
      <c r="E659" s="65" t="s">
        <v>424</v>
      </c>
      <c r="F659" s="65" t="s">
        <v>411</v>
      </c>
      <c r="G659" s="390" t="s">
        <v>83</v>
      </c>
      <c r="H659" s="202">
        <v>6</v>
      </c>
      <c r="I659" s="202" t="s">
        <v>83</v>
      </c>
      <c r="J659" s="469"/>
      <c r="K659" s="390" t="s">
        <v>1179</v>
      </c>
    </row>
    <row r="660" spans="1:11" ht="11.25" customHeight="1">
      <c r="A660" s="390" t="s">
        <v>1188</v>
      </c>
      <c r="B660" s="202" t="s">
        <v>1176</v>
      </c>
      <c r="C660" s="202" t="s">
        <v>348</v>
      </c>
      <c r="D660" s="65" t="s">
        <v>566</v>
      </c>
      <c r="E660" s="390" t="s">
        <v>174</v>
      </c>
      <c r="F660" s="65" t="s">
        <v>547</v>
      </c>
      <c r="G660" s="202" t="s">
        <v>871</v>
      </c>
      <c r="H660" s="202">
        <v>7</v>
      </c>
      <c r="I660" s="202" t="s">
        <v>83</v>
      </c>
      <c r="J660" s="469"/>
      <c r="K660" s="390" t="s">
        <v>1179</v>
      </c>
    </row>
    <row r="661" spans="1:11" ht="11.25" customHeight="1">
      <c r="A661" s="390" t="s">
        <v>1189</v>
      </c>
      <c r="B661" s="202" t="s">
        <v>1176</v>
      </c>
      <c r="C661" s="202">
        <v>1</v>
      </c>
      <c r="D661" s="65" t="s">
        <v>495</v>
      </c>
      <c r="E661" s="65" t="s">
        <v>424</v>
      </c>
      <c r="F661" s="65" t="s">
        <v>547</v>
      </c>
      <c r="G661" s="390" t="s">
        <v>83</v>
      </c>
      <c r="H661" s="65">
        <v>7</v>
      </c>
      <c r="I661" s="202" t="s">
        <v>83</v>
      </c>
      <c r="J661" s="469"/>
      <c r="K661" s="390" t="s">
        <v>1179</v>
      </c>
    </row>
    <row r="662" spans="1:12" s="458" customFormat="1" ht="11.25" customHeight="1">
      <c r="A662" s="451" t="s">
        <v>1190</v>
      </c>
      <c r="B662" s="475" t="s">
        <v>1176</v>
      </c>
      <c r="C662" s="451">
        <v>1</v>
      </c>
      <c r="D662" s="451" t="s">
        <v>410</v>
      </c>
      <c r="E662" s="451" t="s">
        <v>83</v>
      </c>
      <c r="F662" s="451" t="s">
        <v>411</v>
      </c>
      <c r="G662" s="451" t="s">
        <v>83</v>
      </c>
      <c r="H662" s="451" t="s">
        <v>83</v>
      </c>
      <c r="I662" s="475" t="s">
        <v>83</v>
      </c>
      <c r="J662" s="465"/>
      <c r="K662" s="451" t="s">
        <v>1191</v>
      </c>
      <c r="L662" s="457"/>
    </row>
    <row r="663" spans="1:11" ht="11.25" customHeight="1">
      <c r="A663" s="390" t="s">
        <v>1192</v>
      </c>
      <c r="B663" s="202" t="s">
        <v>1176</v>
      </c>
      <c r="C663" s="202" t="s">
        <v>348</v>
      </c>
      <c r="D663" s="202" t="s">
        <v>566</v>
      </c>
      <c r="E663" s="202" t="s">
        <v>424</v>
      </c>
      <c r="F663" s="202" t="s">
        <v>702</v>
      </c>
      <c r="G663" s="202" t="s">
        <v>548</v>
      </c>
      <c r="H663" s="202">
        <v>6</v>
      </c>
      <c r="I663" s="202" t="s">
        <v>83</v>
      </c>
      <c r="J663" s="469"/>
      <c r="K663" s="390" t="s">
        <v>1191</v>
      </c>
    </row>
    <row r="664" spans="1:11" ht="11.25" customHeight="1">
      <c r="A664" s="390" t="s">
        <v>1193</v>
      </c>
      <c r="B664" s="202" t="s">
        <v>1176</v>
      </c>
      <c r="C664" s="202" t="s">
        <v>348</v>
      </c>
      <c r="D664" s="65" t="s">
        <v>495</v>
      </c>
      <c r="E664" s="65" t="s">
        <v>424</v>
      </c>
      <c r="F664" s="65" t="s">
        <v>547</v>
      </c>
      <c r="G664" s="202" t="s">
        <v>548</v>
      </c>
      <c r="H664" s="65">
        <v>4</v>
      </c>
      <c r="I664" s="202" t="s">
        <v>83</v>
      </c>
      <c r="J664" s="469"/>
      <c r="K664" s="390" t="s">
        <v>1191</v>
      </c>
    </row>
    <row r="665" spans="1:12" s="458" customFormat="1" ht="11.25" customHeight="1">
      <c r="A665" s="451" t="s">
        <v>1194</v>
      </c>
      <c r="B665" s="475" t="s">
        <v>1176</v>
      </c>
      <c r="C665" s="451">
        <v>1</v>
      </c>
      <c r="D665" s="451" t="s">
        <v>410</v>
      </c>
      <c r="E665" s="451" t="s">
        <v>83</v>
      </c>
      <c r="F665" s="451" t="s">
        <v>411</v>
      </c>
      <c r="G665" s="451" t="s">
        <v>83</v>
      </c>
      <c r="H665" s="451" t="s">
        <v>83</v>
      </c>
      <c r="I665" s="475" t="s">
        <v>83</v>
      </c>
      <c r="J665" s="460"/>
      <c r="K665" s="451" t="s">
        <v>1191</v>
      </c>
      <c r="L665" s="457"/>
    </row>
    <row r="666" spans="1:11" ht="11.25" customHeight="1">
      <c r="A666" s="390" t="s">
        <v>1195</v>
      </c>
      <c r="B666" s="202" t="s">
        <v>1176</v>
      </c>
      <c r="C666" s="202">
        <v>1</v>
      </c>
      <c r="D666" s="65" t="s">
        <v>644</v>
      </c>
      <c r="E666" s="65" t="s">
        <v>424</v>
      </c>
      <c r="F666" s="65" t="s">
        <v>411</v>
      </c>
      <c r="G666" s="390" t="s">
        <v>83</v>
      </c>
      <c r="H666" s="202">
        <v>5</v>
      </c>
      <c r="I666" s="202" t="s">
        <v>83</v>
      </c>
      <c r="J666" s="469"/>
      <c r="K666" s="390" t="s">
        <v>1191</v>
      </c>
    </row>
    <row r="667" spans="1:11" ht="11.25" customHeight="1">
      <c r="A667" s="390" t="s">
        <v>1196</v>
      </c>
      <c r="B667" s="202" t="s">
        <v>1176</v>
      </c>
      <c r="C667" s="202">
        <v>1</v>
      </c>
      <c r="D667" s="65" t="s">
        <v>644</v>
      </c>
      <c r="E667" s="65" t="s">
        <v>424</v>
      </c>
      <c r="F667" s="65" t="s">
        <v>411</v>
      </c>
      <c r="G667" s="390" t="s">
        <v>83</v>
      </c>
      <c r="H667" s="202">
        <v>3</v>
      </c>
      <c r="I667" s="202" t="s">
        <v>83</v>
      </c>
      <c r="J667" s="469"/>
      <c r="K667" s="390" t="s">
        <v>1191</v>
      </c>
    </row>
    <row r="668" spans="1:11" ht="11.25" customHeight="1">
      <c r="A668" s="390" t="s">
        <v>1197</v>
      </c>
      <c r="B668" s="202" t="s">
        <v>1176</v>
      </c>
      <c r="C668" s="202">
        <v>1</v>
      </c>
      <c r="D668" s="65" t="s">
        <v>488</v>
      </c>
      <c r="E668" s="65" t="s">
        <v>424</v>
      </c>
      <c r="F668" s="202" t="s">
        <v>871</v>
      </c>
      <c r="G668" s="202" t="s">
        <v>83</v>
      </c>
      <c r="H668" s="202">
        <v>6</v>
      </c>
      <c r="I668" s="202" t="s">
        <v>83</v>
      </c>
      <c r="J668" s="469"/>
      <c r="K668" s="390" t="s">
        <v>1191</v>
      </c>
    </row>
    <row r="669" spans="1:11" ht="11.25" customHeight="1">
      <c r="A669" s="390" t="s">
        <v>1198</v>
      </c>
      <c r="B669" s="202" t="s">
        <v>1176</v>
      </c>
      <c r="C669" s="202">
        <v>1</v>
      </c>
      <c r="D669" s="202" t="s">
        <v>641</v>
      </c>
      <c r="E669" s="202" t="s">
        <v>424</v>
      </c>
      <c r="F669" s="202" t="s">
        <v>547</v>
      </c>
      <c r="G669" s="202" t="s">
        <v>548</v>
      </c>
      <c r="H669" s="202">
        <v>2</v>
      </c>
      <c r="I669" s="202" t="s">
        <v>83</v>
      </c>
      <c r="J669" s="469"/>
      <c r="K669" s="390" t="s">
        <v>1191</v>
      </c>
    </row>
    <row r="670" spans="1:11" ht="11.25" customHeight="1">
      <c r="A670" s="390" t="s">
        <v>1199</v>
      </c>
      <c r="B670" s="202" t="s">
        <v>1176</v>
      </c>
      <c r="C670" s="202">
        <v>1</v>
      </c>
      <c r="D670" s="202" t="s">
        <v>423</v>
      </c>
      <c r="E670" s="202" t="s">
        <v>424</v>
      </c>
      <c r="F670" s="202" t="s">
        <v>411</v>
      </c>
      <c r="G670" s="202" t="s">
        <v>83</v>
      </c>
      <c r="H670" s="202">
        <v>4</v>
      </c>
      <c r="I670" s="202" t="s">
        <v>83</v>
      </c>
      <c r="J670" s="469"/>
      <c r="K670" s="390" t="s">
        <v>1191</v>
      </c>
    </row>
    <row r="671" spans="1:12" s="458" customFormat="1" ht="11.25" customHeight="1">
      <c r="A671" s="451" t="s">
        <v>1200</v>
      </c>
      <c r="B671" s="475" t="s">
        <v>1176</v>
      </c>
      <c r="C671" s="451" t="s">
        <v>348</v>
      </c>
      <c r="D671" s="451" t="s">
        <v>410</v>
      </c>
      <c r="E671" s="451" t="s">
        <v>83</v>
      </c>
      <c r="F671" s="451" t="s">
        <v>411</v>
      </c>
      <c r="G671" s="451" t="s">
        <v>83</v>
      </c>
      <c r="H671" s="451" t="s">
        <v>83</v>
      </c>
      <c r="I671" s="475" t="s">
        <v>83</v>
      </c>
      <c r="J671" s="465"/>
      <c r="K671" s="451" t="s">
        <v>1201</v>
      </c>
      <c r="L671" s="457"/>
    </row>
    <row r="672" spans="1:11" ht="11.25" customHeight="1">
      <c r="A672" s="390" t="s">
        <v>1202</v>
      </c>
      <c r="B672" s="202" t="s">
        <v>1176</v>
      </c>
      <c r="C672" s="202" t="s">
        <v>348</v>
      </c>
      <c r="D672" s="202" t="s">
        <v>566</v>
      </c>
      <c r="E672" s="202" t="s">
        <v>174</v>
      </c>
      <c r="F672" s="202" t="s">
        <v>702</v>
      </c>
      <c r="G672" s="202" t="s">
        <v>572</v>
      </c>
      <c r="H672" s="202">
        <v>9</v>
      </c>
      <c r="I672" s="202" t="s">
        <v>83</v>
      </c>
      <c r="J672" s="469"/>
      <c r="K672" s="390" t="s">
        <v>1201</v>
      </c>
    </row>
    <row r="673" spans="1:11" ht="11.25" customHeight="1">
      <c r="A673" s="390" t="s">
        <v>1203</v>
      </c>
      <c r="B673" s="202" t="s">
        <v>1176</v>
      </c>
      <c r="C673" s="202" t="s">
        <v>348</v>
      </c>
      <c r="D673" s="202" t="s">
        <v>488</v>
      </c>
      <c r="E673" s="202" t="s">
        <v>424</v>
      </c>
      <c r="F673" s="202" t="s">
        <v>547</v>
      </c>
      <c r="G673" s="202" t="s">
        <v>548</v>
      </c>
      <c r="H673" s="202">
        <v>4</v>
      </c>
      <c r="I673" s="202" t="s">
        <v>83</v>
      </c>
      <c r="J673" s="469"/>
      <c r="K673" s="390" t="s">
        <v>1201</v>
      </c>
    </row>
    <row r="674" spans="1:12" s="458" customFormat="1" ht="11.25" customHeight="1">
      <c r="A674" s="451" t="s">
        <v>1204</v>
      </c>
      <c r="B674" s="475" t="s">
        <v>1176</v>
      </c>
      <c r="C674" s="451">
        <v>1</v>
      </c>
      <c r="D674" s="451" t="s">
        <v>410</v>
      </c>
      <c r="E674" s="451" t="s">
        <v>83</v>
      </c>
      <c r="F674" s="451" t="s">
        <v>411</v>
      </c>
      <c r="G674" s="451" t="s">
        <v>83</v>
      </c>
      <c r="H674" s="451" t="s">
        <v>83</v>
      </c>
      <c r="I674" s="475" t="s">
        <v>83</v>
      </c>
      <c r="J674" s="465"/>
      <c r="K674" s="451" t="s">
        <v>1201</v>
      </c>
      <c r="L674" s="457"/>
    </row>
    <row r="675" spans="1:11" ht="11.25" customHeight="1">
      <c r="A675" s="390" t="s">
        <v>1205</v>
      </c>
      <c r="B675" s="202" t="s">
        <v>1176</v>
      </c>
      <c r="C675" s="202" t="s">
        <v>348</v>
      </c>
      <c r="D675" s="65" t="s">
        <v>495</v>
      </c>
      <c r="E675" s="65" t="s">
        <v>37</v>
      </c>
      <c r="F675" s="65" t="s">
        <v>547</v>
      </c>
      <c r="G675" s="202" t="s">
        <v>548</v>
      </c>
      <c r="H675" s="65">
        <v>4</v>
      </c>
      <c r="I675" s="202" t="s">
        <v>83</v>
      </c>
      <c r="J675" s="469"/>
      <c r="K675" s="390" t="s">
        <v>1201</v>
      </c>
    </row>
    <row r="676" spans="1:12" s="451" customFormat="1" ht="11.25" customHeight="1">
      <c r="A676" s="451" t="s">
        <v>1206</v>
      </c>
      <c r="B676" s="475" t="s">
        <v>1176</v>
      </c>
      <c r="C676" s="451">
        <v>1</v>
      </c>
      <c r="D676" s="451" t="s">
        <v>410</v>
      </c>
      <c r="E676" s="451" t="s">
        <v>83</v>
      </c>
      <c r="F676" s="451" t="s">
        <v>411</v>
      </c>
      <c r="G676" s="451" t="s">
        <v>83</v>
      </c>
      <c r="H676" s="451" t="s">
        <v>83</v>
      </c>
      <c r="I676" s="475" t="s">
        <v>83</v>
      </c>
      <c r="J676" s="465"/>
      <c r="K676" s="451" t="s">
        <v>1201</v>
      </c>
      <c r="L676" s="450"/>
    </row>
    <row r="677" spans="1:12" s="451" customFormat="1" ht="11.25" customHeight="1">
      <c r="A677" s="451" t="s">
        <v>1207</v>
      </c>
      <c r="B677" s="475" t="s">
        <v>1176</v>
      </c>
      <c r="C677" s="451" t="s">
        <v>348</v>
      </c>
      <c r="D677" s="451" t="s">
        <v>410</v>
      </c>
      <c r="E677" s="451" t="s">
        <v>83</v>
      </c>
      <c r="F677" s="451" t="s">
        <v>411</v>
      </c>
      <c r="G677" s="451" t="s">
        <v>83</v>
      </c>
      <c r="H677" s="451" t="s">
        <v>83</v>
      </c>
      <c r="I677" s="475" t="s">
        <v>83</v>
      </c>
      <c r="J677" s="465"/>
      <c r="K677" s="451" t="s">
        <v>1201</v>
      </c>
      <c r="L677" s="450"/>
    </row>
    <row r="678" spans="1:12" s="390" customFormat="1" ht="11.25" customHeight="1">
      <c r="A678" s="390" t="s">
        <v>1208</v>
      </c>
      <c r="B678" s="202" t="s">
        <v>1176</v>
      </c>
      <c r="C678" s="202" t="s">
        <v>348</v>
      </c>
      <c r="D678" s="65" t="s">
        <v>488</v>
      </c>
      <c r="E678" s="65" t="s">
        <v>424</v>
      </c>
      <c r="F678" s="202" t="s">
        <v>411</v>
      </c>
      <c r="G678" s="202" t="s">
        <v>83</v>
      </c>
      <c r="H678" s="202">
        <v>5</v>
      </c>
      <c r="I678" s="202" t="s">
        <v>83</v>
      </c>
      <c r="J678" s="469"/>
      <c r="K678" s="390" t="s">
        <v>1201</v>
      </c>
      <c r="L678" s="461"/>
    </row>
    <row r="679" spans="1:12" s="458" customFormat="1" ht="11.25" customHeight="1">
      <c r="A679" s="451" t="s">
        <v>1209</v>
      </c>
      <c r="B679" s="475" t="s">
        <v>1176</v>
      </c>
      <c r="C679" s="451" t="s">
        <v>348</v>
      </c>
      <c r="D679" s="451" t="s">
        <v>410</v>
      </c>
      <c r="E679" s="451" t="s">
        <v>83</v>
      </c>
      <c r="F679" s="451" t="s">
        <v>411</v>
      </c>
      <c r="G679" s="451" t="s">
        <v>83</v>
      </c>
      <c r="H679" s="451" t="s">
        <v>83</v>
      </c>
      <c r="I679" s="475" t="s">
        <v>83</v>
      </c>
      <c r="J679" s="465"/>
      <c r="K679" s="451" t="s">
        <v>1201</v>
      </c>
      <c r="L679" s="457"/>
    </row>
    <row r="680" spans="1:11" ht="11.25" customHeight="1">
      <c r="A680" s="445" t="s">
        <v>1210</v>
      </c>
      <c r="B680" s="446" t="s">
        <v>322</v>
      </c>
      <c r="C680" s="446" t="s">
        <v>323</v>
      </c>
      <c r="D680" s="446" t="s">
        <v>324</v>
      </c>
      <c r="E680" s="446" t="s">
        <v>185</v>
      </c>
      <c r="F680" s="446" t="s">
        <v>325</v>
      </c>
      <c r="G680" s="446" t="s">
        <v>261</v>
      </c>
      <c r="H680" s="446" t="s">
        <v>326</v>
      </c>
      <c r="I680" s="446" t="s">
        <v>254</v>
      </c>
      <c r="J680" s="459" t="s">
        <v>327</v>
      </c>
      <c r="K680" s="447" t="s">
        <v>408</v>
      </c>
    </row>
    <row r="681" spans="1:12" s="458" customFormat="1" ht="11.25" customHeight="1">
      <c r="A681" s="451" t="s">
        <v>1211</v>
      </c>
      <c r="B681" s="475" t="s">
        <v>1210</v>
      </c>
      <c r="C681" s="451" t="s">
        <v>348</v>
      </c>
      <c r="D681" s="451" t="s">
        <v>410</v>
      </c>
      <c r="E681" s="451" t="s">
        <v>83</v>
      </c>
      <c r="F681" s="451" t="s">
        <v>411</v>
      </c>
      <c r="G681" s="451" t="s">
        <v>83</v>
      </c>
      <c r="H681" s="451" t="s">
        <v>83</v>
      </c>
      <c r="I681" s="475" t="s">
        <v>83</v>
      </c>
      <c r="J681" s="465" t="s">
        <v>1212</v>
      </c>
      <c r="K681" s="451" t="s">
        <v>1213</v>
      </c>
      <c r="L681" s="457"/>
    </row>
    <row r="682" spans="1:11" ht="11.25" customHeight="1">
      <c r="A682" s="390" t="s">
        <v>1214</v>
      </c>
      <c r="B682" s="202" t="s">
        <v>1210</v>
      </c>
      <c r="C682" s="390">
        <v>1</v>
      </c>
      <c r="D682" s="390" t="s">
        <v>644</v>
      </c>
      <c r="E682" s="390" t="s">
        <v>424</v>
      </c>
      <c r="F682" s="390" t="s">
        <v>411</v>
      </c>
      <c r="G682" s="390" t="s">
        <v>83</v>
      </c>
      <c r="H682" s="390">
        <v>3</v>
      </c>
      <c r="I682" s="202"/>
      <c r="J682" s="469"/>
      <c r="K682" s="390" t="s">
        <v>1213</v>
      </c>
    </row>
    <row r="683" spans="1:11" ht="11.25" customHeight="1">
      <c r="A683" s="390" t="s">
        <v>1215</v>
      </c>
      <c r="B683" s="202" t="s">
        <v>1210</v>
      </c>
      <c r="C683" s="390">
        <v>1</v>
      </c>
      <c r="D683" s="390" t="s">
        <v>566</v>
      </c>
      <c r="E683" s="390" t="s">
        <v>174</v>
      </c>
      <c r="F683" s="390" t="s">
        <v>547</v>
      </c>
      <c r="G683" s="390" t="s">
        <v>572</v>
      </c>
      <c r="H683" s="390">
        <v>4</v>
      </c>
      <c r="I683" s="202" t="s">
        <v>83</v>
      </c>
      <c r="J683" s="469"/>
      <c r="K683" s="390" t="s">
        <v>1213</v>
      </c>
    </row>
    <row r="684" spans="1:12" s="458" customFormat="1" ht="11.25" customHeight="1">
      <c r="A684" s="451" t="s">
        <v>1216</v>
      </c>
      <c r="B684" s="475" t="s">
        <v>1210</v>
      </c>
      <c r="C684" s="451">
        <v>1</v>
      </c>
      <c r="D684" s="451" t="s">
        <v>410</v>
      </c>
      <c r="E684" s="451" t="s">
        <v>83</v>
      </c>
      <c r="F684" s="451" t="s">
        <v>411</v>
      </c>
      <c r="G684" s="451" t="s">
        <v>83</v>
      </c>
      <c r="H684" s="451" t="s">
        <v>83</v>
      </c>
      <c r="I684" s="475" t="s">
        <v>83</v>
      </c>
      <c r="J684" s="465"/>
      <c r="K684" s="451" t="s">
        <v>1213</v>
      </c>
      <c r="L684" s="457"/>
    </row>
    <row r="685" spans="1:11" ht="11.25" customHeight="1">
      <c r="A685" s="390" t="s">
        <v>1217</v>
      </c>
      <c r="B685" s="202" t="s">
        <v>1210</v>
      </c>
      <c r="C685" s="390">
        <v>1</v>
      </c>
      <c r="D685" s="390" t="s">
        <v>495</v>
      </c>
      <c r="E685" s="390" t="s">
        <v>424</v>
      </c>
      <c r="F685" s="390" t="s">
        <v>547</v>
      </c>
      <c r="G685" s="390" t="s">
        <v>548</v>
      </c>
      <c r="H685" s="390">
        <v>5</v>
      </c>
      <c r="I685" s="202" t="s">
        <v>83</v>
      </c>
      <c r="J685" s="469"/>
      <c r="K685" s="390" t="s">
        <v>1213</v>
      </c>
    </row>
    <row r="686" spans="1:11" ht="11.25" customHeight="1">
      <c r="A686" s="390" t="s">
        <v>1218</v>
      </c>
      <c r="B686" s="202" t="s">
        <v>1210</v>
      </c>
      <c r="C686" s="390" t="s">
        <v>348</v>
      </c>
      <c r="D686" s="390" t="s">
        <v>644</v>
      </c>
      <c r="E686" s="390" t="s">
        <v>424</v>
      </c>
      <c r="F686" s="390" t="s">
        <v>411</v>
      </c>
      <c r="G686" s="390" t="s">
        <v>83</v>
      </c>
      <c r="H686" s="390">
        <v>4</v>
      </c>
      <c r="I686" s="202" t="s">
        <v>83</v>
      </c>
      <c r="J686" s="469"/>
      <c r="K686" s="390" t="s">
        <v>1213</v>
      </c>
    </row>
    <row r="687" spans="1:11" ht="11.25" customHeight="1">
      <c r="A687" s="390" t="s">
        <v>1219</v>
      </c>
      <c r="B687" s="202" t="s">
        <v>1210</v>
      </c>
      <c r="C687" s="390">
        <v>1</v>
      </c>
      <c r="D687" s="390" t="s">
        <v>488</v>
      </c>
      <c r="E687" s="390" t="s">
        <v>424</v>
      </c>
      <c r="F687" s="390" t="s">
        <v>411</v>
      </c>
      <c r="G687" s="390" t="s">
        <v>83</v>
      </c>
      <c r="H687" s="390" t="s">
        <v>83</v>
      </c>
      <c r="I687" s="202" t="s">
        <v>83</v>
      </c>
      <c r="J687" s="469"/>
      <c r="K687" s="390" t="s">
        <v>1213</v>
      </c>
    </row>
    <row r="688" spans="1:11" ht="11.25" customHeight="1">
      <c r="A688" s="390" t="s">
        <v>567</v>
      </c>
      <c r="B688" s="202" t="s">
        <v>1210</v>
      </c>
      <c r="C688" s="390">
        <v>1</v>
      </c>
      <c r="D688" s="390" t="s">
        <v>566</v>
      </c>
      <c r="E688" s="390" t="s">
        <v>174</v>
      </c>
      <c r="F688" s="390" t="s">
        <v>547</v>
      </c>
      <c r="G688" s="390" t="s">
        <v>572</v>
      </c>
      <c r="H688" s="390">
        <v>6</v>
      </c>
      <c r="I688" s="202" t="s">
        <v>83</v>
      </c>
      <c r="J688" s="469"/>
      <c r="K688" s="390" t="s">
        <v>1213</v>
      </c>
    </row>
    <row r="689" spans="1:11" ht="11.25" customHeight="1">
      <c r="A689" s="390" t="s">
        <v>1220</v>
      </c>
      <c r="B689" s="202" t="s">
        <v>1210</v>
      </c>
      <c r="C689" s="390">
        <v>1</v>
      </c>
      <c r="D689" s="390" t="s">
        <v>644</v>
      </c>
      <c r="E689" s="390" t="s">
        <v>424</v>
      </c>
      <c r="F689" s="390" t="s">
        <v>411</v>
      </c>
      <c r="G689" s="390" t="s">
        <v>83</v>
      </c>
      <c r="H689" s="390">
        <v>4</v>
      </c>
      <c r="I689" s="202" t="s">
        <v>83</v>
      </c>
      <c r="J689" s="469"/>
      <c r="K689" s="390" t="s">
        <v>1213</v>
      </c>
    </row>
    <row r="690" spans="1:11" ht="11.25" customHeight="1">
      <c r="A690" s="390" t="s">
        <v>1221</v>
      </c>
      <c r="B690" s="202" t="s">
        <v>1210</v>
      </c>
      <c r="C690" s="390">
        <v>1</v>
      </c>
      <c r="D690" s="390" t="s">
        <v>566</v>
      </c>
      <c r="E690" s="390" t="s">
        <v>174</v>
      </c>
      <c r="F690" s="390" t="s">
        <v>871</v>
      </c>
      <c r="G690" s="390" t="s">
        <v>630</v>
      </c>
      <c r="H690" s="390">
        <v>2</v>
      </c>
      <c r="I690" s="202" t="s">
        <v>83</v>
      </c>
      <c r="J690" s="469"/>
      <c r="K690" s="390" t="s">
        <v>1222</v>
      </c>
    </row>
    <row r="691" spans="1:11" ht="11.25" customHeight="1">
      <c r="A691" s="390" t="s">
        <v>1223</v>
      </c>
      <c r="B691" s="202" t="s">
        <v>1210</v>
      </c>
      <c r="C691" s="390">
        <v>1</v>
      </c>
      <c r="D691" s="390" t="s">
        <v>495</v>
      </c>
      <c r="E691" s="390" t="s">
        <v>424</v>
      </c>
      <c r="F691" s="390" t="s">
        <v>411</v>
      </c>
      <c r="G691" s="390" t="s">
        <v>83</v>
      </c>
      <c r="H691" s="390">
        <v>10</v>
      </c>
      <c r="I691" s="202">
        <v>3</v>
      </c>
      <c r="J691" s="469"/>
      <c r="K691" s="390" t="s">
        <v>1222</v>
      </c>
    </row>
    <row r="692" spans="1:11" ht="11.25" customHeight="1">
      <c r="A692" s="390" t="s">
        <v>1224</v>
      </c>
      <c r="B692" s="202" t="s">
        <v>1210</v>
      </c>
      <c r="C692" s="390" t="s">
        <v>348</v>
      </c>
      <c r="D692" s="390" t="s">
        <v>644</v>
      </c>
      <c r="E692" s="390" t="s">
        <v>424</v>
      </c>
      <c r="F692" s="390" t="s">
        <v>411</v>
      </c>
      <c r="G692" s="390" t="s">
        <v>83</v>
      </c>
      <c r="H692" s="390">
        <v>3</v>
      </c>
      <c r="I692" s="202" t="s">
        <v>83</v>
      </c>
      <c r="J692" s="469"/>
      <c r="K692" s="390" t="s">
        <v>1222</v>
      </c>
    </row>
    <row r="693" spans="1:11" ht="11.25" customHeight="1">
      <c r="A693" s="390" t="s">
        <v>1225</v>
      </c>
      <c r="B693" s="202" t="s">
        <v>1210</v>
      </c>
      <c r="C693" s="390" t="s">
        <v>348</v>
      </c>
      <c r="D693" s="390" t="s">
        <v>495</v>
      </c>
      <c r="E693" s="390" t="s">
        <v>37</v>
      </c>
      <c r="F693" s="390" t="s">
        <v>547</v>
      </c>
      <c r="G693" s="390" t="s">
        <v>572</v>
      </c>
      <c r="H693" s="390">
        <v>3</v>
      </c>
      <c r="I693" s="202" t="s">
        <v>83</v>
      </c>
      <c r="J693" s="469"/>
      <c r="K693" s="390" t="s">
        <v>1222</v>
      </c>
    </row>
    <row r="694" spans="1:11" ht="11.25" customHeight="1">
      <c r="A694" s="390" t="s">
        <v>1226</v>
      </c>
      <c r="B694" s="202" t="s">
        <v>1210</v>
      </c>
      <c r="C694" s="390">
        <v>1</v>
      </c>
      <c r="D694" s="390" t="s">
        <v>566</v>
      </c>
      <c r="E694" s="390" t="s">
        <v>424</v>
      </c>
      <c r="F694" s="390" t="s">
        <v>411</v>
      </c>
      <c r="G694" s="390" t="s">
        <v>83</v>
      </c>
      <c r="H694" s="390">
        <v>4</v>
      </c>
      <c r="I694" s="202" t="s">
        <v>83</v>
      </c>
      <c r="J694" s="469"/>
      <c r="K694" s="390" t="s">
        <v>1222</v>
      </c>
    </row>
    <row r="695" spans="1:12" s="458" customFormat="1" ht="11.25" customHeight="1">
      <c r="A695" s="451" t="s">
        <v>1227</v>
      </c>
      <c r="B695" s="475" t="s">
        <v>1210</v>
      </c>
      <c r="C695" s="451">
        <v>1</v>
      </c>
      <c r="D695" s="451" t="s">
        <v>410</v>
      </c>
      <c r="E695" s="451" t="s">
        <v>83</v>
      </c>
      <c r="F695" s="451" t="s">
        <v>411</v>
      </c>
      <c r="G695" s="451" t="s">
        <v>83</v>
      </c>
      <c r="H695" s="451" t="s">
        <v>83</v>
      </c>
      <c r="I695" s="475" t="s">
        <v>83</v>
      </c>
      <c r="J695" s="465"/>
      <c r="K695" s="451" t="s">
        <v>1222</v>
      </c>
      <c r="L695" s="457"/>
    </row>
    <row r="696" spans="1:11" ht="11.25" customHeight="1">
      <c r="A696" s="390" t="s">
        <v>1228</v>
      </c>
      <c r="B696" s="202" t="s">
        <v>1210</v>
      </c>
      <c r="C696" s="390" t="s">
        <v>348</v>
      </c>
      <c r="D696" s="390" t="s">
        <v>488</v>
      </c>
      <c r="E696" s="390" t="s">
        <v>424</v>
      </c>
      <c r="F696" s="390" t="s">
        <v>411</v>
      </c>
      <c r="G696" s="390" t="s">
        <v>83</v>
      </c>
      <c r="H696" s="390">
        <v>3</v>
      </c>
      <c r="I696" s="202" t="s">
        <v>83</v>
      </c>
      <c r="J696" s="469"/>
      <c r="K696" s="390" t="s">
        <v>1222</v>
      </c>
    </row>
    <row r="697" spans="1:11" ht="11.25" customHeight="1">
      <c r="A697" s="390" t="s">
        <v>1229</v>
      </c>
      <c r="B697" s="202" t="s">
        <v>1210</v>
      </c>
      <c r="C697" s="390">
        <v>1</v>
      </c>
      <c r="D697" s="390" t="s">
        <v>495</v>
      </c>
      <c r="E697" s="390" t="s">
        <v>424</v>
      </c>
      <c r="F697" s="390" t="s">
        <v>411</v>
      </c>
      <c r="G697" s="390" t="s">
        <v>83</v>
      </c>
      <c r="H697" s="390">
        <v>5</v>
      </c>
      <c r="I697" s="202" t="s">
        <v>83</v>
      </c>
      <c r="J697" s="469"/>
      <c r="K697" s="390" t="s">
        <v>1222</v>
      </c>
    </row>
    <row r="698" spans="1:11" ht="11.25" customHeight="1">
      <c r="A698" s="390" t="s">
        <v>1230</v>
      </c>
      <c r="B698" s="202" t="s">
        <v>1210</v>
      </c>
      <c r="C698" s="390">
        <v>1</v>
      </c>
      <c r="D698" s="390" t="s">
        <v>495</v>
      </c>
      <c r="E698" s="390" t="s">
        <v>37</v>
      </c>
      <c r="F698" s="390" t="s">
        <v>547</v>
      </c>
      <c r="G698" s="390" t="s">
        <v>572</v>
      </c>
      <c r="H698" s="390">
        <v>4</v>
      </c>
      <c r="I698" s="202" t="s">
        <v>83</v>
      </c>
      <c r="J698" s="469"/>
      <c r="K698" s="390" t="s">
        <v>1222</v>
      </c>
    </row>
    <row r="699" spans="1:11" ht="11.25" customHeight="1">
      <c r="A699" s="390" t="s">
        <v>1231</v>
      </c>
      <c r="B699" s="202" t="s">
        <v>1210</v>
      </c>
      <c r="C699" s="390" t="s">
        <v>348</v>
      </c>
      <c r="D699" s="390" t="s">
        <v>566</v>
      </c>
      <c r="E699" s="390" t="s">
        <v>174</v>
      </c>
      <c r="F699" s="390" t="s">
        <v>547</v>
      </c>
      <c r="G699" s="390" t="s">
        <v>572</v>
      </c>
      <c r="H699" s="390">
        <v>5</v>
      </c>
      <c r="I699" s="202" t="s">
        <v>83</v>
      </c>
      <c r="J699" s="469"/>
      <c r="K699" s="390" t="s">
        <v>1232</v>
      </c>
    </row>
    <row r="700" spans="1:11" ht="11.25" customHeight="1">
      <c r="A700" s="390" t="s">
        <v>1233</v>
      </c>
      <c r="B700" s="202" t="s">
        <v>1210</v>
      </c>
      <c r="C700" s="390">
        <v>1</v>
      </c>
      <c r="D700" s="390" t="s">
        <v>652</v>
      </c>
      <c r="E700" s="390" t="s">
        <v>424</v>
      </c>
      <c r="F700" s="390" t="s">
        <v>411</v>
      </c>
      <c r="G700" s="390" t="s">
        <v>83</v>
      </c>
      <c r="H700" s="390">
        <v>5</v>
      </c>
      <c r="I700" s="202" t="s">
        <v>615</v>
      </c>
      <c r="J700" s="469"/>
      <c r="K700" s="390" t="s">
        <v>1232</v>
      </c>
    </row>
    <row r="701" spans="1:11" ht="11.25" customHeight="1">
      <c r="A701" s="390" t="s">
        <v>1234</v>
      </c>
      <c r="B701" s="202" t="s">
        <v>1210</v>
      </c>
      <c r="C701" s="390" t="s">
        <v>348</v>
      </c>
      <c r="D701" s="390" t="s">
        <v>495</v>
      </c>
      <c r="E701" s="390" t="s">
        <v>424</v>
      </c>
      <c r="F701" s="390" t="s">
        <v>411</v>
      </c>
      <c r="G701" s="390" t="s">
        <v>83</v>
      </c>
      <c r="H701" s="390">
        <v>7</v>
      </c>
      <c r="I701" s="202" t="s">
        <v>83</v>
      </c>
      <c r="J701" s="469"/>
      <c r="K701" s="390" t="s">
        <v>1232</v>
      </c>
    </row>
    <row r="702" spans="1:11" ht="11.25" customHeight="1">
      <c r="A702" s="390" t="s">
        <v>1235</v>
      </c>
      <c r="B702" s="202" t="s">
        <v>1210</v>
      </c>
      <c r="C702" s="390">
        <v>1</v>
      </c>
      <c r="D702" s="390" t="s">
        <v>644</v>
      </c>
      <c r="E702" s="390" t="s">
        <v>424</v>
      </c>
      <c r="F702" s="390" t="s">
        <v>411</v>
      </c>
      <c r="G702" s="390" t="s">
        <v>83</v>
      </c>
      <c r="H702" s="390">
        <v>7</v>
      </c>
      <c r="I702" s="202" t="s">
        <v>323</v>
      </c>
      <c r="J702" s="469"/>
      <c r="K702" s="390" t="s">
        <v>1232</v>
      </c>
    </row>
    <row r="703" spans="1:12" s="458" customFormat="1" ht="11.25" customHeight="1">
      <c r="A703" s="451" t="s">
        <v>1236</v>
      </c>
      <c r="B703" s="475" t="s">
        <v>1210</v>
      </c>
      <c r="C703" s="451">
        <v>1</v>
      </c>
      <c r="D703" s="451" t="s">
        <v>410</v>
      </c>
      <c r="E703" s="451" t="s">
        <v>83</v>
      </c>
      <c r="F703" s="451" t="s">
        <v>411</v>
      </c>
      <c r="G703" s="451" t="s">
        <v>83</v>
      </c>
      <c r="H703" s="451" t="s">
        <v>83</v>
      </c>
      <c r="I703" s="475" t="s">
        <v>83</v>
      </c>
      <c r="J703" s="465"/>
      <c r="K703" s="451" t="s">
        <v>1232</v>
      </c>
      <c r="L703" s="457"/>
    </row>
    <row r="704" spans="1:11" ht="11.25" customHeight="1">
      <c r="A704" s="390" t="s">
        <v>1237</v>
      </c>
      <c r="B704" s="202" t="s">
        <v>1210</v>
      </c>
      <c r="C704" s="390" t="s">
        <v>348</v>
      </c>
      <c r="D704" s="390" t="s">
        <v>488</v>
      </c>
      <c r="E704" s="390" t="s">
        <v>424</v>
      </c>
      <c r="F704" s="390" t="s">
        <v>411</v>
      </c>
      <c r="G704" s="390" t="s">
        <v>83</v>
      </c>
      <c r="H704" s="390">
        <v>10</v>
      </c>
      <c r="I704" s="202" t="s">
        <v>615</v>
      </c>
      <c r="J704" s="469"/>
      <c r="K704" s="390" t="s">
        <v>1232</v>
      </c>
    </row>
    <row r="705" spans="1:12" s="458" customFormat="1" ht="11.25" customHeight="1">
      <c r="A705" s="451" t="s">
        <v>1238</v>
      </c>
      <c r="B705" s="475" t="s">
        <v>1210</v>
      </c>
      <c r="C705" s="451" t="s">
        <v>348</v>
      </c>
      <c r="D705" s="451" t="s">
        <v>410</v>
      </c>
      <c r="E705" s="451" t="s">
        <v>83</v>
      </c>
      <c r="F705" s="451" t="s">
        <v>411</v>
      </c>
      <c r="G705" s="451" t="s">
        <v>83</v>
      </c>
      <c r="H705" s="451" t="s">
        <v>83</v>
      </c>
      <c r="I705" s="475" t="s">
        <v>83</v>
      </c>
      <c r="J705" s="465"/>
      <c r="K705" s="451" t="s">
        <v>1232</v>
      </c>
      <c r="L705" s="457"/>
    </row>
    <row r="706" spans="1:12" s="458" customFormat="1" ht="11.25" customHeight="1">
      <c r="A706" s="451" t="s">
        <v>1239</v>
      </c>
      <c r="B706" s="475" t="s">
        <v>1210</v>
      </c>
      <c r="C706" s="451" t="s">
        <v>348</v>
      </c>
      <c r="D706" s="451" t="s">
        <v>410</v>
      </c>
      <c r="E706" s="451" t="s">
        <v>83</v>
      </c>
      <c r="F706" s="451" t="s">
        <v>411</v>
      </c>
      <c r="G706" s="451" t="s">
        <v>83</v>
      </c>
      <c r="H706" s="451" t="s">
        <v>83</v>
      </c>
      <c r="I706" s="475" t="s">
        <v>83</v>
      </c>
      <c r="J706" s="465"/>
      <c r="K706" s="451" t="s">
        <v>1232</v>
      </c>
      <c r="L706" s="457"/>
    </row>
    <row r="707" spans="1:11" ht="11.25" customHeight="1">
      <c r="A707" s="390" t="s">
        <v>1240</v>
      </c>
      <c r="B707" s="202" t="s">
        <v>1210</v>
      </c>
      <c r="C707" s="390" t="s">
        <v>348</v>
      </c>
      <c r="D707" s="390" t="s">
        <v>641</v>
      </c>
      <c r="E707" s="390" t="s">
        <v>424</v>
      </c>
      <c r="F707" s="390" t="s">
        <v>411</v>
      </c>
      <c r="G707" s="390" t="s">
        <v>83</v>
      </c>
      <c r="H707" s="390" t="s">
        <v>83</v>
      </c>
      <c r="I707" s="202">
        <v>1</v>
      </c>
      <c r="J707" s="469"/>
      <c r="K707" s="390" t="s">
        <v>1232</v>
      </c>
    </row>
    <row r="708" spans="1:11" ht="11.25" customHeight="1">
      <c r="A708" s="445" t="s">
        <v>1241</v>
      </c>
      <c r="B708" s="446" t="s">
        <v>322</v>
      </c>
      <c r="C708" s="446" t="s">
        <v>323</v>
      </c>
      <c r="D708" s="446" t="s">
        <v>324</v>
      </c>
      <c r="E708" s="446" t="s">
        <v>185</v>
      </c>
      <c r="F708" s="446" t="s">
        <v>325</v>
      </c>
      <c r="G708" s="446" t="s">
        <v>261</v>
      </c>
      <c r="H708" s="446" t="s">
        <v>326</v>
      </c>
      <c r="I708" s="446" t="s">
        <v>254</v>
      </c>
      <c r="J708" s="459" t="s">
        <v>327</v>
      </c>
      <c r="K708" s="447" t="s">
        <v>408</v>
      </c>
    </row>
    <row r="709" spans="1:11" ht="11.25" customHeight="1">
      <c r="A709" s="390" t="s">
        <v>1242</v>
      </c>
      <c r="B709" s="390" t="s">
        <v>1241</v>
      </c>
      <c r="C709" s="390" t="s">
        <v>348</v>
      </c>
      <c r="D709" s="390" t="s">
        <v>423</v>
      </c>
      <c r="E709" s="390" t="s">
        <v>424</v>
      </c>
      <c r="F709" s="390" t="s">
        <v>547</v>
      </c>
      <c r="G709" s="390" t="s">
        <v>548</v>
      </c>
      <c r="H709" s="390">
        <v>6</v>
      </c>
      <c r="I709" s="202" t="s">
        <v>111</v>
      </c>
      <c r="J709" s="469"/>
      <c r="K709" s="390" t="s">
        <v>1243</v>
      </c>
    </row>
    <row r="710" spans="1:11" ht="11.25" customHeight="1">
      <c r="A710" s="390" t="s">
        <v>1244</v>
      </c>
      <c r="B710" s="390" t="s">
        <v>1241</v>
      </c>
      <c r="C710" s="390" t="s">
        <v>348</v>
      </c>
      <c r="D710" s="390" t="s">
        <v>652</v>
      </c>
      <c r="E710" s="390" t="s">
        <v>424</v>
      </c>
      <c r="F710" s="390" t="s">
        <v>547</v>
      </c>
      <c r="G710" s="390" t="s">
        <v>548</v>
      </c>
      <c r="H710" s="390">
        <v>6</v>
      </c>
      <c r="I710" s="202" t="s">
        <v>83</v>
      </c>
      <c r="J710" s="469"/>
      <c r="K710" s="390" t="s">
        <v>1243</v>
      </c>
    </row>
    <row r="711" spans="1:11" ht="11.25" customHeight="1">
      <c r="A711" s="390" t="s">
        <v>1245</v>
      </c>
      <c r="B711" s="390" t="s">
        <v>1241</v>
      </c>
      <c r="C711" s="390">
        <v>1</v>
      </c>
      <c r="D711" s="390" t="s">
        <v>566</v>
      </c>
      <c r="E711" s="390" t="s">
        <v>613</v>
      </c>
      <c r="F711" s="390" t="s">
        <v>547</v>
      </c>
      <c r="G711" s="390" t="s">
        <v>548</v>
      </c>
      <c r="H711" s="390">
        <v>8</v>
      </c>
      <c r="I711" s="202" t="s">
        <v>83</v>
      </c>
      <c r="J711" s="469"/>
      <c r="K711" s="390" t="s">
        <v>1243</v>
      </c>
    </row>
    <row r="712" spans="1:11" ht="11.25" customHeight="1">
      <c r="A712" s="390" t="s">
        <v>1246</v>
      </c>
      <c r="B712" s="390" t="s">
        <v>1241</v>
      </c>
      <c r="C712" s="390">
        <v>1</v>
      </c>
      <c r="D712" s="390" t="s">
        <v>566</v>
      </c>
      <c r="E712" s="390" t="s">
        <v>613</v>
      </c>
      <c r="F712" s="390" t="s">
        <v>547</v>
      </c>
      <c r="G712" s="390" t="s">
        <v>548</v>
      </c>
      <c r="H712" s="390">
        <v>10</v>
      </c>
      <c r="I712" s="202" t="s">
        <v>83</v>
      </c>
      <c r="J712" s="469"/>
      <c r="K712" s="390" t="s">
        <v>1243</v>
      </c>
    </row>
    <row r="713" spans="1:11" ht="11.25" customHeight="1">
      <c r="A713" s="390" t="s">
        <v>1247</v>
      </c>
      <c r="B713" s="390" t="s">
        <v>1241</v>
      </c>
      <c r="C713" s="390">
        <v>1</v>
      </c>
      <c r="D713" s="390" t="s">
        <v>423</v>
      </c>
      <c r="E713" s="390" t="s">
        <v>613</v>
      </c>
      <c r="F713" s="390" t="s">
        <v>547</v>
      </c>
      <c r="G713" s="390" t="s">
        <v>548</v>
      </c>
      <c r="H713" s="390">
        <v>6</v>
      </c>
      <c r="I713" s="202" t="s">
        <v>83</v>
      </c>
      <c r="J713" s="469"/>
      <c r="K713" s="390" t="s">
        <v>1243</v>
      </c>
    </row>
    <row r="714" spans="1:11" ht="11.25" customHeight="1">
      <c r="A714" s="390" t="s">
        <v>1248</v>
      </c>
      <c r="B714" s="390" t="s">
        <v>1241</v>
      </c>
      <c r="C714" s="390" t="s">
        <v>348</v>
      </c>
      <c r="D714" s="390" t="s">
        <v>641</v>
      </c>
      <c r="E714" s="390" t="s">
        <v>424</v>
      </c>
      <c r="F714" s="390" t="s">
        <v>547</v>
      </c>
      <c r="G714" s="390" t="s">
        <v>548</v>
      </c>
      <c r="H714" s="390">
        <v>6</v>
      </c>
      <c r="I714" s="202" t="s">
        <v>83</v>
      </c>
      <c r="J714" s="469"/>
      <c r="K714" s="390" t="s">
        <v>1243</v>
      </c>
    </row>
    <row r="715" spans="1:11" ht="11.25" customHeight="1">
      <c r="A715" s="390" t="s">
        <v>1249</v>
      </c>
      <c r="B715" s="390" t="s">
        <v>1241</v>
      </c>
      <c r="C715" s="390">
        <v>1</v>
      </c>
      <c r="D715" s="390" t="s">
        <v>495</v>
      </c>
      <c r="E715" s="390" t="s">
        <v>613</v>
      </c>
      <c r="F715" s="390" t="s">
        <v>547</v>
      </c>
      <c r="G715" s="390" t="s">
        <v>548</v>
      </c>
      <c r="H715" s="390">
        <v>4</v>
      </c>
      <c r="I715" s="202" t="s">
        <v>83</v>
      </c>
      <c r="J715" s="469"/>
      <c r="K715" s="390" t="s">
        <v>1243</v>
      </c>
    </row>
    <row r="716" spans="1:11" ht="11.25" customHeight="1">
      <c r="A716" s="390" t="s">
        <v>1250</v>
      </c>
      <c r="B716" s="390" t="s">
        <v>1241</v>
      </c>
      <c r="C716" s="390">
        <v>1</v>
      </c>
      <c r="D716" s="390" t="s">
        <v>652</v>
      </c>
      <c r="E716" s="390" t="s">
        <v>424</v>
      </c>
      <c r="F716" s="390" t="s">
        <v>547</v>
      </c>
      <c r="G716" s="390" t="s">
        <v>548</v>
      </c>
      <c r="H716" s="390">
        <v>7</v>
      </c>
      <c r="I716" s="202" t="s">
        <v>83</v>
      </c>
      <c r="J716" s="469"/>
      <c r="K716" s="390" t="s">
        <v>1243</v>
      </c>
    </row>
    <row r="717" spans="1:11" ht="11.25" customHeight="1">
      <c r="A717" s="390" t="s">
        <v>1251</v>
      </c>
      <c r="B717" s="390" t="s">
        <v>1241</v>
      </c>
      <c r="C717" s="390" t="s">
        <v>348</v>
      </c>
      <c r="D717" s="390" t="s">
        <v>423</v>
      </c>
      <c r="E717" s="390" t="s">
        <v>424</v>
      </c>
      <c r="F717" s="390" t="s">
        <v>547</v>
      </c>
      <c r="G717" s="390" t="s">
        <v>548</v>
      </c>
      <c r="H717" s="390">
        <v>6</v>
      </c>
      <c r="I717" s="202" t="s">
        <v>83</v>
      </c>
      <c r="J717" s="469"/>
      <c r="K717" s="390" t="s">
        <v>1243</v>
      </c>
    </row>
    <row r="718" spans="1:11" ht="11.25" customHeight="1">
      <c r="A718" s="390" t="s">
        <v>1252</v>
      </c>
      <c r="B718" s="390" t="s">
        <v>1241</v>
      </c>
      <c r="C718" s="390" t="s">
        <v>348</v>
      </c>
      <c r="D718" s="390" t="s">
        <v>641</v>
      </c>
      <c r="E718" s="390" t="s">
        <v>424</v>
      </c>
      <c r="F718" s="390" t="s">
        <v>547</v>
      </c>
      <c r="G718" s="390" t="s">
        <v>548</v>
      </c>
      <c r="H718" s="390">
        <v>6</v>
      </c>
      <c r="I718" s="202" t="s">
        <v>83</v>
      </c>
      <c r="J718" s="469"/>
      <c r="K718" s="390" t="s">
        <v>1253</v>
      </c>
    </row>
    <row r="719" spans="1:11" ht="11.25" customHeight="1">
      <c r="A719" s="390" t="s">
        <v>1254</v>
      </c>
      <c r="B719" s="390" t="s">
        <v>1241</v>
      </c>
      <c r="C719" s="390">
        <v>1</v>
      </c>
      <c r="D719" s="390" t="s">
        <v>566</v>
      </c>
      <c r="E719" s="390" t="s">
        <v>613</v>
      </c>
      <c r="F719" s="390" t="s">
        <v>547</v>
      </c>
      <c r="G719" s="390" t="s">
        <v>548</v>
      </c>
      <c r="H719" s="390">
        <v>9</v>
      </c>
      <c r="I719" s="202" t="s">
        <v>83</v>
      </c>
      <c r="J719" s="469"/>
      <c r="K719" s="390" t="s">
        <v>1253</v>
      </c>
    </row>
    <row r="720" spans="1:12" s="458" customFormat="1" ht="11.25" customHeight="1">
      <c r="A720" s="451" t="s">
        <v>1255</v>
      </c>
      <c r="B720" s="451" t="s">
        <v>1241</v>
      </c>
      <c r="C720" s="451">
        <v>1</v>
      </c>
      <c r="D720" s="451" t="s">
        <v>410</v>
      </c>
      <c r="E720" s="451" t="s">
        <v>83</v>
      </c>
      <c r="F720" s="451" t="s">
        <v>411</v>
      </c>
      <c r="G720" s="451" t="s">
        <v>83</v>
      </c>
      <c r="H720" s="451" t="s">
        <v>83</v>
      </c>
      <c r="I720" s="475" t="s">
        <v>83</v>
      </c>
      <c r="J720" s="465"/>
      <c r="K720" s="451" t="s">
        <v>1253</v>
      </c>
      <c r="L720" s="457"/>
    </row>
    <row r="721" spans="1:11" ht="11.25" customHeight="1">
      <c r="A721" s="390" t="s">
        <v>1256</v>
      </c>
      <c r="B721" s="390" t="s">
        <v>1241</v>
      </c>
      <c r="C721" s="390">
        <v>1</v>
      </c>
      <c r="D721" s="390" t="s">
        <v>566</v>
      </c>
      <c r="E721" s="390" t="s">
        <v>613</v>
      </c>
      <c r="F721" s="390" t="s">
        <v>547</v>
      </c>
      <c r="G721" s="390" t="s">
        <v>548</v>
      </c>
      <c r="H721" s="390">
        <v>8</v>
      </c>
      <c r="I721" s="202" t="s">
        <v>83</v>
      </c>
      <c r="J721" s="469"/>
      <c r="K721" s="390" t="s">
        <v>1253</v>
      </c>
    </row>
    <row r="722" spans="1:11" ht="11.25" customHeight="1">
      <c r="A722" s="390" t="s">
        <v>1257</v>
      </c>
      <c r="B722" s="390" t="s">
        <v>1241</v>
      </c>
      <c r="C722" s="390">
        <v>1</v>
      </c>
      <c r="D722" s="390" t="s">
        <v>423</v>
      </c>
      <c r="E722" s="390" t="s">
        <v>424</v>
      </c>
      <c r="F722" s="390" t="s">
        <v>547</v>
      </c>
      <c r="G722" s="390" t="s">
        <v>548</v>
      </c>
      <c r="H722" s="390">
        <v>6</v>
      </c>
      <c r="I722" s="202" t="s">
        <v>991</v>
      </c>
      <c r="J722" s="469"/>
      <c r="K722" s="390" t="s">
        <v>1253</v>
      </c>
    </row>
    <row r="723" spans="1:11" ht="11.25" customHeight="1">
      <c r="A723" s="390" t="s">
        <v>1258</v>
      </c>
      <c r="B723" s="390" t="s">
        <v>1241</v>
      </c>
      <c r="C723" s="390">
        <v>1</v>
      </c>
      <c r="D723" s="390" t="s">
        <v>423</v>
      </c>
      <c r="E723" s="390" t="s">
        <v>424</v>
      </c>
      <c r="F723" s="390" t="s">
        <v>547</v>
      </c>
      <c r="G723" s="390" t="s">
        <v>548</v>
      </c>
      <c r="H723" s="390">
        <v>6</v>
      </c>
      <c r="I723" s="202" t="s">
        <v>83</v>
      </c>
      <c r="J723" s="469"/>
      <c r="K723" s="390" t="s">
        <v>1253</v>
      </c>
    </row>
    <row r="724" spans="1:11" ht="11.25" customHeight="1">
      <c r="A724" s="390" t="s">
        <v>1259</v>
      </c>
      <c r="B724" s="390" t="s">
        <v>1241</v>
      </c>
      <c r="C724" s="390">
        <v>1</v>
      </c>
      <c r="D724" s="390" t="s">
        <v>566</v>
      </c>
      <c r="E724" s="390" t="s">
        <v>613</v>
      </c>
      <c r="F724" s="390" t="s">
        <v>547</v>
      </c>
      <c r="G724" s="390" t="s">
        <v>548</v>
      </c>
      <c r="H724" s="390">
        <v>8</v>
      </c>
      <c r="I724" s="202" t="s">
        <v>83</v>
      </c>
      <c r="J724" s="469"/>
      <c r="K724" s="390" t="s">
        <v>1253</v>
      </c>
    </row>
    <row r="725" spans="1:12" s="458" customFormat="1" ht="11.25" customHeight="1">
      <c r="A725" s="451" t="s">
        <v>1260</v>
      </c>
      <c r="B725" s="451" t="s">
        <v>1241</v>
      </c>
      <c r="C725" s="451">
        <v>1</v>
      </c>
      <c r="D725" s="451" t="s">
        <v>410</v>
      </c>
      <c r="E725" s="451" t="s">
        <v>83</v>
      </c>
      <c r="F725" s="451" t="s">
        <v>411</v>
      </c>
      <c r="G725" s="451" t="s">
        <v>83</v>
      </c>
      <c r="H725" s="451" t="s">
        <v>83</v>
      </c>
      <c r="I725" s="475" t="s">
        <v>83</v>
      </c>
      <c r="J725" s="465"/>
      <c r="K725" s="451" t="s">
        <v>1253</v>
      </c>
      <c r="L725" s="457"/>
    </row>
    <row r="726" spans="1:12" s="458" customFormat="1" ht="11.25" customHeight="1">
      <c r="A726" s="451" t="s">
        <v>1261</v>
      </c>
      <c r="B726" s="451" t="s">
        <v>1241</v>
      </c>
      <c r="C726" s="451">
        <v>1</v>
      </c>
      <c r="D726" s="451" t="s">
        <v>410</v>
      </c>
      <c r="E726" s="451" t="s">
        <v>83</v>
      </c>
      <c r="F726" s="451" t="s">
        <v>411</v>
      </c>
      <c r="G726" s="451" t="s">
        <v>83</v>
      </c>
      <c r="H726" s="451" t="s">
        <v>83</v>
      </c>
      <c r="I726" s="475" t="s">
        <v>83</v>
      </c>
      <c r="J726" s="465"/>
      <c r="K726" s="451" t="s">
        <v>1253</v>
      </c>
      <c r="L726" s="457"/>
    </row>
    <row r="727" spans="1:12" s="458" customFormat="1" ht="11.25" customHeight="1">
      <c r="A727" s="451" t="s">
        <v>1262</v>
      </c>
      <c r="B727" s="451" t="s">
        <v>1241</v>
      </c>
      <c r="C727" s="451">
        <v>1</v>
      </c>
      <c r="D727" s="451" t="s">
        <v>410</v>
      </c>
      <c r="E727" s="451" t="s">
        <v>83</v>
      </c>
      <c r="F727" s="451" t="s">
        <v>411</v>
      </c>
      <c r="G727" s="451" t="s">
        <v>83</v>
      </c>
      <c r="H727" s="451" t="s">
        <v>83</v>
      </c>
      <c r="I727" s="475" t="s">
        <v>83</v>
      </c>
      <c r="J727" s="465"/>
      <c r="K727" s="451" t="s">
        <v>1263</v>
      </c>
      <c r="L727" s="457"/>
    </row>
    <row r="728" spans="1:12" s="458" customFormat="1" ht="11.25" customHeight="1">
      <c r="A728" s="451" t="s">
        <v>1264</v>
      </c>
      <c r="B728" s="451" t="s">
        <v>1241</v>
      </c>
      <c r="C728" s="451">
        <v>1</v>
      </c>
      <c r="D728" s="451" t="s">
        <v>410</v>
      </c>
      <c r="E728" s="451" t="s">
        <v>83</v>
      </c>
      <c r="F728" s="451" t="s">
        <v>411</v>
      </c>
      <c r="G728" s="451" t="s">
        <v>83</v>
      </c>
      <c r="H728" s="451" t="s">
        <v>83</v>
      </c>
      <c r="I728" s="475" t="s">
        <v>83</v>
      </c>
      <c r="J728" s="465"/>
      <c r="K728" s="451" t="s">
        <v>1263</v>
      </c>
      <c r="L728" s="457"/>
    </row>
    <row r="729" spans="1:11" ht="11.25" customHeight="1">
      <c r="A729" s="390" t="s">
        <v>1265</v>
      </c>
      <c r="B729" s="390" t="s">
        <v>1241</v>
      </c>
      <c r="C729" s="390">
        <v>1</v>
      </c>
      <c r="D729" s="390" t="s">
        <v>652</v>
      </c>
      <c r="E729" s="390" t="s">
        <v>424</v>
      </c>
      <c r="F729" s="390" t="s">
        <v>547</v>
      </c>
      <c r="G729" s="390" t="s">
        <v>548</v>
      </c>
      <c r="H729" s="390">
        <v>7</v>
      </c>
      <c r="I729" s="202" t="s">
        <v>83</v>
      </c>
      <c r="J729" s="469"/>
      <c r="K729" s="390" t="s">
        <v>1263</v>
      </c>
    </row>
    <row r="730" spans="1:11" ht="11.25" customHeight="1">
      <c r="A730" s="390" t="s">
        <v>1266</v>
      </c>
      <c r="B730" s="390" t="s">
        <v>1241</v>
      </c>
      <c r="C730" s="390">
        <v>1</v>
      </c>
      <c r="D730" s="390" t="s">
        <v>488</v>
      </c>
      <c r="E730" s="390" t="s">
        <v>424</v>
      </c>
      <c r="F730" s="390" t="s">
        <v>411</v>
      </c>
      <c r="G730" s="390" t="s">
        <v>83</v>
      </c>
      <c r="H730" s="390">
        <v>12</v>
      </c>
      <c r="I730" s="202" t="s">
        <v>655</v>
      </c>
      <c r="J730" s="469"/>
      <c r="K730" s="390" t="s">
        <v>1263</v>
      </c>
    </row>
    <row r="731" spans="1:11" ht="11.25" customHeight="1">
      <c r="A731" s="390" t="s">
        <v>1267</v>
      </c>
      <c r="B731" s="390" t="s">
        <v>1241</v>
      </c>
      <c r="C731" s="390" t="s">
        <v>348</v>
      </c>
      <c r="D731" s="390" t="s">
        <v>644</v>
      </c>
      <c r="E731" s="390" t="s">
        <v>424</v>
      </c>
      <c r="F731" s="390" t="s">
        <v>411</v>
      </c>
      <c r="G731" s="390" t="s">
        <v>83</v>
      </c>
      <c r="H731" s="390">
        <v>3</v>
      </c>
      <c r="I731" s="202" t="s">
        <v>83</v>
      </c>
      <c r="J731" s="469"/>
      <c r="K731" s="390" t="s">
        <v>1263</v>
      </c>
    </row>
    <row r="732" spans="1:12" s="458" customFormat="1" ht="11.25" customHeight="1">
      <c r="A732" s="451" t="s">
        <v>1268</v>
      </c>
      <c r="B732" s="451" t="s">
        <v>1241</v>
      </c>
      <c r="C732" s="451" t="s">
        <v>348</v>
      </c>
      <c r="D732" s="451" t="s">
        <v>410</v>
      </c>
      <c r="E732" s="451" t="s">
        <v>83</v>
      </c>
      <c r="F732" s="451" t="s">
        <v>411</v>
      </c>
      <c r="G732" s="451" t="s">
        <v>83</v>
      </c>
      <c r="H732" s="451" t="s">
        <v>83</v>
      </c>
      <c r="I732" s="475" t="s">
        <v>83</v>
      </c>
      <c r="J732" s="465"/>
      <c r="K732" s="451" t="s">
        <v>1263</v>
      </c>
      <c r="L732" s="457"/>
    </row>
    <row r="733" spans="1:12" s="458" customFormat="1" ht="11.25" customHeight="1">
      <c r="A733" s="451" t="s">
        <v>1269</v>
      </c>
      <c r="B733" s="451" t="s">
        <v>1241</v>
      </c>
      <c r="C733" s="451" t="s">
        <v>348</v>
      </c>
      <c r="D733" s="451" t="s">
        <v>410</v>
      </c>
      <c r="E733" s="451" t="s">
        <v>83</v>
      </c>
      <c r="F733" s="451" t="s">
        <v>411</v>
      </c>
      <c r="G733" s="451" t="s">
        <v>83</v>
      </c>
      <c r="H733" s="451" t="s">
        <v>83</v>
      </c>
      <c r="I733" s="475" t="s">
        <v>83</v>
      </c>
      <c r="J733" s="465"/>
      <c r="K733" s="451" t="s">
        <v>1263</v>
      </c>
      <c r="L733" s="457"/>
    </row>
    <row r="734" spans="1:12" s="458" customFormat="1" ht="11.25" customHeight="1">
      <c r="A734" s="451" t="s">
        <v>1270</v>
      </c>
      <c r="B734" s="451" t="s">
        <v>1241</v>
      </c>
      <c r="C734" s="451">
        <v>1</v>
      </c>
      <c r="D734" s="451" t="s">
        <v>410</v>
      </c>
      <c r="E734" s="451" t="s">
        <v>83</v>
      </c>
      <c r="F734" s="451" t="s">
        <v>411</v>
      </c>
      <c r="G734" s="451" t="s">
        <v>83</v>
      </c>
      <c r="H734" s="451" t="s">
        <v>83</v>
      </c>
      <c r="I734" s="475" t="s">
        <v>83</v>
      </c>
      <c r="J734" s="465"/>
      <c r="K734" s="451" t="s">
        <v>1263</v>
      </c>
      <c r="L734" s="457"/>
    </row>
    <row r="735" spans="1:11" ht="11.25" customHeight="1">
      <c r="A735" s="390" t="s">
        <v>1271</v>
      </c>
      <c r="B735" s="390" t="s">
        <v>1241</v>
      </c>
      <c r="C735" s="390" t="s">
        <v>348</v>
      </c>
      <c r="D735" s="390" t="s">
        <v>644</v>
      </c>
      <c r="E735" s="390" t="s">
        <v>424</v>
      </c>
      <c r="F735" s="390" t="s">
        <v>411</v>
      </c>
      <c r="G735" s="390" t="s">
        <v>83</v>
      </c>
      <c r="H735" s="390">
        <v>10</v>
      </c>
      <c r="I735" s="202" t="s">
        <v>83</v>
      </c>
      <c r="J735" s="469"/>
      <c r="K735" s="390" t="s">
        <v>1263</v>
      </c>
    </row>
    <row r="736" spans="1:11" ht="11.25" customHeight="1">
      <c r="A736" s="445" t="s">
        <v>1272</v>
      </c>
      <c r="B736" s="446" t="s">
        <v>322</v>
      </c>
      <c r="C736" s="446" t="s">
        <v>323</v>
      </c>
      <c r="D736" s="446" t="s">
        <v>324</v>
      </c>
      <c r="E736" s="446" t="s">
        <v>185</v>
      </c>
      <c r="F736" s="446" t="s">
        <v>325</v>
      </c>
      <c r="G736" s="446" t="s">
        <v>261</v>
      </c>
      <c r="H736" s="446" t="s">
        <v>326</v>
      </c>
      <c r="I736" s="446" t="s">
        <v>254</v>
      </c>
      <c r="J736" s="459" t="s">
        <v>327</v>
      </c>
      <c r="K736" s="447" t="s">
        <v>408</v>
      </c>
    </row>
    <row r="737" spans="1:12" s="458" customFormat="1" ht="11.25" customHeight="1">
      <c r="A737" s="451" t="s">
        <v>1273</v>
      </c>
      <c r="B737" s="451" t="s">
        <v>1272</v>
      </c>
      <c r="C737" s="451" t="s">
        <v>348</v>
      </c>
      <c r="D737" s="451" t="s">
        <v>410</v>
      </c>
      <c r="E737" s="451" t="s">
        <v>83</v>
      </c>
      <c r="F737" s="451" t="s">
        <v>411</v>
      </c>
      <c r="G737" s="451" t="s">
        <v>83</v>
      </c>
      <c r="H737" s="451" t="s">
        <v>83</v>
      </c>
      <c r="I737" s="475" t="s">
        <v>83</v>
      </c>
      <c r="J737" s="465"/>
      <c r="K737" s="451" t="s">
        <v>1274</v>
      </c>
      <c r="L737" s="457"/>
    </row>
    <row r="738" spans="1:11" ht="11.25" customHeight="1">
      <c r="A738" s="390" t="s">
        <v>1275</v>
      </c>
      <c r="B738" s="390" t="s">
        <v>1272</v>
      </c>
      <c r="C738" s="390">
        <v>1</v>
      </c>
      <c r="D738" s="390" t="s">
        <v>566</v>
      </c>
      <c r="E738" s="390" t="s">
        <v>35</v>
      </c>
      <c r="F738" s="390" t="s">
        <v>547</v>
      </c>
      <c r="G738" s="390" t="s">
        <v>572</v>
      </c>
      <c r="H738" s="390" t="s">
        <v>83</v>
      </c>
      <c r="I738" s="202" t="s">
        <v>83</v>
      </c>
      <c r="J738" s="469"/>
      <c r="K738" s="390" t="s">
        <v>1274</v>
      </c>
    </row>
    <row r="739" spans="1:11" ht="11.25" customHeight="1">
      <c r="A739" s="390" t="s">
        <v>1276</v>
      </c>
      <c r="B739" s="390" t="s">
        <v>1272</v>
      </c>
      <c r="C739" s="390" t="s">
        <v>348</v>
      </c>
      <c r="D739" s="390" t="s">
        <v>566</v>
      </c>
      <c r="E739" s="390" t="s">
        <v>35</v>
      </c>
      <c r="F739" s="390" t="s">
        <v>718</v>
      </c>
      <c r="G739" s="390" t="s">
        <v>719</v>
      </c>
      <c r="H739" s="390" t="s">
        <v>83</v>
      </c>
      <c r="I739" s="202">
        <v>1</v>
      </c>
      <c r="J739" s="469"/>
      <c r="K739" s="390" t="s">
        <v>1274</v>
      </c>
    </row>
    <row r="740" spans="1:11" ht="11.25" customHeight="1">
      <c r="A740" s="390" t="s">
        <v>1277</v>
      </c>
      <c r="B740" s="390" t="s">
        <v>1272</v>
      </c>
      <c r="C740" s="390">
        <v>1</v>
      </c>
      <c r="D740" s="390" t="s">
        <v>495</v>
      </c>
      <c r="E740" s="390" t="s">
        <v>35</v>
      </c>
      <c r="F740" s="390" t="s">
        <v>547</v>
      </c>
      <c r="G740" s="390" t="s">
        <v>572</v>
      </c>
      <c r="H740" s="390" t="s">
        <v>83</v>
      </c>
      <c r="I740" s="202" t="s">
        <v>83</v>
      </c>
      <c r="J740" s="469"/>
      <c r="K740" s="390" t="s">
        <v>1274</v>
      </c>
    </row>
    <row r="741" spans="1:11" ht="11.25" customHeight="1">
      <c r="A741" s="390" t="s">
        <v>1278</v>
      </c>
      <c r="B741" s="390" t="s">
        <v>1272</v>
      </c>
      <c r="C741" s="390" t="s">
        <v>348</v>
      </c>
      <c r="D741" s="390" t="s">
        <v>566</v>
      </c>
      <c r="E741" s="390" t="s">
        <v>424</v>
      </c>
      <c r="F741" s="390" t="s">
        <v>547</v>
      </c>
      <c r="G741" s="390" t="s">
        <v>572</v>
      </c>
      <c r="H741" s="390" t="s">
        <v>83</v>
      </c>
      <c r="I741" s="202" t="s">
        <v>83</v>
      </c>
      <c r="J741" s="469"/>
      <c r="K741" s="390" t="s">
        <v>1274</v>
      </c>
    </row>
    <row r="742" spans="1:11" ht="11.25" customHeight="1">
      <c r="A742" s="390" t="s">
        <v>1279</v>
      </c>
      <c r="B742" s="390" t="s">
        <v>1272</v>
      </c>
      <c r="C742" s="390" t="s">
        <v>348</v>
      </c>
      <c r="D742" s="390" t="s">
        <v>566</v>
      </c>
      <c r="E742" s="390" t="s">
        <v>35</v>
      </c>
      <c r="F742" s="390" t="s">
        <v>547</v>
      </c>
      <c r="G742" s="390" t="s">
        <v>572</v>
      </c>
      <c r="H742" s="390" t="s">
        <v>83</v>
      </c>
      <c r="I742" s="202" t="s">
        <v>83</v>
      </c>
      <c r="J742" s="469"/>
      <c r="K742" s="390" t="s">
        <v>1274</v>
      </c>
    </row>
    <row r="743" spans="1:11" ht="11.25" customHeight="1">
      <c r="A743" s="390" t="s">
        <v>1280</v>
      </c>
      <c r="B743" s="390" t="s">
        <v>1272</v>
      </c>
      <c r="C743" s="390">
        <v>1</v>
      </c>
      <c r="D743" s="390" t="s">
        <v>423</v>
      </c>
      <c r="E743" s="390" t="s">
        <v>424</v>
      </c>
      <c r="F743" s="390" t="s">
        <v>547</v>
      </c>
      <c r="G743" s="390" t="s">
        <v>674</v>
      </c>
      <c r="H743" s="390" t="s">
        <v>83</v>
      </c>
      <c r="I743" s="202" t="s">
        <v>83</v>
      </c>
      <c r="J743" s="469"/>
      <c r="K743" s="390" t="s">
        <v>1274</v>
      </c>
    </row>
    <row r="744" spans="1:11" ht="11.25" customHeight="1">
      <c r="A744" s="390" t="s">
        <v>1281</v>
      </c>
      <c r="B744" s="390" t="s">
        <v>1272</v>
      </c>
      <c r="C744" s="390" t="s">
        <v>348</v>
      </c>
      <c r="D744" s="390" t="s">
        <v>644</v>
      </c>
      <c r="E744" s="390" t="s">
        <v>424</v>
      </c>
      <c r="F744" s="390" t="s">
        <v>411</v>
      </c>
      <c r="G744" s="390" t="s">
        <v>83</v>
      </c>
      <c r="H744" s="390" t="s">
        <v>83</v>
      </c>
      <c r="I744" s="202" t="s">
        <v>83</v>
      </c>
      <c r="J744" s="469"/>
      <c r="K744" s="390" t="s">
        <v>1274</v>
      </c>
    </row>
    <row r="745" spans="1:11" ht="11.25" customHeight="1">
      <c r="A745" s="390" t="s">
        <v>1282</v>
      </c>
      <c r="B745" s="390" t="s">
        <v>1272</v>
      </c>
      <c r="C745" s="390" t="s">
        <v>348</v>
      </c>
      <c r="D745" s="390" t="s">
        <v>566</v>
      </c>
      <c r="E745" s="390" t="s">
        <v>35</v>
      </c>
      <c r="F745" s="390" t="s">
        <v>547</v>
      </c>
      <c r="G745" s="390" t="s">
        <v>572</v>
      </c>
      <c r="H745" s="390" t="s">
        <v>83</v>
      </c>
      <c r="I745" s="202" t="s">
        <v>83</v>
      </c>
      <c r="J745" s="469"/>
      <c r="K745" s="390" t="s">
        <v>1274</v>
      </c>
    </row>
    <row r="746" spans="1:11" ht="11.25" customHeight="1">
      <c r="A746" s="390" t="s">
        <v>1283</v>
      </c>
      <c r="B746" s="390" t="s">
        <v>1272</v>
      </c>
      <c r="C746" s="390">
        <v>1</v>
      </c>
      <c r="D746" s="390" t="s">
        <v>488</v>
      </c>
      <c r="E746" s="390" t="s">
        <v>424</v>
      </c>
      <c r="F746" s="390" t="s">
        <v>547</v>
      </c>
      <c r="G746" s="390" t="s">
        <v>83</v>
      </c>
      <c r="H746" s="390">
        <v>2</v>
      </c>
      <c r="I746" s="202" t="s">
        <v>83</v>
      </c>
      <c r="J746" s="469"/>
      <c r="K746" s="390" t="s">
        <v>1284</v>
      </c>
    </row>
    <row r="747" spans="1:11" ht="11.25" customHeight="1">
      <c r="A747" s="390" t="s">
        <v>1285</v>
      </c>
      <c r="B747" s="390" t="s">
        <v>1272</v>
      </c>
      <c r="C747" s="390">
        <v>1</v>
      </c>
      <c r="D747" s="390" t="s">
        <v>423</v>
      </c>
      <c r="E747" s="390" t="s">
        <v>424</v>
      </c>
      <c r="F747" s="390" t="s">
        <v>547</v>
      </c>
      <c r="G747" s="390" t="s">
        <v>674</v>
      </c>
      <c r="H747" s="390" t="s">
        <v>83</v>
      </c>
      <c r="I747" s="202" t="s">
        <v>83</v>
      </c>
      <c r="J747" s="469"/>
      <c r="K747" s="390" t="s">
        <v>1284</v>
      </c>
    </row>
    <row r="748" spans="1:11" ht="11.25" customHeight="1">
      <c r="A748" s="390" t="s">
        <v>1286</v>
      </c>
      <c r="B748" s="390" t="s">
        <v>1272</v>
      </c>
      <c r="C748" s="390">
        <v>1</v>
      </c>
      <c r="D748" s="390" t="s">
        <v>566</v>
      </c>
      <c r="E748" s="390" t="s">
        <v>35</v>
      </c>
      <c r="F748" s="390" t="s">
        <v>547</v>
      </c>
      <c r="G748" s="390" t="s">
        <v>572</v>
      </c>
      <c r="H748" s="390" t="s">
        <v>83</v>
      </c>
      <c r="I748" s="202" t="s">
        <v>83</v>
      </c>
      <c r="J748" s="469"/>
      <c r="K748" s="390" t="s">
        <v>1284</v>
      </c>
    </row>
    <row r="749" spans="1:11" ht="11.25" customHeight="1">
      <c r="A749" s="390" t="s">
        <v>1287</v>
      </c>
      <c r="B749" s="390" t="s">
        <v>1272</v>
      </c>
      <c r="C749" s="390" t="s">
        <v>348</v>
      </c>
      <c r="D749" s="390" t="s">
        <v>644</v>
      </c>
      <c r="E749" s="390" t="s">
        <v>424</v>
      </c>
      <c r="F749" s="390" t="s">
        <v>411</v>
      </c>
      <c r="G749" s="390" t="s">
        <v>83</v>
      </c>
      <c r="H749" s="390" t="s">
        <v>83</v>
      </c>
      <c r="I749" s="202" t="s">
        <v>83</v>
      </c>
      <c r="J749" s="469"/>
      <c r="K749" s="390" t="s">
        <v>1284</v>
      </c>
    </row>
    <row r="750" spans="1:11" ht="11.25" customHeight="1">
      <c r="A750" s="390" t="s">
        <v>1288</v>
      </c>
      <c r="B750" s="390" t="s">
        <v>1272</v>
      </c>
      <c r="C750" s="390">
        <v>1</v>
      </c>
      <c r="D750" s="390" t="s">
        <v>566</v>
      </c>
      <c r="E750" s="390" t="s">
        <v>424</v>
      </c>
      <c r="F750" s="390" t="s">
        <v>547</v>
      </c>
      <c r="G750" s="390" t="s">
        <v>572</v>
      </c>
      <c r="H750" s="390" t="s">
        <v>83</v>
      </c>
      <c r="I750" s="202" t="s">
        <v>83</v>
      </c>
      <c r="J750" s="469"/>
      <c r="K750" s="390" t="s">
        <v>1284</v>
      </c>
    </row>
    <row r="751" spans="1:11" ht="11.25" customHeight="1">
      <c r="A751" s="390" t="s">
        <v>1289</v>
      </c>
      <c r="B751" s="390" t="s">
        <v>1272</v>
      </c>
      <c r="C751" s="390" t="s">
        <v>348</v>
      </c>
      <c r="D751" s="390" t="s">
        <v>566</v>
      </c>
      <c r="E751" s="390" t="s">
        <v>424</v>
      </c>
      <c r="F751" s="390" t="s">
        <v>871</v>
      </c>
      <c r="G751" s="390" t="s">
        <v>719</v>
      </c>
      <c r="H751" s="390" t="s">
        <v>83</v>
      </c>
      <c r="I751" s="202" t="s">
        <v>83</v>
      </c>
      <c r="J751" s="469"/>
      <c r="K751" s="390" t="s">
        <v>1284</v>
      </c>
    </row>
    <row r="752" spans="1:11" ht="11.25" customHeight="1">
      <c r="A752" s="390" t="s">
        <v>1290</v>
      </c>
      <c r="B752" s="390" t="s">
        <v>1272</v>
      </c>
      <c r="C752" s="390">
        <v>1</v>
      </c>
      <c r="D752" s="390" t="s">
        <v>652</v>
      </c>
      <c r="E752" s="390" t="s">
        <v>424</v>
      </c>
      <c r="F752" s="390" t="s">
        <v>547</v>
      </c>
      <c r="G752" s="390" t="s">
        <v>674</v>
      </c>
      <c r="H752" s="390" t="s">
        <v>83</v>
      </c>
      <c r="I752" s="202" t="s">
        <v>83</v>
      </c>
      <c r="J752" s="469"/>
      <c r="K752" s="390" t="s">
        <v>1284</v>
      </c>
    </row>
    <row r="753" spans="1:11" ht="11.25" customHeight="1">
      <c r="A753" s="390" t="s">
        <v>1291</v>
      </c>
      <c r="B753" s="390" t="s">
        <v>1272</v>
      </c>
      <c r="C753" s="390">
        <v>1</v>
      </c>
      <c r="D753" s="390" t="s">
        <v>644</v>
      </c>
      <c r="E753" s="390" t="s">
        <v>424</v>
      </c>
      <c r="F753" s="390" t="s">
        <v>411</v>
      </c>
      <c r="G753" s="390" t="s">
        <v>83</v>
      </c>
      <c r="H753" s="390" t="s">
        <v>83</v>
      </c>
      <c r="I753" s="202" t="s">
        <v>83</v>
      </c>
      <c r="J753" s="469"/>
      <c r="K753" s="390" t="s">
        <v>1284</v>
      </c>
    </row>
    <row r="754" spans="1:11" ht="11.25" customHeight="1">
      <c r="A754" s="390" t="s">
        <v>1292</v>
      </c>
      <c r="B754" s="390" t="s">
        <v>1272</v>
      </c>
      <c r="C754" s="390" t="s">
        <v>348</v>
      </c>
      <c r="D754" s="390" t="s">
        <v>566</v>
      </c>
      <c r="E754" s="390" t="s">
        <v>424</v>
      </c>
      <c r="F754" s="390" t="s">
        <v>547</v>
      </c>
      <c r="G754" s="390" t="s">
        <v>572</v>
      </c>
      <c r="H754" s="390" t="s">
        <v>83</v>
      </c>
      <c r="I754" s="202" t="s">
        <v>83</v>
      </c>
      <c r="J754" s="469"/>
      <c r="K754" s="390" t="s">
        <v>1284</v>
      </c>
    </row>
    <row r="755" spans="1:12" s="458" customFormat="1" ht="11.25" customHeight="1">
      <c r="A755" s="451" t="s">
        <v>1293</v>
      </c>
      <c r="B755" s="451" t="s">
        <v>1272</v>
      </c>
      <c r="C755" s="451">
        <v>1</v>
      </c>
      <c r="D755" s="451" t="s">
        <v>410</v>
      </c>
      <c r="E755" s="451" t="s">
        <v>83</v>
      </c>
      <c r="F755" s="451" t="s">
        <v>411</v>
      </c>
      <c r="G755" s="451" t="s">
        <v>83</v>
      </c>
      <c r="H755" s="451" t="s">
        <v>83</v>
      </c>
      <c r="I755" s="475" t="s">
        <v>83</v>
      </c>
      <c r="J755" s="465"/>
      <c r="K755" s="451" t="s">
        <v>1294</v>
      </c>
      <c r="L755" s="457"/>
    </row>
    <row r="756" spans="1:12" s="458" customFormat="1" ht="11.25" customHeight="1">
      <c r="A756" s="451" t="s">
        <v>1295</v>
      </c>
      <c r="B756" s="451" t="s">
        <v>1272</v>
      </c>
      <c r="C756" s="451">
        <v>1</v>
      </c>
      <c r="D756" s="451" t="s">
        <v>410</v>
      </c>
      <c r="E756" s="451" t="s">
        <v>83</v>
      </c>
      <c r="F756" s="451" t="s">
        <v>411</v>
      </c>
      <c r="G756" s="451" t="s">
        <v>83</v>
      </c>
      <c r="H756" s="451" t="s">
        <v>83</v>
      </c>
      <c r="I756" s="475" t="s">
        <v>83</v>
      </c>
      <c r="J756" s="465"/>
      <c r="K756" s="451" t="s">
        <v>1294</v>
      </c>
      <c r="L756" s="457"/>
    </row>
    <row r="757" spans="1:12" s="458" customFormat="1" ht="11.25" customHeight="1">
      <c r="A757" s="451" t="s">
        <v>1296</v>
      </c>
      <c r="B757" s="451" t="s">
        <v>1272</v>
      </c>
      <c r="C757" s="451" t="s">
        <v>348</v>
      </c>
      <c r="D757" s="451" t="s">
        <v>410</v>
      </c>
      <c r="E757" s="451" t="s">
        <v>83</v>
      </c>
      <c r="F757" s="451" t="s">
        <v>411</v>
      </c>
      <c r="G757" s="451" t="s">
        <v>83</v>
      </c>
      <c r="H757" s="451" t="s">
        <v>83</v>
      </c>
      <c r="I757" s="475" t="s">
        <v>83</v>
      </c>
      <c r="J757" s="465"/>
      <c r="K757" s="451" t="s">
        <v>1294</v>
      </c>
      <c r="L757" s="457"/>
    </row>
    <row r="758" spans="1:11" ht="11.25" customHeight="1">
      <c r="A758" s="390" t="s">
        <v>1297</v>
      </c>
      <c r="B758" s="390" t="s">
        <v>1272</v>
      </c>
      <c r="C758" s="390" t="s">
        <v>348</v>
      </c>
      <c r="D758" s="390" t="s">
        <v>488</v>
      </c>
      <c r="E758" s="390" t="s">
        <v>424</v>
      </c>
      <c r="F758" s="390" t="s">
        <v>411</v>
      </c>
      <c r="G758" s="390" t="s">
        <v>83</v>
      </c>
      <c r="H758" s="390" t="s">
        <v>83</v>
      </c>
      <c r="I758" s="202" t="s">
        <v>83</v>
      </c>
      <c r="J758" s="469"/>
      <c r="K758" s="390" t="s">
        <v>1294</v>
      </c>
    </row>
    <row r="759" spans="1:11" ht="11.25" customHeight="1">
      <c r="A759" s="390" t="s">
        <v>1298</v>
      </c>
      <c r="B759" s="390" t="s">
        <v>1272</v>
      </c>
      <c r="C759" s="390" t="s">
        <v>348</v>
      </c>
      <c r="D759" s="390" t="s">
        <v>495</v>
      </c>
      <c r="E759" s="390" t="s">
        <v>424</v>
      </c>
      <c r="F759" s="390" t="s">
        <v>411</v>
      </c>
      <c r="G759" s="390" t="s">
        <v>83</v>
      </c>
      <c r="H759" s="390">
        <v>10</v>
      </c>
      <c r="I759" s="202" t="s">
        <v>83</v>
      </c>
      <c r="J759" s="469"/>
      <c r="K759" s="390" t="s">
        <v>1294</v>
      </c>
    </row>
    <row r="760" spans="1:11" ht="11.25" customHeight="1">
      <c r="A760" s="390" t="s">
        <v>1299</v>
      </c>
      <c r="B760" s="390" t="s">
        <v>1272</v>
      </c>
      <c r="C760" s="390" t="s">
        <v>348</v>
      </c>
      <c r="D760" s="390" t="s">
        <v>566</v>
      </c>
      <c r="E760" s="390" t="s">
        <v>424</v>
      </c>
      <c r="F760" s="390" t="s">
        <v>547</v>
      </c>
      <c r="G760" s="390" t="s">
        <v>572</v>
      </c>
      <c r="H760" s="390" t="s">
        <v>83</v>
      </c>
      <c r="I760" s="202" t="s">
        <v>83</v>
      </c>
      <c r="J760" s="469"/>
      <c r="K760" s="390" t="s">
        <v>1294</v>
      </c>
    </row>
    <row r="761" spans="1:11" ht="11.25" customHeight="1">
      <c r="A761" s="390" t="s">
        <v>1300</v>
      </c>
      <c r="B761" s="390" t="s">
        <v>1272</v>
      </c>
      <c r="C761" s="390" t="s">
        <v>348</v>
      </c>
      <c r="D761" s="390" t="s">
        <v>488</v>
      </c>
      <c r="E761" s="390" t="s">
        <v>424</v>
      </c>
      <c r="F761" s="390" t="s">
        <v>411</v>
      </c>
      <c r="G761" s="390" t="s">
        <v>83</v>
      </c>
      <c r="H761" s="390" t="s">
        <v>83</v>
      </c>
      <c r="I761" s="202" t="s">
        <v>83</v>
      </c>
      <c r="J761" s="469"/>
      <c r="K761" s="390" t="s">
        <v>1294</v>
      </c>
    </row>
    <row r="762" spans="1:11" ht="11.25" customHeight="1">
      <c r="A762" s="390" t="s">
        <v>1301</v>
      </c>
      <c r="B762" s="390" t="s">
        <v>1272</v>
      </c>
      <c r="C762" s="390" t="s">
        <v>348</v>
      </c>
      <c r="D762" s="390" t="s">
        <v>488</v>
      </c>
      <c r="E762" s="390" t="s">
        <v>424</v>
      </c>
      <c r="F762" s="390" t="s">
        <v>411</v>
      </c>
      <c r="G762" s="390" t="s">
        <v>83</v>
      </c>
      <c r="H762" s="390" t="s">
        <v>83</v>
      </c>
      <c r="I762" s="202" t="s">
        <v>83</v>
      </c>
      <c r="J762" s="469"/>
      <c r="K762" s="390" t="s">
        <v>1294</v>
      </c>
    </row>
    <row r="763" spans="1:12" s="458" customFormat="1" ht="11.25" customHeight="1">
      <c r="A763" s="451" t="s">
        <v>1302</v>
      </c>
      <c r="B763" s="451" t="s">
        <v>1272</v>
      </c>
      <c r="C763" s="451">
        <v>1</v>
      </c>
      <c r="D763" s="451" t="s">
        <v>410</v>
      </c>
      <c r="E763" s="451" t="s">
        <v>83</v>
      </c>
      <c r="F763" s="451" t="s">
        <v>411</v>
      </c>
      <c r="G763" s="451" t="s">
        <v>83</v>
      </c>
      <c r="H763" s="451" t="s">
        <v>83</v>
      </c>
      <c r="I763" s="475" t="s">
        <v>83</v>
      </c>
      <c r="J763" s="465"/>
      <c r="K763" s="451" t="s">
        <v>1294</v>
      </c>
      <c r="L763" s="457"/>
    </row>
    <row r="764" spans="1:11" ht="11.25" customHeight="1">
      <c r="A764" s="445" t="s">
        <v>1303</v>
      </c>
      <c r="B764" s="446" t="s">
        <v>322</v>
      </c>
      <c r="C764" s="446" t="s">
        <v>323</v>
      </c>
      <c r="D764" s="446" t="s">
        <v>324</v>
      </c>
      <c r="E764" s="446" t="s">
        <v>185</v>
      </c>
      <c r="F764" s="446" t="s">
        <v>325</v>
      </c>
      <c r="G764" s="446" t="s">
        <v>261</v>
      </c>
      <c r="H764" s="446" t="s">
        <v>326</v>
      </c>
      <c r="I764" s="446" t="s">
        <v>254</v>
      </c>
      <c r="J764" s="459" t="s">
        <v>327</v>
      </c>
      <c r="K764" s="447" t="s">
        <v>408</v>
      </c>
    </row>
    <row r="765" spans="1:11" ht="11.25" customHeight="1">
      <c r="A765" s="451" t="s">
        <v>1304</v>
      </c>
      <c r="B765" s="451" t="s">
        <v>1303</v>
      </c>
      <c r="C765" s="451" t="s">
        <v>348</v>
      </c>
      <c r="D765" s="451" t="s">
        <v>410</v>
      </c>
      <c r="E765" s="451" t="s">
        <v>83</v>
      </c>
      <c r="F765" s="451" t="s">
        <v>411</v>
      </c>
      <c r="G765" s="451" t="s">
        <v>83</v>
      </c>
      <c r="H765" s="451" t="s">
        <v>83</v>
      </c>
      <c r="I765" s="475" t="s">
        <v>83</v>
      </c>
      <c r="J765" s="465"/>
      <c r="K765" s="451" t="s">
        <v>1305</v>
      </c>
    </row>
    <row r="766" spans="1:11" ht="11.25" customHeight="1">
      <c r="A766" s="451" t="s">
        <v>1306</v>
      </c>
      <c r="B766" s="451" t="s">
        <v>1303</v>
      </c>
      <c r="C766" s="451" t="s">
        <v>348</v>
      </c>
      <c r="D766" s="451" t="s">
        <v>410</v>
      </c>
      <c r="E766" s="451" t="s">
        <v>83</v>
      </c>
      <c r="F766" s="451" t="s">
        <v>411</v>
      </c>
      <c r="G766" s="451" t="s">
        <v>83</v>
      </c>
      <c r="H766" s="451" t="s">
        <v>83</v>
      </c>
      <c r="I766" s="475" t="s">
        <v>83</v>
      </c>
      <c r="J766" s="465"/>
      <c r="K766" s="451" t="s">
        <v>1305</v>
      </c>
    </row>
    <row r="767" spans="1:11" ht="11.25" customHeight="1">
      <c r="A767" s="390" t="s">
        <v>1307</v>
      </c>
      <c r="B767" s="390" t="s">
        <v>1303</v>
      </c>
      <c r="C767" s="390" t="s">
        <v>348</v>
      </c>
      <c r="D767" s="390" t="s">
        <v>495</v>
      </c>
      <c r="E767" s="390" t="s">
        <v>424</v>
      </c>
      <c r="F767" s="390" t="s">
        <v>547</v>
      </c>
      <c r="G767" s="390" t="s">
        <v>548</v>
      </c>
      <c r="H767" s="390">
        <v>6</v>
      </c>
      <c r="I767" s="202" t="s">
        <v>83</v>
      </c>
      <c r="J767" s="469"/>
      <c r="K767" s="390" t="s">
        <v>1305</v>
      </c>
    </row>
    <row r="768" spans="1:11" ht="11.25" customHeight="1">
      <c r="A768" s="390" t="s">
        <v>1308</v>
      </c>
      <c r="B768" s="390" t="s">
        <v>1303</v>
      </c>
      <c r="C768" s="390" t="s">
        <v>348</v>
      </c>
      <c r="D768" s="390" t="s">
        <v>488</v>
      </c>
      <c r="E768" s="390" t="s">
        <v>424</v>
      </c>
      <c r="F768" s="390" t="s">
        <v>871</v>
      </c>
      <c r="G768" s="390" t="s">
        <v>871</v>
      </c>
      <c r="H768" s="390" t="s">
        <v>83</v>
      </c>
      <c r="I768" s="202" t="s">
        <v>83</v>
      </c>
      <c r="J768" s="469"/>
      <c r="K768" s="390" t="s">
        <v>1305</v>
      </c>
    </row>
    <row r="769" spans="1:11" ht="11.25" customHeight="1">
      <c r="A769" s="390" t="s">
        <v>1309</v>
      </c>
      <c r="B769" s="390" t="s">
        <v>1303</v>
      </c>
      <c r="C769" s="390" t="s">
        <v>348</v>
      </c>
      <c r="D769" s="390" t="s">
        <v>652</v>
      </c>
      <c r="E769" s="390" t="s">
        <v>424</v>
      </c>
      <c r="F769" s="390" t="s">
        <v>547</v>
      </c>
      <c r="G769" s="390" t="s">
        <v>548</v>
      </c>
      <c r="H769" s="390">
        <v>5</v>
      </c>
      <c r="I769" s="202" t="s">
        <v>83</v>
      </c>
      <c r="J769" s="469"/>
      <c r="K769" s="390" t="s">
        <v>1305</v>
      </c>
    </row>
    <row r="770" spans="1:11" ht="11.25" customHeight="1">
      <c r="A770" s="390" t="s">
        <v>1310</v>
      </c>
      <c r="B770" s="390" t="s">
        <v>1303</v>
      </c>
      <c r="C770" s="390">
        <v>1</v>
      </c>
      <c r="D770" s="390" t="s">
        <v>495</v>
      </c>
      <c r="E770" s="390" t="s">
        <v>424</v>
      </c>
      <c r="F770" s="390" t="s">
        <v>871</v>
      </c>
      <c r="G770" s="390" t="s">
        <v>548</v>
      </c>
      <c r="H770" s="390">
        <v>6</v>
      </c>
      <c r="I770" s="202" t="s">
        <v>83</v>
      </c>
      <c r="J770" s="469"/>
      <c r="K770" s="390" t="s">
        <v>1305</v>
      </c>
    </row>
    <row r="771" spans="1:11" ht="11.25" customHeight="1">
      <c r="A771" s="390" t="s">
        <v>1311</v>
      </c>
      <c r="B771" s="390" t="s">
        <v>1303</v>
      </c>
      <c r="C771" s="390" t="s">
        <v>348</v>
      </c>
      <c r="D771" s="390" t="s">
        <v>566</v>
      </c>
      <c r="E771" s="390" t="s">
        <v>35</v>
      </c>
      <c r="F771" s="390" t="s">
        <v>411</v>
      </c>
      <c r="G771" s="390" t="s">
        <v>83</v>
      </c>
      <c r="H771" s="390" t="s">
        <v>83</v>
      </c>
      <c r="I771" s="202" t="s">
        <v>83</v>
      </c>
      <c r="J771" s="469"/>
      <c r="K771" s="390" t="s">
        <v>1305</v>
      </c>
    </row>
    <row r="772" spans="1:11" ht="11.25" customHeight="1">
      <c r="A772" s="390" t="s">
        <v>1312</v>
      </c>
      <c r="B772" s="390" t="s">
        <v>1303</v>
      </c>
      <c r="C772" s="390" t="s">
        <v>348</v>
      </c>
      <c r="D772" s="390" t="s">
        <v>488</v>
      </c>
      <c r="E772" s="390" t="s">
        <v>424</v>
      </c>
      <c r="F772" s="390" t="s">
        <v>411</v>
      </c>
      <c r="G772" s="390" t="s">
        <v>83</v>
      </c>
      <c r="H772" s="390">
        <v>4</v>
      </c>
      <c r="I772" s="202" t="s">
        <v>83</v>
      </c>
      <c r="J772" s="469"/>
      <c r="K772" s="390" t="s">
        <v>1305</v>
      </c>
    </row>
    <row r="773" spans="1:11" ht="11.25" customHeight="1">
      <c r="A773" s="390" t="s">
        <v>1313</v>
      </c>
      <c r="B773" s="390" t="s">
        <v>1303</v>
      </c>
      <c r="C773" s="390" t="s">
        <v>348</v>
      </c>
      <c r="D773" s="390" t="s">
        <v>495</v>
      </c>
      <c r="E773" s="390" t="s">
        <v>613</v>
      </c>
      <c r="F773" s="390" t="s">
        <v>547</v>
      </c>
      <c r="G773" s="390" t="s">
        <v>548</v>
      </c>
      <c r="H773" s="390">
        <v>5</v>
      </c>
      <c r="I773" s="202" t="s">
        <v>83</v>
      </c>
      <c r="J773" s="469"/>
      <c r="K773" s="390" t="s">
        <v>1305</v>
      </c>
    </row>
    <row r="774" spans="1:11" ht="11.25" customHeight="1">
      <c r="A774" s="390" t="s">
        <v>1314</v>
      </c>
      <c r="B774" s="390" t="s">
        <v>1303</v>
      </c>
      <c r="C774" s="390">
        <v>1</v>
      </c>
      <c r="D774" s="390" t="s">
        <v>652</v>
      </c>
      <c r="E774" s="390" t="s">
        <v>424</v>
      </c>
      <c r="F774" s="390" t="s">
        <v>547</v>
      </c>
      <c r="G774" s="390" t="s">
        <v>548</v>
      </c>
      <c r="H774" s="390">
        <v>4</v>
      </c>
      <c r="I774" s="202" t="s">
        <v>991</v>
      </c>
      <c r="J774" s="469"/>
      <c r="K774" s="390" t="s">
        <v>1315</v>
      </c>
    </row>
    <row r="775" spans="1:11" ht="11.25" customHeight="1">
      <c r="A775" s="390" t="s">
        <v>1316</v>
      </c>
      <c r="B775" s="390" t="s">
        <v>1303</v>
      </c>
      <c r="C775" s="390">
        <v>1</v>
      </c>
      <c r="D775" s="390" t="s">
        <v>588</v>
      </c>
      <c r="E775" s="390" t="s">
        <v>424</v>
      </c>
      <c r="F775" s="390" t="s">
        <v>547</v>
      </c>
      <c r="G775" s="390" t="s">
        <v>572</v>
      </c>
      <c r="H775" s="390">
        <v>7</v>
      </c>
      <c r="I775" s="202" t="s">
        <v>655</v>
      </c>
      <c r="J775" s="469"/>
      <c r="K775" s="390" t="s">
        <v>1315</v>
      </c>
    </row>
    <row r="776" spans="1:11" ht="11.25" customHeight="1">
      <c r="A776" s="390" t="s">
        <v>1317</v>
      </c>
      <c r="B776" s="390" t="s">
        <v>1303</v>
      </c>
      <c r="C776" s="390">
        <v>1</v>
      </c>
      <c r="D776" s="390" t="s">
        <v>588</v>
      </c>
      <c r="E776" s="390" t="s">
        <v>424</v>
      </c>
      <c r="F776" s="390" t="s">
        <v>547</v>
      </c>
      <c r="G776" s="390" t="s">
        <v>572</v>
      </c>
      <c r="H776" s="390">
        <v>7</v>
      </c>
      <c r="I776" s="202" t="s">
        <v>655</v>
      </c>
      <c r="J776" s="469"/>
      <c r="K776" s="390" t="s">
        <v>1315</v>
      </c>
    </row>
    <row r="777" spans="1:11" ht="11.25" customHeight="1">
      <c r="A777" s="390" t="s">
        <v>1318</v>
      </c>
      <c r="B777" s="390" t="s">
        <v>1303</v>
      </c>
      <c r="C777" s="390">
        <v>1</v>
      </c>
      <c r="D777" s="390" t="s">
        <v>588</v>
      </c>
      <c r="E777" s="390" t="s">
        <v>424</v>
      </c>
      <c r="F777" s="390" t="s">
        <v>547</v>
      </c>
      <c r="G777" s="390" t="s">
        <v>572</v>
      </c>
      <c r="H777" s="390">
        <v>7</v>
      </c>
      <c r="I777" s="202" t="s">
        <v>655</v>
      </c>
      <c r="J777" s="469"/>
      <c r="K777" s="390" t="s">
        <v>1315</v>
      </c>
    </row>
    <row r="778" spans="1:11" ht="11.25" customHeight="1">
      <c r="A778" s="390" t="s">
        <v>1319</v>
      </c>
      <c r="B778" s="390" t="s">
        <v>1303</v>
      </c>
      <c r="C778" s="390">
        <v>1</v>
      </c>
      <c r="D778" s="390" t="s">
        <v>626</v>
      </c>
      <c r="E778" s="390" t="s">
        <v>613</v>
      </c>
      <c r="F778" s="390" t="s">
        <v>547</v>
      </c>
      <c r="G778" s="390" t="s">
        <v>548</v>
      </c>
      <c r="H778" s="390">
        <v>10</v>
      </c>
      <c r="I778" s="202" t="s">
        <v>655</v>
      </c>
      <c r="J778" s="469"/>
      <c r="K778" s="390" t="s">
        <v>1315</v>
      </c>
    </row>
    <row r="779" spans="1:11" ht="11.25" customHeight="1">
      <c r="A779" s="390" t="s">
        <v>1320</v>
      </c>
      <c r="B779" s="390" t="s">
        <v>1303</v>
      </c>
      <c r="C779" s="390">
        <v>1</v>
      </c>
      <c r="D779" s="390" t="s">
        <v>495</v>
      </c>
      <c r="E779" s="390" t="s">
        <v>424</v>
      </c>
      <c r="F779" s="390" t="s">
        <v>718</v>
      </c>
      <c r="G779" s="390" t="s">
        <v>489</v>
      </c>
      <c r="H779" s="390">
        <v>10</v>
      </c>
      <c r="I779" s="202" t="s">
        <v>655</v>
      </c>
      <c r="J779" s="469"/>
      <c r="K779" s="390" t="s">
        <v>1315</v>
      </c>
    </row>
    <row r="780" spans="1:11" ht="11.25" customHeight="1">
      <c r="A780" s="390" t="s">
        <v>1321</v>
      </c>
      <c r="B780" s="390" t="s">
        <v>1303</v>
      </c>
      <c r="C780" s="390" t="s">
        <v>348</v>
      </c>
      <c r="D780" s="390" t="s">
        <v>488</v>
      </c>
      <c r="E780" s="390" t="s">
        <v>424</v>
      </c>
      <c r="F780" s="390" t="s">
        <v>547</v>
      </c>
      <c r="G780" s="390" t="s">
        <v>548</v>
      </c>
      <c r="H780" s="390">
        <v>10</v>
      </c>
      <c r="I780" s="202">
        <v>1</v>
      </c>
      <c r="J780" s="469"/>
      <c r="K780" s="390" t="s">
        <v>1315</v>
      </c>
    </row>
    <row r="781" spans="1:11" ht="11.25" customHeight="1">
      <c r="A781" s="390" t="s">
        <v>1322</v>
      </c>
      <c r="B781" s="390" t="s">
        <v>1303</v>
      </c>
      <c r="C781" s="390">
        <v>1</v>
      </c>
      <c r="D781" s="390" t="s">
        <v>423</v>
      </c>
      <c r="E781" s="390" t="s">
        <v>424</v>
      </c>
      <c r="F781" s="390" t="s">
        <v>547</v>
      </c>
      <c r="G781" s="390" t="s">
        <v>548</v>
      </c>
      <c r="H781" s="390">
        <v>8</v>
      </c>
      <c r="I781" s="202" t="s">
        <v>991</v>
      </c>
      <c r="J781" s="469"/>
      <c r="K781" s="390" t="s">
        <v>1315</v>
      </c>
    </row>
    <row r="782" spans="1:11" ht="11.25" customHeight="1">
      <c r="A782" s="390" t="s">
        <v>1323</v>
      </c>
      <c r="B782" s="390" t="s">
        <v>1303</v>
      </c>
      <c r="C782" s="390">
        <v>1</v>
      </c>
      <c r="D782" s="390" t="s">
        <v>423</v>
      </c>
      <c r="E782" s="390" t="s">
        <v>424</v>
      </c>
      <c r="F782" s="390" t="s">
        <v>547</v>
      </c>
      <c r="G782" s="390" t="s">
        <v>548</v>
      </c>
      <c r="H782" s="390">
        <v>8</v>
      </c>
      <c r="I782" s="202" t="s">
        <v>991</v>
      </c>
      <c r="J782" s="469"/>
      <c r="K782" s="390" t="s">
        <v>1315</v>
      </c>
    </row>
    <row r="783" spans="1:11" ht="11.25" customHeight="1">
      <c r="A783" s="390" t="s">
        <v>1324</v>
      </c>
      <c r="B783" s="390" t="s">
        <v>1303</v>
      </c>
      <c r="C783" s="390">
        <v>1</v>
      </c>
      <c r="D783" s="390" t="s">
        <v>423</v>
      </c>
      <c r="E783" s="390" t="s">
        <v>424</v>
      </c>
      <c r="F783" s="390" t="s">
        <v>547</v>
      </c>
      <c r="G783" s="390" t="s">
        <v>548</v>
      </c>
      <c r="H783" s="390">
        <v>8</v>
      </c>
      <c r="I783" s="202" t="s">
        <v>991</v>
      </c>
      <c r="J783" s="469"/>
      <c r="K783" s="390" t="s">
        <v>1325</v>
      </c>
    </row>
    <row r="784" spans="1:11" ht="11.25" customHeight="1">
      <c r="A784" s="390" t="s">
        <v>1326</v>
      </c>
      <c r="B784" s="390" t="s">
        <v>1303</v>
      </c>
      <c r="C784" s="390">
        <v>1</v>
      </c>
      <c r="D784" s="390" t="s">
        <v>423</v>
      </c>
      <c r="E784" s="390" t="s">
        <v>424</v>
      </c>
      <c r="F784" s="390" t="s">
        <v>547</v>
      </c>
      <c r="G784" s="390" t="s">
        <v>572</v>
      </c>
      <c r="H784" s="390">
        <v>4</v>
      </c>
      <c r="I784" s="202">
        <v>3</v>
      </c>
      <c r="J784" s="469"/>
      <c r="K784" s="390" t="s">
        <v>1325</v>
      </c>
    </row>
    <row r="785" spans="1:11" ht="11.25" customHeight="1">
      <c r="A785" s="390" t="s">
        <v>1327</v>
      </c>
      <c r="B785" s="390" t="s">
        <v>1303</v>
      </c>
      <c r="C785" s="390">
        <v>1</v>
      </c>
      <c r="D785" s="390" t="s">
        <v>488</v>
      </c>
      <c r="E785" s="390" t="s">
        <v>424</v>
      </c>
      <c r="F785" s="390" t="s">
        <v>547</v>
      </c>
      <c r="G785" s="390" t="s">
        <v>548</v>
      </c>
      <c r="H785" s="390">
        <v>9</v>
      </c>
      <c r="I785" s="202" t="s">
        <v>655</v>
      </c>
      <c r="J785" s="469"/>
      <c r="K785" s="390" t="s">
        <v>1325</v>
      </c>
    </row>
    <row r="786" spans="1:11" ht="11.25" customHeight="1">
      <c r="A786" s="390" t="s">
        <v>1328</v>
      </c>
      <c r="B786" s="390" t="s">
        <v>1303</v>
      </c>
      <c r="C786" s="390" t="s">
        <v>348</v>
      </c>
      <c r="D786" s="390" t="s">
        <v>566</v>
      </c>
      <c r="E786" s="390" t="s">
        <v>424</v>
      </c>
      <c r="F786" s="390" t="s">
        <v>547</v>
      </c>
      <c r="G786" s="390" t="s">
        <v>548</v>
      </c>
      <c r="H786" s="390">
        <v>9</v>
      </c>
      <c r="I786" s="202" t="s">
        <v>615</v>
      </c>
      <c r="J786" s="469"/>
      <c r="K786" s="390" t="s">
        <v>1325</v>
      </c>
    </row>
    <row r="787" spans="1:11" ht="11.25" customHeight="1">
      <c r="A787" s="390" t="s">
        <v>1329</v>
      </c>
      <c r="B787" s="390" t="s">
        <v>1303</v>
      </c>
      <c r="C787" s="390" t="s">
        <v>348</v>
      </c>
      <c r="D787" s="390" t="s">
        <v>495</v>
      </c>
      <c r="E787" s="390" t="s">
        <v>613</v>
      </c>
      <c r="F787" s="390" t="s">
        <v>547</v>
      </c>
      <c r="G787" s="390" t="s">
        <v>548</v>
      </c>
      <c r="H787" s="390">
        <v>5</v>
      </c>
      <c r="I787" s="202" t="s">
        <v>83</v>
      </c>
      <c r="J787" s="469"/>
      <c r="K787" s="390" t="s">
        <v>1325</v>
      </c>
    </row>
    <row r="788" spans="1:11" ht="11.25" customHeight="1">
      <c r="A788" s="390" t="s">
        <v>1330</v>
      </c>
      <c r="B788" s="390" t="s">
        <v>1303</v>
      </c>
      <c r="C788" s="390">
        <v>1</v>
      </c>
      <c r="D788" s="390" t="s">
        <v>495</v>
      </c>
      <c r="E788" s="390" t="s">
        <v>613</v>
      </c>
      <c r="F788" s="390" t="s">
        <v>547</v>
      </c>
      <c r="G788" s="390" t="s">
        <v>871</v>
      </c>
      <c r="H788" s="390">
        <v>9</v>
      </c>
      <c r="I788" s="202" t="s">
        <v>83</v>
      </c>
      <c r="J788" s="469"/>
      <c r="K788" s="390" t="s">
        <v>1325</v>
      </c>
    </row>
    <row r="789" spans="1:11" ht="11.25" customHeight="1">
      <c r="A789" s="451" t="s">
        <v>1331</v>
      </c>
      <c r="B789" s="451" t="s">
        <v>1303</v>
      </c>
      <c r="C789" s="451" t="s">
        <v>348</v>
      </c>
      <c r="D789" s="451" t="s">
        <v>410</v>
      </c>
      <c r="E789" s="451" t="s">
        <v>83</v>
      </c>
      <c r="F789" s="451" t="s">
        <v>411</v>
      </c>
      <c r="G789" s="451" t="s">
        <v>83</v>
      </c>
      <c r="H789" s="451" t="s">
        <v>83</v>
      </c>
      <c r="I789" s="475" t="s">
        <v>83</v>
      </c>
      <c r="J789" s="465"/>
      <c r="K789" s="451" t="s">
        <v>1325</v>
      </c>
    </row>
    <row r="790" spans="1:11" ht="11.25" customHeight="1">
      <c r="A790" s="451" t="s">
        <v>1332</v>
      </c>
      <c r="B790" s="451" t="s">
        <v>1303</v>
      </c>
      <c r="C790" s="451" t="s">
        <v>348</v>
      </c>
      <c r="D790" s="451" t="s">
        <v>410</v>
      </c>
      <c r="E790" s="451" t="s">
        <v>83</v>
      </c>
      <c r="F790" s="451" t="s">
        <v>411</v>
      </c>
      <c r="G790" s="451" t="s">
        <v>83</v>
      </c>
      <c r="H790" s="451" t="s">
        <v>83</v>
      </c>
      <c r="I790" s="475" t="s">
        <v>83</v>
      </c>
      <c r="J790" s="465"/>
      <c r="K790" s="451" t="s">
        <v>1325</v>
      </c>
    </row>
    <row r="791" spans="1:11" ht="11.25" customHeight="1">
      <c r="A791" s="390" t="s">
        <v>1333</v>
      </c>
      <c r="B791" s="390" t="s">
        <v>1303</v>
      </c>
      <c r="C791" s="390" t="s">
        <v>348</v>
      </c>
      <c r="D791" s="390" t="s">
        <v>488</v>
      </c>
      <c r="E791" s="390" t="s">
        <v>424</v>
      </c>
      <c r="F791" s="390" t="s">
        <v>411</v>
      </c>
      <c r="G791" s="390" t="s">
        <v>83</v>
      </c>
      <c r="H791" s="390">
        <v>9</v>
      </c>
      <c r="I791" s="202" t="s">
        <v>615</v>
      </c>
      <c r="J791" s="469"/>
      <c r="K791" s="390" t="s">
        <v>1325</v>
      </c>
    </row>
    <row r="792" spans="1:11" ht="11.25" customHeight="1">
      <c r="A792" s="445" t="s">
        <v>1334</v>
      </c>
      <c r="B792" s="446" t="s">
        <v>322</v>
      </c>
      <c r="C792" s="446" t="s">
        <v>323</v>
      </c>
      <c r="D792" s="446" t="s">
        <v>324</v>
      </c>
      <c r="E792" s="446" t="s">
        <v>185</v>
      </c>
      <c r="F792" s="446" t="s">
        <v>325</v>
      </c>
      <c r="G792" s="446" t="s">
        <v>261</v>
      </c>
      <c r="H792" s="446" t="s">
        <v>326</v>
      </c>
      <c r="I792" s="446" t="s">
        <v>254</v>
      </c>
      <c r="J792" s="459" t="s">
        <v>327</v>
      </c>
      <c r="K792" s="447" t="s">
        <v>408</v>
      </c>
    </row>
    <row r="793" spans="1:11" ht="11.25" customHeight="1">
      <c r="A793" s="390" t="s">
        <v>1335</v>
      </c>
      <c r="B793" s="390" t="s">
        <v>1334</v>
      </c>
      <c r="C793" s="390" t="s">
        <v>348</v>
      </c>
      <c r="D793" s="390" t="s">
        <v>641</v>
      </c>
      <c r="E793" s="390" t="s">
        <v>424</v>
      </c>
      <c r="F793" s="390" t="s">
        <v>411</v>
      </c>
      <c r="G793" s="390" t="s">
        <v>83</v>
      </c>
      <c r="H793" s="390">
        <v>6</v>
      </c>
      <c r="I793" s="202" t="s">
        <v>615</v>
      </c>
      <c r="J793" s="469"/>
      <c r="K793" s="390" t="s">
        <v>1336</v>
      </c>
    </row>
    <row r="794" spans="1:11" ht="11.25" customHeight="1">
      <c r="A794" s="451" t="s">
        <v>1337</v>
      </c>
      <c r="B794" s="451" t="s">
        <v>1334</v>
      </c>
      <c r="C794" s="451" t="s">
        <v>348</v>
      </c>
      <c r="D794" s="451" t="s">
        <v>410</v>
      </c>
      <c r="E794" s="451" t="s">
        <v>83</v>
      </c>
      <c r="F794" s="451" t="s">
        <v>411</v>
      </c>
      <c r="G794" s="451" t="s">
        <v>83</v>
      </c>
      <c r="H794" s="451" t="s">
        <v>83</v>
      </c>
      <c r="I794" s="475" t="s">
        <v>83</v>
      </c>
      <c r="J794" s="465"/>
      <c r="K794" s="451" t="s">
        <v>1336</v>
      </c>
    </row>
    <row r="795" spans="1:11" ht="11.25" customHeight="1">
      <c r="A795" s="390" t="s">
        <v>1338</v>
      </c>
      <c r="B795" s="390" t="s">
        <v>1334</v>
      </c>
      <c r="C795" s="390" t="s">
        <v>348</v>
      </c>
      <c r="D795" s="390" t="s">
        <v>644</v>
      </c>
      <c r="E795" s="390" t="s">
        <v>424</v>
      </c>
      <c r="F795" s="390" t="s">
        <v>411</v>
      </c>
      <c r="G795" s="390" t="s">
        <v>83</v>
      </c>
      <c r="H795" s="390">
        <v>5</v>
      </c>
      <c r="I795" s="202" t="s">
        <v>83</v>
      </c>
      <c r="J795" s="469"/>
      <c r="K795" s="390" t="s">
        <v>1336</v>
      </c>
    </row>
    <row r="796" spans="1:11" ht="11.25" customHeight="1">
      <c r="A796" s="390" t="s">
        <v>1339</v>
      </c>
      <c r="B796" s="390" t="s">
        <v>1334</v>
      </c>
      <c r="C796" s="390" t="s">
        <v>348</v>
      </c>
      <c r="D796" s="390" t="s">
        <v>644</v>
      </c>
      <c r="E796" s="390" t="s">
        <v>424</v>
      </c>
      <c r="F796" s="390" t="s">
        <v>411</v>
      </c>
      <c r="G796" s="390" t="s">
        <v>83</v>
      </c>
      <c r="H796" s="390">
        <v>4</v>
      </c>
      <c r="I796" s="202" t="s">
        <v>83</v>
      </c>
      <c r="J796" s="469"/>
      <c r="K796" s="390" t="s">
        <v>1336</v>
      </c>
    </row>
    <row r="797" spans="1:11" ht="11.25" customHeight="1">
      <c r="A797" s="451" t="s">
        <v>1340</v>
      </c>
      <c r="B797" s="451" t="s">
        <v>1334</v>
      </c>
      <c r="C797" s="451" t="s">
        <v>348</v>
      </c>
      <c r="D797" s="451" t="s">
        <v>410</v>
      </c>
      <c r="E797" s="451" t="s">
        <v>83</v>
      </c>
      <c r="F797" s="451" t="s">
        <v>411</v>
      </c>
      <c r="G797" s="451" t="s">
        <v>83</v>
      </c>
      <c r="H797" s="451" t="s">
        <v>83</v>
      </c>
      <c r="I797" s="475" t="s">
        <v>83</v>
      </c>
      <c r="J797" s="465"/>
      <c r="K797" s="451" t="s">
        <v>1336</v>
      </c>
    </row>
    <row r="798" spans="1:11" ht="11.25" customHeight="1">
      <c r="A798" s="390" t="s">
        <v>1341</v>
      </c>
      <c r="B798" s="390" t="s">
        <v>1334</v>
      </c>
      <c r="C798" s="390" t="s">
        <v>348</v>
      </c>
      <c r="D798" s="390" t="s">
        <v>644</v>
      </c>
      <c r="E798" s="390" t="s">
        <v>424</v>
      </c>
      <c r="F798" s="390" t="s">
        <v>411</v>
      </c>
      <c r="G798" s="390" t="s">
        <v>83</v>
      </c>
      <c r="H798" s="390">
        <v>5</v>
      </c>
      <c r="I798" s="202" t="s">
        <v>83</v>
      </c>
      <c r="J798" s="469"/>
      <c r="K798" s="390" t="s">
        <v>1336</v>
      </c>
    </row>
    <row r="799" spans="1:11" ht="11.25" customHeight="1">
      <c r="A799" s="390" t="s">
        <v>1342</v>
      </c>
      <c r="B799" s="390" t="s">
        <v>1334</v>
      </c>
      <c r="C799" s="390" t="s">
        <v>348</v>
      </c>
      <c r="D799" s="390" t="s">
        <v>644</v>
      </c>
      <c r="E799" s="390" t="s">
        <v>424</v>
      </c>
      <c r="F799" s="390" t="s">
        <v>411</v>
      </c>
      <c r="G799" s="390" t="s">
        <v>83</v>
      </c>
      <c r="H799" s="390">
        <v>4</v>
      </c>
      <c r="I799" s="202" t="s">
        <v>83</v>
      </c>
      <c r="J799" s="469"/>
      <c r="K799" s="390" t="s">
        <v>1336</v>
      </c>
    </row>
    <row r="800" spans="1:11" ht="11.25" customHeight="1">
      <c r="A800" s="390" t="s">
        <v>1343</v>
      </c>
      <c r="B800" s="390" t="s">
        <v>1334</v>
      </c>
      <c r="C800" s="390" t="s">
        <v>348</v>
      </c>
      <c r="D800" s="390" t="s">
        <v>566</v>
      </c>
      <c r="E800" s="390" t="s">
        <v>613</v>
      </c>
      <c r="F800" s="390" t="s">
        <v>547</v>
      </c>
      <c r="G800" s="390" t="s">
        <v>548</v>
      </c>
      <c r="H800" s="390">
        <v>6</v>
      </c>
      <c r="I800" s="202" t="s">
        <v>83</v>
      </c>
      <c r="J800" s="469"/>
      <c r="K800" s="390" t="s">
        <v>1336</v>
      </c>
    </row>
    <row r="801" spans="1:11" ht="11.25" customHeight="1">
      <c r="A801" s="390" t="s">
        <v>1344</v>
      </c>
      <c r="B801" s="390" t="s">
        <v>1334</v>
      </c>
      <c r="C801" s="390" t="s">
        <v>348</v>
      </c>
      <c r="D801" s="390" t="s">
        <v>488</v>
      </c>
      <c r="E801" s="390" t="s">
        <v>424</v>
      </c>
      <c r="F801" s="390" t="s">
        <v>411</v>
      </c>
      <c r="G801" s="390" t="s">
        <v>83</v>
      </c>
      <c r="H801" s="390" t="s">
        <v>83</v>
      </c>
      <c r="I801" s="202" t="s">
        <v>83</v>
      </c>
      <c r="J801" s="469"/>
      <c r="K801" s="390" t="s">
        <v>1336</v>
      </c>
    </row>
    <row r="802" spans="1:11" ht="11.25" customHeight="1">
      <c r="A802" s="390" t="s">
        <v>1345</v>
      </c>
      <c r="B802" s="390" t="s">
        <v>1334</v>
      </c>
      <c r="C802" s="390" t="s">
        <v>348</v>
      </c>
      <c r="D802" s="390" t="s">
        <v>488</v>
      </c>
      <c r="E802" s="390" t="s">
        <v>424</v>
      </c>
      <c r="F802" s="390" t="s">
        <v>411</v>
      </c>
      <c r="G802" s="390" t="s">
        <v>83</v>
      </c>
      <c r="H802" s="390" t="s">
        <v>83</v>
      </c>
      <c r="I802" s="202" t="s">
        <v>83</v>
      </c>
      <c r="J802" s="469"/>
      <c r="K802" s="390" t="s">
        <v>1346</v>
      </c>
    </row>
    <row r="803" spans="1:11" ht="11.25" customHeight="1">
      <c r="A803" s="390" t="s">
        <v>1347</v>
      </c>
      <c r="B803" s="390" t="s">
        <v>1334</v>
      </c>
      <c r="C803" s="390">
        <v>1</v>
      </c>
      <c r="D803" s="390" t="s">
        <v>488</v>
      </c>
      <c r="E803" s="390" t="s">
        <v>424</v>
      </c>
      <c r="F803" s="390" t="s">
        <v>411</v>
      </c>
      <c r="G803" s="390" t="s">
        <v>83</v>
      </c>
      <c r="H803" s="390">
        <v>4</v>
      </c>
      <c r="I803" s="202" t="s">
        <v>655</v>
      </c>
      <c r="J803" s="469"/>
      <c r="K803" s="390" t="s">
        <v>1346</v>
      </c>
    </row>
    <row r="804" spans="1:11" ht="11.25" customHeight="1">
      <c r="A804" s="390" t="s">
        <v>1348</v>
      </c>
      <c r="B804" s="390" t="s">
        <v>1334</v>
      </c>
      <c r="C804" s="390" t="s">
        <v>348</v>
      </c>
      <c r="D804" s="390" t="s">
        <v>644</v>
      </c>
      <c r="E804" s="390" t="s">
        <v>424</v>
      </c>
      <c r="F804" s="390" t="s">
        <v>411</v>
      </c>
      <c r="G804" s="390" t="s">
        <v>83</v>
      </c>
      <c r="H804" s="390">
        <v>5</v>
      </c>
      <c r="I804" s="202" t="s">
        <v>83</v>
      </c>
      <c r="J804" s="469"/>
      <c r="K804" s="390" t="s">
        <v>1346</v>
      </c>
    </row>
    <row r="805" spans="1:11" ht="11.25" customHeight="1">
      <c r="A805" s="390" t="s">
        <v>1349</v>
      </c>
      <c r="B805" s="390" t="s">
        <v>1334</v>
      </c>
      <c r="C805" s="390" t="s">
        <v>348</v>
      </c>
      <c r="D805" s="390" t="s">
        <v>566</v>
      </c>
      <c r="E805" s="390" t="s">
        <v>424</v>
      </c>
      <c r="F805" s="390" t="s">
        <v>411</v>
      </c>
      <c r="G805" s="390" t="s">
        <v>83</v>
      </c>
      <c r="H805" s="390">
        <v>6</v>
      </c>
      <c r="I805" s="202" t="s">
        <v>83</v>
      </c>
      <c r="J805" s="469"/>
      <c r="K805" s="390" t="s">
        <v>1346</v>
      </c>
    </row>
    <row r="806" spans="1:11" ht="11.25" customHeight="1">
      <c r="A806" s="390" t="s">
        <v>1350</v>
      </c>
      <c r="B806" s="390" t="s">
        <v>1334</v>
      </c>
      <c r="C806" s="390" t="s">
        <v>348</v>
      </c>
      <c r="D806" s="390" t="s">
        <v>652</v>
      </c>
      <c r="E806" s="390" t="s">
        <v>424</v>
      </c>
      <c r="F806" s="390" t="s">
        <v>411</v>
      </c>
      <c r="G806" s="390" t="s">
        <v>83</v>
      </c>
      <c r="H806" s="390" t="s">
        <v>83</v>
      </c>
      <c r="I806" s="202" t="s">
        <v>615</v>
      </c>
      <c r="J806" s="469"/>
      <c r="K806" s="390" t="s">
        <v>1346</v>
      </c>
    </row>
    <row r="807" spans="1:11" ht="11.25" customHeight="1">
      <c r="A807" s="390" t="s">
        <v>1351</v>
      </c>
      <c r="B807" s="390" t="s">
        <v>1334</v>
      </c>
      <c r="C807" s="390" t="s">
        <v>348</v>
      </c>
      <c r="D807" s="390" t="s">
        <v>566</v>
      </c>
      <c r="E807" s="390" t="s">
        <v>613</v>
      </c>
      <c r="F807" s="390" t="s">
        <v>702</v>
      </c>
      <c r="G807" s="390" t="s">
        <v>548</v>
      </c>
      <c r="H807" s="390">
        <v>4</v>
      </c>
      <c r="I807" s="202" t="s">
        <v>83</v>
      </c>
      <c r="J807" s="469"/>
      <c r="K807" s="390" t="s">
        <v>1346</v>
      </c>
    </row>
    <row r="808" spans="1:11" ht="11.25" customHeight="1">
      <c r="A808" s="451" t="s">
        <v>1352</v>
      </c>
      <c r="B808" s="451" t="s">
        <v>1334</v>
      </c>
      <c r="C808" s="451">
        <v>1</v>
      </c>
      <c r="D808" s="451" t="s">
        <v>410</v>
      </c>
      <c r="E808" s="451" t="s">
        <v>83</v>
      </c>
      <c r="F808" s="451" t="s">
        <v>411</v>
      </c>
      <c r="G808" s="451" t="s">
        <v>83</v>
      </c>
      <c r="H808" s="451" t="s">
        <v>83</v>
      </c>
      <c r="I808" s="475" t="s">
        <v>83</v>
      </c>
      <c r="J808" s="465"/>
      <c r="K808" s="451" t="s">
        <v>1346</v>
      </c>
    </row>
    <row r="809" spans="1:11" ht="11.25" customHeight="1">
      <c r="A809" s="390" t="s">
        <v>1353</v>
      </c>
      <c r="B809" s="390" t="s">
        <v>1334</v>
      </c>
      <c r="C809" s="390" t="s">
        <v>348</v>
      </c>
      <c r="D809" s="390" t="s">
        <v>566</v>
      </c>
      <c r="E809" s="390" t="s">
        <v>174</v>
      </c>
      <c r="F809" s="390" t="s">
        <v>547</v>
      </c>
      <c r="G809" s="390" t="s">
        <v>630</v>
      </c>
      <c r="H809" s="390">
        <v>5</v>
      </c>
      <c r="I809" s="202" t="s">
        <v>83</v>
      </c>
      <c r="J809" s="469"/>
      <c r="K809" s="390" t="s">
        <v>1346</v>
      </c>
    </row>
    <row r="810" spans="1:11" ht="11.25" customHeight="1">
      <c r="A810" s="390" t="s">
        <v>1354</v>
      </c>
      <c r="B810" s="390" t="s">
        <v>1334</v>
      </c>
      <c r="C810" s="390">
        <v>1</v>
      </c>
      <c r="D810" s="390" t="s">
        <v>641</v>
      </c>
      <c r="E810" s="390" t="s">
        <v>424</v>
      </c>
      <c r="F810" s="390" t="s">
        <v>411</v>
      </c>
      <c r="G810" s="390" t="s">
        <v>83</v>
      </c>
      <c r="H810" s="390">
        <v>5</v>
      </c>
      <c r="I810" s="202" t="s">
        <v>83</v>
      </c>
      <c r="J810" s="469"/>
      <c r="K810" s="390" t="s">
        <v>1346</v>
      </c>
    </row>
    <row r="811" spans="1:11" ht="11.25" customHeight="1">
      <c r="A811" s="390" t="s">
        <v>1355</v>
      </c>
      <c r="B811" s="390" t="s">
        <v>1334</v>
      </c>
      <c r="C811" s="390">
        <v>1</v>
      </c>
      <c r="D811" s="390" t="s">
        <v>644</v>
      </c>
      <c r="E811" s="390" t="s">
        <v>424</v>
      </c>
      <c r="F811" s="390" t="s">
        <v>411</v>
      </c>
      <c r="G811" s="390" t="s">
        <v>83</v>
      </c>
      <c r="H811" s="390">
        <v>5</v>
      </c>
      <c r="I811" s="202" t="s">
        <v>83</v>
      </c>
      <c r="J811" s="469"/>
      <c r="K811" s="390" t="s">
        <v>1356</v>
      </c>
    </row>
    <row r="812" spans="1:11" ht="11.25" customHeight="1">
      <c r="A812" s="390" t="s">
        <v>1357</v>
      </c>
      <c r="B812" s="390" t="s">
        <v>1334</v>
      </c>
      <c r="C812" s="390">
        <v>1</v>
      </c>
      <c r="D812" s="390" t="s">
        <v>644</v>
      </c>
      <c r="E812" s="390" t="s">
        <v>424</v>
      </c>
      <c r="F812" s="390" t="s">
        <v>411</v>
      </c>
      <c r="G812" s="390" t="s">
        <v>83</v>
      </c>
      <c r="H812" s="390">
        <v>6</v>
      </c>
      <c r="I812" s="202" t="s">
        <v>83</v>
      </c>
      <c r="J812" s="469"/>
      <c r="K812" s="390" t="s">
        <v>1356</v>
      </c>
    </row>
    <row r="813" spans="1:11" ht="11.25" customHeight="1">
      <c r="A813" s="390" t="s">
        <v>1358</v>
      </c>
      <c r="B813" s="390" t="s">
        <v>1334</v>
      </c>
      <c r="C813" s="390">
        <v>1</v>
      </c>
      <c r="D813" s="390" t="s">
        <v>488</v>
      </c>
      <c r="E813" s="390" t="s">
        <v>424</v>
      </c>
      <c r="F813" s="390" t="s">
        <v>411</v>
      </c>
      <c r="G813" s="390" t="s">
        <v>83</v>
      </c>
      <c r="H813" s="390" t="s">
        <v>83</v>
      </c>
      <c r="I813" s="202" t="s">
        <v>323</v>
      </c>
      <c r="J813" s="469"/>
      <c r="K813" s="390" t="s">
        <v>1356</v>
      </c>
    </row>
    <row r="814" spans="1:11" ht="11.25" customHeight="1">
      <c r="A814" s="390" t="s">
        <v>1359</v>
      </c>
      <c r="B814" s="390" t="s">
        <v>1334</v>
      </c>
      <c r="C814" s="390" t="s">
        <v>348</v>
      </c>
      <c r="D814" s="390" t="s">
        <v>588</v>
      </c>
      <c r="E814" s="390" t="s">
        <v>424</v>
      </c>
      <c r="F814" s="390" t="s">
        <v>411</v>
      </c>
      <c r="G814" s="390" t="s">
        <v>83</v>
      </c>
      <c r="H814" s="390" t="s">
        <v>83</v>
      </c>
      <c r="I814" s="202">
        <v>1</v>
      </c>
      <c r="J814" s="469"/>
      <c r="K814" s="390" t="s">
        <v>1356</v>
      </c>
    </row>
    <row r="815" spans="1:11" ht="11.25" customHeight="1">
      <c r="A815" s="390" t="s">
        <v>1360</v>
      </c>
      <c r="B815" s="390" t="s">
        <v>1334</v>
      </c>
      <c r="C815" s="390">
        <v>1</v>
      </c>
      <c r="D815" s="390" t="s">
        <v>644</v>
      </c>
      <c r="E815" s="390" t="s">
        <v>424</v>
      </c>
      <c r="F815" s="390" t="s">
        <v>411</v>
      </c>
      <c r="G815" s="390" t="s">
        <v>83</v>
      </c>
      <c r="H815" s="390" t="s">
        <v>83</v>
      </c>
      <c r="I815" s="202" t="s">
        <v>83</v>
      </c>
      <c r="J815" s="469"/>
      <c r="K815" s="390" t="s">
        <v>1356</v>
      </c>
    </row>
    <row r="816" spans="1:11" ht="11.25" customHeight="1">
      <c r="A816" s="451" t="s">
        <v>1361</v>
      </c>
      <c r="B816" s="451" t="s">
        <v>1334</v>
      </c>
      <c r="C816" s="451">
        <v>1</v>
      </c>
      <c r="D816" s="451" t="s">
        <v>410</v>
      </c>
      <c r="E816" s="451" t="s">
        <v>83</v>
      </c>
      <c r="F816" s="451" t="s">
        <v>411</v>
      </c>
      <c r="G816" s="451" t="s">
        <v>83</v>
      </c>
      <c r="H816" s="451" t="s">
        <v>83</v>
      </c>
      <c r="I816" s="475" t="s">
        <v>83</v>
      </c>
      <c r="J816" s="465"/>
      <c r="K816" s="451" t="s">
        <v>1356</v>
      </c>
    </row>
    <row r="817" spans="1:11" ht="11.25" customHeight="1">
      <c r="A817" s="390" t="s">
        <v>1362</v>
      </c>
      <c r="B817" s="390" t="s">
        <v>1334</v>
      </c>
      <c r="C817" s="390">
        <v>1</v>
      </c>
      <c r="D817" s="390" t="s">
        <v>495</v>
      </c>
      <c r="E817" s="390" t="s">
        <v>424</v>
      </c>
      <c r="F817" s="390" t="s">
        <v>411</v>
      </c>
      <c r="G817" s="390" t="s">
        <v>83</v>
      </c>
      <c r="H817" s="390">
        <v>4</v>
      </c>
      <c r="I817" s="202" t="s">
        <v>323</v>
      </c>
      <c r="J817" s="469"/>
      <c r="K817" s="390" t="s">
        <v>1356</v>
      </c>
    </row>
    <row r="818" spans="1:11" ht="11.25" customHeight="1">
      <c r="A818" s="451" t="s">
        <v>1363</v>
      </c>
      <c r="B818" s="451" t="s">
        <v>1334</v>
      </c>
      <c r="C818" s="451" t="s">
        <v>348</v>
      </c>
      <c r="D818" s="451" t="s">
        <v>410</v>
      </c>
      <c r="E818" s="451" t="s">
        <v>83</v>
      </c>
      <c r="F818" s="451" t="s">
        <v>411</v>
      </c>
      <c r="G818" s="451" t="s">
        <v>83</v>
      </c>
      <c r="H818" s="451" t="s">
        <v>83</v>
      </c>
      <c r="I818" s="475" t="s">
        <v>83</v>
      </c>
      <c r="J818" s="465"/>
      <c r="K818" s="451" t="s">
        <v>1356</v>
      </c>
    </row>
    <row r="819" spans="1:11" ht="11.25" customHeight="1">
      <c r="A819" s="390" t="s">
        <v>1364</v>
      </c>
      <c r="B819" s="390" t="s">
        <v>1334</v>
      </c>
      <c r="C819" s="390">
        <v>1</v>
      </c>
      <c r="D819" s="390" t="s">
        <v>488</v>
      </c>
      <c r="E819" s="390" t="s">
        <v>424</v>
      </c>
      <c r="F819" s="390" t="s">
        <v>411</v>
      </c>
      <c r="G819" s="390" t="s">
        <v>83</v>
      </c>
      <c r="H819" s="390" t="s">
        <v>83</v>
      </c>
      <c r="I819" s="202" t="s">
        <v>1365</v>
      </c>
      <c r="J819" s="469"/>
      <c r="K819" s="390" t="s">
        <v>1356</v>
      </c>
    </row>
    <row r="820" spans="1:11" ht="11.25" customHeight="1">
      <c r="A820" s="445" t="s">
        <v>1366</v>
      </c>
      <c r="B820" s="446" t="s">
        <v>322</v>
      </c>
      <c r="C820" s="446" t="s">
        <v>323</v>
      </c>
      <c r="D820" s="446" t="s">
        <v>324</v>
      </c>
      <c r="E820" s="446" t="s">
        <v>185</v>
      </c>
      <c r="F820" s="446" t="s">
        <v>325</v>
      </c>
      <c r="G820" s="446" t="s">
        <v>261</v>
      </c>
      <c r="H820" s="446" t="s">
        <v>326</v>
      </c>
      <c r="I820" s="446" t="s">
        <v>254</v>
      </c>
      <c r="J820" s="459" t="s">
        <v>327</v>
      </c>
      <c r="K820" s="447" t="s">
        <v>408</v>
      </c>
    </row>
    <row r="821" spans="1:12" s="458" customFormat="1" ht="11.25" customHeight="1">
      <c r="A821" s="458" t="s">
        <v>1367</v>
      </c>
      <c r="B821" s="458" t="s">
        <v>1366</v>
      </c>
      <c r="C821" s="458" t="s">
        <v>348</v>
      </c>
      <c r="D821" s="458" t="s">
        <v>410</v>
      </c>
      <c r="E821" s="458" t="s">
        <v>83</v>
      </c>
      <c r="F821" s="458" t="s">
        <v>411</v>
      </c>
      <c r="G821" s="458" t="s">
        <v>83</v>
      </c>
      <c r="H821" s="458" t="s">
        <v>83</v>
      </c>
      <c r="I821" s="458" t="s">
        <v>83</v>
      </c>
      <c r="J821" s="464"/>
      <c r="K821" s="458" t="s">
        <v>1368</v>
      </c>
      <c r="L821" s="457"/>
    </row>
    <row r="822" spans="1:12" s="458" customFormat="1" ht="11.25" customHeight="1">
      <c r="A822" s="458" t="s">
        <v>1369</v>
      </c>
      <c r="B822" s="458" t="s">
        <v>1366</v>
      </c>
      <c r="C822" s="458" t="s">
        <v>348</v>
      </c>
      <c r="D822" s="458" t="s">
        <v>410</v>
      </c>
      <c r="E822" s="458" t="s">
        <v>83</v>
      </c>
      <c r="F822" s="458" t="s">
        <v>411</v>
      </c>
      <c r="G822" s="458" t="s">
        <v>83</v>
      </c>
      <c r="H822" s="458" t="s">
        <v>83</v>
      </c>
      <c r="I822" s="458" t="s">
        <v>83</v>
      </c>
      <c r="J822" s="464"/>
      <c r="K822" s="458" t="s">
        <v>1368</v>
      </c>
      <c r="L822" s="457"/>
    </row>
    <row r="823" spans="1:12" s="458" customFormat="1" ht="11.25" customHeight="1">
      <c r="A823" s="458" t="s">
        <v>1370</v>
      </c>
      <c r="B823" s="458" t="s">
        <v>1366</v>
      </c>
      <c r="C823" s="458" t="s">
        <v>348</v>
      </c>
      <c r="D823" s="458" t="s">
        <v>410</v>
      </c>
      <c r="E823" s="458" t="s">
        <v>83</v>
      </c>
      <c r="F823" s="458" t="s">
        <v>411</v>
      </c>
      <c r="G823" s="458" t="s">
        <v>83</v>
      </c>
      <c r="H823" s="458" t="s">
        <v>83</v>
      </c>
      <c r="I823" s="458" t="s">
        <v>83</v>
      </c>
      <c r="J823" s="464"/>
      <c r="K823" s="458" t="s">
        <v>1368</v>
      </c>
      <c r="L823" s="457"/>
    </row>
    <row r="824" spans="1:12" s="458" customFormat="1" ht="11.25" customHeight="1">
      <c r="A824" s="458" t="s">
        <v>1371</v>
      </c>
      <c r="B824" s="458" t="s">
        <v>1366</v>
      </c>
      <c r="C824" s="458" t="s">
        <v>348</v>
      </c>
      <c r="D824" s="458" t="s">
        <v>410</v>
      </c>
      <c r="E824" s="458" t="s">
        <v>83</v>
      </c>
      <c r="F824" s="458" t="s">
        <v>411</v>
      </c>
      <c r="G824" s="458" t="s">
        <v>83</v>
      </c>
      <c r="H824" s="458" t="s">
        <v>83</v>
      </c>
      <c r="I824" s="458" t="s">
        <v>83</v>
      </c>
      <c r="J824" s="464"/>
      <c r="K824" s="458" t="s">
        <v>1368</v>
      </c>
      <c r="L824" s="457"/>
    </row>
    <row r="825" spans="1:12" s="458" customFormat="1" ht="11.25" customHeight="1">
      <c r="A825" s="458" t="s">
        <v>1372</v>
      </c>
      <c r="B825" s="458" t="s">
        <v>1366</v>
      </c>
      <c r="C825" s="458" t="s">
        <v>348</v>
      </c>
      <c r="D825" s="458" t="s">
        <v>410</v>
      </c>
      <c r="E825" s="458" t="s">
        <v>83</v>
      </c>
      <c r="F825" s="458" t="s">
        <v>411</v>
      </c>
      <c r="G825" s="458" t="s">
        <v>83</v>
      </c>
      <c r="H825" s="458" t="s">
        <v>83</v>
      </c>
      <c r="I825" s="458" t="s">
        <v>83</v>
      </c>
      <c r="J825" s="464"/>
      <c r="K825" s="458" t="s">
        <v>1368</v>
      </c>
      <c r="L825" s="457"/>
    </row>
    <row r="826" spans="1:12" s="458" customFormat="1" ht="11.25" customHeight="1">
      <c r="A826" s="458" t="s">
        <v>1373</v>
      </c>
      <c r="B826" s="458" t="s">
        <v>1366</v>
      </c>
      <c r="C826" s="458" t="s">
        <v>348</v>
      </c>
      <c r="D826" s="458" t="s">
        <v>410</v>
      </c>
      <c r="E826" s="458" t="s">
        <v>83</v>
      </c>
      <c r="F826" s="458" t="s">
        <v>411</v>
      </c>
      <c r="G826" s="458" t="s">
        <v>83</v>
      </c>
      <c r="H826" s="458" t="s">
        <v>83</v>
      </c>
      <c r="I826" s="458" t="s">
        <v>83</v>
      </c>
      <c r="J826" s="464"/>
      <c r="K826" s="458" t="s">
        <v>1368</v>
      </c>
      <c r="L826" s="457"/>
    </row>
    <row r="827" spans="1:12" s="458" customFormat="1" ht="11.25" customHeight="1">
      <c r="A827" s="458" t="s">
        <v>1374</v>
      </c>
      <c r="B827" s="458" t="s">
        <v>1366</v>
      </c>
      <c r="C827" s="458" t="s">
        <v>348</v>
      </c>
      <c r="D827" s="458" t="s">
        <v>410</v>
      </c>
      <c r="E827" s="458" t="s">
        <v>83</v>
      </c>
      <c r="F827" s="458" t="s">
        <v>411</v>
      </c>
      <c r="G827" s="458" t="s">
        <v>83</v>
      </c>
      <c r="H827" s="458" t="s">
        <v>83</v>
      </c>
      <c r="I827" s="458" t="s">
        <v>83</v>
      </c>
      <c r="J827" s="464"/>
      <c r="K827" s="458" t="s">
        <v>1368</v>
      </c>
      <c r="L827" s="457"/>
    </row>
    <row r="828" spans="1:12" s="458" customFormat="1" ht="11.25" customHeight="1">
      <c r="A828" s="458" t="s">
        <v>1375</v>
      </c>
      <c r="B828" s="458" t="s">
        <v>1366</v>
      </c>
      <c r="C828" s="458" t="s">
        <v>348</v>
      </c>
      <c r="D828" s="458" t="s">
        <v>410</v>
      </c>
      <c r="E828" s="458" t="s">
        <v>83</v>
      </c>
      <c r="F828" s="458" t="s">
        <v>411</v>
      </c>
      <c r="G828" s="458" t="s">
        <v>83</v>
      </c>
      <c r="H828" s="458" t="s">
        <v>83</v>
      </c>
      <c r="I828" s="458" t="s">
        <v>83</v>
      </c>
      <c r="J828" s="464"/>
      <c r="K828" s="458" t="s">
        <v>1368</v>
      </c>
      <c r="L828" s="457"/>
    </row>
    <row r="829" spans="1:12" s="458" customFormat="1" ht="11.25" customHeight="1">
      <c r="A829" s="458" t="s">
        <v>1376</v>
      </c>
      <c r="B829" s="458" t="s">
        <v>1366</v>
      </c>
      <c r="C829" s="458" t="s">
        <v>348</v>
      </c>
      <c r="D829" s="458" t="s">
        <v>410</v>
      </c>
      <c r="E829" s="458" t="s">
        <v>83</v>
      </c>
      <c r="F829" s="458" t="s">
        <v>411</v>
      </c>
      <c r="G829" s="458" t="s">
        <v>83</v>
      </c>
      <c r="H829" s="458" t="s">
        <v>83</v>
      </c>
      <c r="I829" s="458" t="s">
        <v>83</v>
      </c>
      <c r="J829" s="464"/>
      <c r="K829" s="458" t="s">
        <v>1368</v>
      </c>
      <c r="L829" s="457"/>
    </row>
    <row r="830" spans="1:12" s="458" customFormat="1" ht="11.25" customHeight="1">
      <c r="A830" s="458" t="s">
        <v>1377</v>
      </c>
      <c r="B830" s="458" t="s">
        <v>1366</v>
      </c>
      <c r="C830" s="458" t="s">
        <v>348</v>
      </c>
      <c r="D830" s="458" t="s">
        <v>410</v>
      </c>
      <c r="E830" s="458" t="s">
        <v>83</v>
      </c>
      <c r="F830" s="458" t="s">
        <v>411</v>
      </c>
      <c r="G830" s="458" t="s">
        <v>83</v>
      </c>
      <c r="H830" s="458" t="s">
        <v>83</v>
      </c>
      <c r="I830" s="458" t="s">
        <v>83</v>
      </c>
      <c r="J830" s="464"/>
      <c r="K830" s="458" t="s">
        <v>1368</v>
      </c>
      <c r="L830" s="457"/>
    </row>
    <row r="831" spans="1:12" s="458" customFormat="1" ht="11.25" customHeight="1">
      <c r="A831" s="458" t="s">
        <v>1378</v>
      </c>
      <c r="B831" s="458" t="s">
        <v>1366</v>
      </c>
      <c r="C831" s="458" t="s">
        <v>348</v>
      </c>
      <c r="D831" s="458" t="s">
        <v>410</v>
      </c>
      <c r="E831" s="458" t="s">
        <v>83</v>
      </c>
      <c r="F831" s="458" t="s">
        <v>411</v>
      </c>
      <c r="G831" s="458" t="s">
        <v>83</v>
      </c>
      <c r="H831" s="458" t="s">
        <v>83</v>
      </c>
      <c r="I831" s="458" t="s">
        <v>83</v>
      </c>
      <c r="J831" s="464"/>
      <c r="K831" s="458" t="s">
        <v>1368</v>
      </c>
      <c r="L831" s="457"/>
    </row>
    <row r="832" spans="1:12" s="458" customFormat="1" ht="11.25" customHeight="1">
      <c r="A832" s="458" t="s">
        <v>1379</v>
      </c>
      <c r="B832" s="458" t="s">
        <v>1366</v>
      </c>
      <c r="C832" s="458" t="s">
        <v>348</v>
      </c>
      <c r="D832" s="458" t="s">
        <v>410</v>
      </c>
      <c r="E832" s="458" t="s">
        <v>83</v>
      </c>
      <c r="F832" s="458" t="s">
        <v>411</v>
      </c>
      <c r="G832" s="458" t="s">
        <v>83</v>
      </c>
      <c r="H832" s="458" t="s">
        <v>83</v>
      </c>
      <c r="I832" s="458" t="s">
        <v>83</v>
      </c>
      <c r="J832" s="464"/>
      <c r="K832" s="458" t="s">
        <v>1368</v>
      </c>
      <c r="L832" s="457"/>
    </row>
    <row r="833" spans="1:11" ht="11.25" customHeight="1">
      <c r="A833" s="65" t="s">
        <v>1380</v>
      </c>
      <c r="B833" s="65" t="s">
        <v>1366</v>
      </c>
      <c r="C833" s="65">
        <v>1</v>
      </c>
      <c r="D833" s="65" t="s">
        <v>566</v>
      </c>
      <c r="E833" s="65" t="s">
        <v>424</v>
      </c>
      <c r="F833" s="65" t="s">
        <v>702</v>
      </c>
      <c r="G833" s="65" t="s">
        <v>572</v>
      </c>
      <c r="H833" s="65">
        <v>6</v>
      </c>
      <c r="I833" s="65" t="s">
        <v>83</v>
      </c>
      <c r="J833" s="466"/>
      <c r="K833" s="65" t="s">
        <v>1368</v>
      </c>
    </row>
    <row r="834" spans="1:11" ht="11.25" customHeight="1">
      <c r="A834" s="65" t="s">
        <v>1381</v>
      </c>
      <c r="B834" s="65" t="s">
        <v>1366</v>
      </c>
      <c r="C834" s="65">
        <v>1</v>
      </c>
      <c r="D834" s="65" t="s">
        <v>588</v>
      </c>
      <c r="E834" s="65" t="s">
        <v>424</v>
      </c>
      <c r="F834" s="65" t="s">
        <v>411</v>
      </c>
      <c r="G834" s="65" t="s">
        <v>83</v>
      </c>
      <c r="H834" s="65">
        <v>8</v>
      </c>
      <c r="I834" s="65" t="s">
        <v>323</v>
      </c>
      <c r="J834" s="466"/>
      <c r="K834" s="65" t="s">
        <v>1368</v>
      </c>
    </row>
    <row r="835" spans="1:11" ht="11.25" customHeight="1">
      <c r="A835" s="65" t="s">
        <v>1382</v>
      </c>
      <c r="B835" s="65" t="s">
        <v>1366</v>
      </c>
      <c r="C835" s="65" t="s">
        <v>348</v>
      </c>
      <c r="D835" s="65" t="s">
        <v>566</v>
      </c>
      <c r="E835" s="65" t="s">
        <v>174</v>
      </c>
      <c r="F835" s="65" t="s">
        <v>547</v>
      </c>
      <c r="G835" s="65" t="s">
        <v>630</v>
      </c>
      <c r="H835" s="65">
        <v>9</v>
      </c>
      <c r="I835" s="65" t="s">
        <v>83</v>
      </c>
      <c r="J835" s="466"/>
      <c r="K835" s="65" t="s">
        <v>1368</v>
      </c>
    </row>
    <row r="836" spans="1:12" s="476" customFormat="1" ht="11.25" customHeight="1">
      <c r="A836" s="476" t="s">
        <v>1383</v>
      </c>
      <c r="B836" s="476" t="s">
        <v>1366</v>
      </c>
      <c r="C836" s="476">
        <v>1</v>
      </c>
      <c r="D836" s="476" t="s">
        <v>410</v>
      </c>
      <c r="E836" s="476" t="s">
        <v>83</v>
      </c>
      <c r="F836" s="476" t="s">
        <v>411</v>
      </c>
      <c r="G836" s="476" t="s">
        <v>83</v>
      </c>
      <c r="H836" s="476" t="s">
        <v>83</v>
      </c>
      <c r="I836" s="476" t="s">
        <v>83</v>
      </c>
      <c r="J836" s="477"/>
      <c r="K836" s="463" t="s">
        <v>1368</v>
      </c>
      <c r="L836" s="478"/>
    </row>
    <row r="837" spans="1:11" ht="11.25" customHeight="1">
      <c r="A837" s="65" t="s">
        <v>1384</v>
      </c>
      <c r="B837" s="65" t="s">
        <v>1366</v>
      </c>
      <c r="C837" s="65">
        <v>1</v>
      </c>
      <c r="D837" s="65" t="s">
        <v>566</v>
      </c>
      <c r="E837" s="65" t="s">
        <v>174</v>
      </c>
      <c r="F837" s="65" t="s">
        <v>547</v>
      </c>
      <c r="G837" s="65" t="s">
        <v>572</v>
      </c>
      <c r="H837" s="65">
        <v>9</v>
      </c>
      <c r="I837" s="65" t="s">
        <v>83</v>
      </c>
      <c r="J837" s="466"/>
      <c r="K837" s="390" t="s">
        <v>1368</v>
      </c>
    </row>
    <row r="838" spans="1:12" s="458" customFormat="1" ht="11.25" customHeight="1">
      <c r="A838" s="458" t="s">
        <v>1385</v>
      </c>
      <c r="B838" s="458" t="s">
        <v>1366</v>
      </c>
      <c r="C838" s="458" t="s">
        <v>348</v>
      </c>
      <c r="D838" s="458" t="s">
        <v>410</v>
      </c>
      <c r="E838" s="458" t="s">
        <v>83</v>
      </c>
      <c r="F838" s="458" t="s">
        <v>411</v>
      </c>
      <c r="G838" s="458" t="s">
        <v>83</v>
      </c>
      <c r="H838" s="458" t="s">
        <v>83</v>
      </c>
      <c r="I838" s="458" t="s">
        <v>83</v>
      </c>
      <c r="J838" s="464"/>
      <c r="K838" s="458" t="s">
        <v>1368</v>
      </c>
      <c r="L838" s="457"/>
    </row>
    <row r="839" spans="1:11" ht="11.25" customHeight="1">
      <c r="A839" s="65" t="s">
        <v>1386</v>
      </c>
      <c r="B839" s="65" t="s">
        <v>1366</v>
      </c>
      <c r="C839" s="65">
        <v>1</v>
      </c>
      <c r="D839" s="65" t="s">
        <v>495</v>
      </c>
      <c r="E839" s="65" t="s">
        <v>424</v>
      </c>
      <c r="F839" s="65" t="s">
        <v>411</v>
      </c>
      <c r="G839" s="65" t="s">
        <v>83</v>
      </c>
      <c r="H839" s="65">
        <v>6</v>
      </c>
      <c r="I839" s="65" t="s">
        <v>83</v>
      </c>
      <c r="J839" s="466"/>
      <c r="K839" s="65" t="s">
        <v>1368</v>
      </c>
    </row>
    <row r="840" spans="1:12" s="476" customFormat="1" ht="11.25" customHeight="1">
      <c r="A840" s="476" t="s">
        <v>1387</v>
      </c>
      <c r="B840" s="476" t="s">
        <v>1366</v>
      </c>
      <c r="C840" s="476" t="s">
        <v>348</v>
      </c>
      <c r="D840" s="476" t="s">
        <v>410</v>
      </c>
      <c r="E840" s="476" t="s">
        <v>83</v>
      </c>
      <c r="F840" s="476" t="s">
        <v>411</v>
      </c>
      <c r="G840" s="476" t="s">
        <v>83</v>
      </c>
      <c r="H840" s="476" t="s">
        <v>83</v>
      </c>
      <c r="I840" s="476" t="s">
        <v>83</v>
      </c>
      <c r="J840" s="477"/>
      <c r="K840" s="463" t="s">
        <v>1368</v>
      </c>
      <c r="L840" s="478"/>
    </row>
    <row r="841" spans="1:11" ht="11.25" customHeight="1">
      <c r="A841" s="65" t="s">
        <v>1388</v>
      </c>
      <c r="B841" s="65" t="s">
        <v>1366</v>
      </c>
      <c r="C841" s="65" t="s">
        <v>348</v>
      </c>
      <c r="D841" s="65" t="s">
        <v>488</v>
      </c>
      <c r="E841" s="65" t="s">
        <v>424</v>
      </c>
      <c r="F841" s="65" t="s">
        <v>411</v>
      </c>
      <c r="G841" s="65" t="s">
        <v>83</v>
      </c>
      <c r="H841" s="65">
        <v>7</v>
      </c>
      <c r="I841" s="65" t="s">
        <v>83</v>
      </c>
      <c r="J841" s="466"/>
      <c r="K841" s="65" t="s">
        <v>1389</v>
      </c>
    </row>
    <row r="842" spans="1:11" ht="11.25" customHeight="1">
      <c r="A842" s="65" t="s">
        <v>1390</v>
      </c>
      <c r="B842" s="65" t="s">
        <v>1366</v>
      </c>
      <c r="C842" s="65">
        <v>1</v>
      </c>
      <c r="D842" s="65" t="s">
        <v>566</v>
      </c>
      <c r="E842" s="65" t="s">
        <v>424</v>
      </c>
      <c r="F842" s="65" t="s">
        <v>411</v>
      </c>
      <c r="G842" s="65" t="s">
        <v>83</v>
      </c>
      <c r="H842" s="65">
        <v>5</v>
      </c>
      <c r="I842" s="65" t="s">
        <v>323</v>
      </c>
      <c r="J842" s="466"/>
      <c r="K842" s="65" t="s">
        <v>1389</v>
      </c>
    </row>
    <row r="843" spans="1:12" s="458" customFormat="1" ht="11.25" customHeight="1">
      <c r="A843" s="458" t="s">
        <v>1391</v>
      </c>
      <c r="B843" s="458" t="s">
        <v>1366</v>
      </c>
      <c r="C843" s="458" t="s">
        <v>348</v>
      </c>
      <c r="D843" s="458" t="s">
        <v>410</v>
      </c>
      <c r="E843" s="458" t="s">
        <v>83</v>
      </c>
      <c r="F843" s="458" t="s">
        <v>411</v>
      </c>
      <c r="G843" s="458" t="s">
        <v>83</v>
      </c>
      <c r="H843" s="458" t="s">
        <v>83</v>
      </c>
      <c r="I843" s="458" t="s">
        <v>83</v>
      </c>
      <c r="J843" s="464"/>
      <c r="K843" s="458" t="s">
        <v>1389</v>
      </c>
      <c r="L843" s="457"/>
    </row>
    <row r="844" spans="1:11" ht="11.25" customHeight="1">
      <c r="A844" s="65" t="s">
        <v>1392</v>
      </c>
      <c r="B844" s="65" t="s">
        <v>1366</v>
      </c>
      <c r="C844" s="65" t="s">
        <v>348</v>
      </c>
      <c r="D844" s="65" t="s">
        <v>644</v>
      </c>
      <c r="E844" s="65" t="s">
        <v>424</v>
      </c>
      <c r="F844" s="65" t="s">
        <v>411</v>
      </c>
      <c r="G844" s="65" t="s">
        <v>83</v>
      </c>
      <c r="H844" s="65">
        <v>6</v>
      </c>
      <c r="I844" s="65" t="s">
        <v>83</v>
      </c>
      <c r="J844" s="466"/>
      <c r="K844" s="65" t="s">
        <v>1389</v>
      </c>
    </row>
    <row r="845" spans="1:11" ht="11.25" customHeight="1">
      <c r="A845" s="65" t="s">
        <v>1393</v>
      </c>
      <c r="B845" s="65" t="s">
        <v>1366</v>
      </c>
      <c r="C845" s="65">
        <v>1</v>
      </c>
      <c r="D845" s="65" t="s">
        <v>644</v>
      </c>
      <c r="E845" s="65" t="s">
        <v>424</v>
      </c>
      <c r="F845" s="65" t="s">
        <v>411</v>
      </c>
      <c r="G845" s="65" t="s">
        <v>83</v>
      </c>
      <c r="H845" s="65" t="s">
        <v>83</v>
      </c>
      <c r="I845" s="65" t="s">
        <v>83</v>
      </c>
      <c r="J845" s="466"/>
      <c r="K845" s="65" t="s">
        <v>1389</v>
      </c>
    </row>
    <row r="846" spans="1:11" ht="11.25" customHeight="1">
      <c r="A846" s="65" t="s">
        <v>1394</v>
      </c>
      <c r="B846" s="65" t="s">
        <v>1366</v>
      </c>
      <c r="C846" s="65">
        <v>1</v>
      </c>
      <c r="D846" s="65" t="s">
        <v>644</v>
      </c>
      <c r="E846" s="65" t="s">
        <v>424</v>
      </c>
      <c r="F846" s="65" t="s">
        <v>411</v>
      </c>
      <c r="G846" s="65" t="s">
        <v>83</v>
      </c>
      <c r="H846" s="65">
        <v>7</v>
      </c>
      <c r="I846" s="65" t="s">
        <v>323</v>
      </c>
      <c r="J846" s="466"/>
      <c r="K846" s="65" t="s">
        <v>1389</v>
      </c>
    </row>
    <row r="847" spans="1:11" ht="11.25" customHeight="1">
      <c r="A847" s="65" t="s">
        <v>1395</v>
      </c>
      <c r="B847" s="65" t="s">
        <v>1366</v>
      </c>
      <c r="C847" s="65">
        <v>1</v>
      </c>
      <c r="D847" s="65" t="s">
        <v>644</v>
      </c>
      <c r="E847" s="65" t="s">
        <v>424</v>
      </c>
      <c r="F847" s="65" t="s">
        <v>411</v>
      </c>
      <c r="G847" s="65" t="s">
        <v>83</v>
      </c>
      <c r="H847" s="65">
        <v>6</v>
      </c>
      <c r="I847" s="65" t="s">
        <v>83</v>
      </c>
      <c r="J847" s="466"/>
      <c r="K847" s="65" t="s">
        <v>1389</v>
      </c>
    </row>
    <row r="848" spans="1:11" ht="11.25" customHeight="1">
      <c r="A848" s="65" t="s">
        <v>1396</v>
      </c>
      <c r="B848" s="65" t="s">
        <v>1366</v>
      </c>
      <c r="C848" s="65" t="s">
        <v>348</v>
      </c>
      <c r="D848" s="65" t="s">
        <v>566</v>
      </c>
      <c r="E848" s="65" t="s">
        <v>174</v>
      </c>
      <c r="F848" s="65" t="s">
        <v>547</v>
      </c>
      <c r="G848" s="65" t="s">
        <v>630</v>
      </c>
      <c r="H848" s="65">
        <v>7</v>
      </c>
      <c r="I848" s="65" t="s">
        <v>83</v>
      </c>
      <c r="J848" s="466"/>
      <c r="K848" s="390" t="s">
        <v>1389</v>
      </c>
    </row>
    <row r="849" spans="1:12" s="476" customFormat="1" ht="11.25" customHeight="1">
      <c r="A849" s="476" t="s">
        <v>1397</v>
      </c>
      <c r="B849" s="476" t="s">
        <v>1366</v>
      </c>
      <c r="C849" s="476" t="s">
        <v>348</v>
      </c>
      <c r="D849" s="476" t="s">
        <v>410</v>
      </c>
      <c r="E849" s="476" t="s">
        <v>83</v>
      </c>
      <c r="F849" s="476" t="s">
        <v>411</v>
      </c>
      <c r="G849" s="476" t="s">
        <v>83</v>
      </c>
      <c r="H849" s="476" t="s">
        <v>83</v>
      </c>
      <c r="I849" s="476" t="s">
        <v>83</v>
      </c>
      <c r="J849" s="477"/>
      <c r="K849" s="476" t="s">
        <v>1389</v>
      </c>
      <c r="L849" s="478"/>
    </row>
    <row r="850" spans="1:12" s="476" customFormat="1" ht="11.25" customHeight="1">
      <c r="A850" s="476" t="s">
        <v>1398</v>
      </c>
      <c r="B850" s="476" t="s">
        <v>1366</v>
      </c>
      <c r="C850" s="476">
        <v>1</v>
      </c>
      <c r="D850" s="476" t="s">
        <v>410</v>
      </c>
      <c r="E850" s="476" t="s">
        <v>83</v>
      </c>
      <c r="F850" s="476" t="s">
        <v>411</v>
      </c>
      <c r="G850" s="476" t="s">
        <v>83</v>
      </c>
      <c r="H850" s="476" t="s">
        <v>83</v>
      </c>
      <c r="I850" s="476" t="s">
        <v>83</v>
      </c>
      <c r="J850" s="477"/>
      <c r="K850" s="476" t="s">
        <v>1399</v>
      </c>
      <c r="L850" s="478"/>
    </row>
    <row r="851" spans="1:11" ht="11.25" customHeight="1">
      <c r="A851" s="65" t="s">
        <v>1400</v>
      </c>
      <c r="B851" s="65" t="s">
        <v>1366</v>
      </c>
      <c r="C851" s="65" t="s">
        <v>348</v>
      </c>
      <c r="D851" s="65" t="s">
        <v>789</v>
      </c>
      <c r="E851" s="65" t="s">
        <v>174</v>
      </c>
      <c r="F851" s="65" t="s">
        <v>411</v>
      </c>
      <c r="G851" s="65" t="s">
        <v>83</v>
      </c>
      <c r="H851" s="65">
        <v>15</v>
      </c>
      <c r="I851" s="65" t="s">
        <v>83</v>
      </c>
      <c r="J851" s="466"/>
      <c r="K851" s="65" t="s">
        <v>1399</v>
      </c>
    </row>
    <row r="852" spans="1:11" ht="11.25" customHeight="1">
      <c r="A852" s="65" t="s">
        <v>1401</v>
      </c>
      <c r="B852" s="65" t="s">
        <v>1366</v>
      </c>
      <c r="C852" s="65">
        <v>1</v>
      </c>
      <c r="D852" s="65" t="s">
        <v>641</v>
      </c>
      <c r="E852" s="65" t="s">
        <v>424</v>
      </c>
      <c r="F852" s="65" t="s">
        <v>411</v>
      </c>
      <c r="G852" s="65" t="s">
        <v>83</v>
      </c>
      <c r="H852" s="65">
        <v>5</v>
      </c>
      <c r="I852" s="65" t="s">
        <v>647</v>
      </c>
      <c r="J852" s="466"/>
      <c r="K852" s="65" t="s">
        <v>1399</v>
      </c>
    </row>
    <row r="853" spans="1:12" s="458" customFormat="1" ht="11.25" customHeight="1">
      <c r="A853" s="458" t="s">
        <v>1402</v>
      </c>
      <c r="B853" s="458" t="s">
        <v>1366</v>
      </c>
      <c r="C853" s="458" t="s">
        <v>348</v>
      </c>
      <c r="D853" s="458" t="s">
        <v>410</v>
      </c>
      <c r="E853" s="458" t="s">
        <v>83</v>
      </c>
      <c r="F853" s="458" t="s">
        <v>411</v>
      </c>
      <c r="G853" s="458" t="s">
        <v>83</v>
      </c>
      <c r="H853" s="458" t="s">
        <v>83</v>
      </c>
      <c r="I853" s="458" t="s">
        <v>83</v>
      </c>
      <c r="J853" s="464"/>
      <c r="K853" s="458" t="s">
        <v>1399</v>
      </c>
      <c r="L853" s="457"/>
    </row>
    <row r="854" spans="1:12" s="476" customFormat="1" ht="11.25" customHeight="1">
      <c r="A854" s="476" t="s">
        <v>1403</v>
      </c>
      <c r="B854" s="476" t="s">
        <v>1366</v>
      </c>
      <c r="C854" s="476">
        <v>1</v>
      </c>
      <c r="D854" s="476" t="s">
        <v>410</v>
      </c>
      <c r="E854" s="476" t="s">
        <v>83</v>
      </c>
      <c r="F854" s="479" t="s">
        <v>411</v>
      </c>
      <c r="G854" s="476" t="s">
        <v>83</v>
      </c>
      <c r="H854" s="476" t="s">
        <v>83</v>
      </c>
      <c r="I854" s="476" t="s">
        <v>83</v>
      </c>
      <c r="J854" s="477"/>
      <c r="K854" s="476" t="s">
        <v>1399</v>
      </c>
      <c r="L854" s="478"/>
    </row>
    <row r="855" spans="1:11" ht="11.25" customHeight="1">
      <c r="A855" s="65" t="s">
        <v>1404</v>
      </c>
      <c r="B855" s="65" t="s">
        <v>1366</v>
      </c>
      <c r="C855" s="65">
        <v>1</v>
      </c>
      <c r="D855" s="65" t="s">
        <v>644</v>
      </c>
      <c r="E855" s="65" t="s">
        <v>424</v>
      </c>
      <c r="F855" s="65" t="s">
        <v>411</v>
      </c>
      <c r="G855" s="65" t="s">
        <v>83</v>
      </c>
      <c r="H855" s="65">
        <v>10</v>
      </c>
      <c r="I855" s="65" t="s">
        <v>323</v>
      </c>
      <c r="J855" s="466"/>
      <c r="K855" s="390" t="s">
        <v>1399</v>
      </c>
    </row>
    <row r="856" spans="1:12" s="476" customFormat="1" ht="11.25" customHeight="1">
      <c r="A856" s="476" t="s">
        <v>1405</v>
      </c>
      <c r="B856" s="476" t="s">
        <v>1366</v>
      </c>
      <c r="C856" s="476">
        <v>1</v>
      </c>
      <c r="D856" s="476" t="s">
        <v>410</v>
      </c>
      <c r="E856" s="476" t="s">
        <v>83</v>
      </c>
      <c r="F856" s="476" t="s">
        <v>411</v>
      </c>
      <c r="G856" s="476" t="s">
        <v>83</v>
      </c>
      <c r="H856" s="476" t="s">
        <v>83</v>
      </c>
      <c r="I856" s="476" t="s">
        <v>83</v>
      </c>
      <c r="J856" s="477"/>
      <c r="K856" s="463" t="s">
        <v>1399</v>
      </c>
      <c r="L856" s="478"/>
    </row>
    <row r="857" spans="1:11" ht="11.25" customHeight="1">
      <c r="A857" s="65" t="s">
        <v>1406</v>
      </c>
      <c r="B857" s="65" t="s">
        <v>1366</v>
      </c>
      <c r="C857" s="65">
        <v>1</v>
      </c>
      <c r="D857" s="65" t="s">
        <v>495</v>
      </c>
      <c r="E857" s="65" t="s">
        <v>424</v>
      </c>
      <c r="F857" s="65" t="s">
        <v>411</v>
      </c>
      <c r="G857" s="65" t="s">
        <v>83</v>
      </c>
      <c r="H857" s="65">
        <v>9</v>
      </c>
      <c r="I857" s="65" t="s">
        <v>83</v>
      </c>
      <c r="J857" s="466"/>
      <c r="K857" s="390" t="s">
        <v>1399</v>
      </c>
    </row>
    <row r="858" spans="1:11" ht="11.25" customHeight="1">
      <c r="A858" s="65" t="s">
        <v>1407</v>
      </c>
      <c r="B858" s="65" t="s">
        <v>1366</v>
      </c>
      <c r="C858" s="65">
        <v>1</v>
      </c>
      <c r="D858" s="65" t="s">
        <v>566</v>
      </c>
      <c r="E858" s="65" t="s">
        <v>174</v>
      </c>
      <c r="F858" s="65" t="s">
        <v>871</v>
      </c>
      <c r="G858" s="65" t="s">
        <v>871</v>
      </c>
      <c r="H858" s="65">
        <v>8</v>
      </c>
      <c r="I858" s="65" t="s">
        <v>323</v>
      </c>
      <c r="J858" s="466"/>
      <c r="K858" s="65" t="s">
        <v>1399</v>
      </c>
    </row>
    <row r="859" spans="1:11" ht="11.25" customHeight="1">
      <c r="A859" s="445" t="s">
        <v>1408</v>
      </c>
      <c r="B859" s="446" t="s">
        <v>322</v>
      </c>
      <c r="C859" s="446" t="s">
        <v>323</v>
      </c>
      <c r="D859" s="446" t="s">
        <v>324</v>
      </c>
      <c r="E859" s="446" t="s">
        <v>185</v>
      </c>
      <c r="F859" s="446" t="s">
        <v>325</v>
      </c>
      <c r="G859" s="446" t="s">
        <v>261</v>
      </c>
      <c r="H859" s="446" t="s">
        <v>326</v>
      </c>
      <c r="I859" s="446" t="s">
        <v>254</v>
      </c>
      <c r="J859" s="459" t="s">
        <v>327</v>
      </c>
      <c r="K859" s="447" t="s">
        <v>408</v>
      </c>
    </row>
    <row r="860" spans="1:11" ht="11.25" customHeight="1">
      <c r="A860" s="65" t="s">
        <v>1409</v>
      </c>
      <c r="B860" s="65" t="s">
        <v>1408</v>
      </c>
      <c r="C860" s="65">
        <v>1</v>
      </c>
      <c r="D860" s="65" t="s">
        <v>566</v>
      </c>
      <c r="E860" s="65" t="s">
        <v>174</v>
      </c>
      <c r="F860" s="65" t="s">
        <v>547</v>
      </c>
      <c r="G860" s="65" t="s">
        <v>871</v>
      </c>
      <c r="H860" s="65">
        <v>10</v>
      </c>
      <c r="I860" s="65" t="s">
        <v>83</v>
      </c>
      <c r="J860" s="466"/>
      <c r="K860" s="390" t="s">
        <v>1410</v>
      </c>
    </row>
    <row r="861" spans="1:11" ht="11.25" customHeight="1">
      <c r="A861" s="65" t="s">
        <v>1411</v>
      </c>
      <c r="B861" s="65" t="s">
        <v>1408</v>
      </c>
      <c r="C861" s="65" t="s">
        <v>348</v>
      </c>
      <c r="D861" s="65" t="s">
        <v>641</v>
      </c>
      <c r="E861" s="65" t="s">
        <v>424</v>
      </c>
      <c r="F861" s="65" t="s">
        <v>411</v>
      </c>
      <c r="G861" s="65" t="s">
        <v>83</v>
      </c>
      <c r="H861" s="65" t="s">
        <v>83</v>
      </c>
      <c r="I861" s="65">
        <v>1</v>
      </c>
      <c r="J861" s="466"/>
      <c r="K861" s="65" t="s">
        <v>1410</v>
      </c>
    </row>
    <row r="862" spans="1:12" s="458" customFormat="1" ht="11.25" customHeight="1">
      <c r="A862" s="458" t="s">
        <v>1412</v>
      </c>
      <c r="B862" s="458" t="s">
        <v>1408</v>
      </c>
      <c r="C862" s="458" t="s">
        <v>348</v>
      </c>
      <c r="D862" s="458" t="s">
        <v>410</v>
      </c>
      <c r="E862" s="458" t="s">
        <v>83</v>
      </c>
      <c r="F862" s="458" t="s">
        <v>411</v>
      </c>
      <c r="G862" s="458" t="s">
        <v>83</v>
      </c>
      <c r="H862" s="458" t="s">
        <v>83</v>
      </c>
      <c r="I862" s="458" t="s">
        <v>83</v>
      </c>
      <c r="J862" s="464"/>
      <c r="K862" s="458" t="s">
        <v>1410</v>
      </c>
      <c r="L862" s="457"/>
    </row>
    <row r="863" spans="1:12" s="458" customFormat="1" ht="11.25" customHeight="1">
      <c r="A863" s="458" t="s">
        <v>1413</v>
      </c>
      <c r="B863" s="458" t="s">
        <v>1408</v>
      </c>
      <c r="C863" s="458" t="s">
        <v>348</v>
      </c>
      <c r="D863" s="458" t="s">
        <v>410</v>
      </c>
      <c r="E863" s="458" t="s">
        <v>83</v>
      </c>
      <c r="F863" s="458" t="s">
        <v>411</v>
      </c>
      <c r="G863" s="458" t="s">
        <v>83</v>
      </c>
      <c r="H863" s="458" t="s">
        <v>83</v>
      </c>
      <c r="I863" s="458" t="s">
        <v>83</v>
      </c>
      <c r="J863" s="464"/>
      <c r="K863" s="458" t="s">
        <v>1410</v>
      </c>
      <c r="L863" s="457"/>
    </row>
    <row r="864" spans="1:12" s="458" customFormat="1" ht="11.25" customHeight="1">
      <c r="A864" s="458" t="s">
        <v>1414</v>
      </c>
      <c r="B864" s="458" t="s">
        <v>1408</v>
      </c>
      <c r="C864" s="458" t="s">
        <v>348</v>
      </c>
      <c r="D864" s="458" t="s">
        <v>410</v>
      </c>
      <c r="E864" s="458" t="s">
        <v>83</v>
      </c>
      <c r="F864" s="458" t="s">
        <v>411</v>
      </c>
      <c r="G864" s="458" t="s">
        <v>83</v>
      </c>
      <c r="H864" s="458" t="s">
        <v>83</v>
      </c>
      <c r="I864" s="458" t="s">
        <v>83</v>
      </c>
      <c r="J864" s="464"/>
      <c r="K864" s="458" t="s">
        <v>1410</v>
      </c>
      <c r="L864" s="457"/>
    </row>
    <row r="865" spans="1:12" s="458" customFormat="1" ht="11.25" customHeight="1">
      <c r="A865" s="458" t="s">
        <v>1415</v>
      </c>
      <c r="B865" s="458" t="s">
        <v>1408</v>
      </c>
      <c r="C865" s="458" t="s">
        <v>348</v>
      </c>
      <c r="D865" s="458" t="s">
        <v>410</v>
      </c>
      <c r="E865" s="458" t="s">
        <v>83</v>
      </c>
      <c r="F865" s="458" t="s">
        <v>411</v>
      </c>
      <c r="G865" s="458" t="s">
        <v>83</v>
      </c>
      <c r="H865" s="458" t="s">
        <v>83</v>
      </c>
      <c r="I865" s="458" t="s">
        <v>83</v>
      </c>
      <c r="J865" s="464"/>
      <c r="K865" s="458" t="s">
        <v>1410</v>
      </c>
      <c r="L865" s="457"/>
    </row>
    <row r="866" spans="1:12" s="458" customFormat="1" ht="11.25" customHeight="1">
      <c r="A866" s="458" t="s">
        <v>1416</v>
      </c>
      <c r="B866" s="458" t="s">
        <v>1408</v>
      </c>
      <c r="C866" s="458" t="s">
        <v>348</v>
      </c>
      <c r="D866" s="458" t="s">
        <v>410</v>
      </c>
      <c r="E866" s="458" t="s">
        <v>83</v>
      </c>
      <c r="F866" s="458" t="s">
        <v>411</v>
      </c>
      <c r="G866" s="458" t="s">
        <v>83</v>
      </c>
      <c r="H866" s="458" t="s">
        <v>83</v>
      </c>
      <c r="I866" s="458" t="s">
        <v>83</v>
      </c>
      <c r="J866" s="464"/>
      <c r="K866" s="458" t="s">
        <v>1410</v>
      </c>
      <c r="L866" s="457"/>
    </row>
    <row r="867" spans="1:12" s="458" customFormat="1" ht="11.25" customHeight="1">
      <c r="A867" s="458" t="s">
        <v>1417</v>
      </c>
      <c r="B867" s="458" t="s">
        <v>1408</v>
      </c>
      <c r="C867" s="458" t="s">
        <v>348</v>
      </c>
      <c r="D867" s="458" t="s">
        <v>410</v>
      </c>
      <c r="E867" s="458" t="s">
        <v>83</v>
      </c>
      <c r="F867" s="458" t="s">
        <v>411</v>
      </c>
      <c r="G867" s="458" t="s">
        <v>83</v>
      </c>
      <c r="H867" s="458" t="s">
        <v>83</v>
      </c>
      <c r="I867" s="458" t="s">
        <v>83</v>
      </c>
      <c r="J867" s="464"/>
      <c r="K867" s="458" t="s">
        <v>1410</v>
      </c>
      <c r="L867" s="457"/>
    </row>
    <row r="868" spans="1:12" s="458" customFormat="1" ht="11.25" customHeight="1">
      <c r="A868" s="458" t="s">
        <v>1418</v>
      </c>
      <c r="B868" s="458" t="s">
        <v>1408</v>
      </c>
      <c r="C868" s="458" t="s">
        <v>348</v>
      </c>
      <c r="D868" s="458" t="s">
        <v>410</v>
      </c>
      <c r="E868" s="458" t="s">
        <v>83</v>
      </c>
      <c r="F868" s="458" t="s">
        <v>411</v>
      </c>
      <c r="G868" s="458" t="s">
        <v>83</v>
      </c>
      <c r="H868" s="458" t="s">
        <v>83</v>
      </c>
      <c r="I868" s="458" t="s">
        <v>83</v>
      </c>
      <c r="J868" s="464"/>
      <c r="K868" s="458" t="s">
        <v>1410</v>
      </c>
      <c r="L868" s="457"/>
    </row>
    <row r="869" spans="1:12" s="458" customFormat="1" ht="11.25" customHeight="1">
      <c r="A869" s="458" t="s">
        <v>1419</v>
      </c>
      <c r="B869" s="458" t="s">
        <v>1408</v>
      </c>
      <c r="C869" s="458" t="s">
        <v>348</v>
      </c>
      <c r="D869" s="458" t="s">
        <v>410</v>
      </c>
      <c r="E869" s="458" t="s">
        <v>83</v>
      </c>
      <c r="F869" s="458" t="s">
        <v>411</v>
      </c>
      <c r="G869" s="458" t="s">
        <v>83</v>
      </c>
      <c r="H869" s="458" t="s">
        <v>83</v>
      </c>
      <c r="I869" s="458" t="s">
        <v>83</v>
      </c>
      <c r="J869" s="464"/>
      <c r="K869" s="458" t="s">
        <v>1410</v>
      </c>
      <c r="L869" s="457"/>
    </row>
    <row r="870" spans="1:12" s="458" customFormat="1" ht="11.25" customHeight="1">
      <c r="A870" s="458" t="s">
        <v>1420</v>
      </c>
      <c r="B870" s="458" t="s">
        <v>1408</v>
      </c>
      <c r="C870" s="458" t="s">
        <v>348</v>
      </c>
      <c r="D870" s="458" t="s">
        <v>410</v>
      </c>
      <c r="E870" s="458" t="s">
        <v>83</v>
      </c>
      <c r="F870" s="458" t="s">
        <v>411</v>
      </c>
      <c r="G870" s="458" t="s">
        <v>83</v>
      </c>
      <c r="H870" s="458" t="s">
        <v>83</v>
      </c>
      <c r="I870" s="458" t="s">
        <v>83</v>
      </c>
      <c r="J870" s="464"/>
      <c r="K870" s="458" t="s">
        <v>1410</v>
      </c>
      <c r="L870" s="457"/>
    </row>
    <row r="871" spans="1:12" s="458" customFormat="1" ht="11.25" customHeight="1">
      <c r="A871" s="458" t="s">
        <v>1421</v>
      </c>
      <c r="B871" s="458" t="s">
        <v>1408</v>
      </c>
      <c r="C871" s="458" t="s">
        <v>348</v>
      </c>
      <c r="D871" s="458" t="s">
        <v>410</v>
      </c>
      <c r="E871" s="458" t="s">
        <v>83</v>
      </c>
      <c r="F871" s="458" t="s">
        <v>411</v>
      </c>
      <c r="G871" s="458" t="s">
        <v>83</v>
      </c>
      <c r="H871" s="458" t="s">
        <v>83</v>
      </c>
      <c r="I871" s="458" t="s">
        <v>83</v>
      </c>
      <c r="J871" s="464"/>
      <c r="K871" s="458" t="s">
        <v>1410</v>
      </c>
      <c r="L871" s="457"/>
    </row>
    <row r="872" spans="1:12" s="458" customFormat="1" ht="11.25" customHeight="1">
      <c r="A872" s="458" t="s">
        <v>1422</v>
      </c>
      <c r="B872" s="458" t="s">
        <v>1408</v>
      </c>
      <c r="C872" s="458" t="s">
        <v>348</v>
      </c>
      <c r="D872" s="458" t="s">
        <v>410</v>
      </c>
      <c r="E872" s="458" t="s">
        <v>83</v>
      </c>
      <c r="F872" s="458" t="s">
        <v>411</v>
      </c>
      <c r="G872" s="458" t="s">
        <v>83</v>
      </c>
      <c r="H872" s="458" t="s">
        <v>83</v>
      </c>
      <c r="I872" s="458" t="s">
        <v>83</v>
      </c>
      <c r="J872" s="464"/>
      <c r="K872" s="458" t="s">
        <v>1410</v>
      </c>
      <c r="L872" s="457"/>
    </row>
    <row r="873" spans="1:12" s="458" customFormat="1" ht="11.25" customHeight="1">
      <c r="A873" s="458" t="s">
        <v>1423</v>
      </c>
      <c r="B873" s="458" t="s">
        <v>1408</v>
      </c>
      <c r="C873" s="458" t="s">
        <v>348</v>
      </c>
      <c r="D873" s="458" t="s">
        <v>410</v>
      </c>
      <c r="E873" s="458" t="s">
        <v>83</v>
      </c>
      <c r="F873" s="458" t="s">
        <v>411</v>
      </c>
      <c r="G873" s="458" t="s">
        <v>83</v>
      </c>
      <c r="H873" s="458" t="s">
        <v>83</v>
      </c>
      <c r="I873" s="458" t="s">
        <v>83</v>
      </c>
      <c r="J873" s="464"/>
      <c r="K873" s="458" t="s">
        <v>1410</v>
      </c>
      <c r="L873" s="457"/>
    </row>
    <row r="874" spans="1:12" s="458" customFormat="1" ht="11.25" customHeight="1">
      <c r="A874" s="458" t="s">
        <v>1424</v>
      </c>
      <c r="B874" s="458" t="s">
        <v>1408</v>
      </c>
      <c r="C874" s="458" t="s">
        <v>348</v>
      </c>
      <c r="D874" s="458" t="s">
        <v>410</v>
      </c>
      <c r="E874" s="458" t="s">
        <v>83</v>
      </c>
      <c r="F874" s="458" t="s">
        <v>411</v>
      </c>
      <c r="G874" s="458" t="s">
        <v>83</v>
      </c>
      <c r="H874" s="458" t="s">
        <v>83</v>
      </c>
      <c r="I874" s="458" t="s">
        <v>83</v>
      </c>
      <c r="J874" s="464"/>
      <c r="K874" s="458" t="s">
        <v>1410</v>
      </c>
      <c r="L874" s="457"/>
    </row>
    <row r="875" spans="1:11" ht="11.25" customHeight="1">
      <c r="A875" s="65" t="s">
        <v>1425</v>
      </c>
      <c r="B875" s="65" t="s">
        <v>1408</v>
      </c>
      <c r="C875" s="65">
        <v>1</v>
      </c>
      <c r="D875" s="65" t="s">
        <v>495</v>
      </c>
      <c r="E875" s="65" t="s">
        <v>424</v>
      </c>
      <c r="F875" s="65" t="s">
        <v>411</v>
      </c>
      <c r="G875" s="65" t="s">
        <v>83</v>
      </c>
      <c r="H875" s="65">
        <v>7</v>
      </c>
      <c r="I875" s="65" t="s">
        <v>83</v>
      </c>
      <c r="J875" s="466"/>
      <c r="K875" s="65" t="s">
        <v>1410</v>
      </c>
    </row>
    <row r="876" spans="1:12" s="458" customFormat="1" ht="11.25" customHeight="1">
      <c r="A876" s="458" t="s">
        <v>1426</v>
      </c>
      <c r="B876" s="458" t="s">
        <v>1408</v>
      </c>
      <c r="C876" s="458">
        <v>1</v>
      </c>
      <c r="D876" s="458" t="s">
        <v>410</v>
      </c>
      <c r="E876" s="458" t="s">
        <v>83</v>
      </c>
      <c r="F876" s="458" t="s">
        <v>411</v>
      </c>
      <c r="G876" s="458" t="s">
        <v>83</v>
      </c>
      <c r="H876" s="458" t="s">
        <v>83</v>
      </c>
      <c r="I876" s="458" t="s">
        <v>83</v>
      </c>
      <c r="J876" s="464"/>
      <c r="K876" s="451" t="s">
        <v>1410</v>
      </c>
      <c r="L876" s="457" t="s">
        <v>1427</v>
      </c>
    </row>
    <row r="877" spans="1:12" s="458" customFormat="1" ht="11.25" customHeight="1">
      <c r="A877" s="458" t="s">
        <v>1428</v>
      </c>
      <c r="B877" s="458" t="s">
        <v>1408</v>
      </c>
      <c r="C877" s="458" t="s">
        <v>348</v>
      </c>
      <c r="D877" s="458" t="s">
        <v>410</v>
      </c>
      <c r="E877" s="458" t="s">
        <v>83</v>
      </c>
      <c r="F877" s="458" t="s">
        <v>411</v>
      </c>
      <c r="G877" s="458" t="s">
        <v>83</v>
      </c>
      <c r="H877" s="458" t="s">
        <v>83</v>
      </c>
      <c r="I877" s="458" t="s">
        <v>83</v>
      </c>
      <c r="J877" s="464"/>
      <c r="K877" s="458" t="s">
        <v>1410</v>
      </c>
      <c r="L877" s="457" t="s">
        <v>1429</v>
      </c>
    </row>
    <row r="878" spans="1:12" s="476" customFormat="1" ht="11.25" customHeight="1">
      <c r="A878" s="476" t="s">
        <v>1430</v>
      </c>
      <c r="B878" s="476" t="s">
        <v>1408</v>
      </c>
      <c r="C878" s="476" t="s">
        <v>348</v>
      </c>
      <c r="D878" s="476" t="s">
        <v>410</v>
      </c>
      <c r="E878" s="476" t="s">
        <v>83</v>
      </c>
      <c r="F878" s="476" t="s">
        <v>411</v>
      </c>
      <c r="G878" s="476" t="s">
        <v>83</v>
      </c>
      <c r="H878" s="476" t="s">
        <v>83</v>
      </c>
      <c r="I878" s="476" t="s">
        <v>83</v>
      </c>
      <c r="J878" s="477"/>
      <c r="K878" s="476" t="s">
        <v>1410</v>
      </c>
      <c r="L878" s="478"/>
    </row>
    <row r="879" spans="1:256" ht="11.25" customHeight="1">
      <c r="A879" s="458" t="s">
        <v>1431</v>
      </c>
      <c r="B879" s="458" t="s">
        <v>1408</v>
      </c>
      <c r="C879" s="458">
        <v>1</v>
      </c>
      <c r="D879" s="458" t="s">
        <v>410</v>
      </c>
      <c r="E879" s="458" t="s">
        <v>83</v>
      </c>
      <c r="F879" s="458" t="s">
        <v>411</v>
      </c>
      <c r="G879" s="458" t="s">
        <v>83</v>
      </c>
      <c r="H879" s="458" t="s">
        <v>83</v>
      </c>
      <c r="I879" s="458" t="s">
        <v>83</v>
      </c>
      <c r="J879" s="464"/>
      <c r="K879" s="451" t="s">
        <v>1410</v>
      </c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</row>
    <row r="880" spans="1:11" ht="11.25" customHeight="1">
      <c r="A880" s="65" t="s">
        <v>1432</v>
      </c>
      <c r="B880" s="65" t="s">
        <v>1408</v>
      </c>
      <c r="C880" s="65" t="s">
        <v>348</v>
      </c>
      <c r="D880" s="65" t="s">
        <v>1433</v>
      </c>
      <c r="E880" s="65" t="s">
        <v>424</v>
      </c>
      <c r="F880" s="65" t="s">
        <v>411</v>
      </c>
      <c r="G880" s="65" t="s">
        <v>83</v>
      </c>
      <c r="H880" s="65">
        <v>4</v>
      </c>
      <c r="I880" s="65" t="s">
        <v>83</v>
      </c>
      <c r="J880" s="466"/>
      <c r="K880" s="390" t="s">
        <v>1434</v>
      </c>
    </row>
    <row r="881" spans="1:11" ht="11.25" customHeight="1">
      <c r="A881" s="65" t="s">
        <v>1435</v>
      </c>
      <c r="B881" s="65" t="s">
        <v>1408</v>
      </c>
      <c r="C881" s="65">
        <v>1</v>
      </c>
      <c r="D881" s="65" t="s">
        <v>644</v>
      </c>
      <c r="E881" s="65" t="s">
        <v>424</v>
      </c>
      <c r="F881" s="65" t="s">
        <v>411</v>
      </c>
      <c r="G881" s="65" t="s">
        <v>83</v>
      </c>
      <c r="H881" s="65">
        <v>5</v>
      </c>
      <c r="I881" s="65" t="s">
        <v>83</v>
      </c>
      <c r="J881" s="466"/>
      <c r="K881" s="65" t="s">
        <v>1434</v>
      </c>
    </row>
    <row r="882" spans="1:11" ht="11.25" customHeight="1">
      <c r="A882" s="65" t="s">
        <v>1436</v>
      </c>
      <c r="B882" s="65" t="s">
        <v>1408</v>
      </c>
      <c r="C882" s="65" t="s">
        <v>348</v>
      </c>
      <c r="D882" s="65" t="s">
        <v>644</v>
      </c>
      <c r="E882" s="65" t="s">
        <v>424</v>
      </c>
      <c r="F882" s="65" t="s">
        <v>411</v>
      </c>
      <c r="G882" s="65" t="s">
        <v>83</v>
      </c>
      <c r="H882" s="65">
        <v>10</v>
      </c>
      <c r="I882" s="65" t="s">
        <v>83</v>
      </c>
      <c r="J882" s="466"/>
      <c r="K882" s="65" t="s">
        <v>1434</v>
      </c>
    </row>
    <row r="883" spans="1:11" ht="11.25" customHeight="1">
      <c r="A883" s="65" t="s">
        <v>1437</v>
      </c>
      <c r="B883" s="65" t="s">
        <v>1408</v>
      </c>
      <c r="C883" s="65" t="s">
        <v>348</v>
      </c>
      <c r="D883" s="65" t="s">
        <v>652</v>
      </c>
      <c r="E883" s="65" t="s">
        <v>424</v>
      </c>
      <c r="F883" s="65" t="s">
        <v>411</v>
      </c>
      <c r="G883" s="65" t="s">
        <v>83</v>
      </c>
      <c r="H883" s="65" t="s">
        <v>83</v>
      </c>
      <c r="I883" s="65" t="s">
        <v>1438</v>
      </c>
      <c r="J883" s="466"/>
      <c r="K883" s="390" t="s">
        <v>1434</v>
      </c>
    </row>
    <row r="884" spans="1:11" ht="11.25" customHeight="1">
      <c r="A884" s="65" t="s">
        <v>1439</v>
      </c>
      <c r="B884" s="65" t="s">
        <v>1408</v>
      </c>
      <c r="C884" s="65" t="s">
        <v>348</v>
      </c>
      <c r="D884" s="65" t="s">
        <v>644</v>
      </c>
      <c r="E884" s="65" t="s">
        <v>424</v>
      </c>
      <c r="F884" s="65" t="s">
        <v>411</v>
      </c>
      <c r="G884" s="65" t="s">
        <v>83</v>
      </c>
      <c r="H884" s="65">
        <v>8</v>
      </c>
      <c r="I884" s="65" t="s">
        <v>83</v>
      </c>
      <c r="J884" s="466"/>
      <c r="K884" s="390" t="s">
        <v>1434</v>
      </c>
    </row>
    <row r="885" spans="1:11" ht="11.25" customHeight="1">
      <c r="A885" s="458" t="s">
        <v>1440</v>
      </c>
      <c r="B885" s="458" t="s">
        <v>1408</v>
      </c>
      <c r="C885" s="458" t="s">
        <v>348</v>
      </c>
      <c r="D885" s="458" t="s">
        <v>410</v>
      </c>
      <c r="E885" s="458" t="s">
        <v>83</v>
      </c>
      <c r="F885" s="458" t="s">
        <v>411</v>
      </c>
      <c r="G885" s="458" t="s">
        <v>83</v>
      </c>
      <c r="H885" s="458" t="s">
        <v>83</v>
      </c>
      <c r="I885" s="458" t="s">
        <v>83</v>
      </c>
      <c r="J885" s="466"/>
      <c r="K885" s="65" t="s">
        <v>1434</v>
      </c>
    </row>
    <row r="886" spans="1:12" s="458" customFormat="1" ht="11.25" customHeight="1">
      <c r="A886" s="458" t="s">
        <v>1441</v>
      </c>
      <c r="B886" s="458" t="s">
        <v>1408</v>
      </c>
      <c r="C886" s="458">
        <v>1</v>
      </c>
      <c r="D886" s="458" t="s">
        <v>410</v>
      </c>
      <c r="E886" s="458" t="s">
        <v>83</v>
      </c>
      <c r="F886" s="458" t="s">
        <v>411</v>
      </c>
      <c r="G886" s="458" t="s">
        <v>83</v>
      </c>
      <c r="H886" s="458" t="s">
        <v>83</v>
      </c>
      <c r="I886" s="458" t="s">
        <v>83</v>
      </c>
      <c r="J886" s="464"/>
      <c r="K886" s="458" t="s">
        <v>1434</v>
      </c>
      <c r="L886" s="457"/>
    </row>
    <row r="887" spans="1:11" ht="11.25" customHeight="1">
      <c r="A887" s="65" t="s">
        <v>1442</v>
      </c>
      <c r="B887" s="65" t="s">
        <v>1408</v>
      </c>
      <c r="C887" s="65" t="s">
        <v>348</v>
      </c>
      <c r="D887" s="65" t="s">
        <v>566</v>
      </c>
      <c r="E887" s="65" t="s">
        <v>174</v>
      </c>
      <c r="F887" s="65" t="s">
        <v>547</v>
      </c>
      <c r="G887" s="65" t="s">
        <v>572</v>
      </c>
      <c r="H887" s="65">
        <v>6</v>
      </c>
      <c r="I887" s="65" t="s">
        <v>83</v>
      </c>
      <c r="J887" s="466"/>
      <c r="K887" s="65" t="s">
        <v>1434</v>
      </c>
    </row>
    <row r="888" spans="1:11" ht="11.25" customHeight="1">
      <c r="A888" s="65" t="s">
        <v>1443</v>
      </c>
      <c r="B888" s="65" t="s">
        <v>1408</v>
      </c>
      <c r="C888" s="65">
        <v>1</v>
      </c>
      <c r="D888" s="65" t="s">
        <v>652</v>
      </c>
      <c r="E888" s="65" t="s">
        <v>424</v>
      </c>
      <c r="F888" s="65" t="s">
        <v>871</v>
      </c>
      <c r="G888" s="65" t="s">
        <v>871</v>
      </c>
      <c r="H888" s="65">
        <v>4</v>
      </c>
      <c r="I888" s="65" t="s">
        <v>1365</v>
      </c>
      <c r="J888" s="466"/>
      <c r="K888" s="390" t="s">
        <v>1444</v>
      </c>
    </row>
    <row r="889" spans="1:12" s="476" customFormat="1" ht="11.25" customHeight="1">
      <c r="A889" s="476" t="s">
        <v>1445</v>
      </c>
      <c r="B889" s="476" t="s">
        <v>1408</v>
      </c>
      <c r="C889" s="476" t="s">
        <v>348</v>
      </c>
      <c r="D889" s="476" t="s">
        <v>410</v>
      </c>
      <c r="E889" s="476" t="s">
        <v>83</v>
      </c>
      <c r="F889" s="476" t="s">
        <v>411</v>
      </c>
      <c r="G889" s="476" t="s">
        <v>83</v>
      </c>
      <c r="H889" s="476" t="s">
        <v>83</v>
      </c>
      <c r="I889" s="476" t="s">
        <v>83</v>
      </c>
      <c r="J889" s="477"/>
      <c r="K889" s="476" t="s">
        <v>1444</v>
      </c>
      <c r="L889" s="478"/>
    </row>
    <row r="890" spans="1:11" ht="11.25" customHeight="1">
      <c r="A890" s="65" t="s">
        <v>1446</v>
      </c>
      <c r="B890" s="65" t="s">
        <v>1408</v>
      </c>
      <c r="C890" s="65">
        <v>1</v>
      </c>
      <c r="D890" s="65" t="s">
        <v>488</v>
      </c>
      <c r="E890" s="65" t="s">
        <v>424</v>
      </c>
      <c r="F890" s="65" t="s">
        <v>411</v>
      </c>
      <c r="G890" s="65" t="s">
        <v>83</v>
      </c>
      <c r="H890" s="65">
        <v>6</v>
      </c>
      <c r="I890" s="65" t="s">
        <v>991</v>
      </c>
      <c r="J890" s="466"/>
      <c r="K890" s="390" t="s">
        <v>1444</v>
      </c>
    </row>
    <row r="891" spans="1:12" s="458" customFormat="1" ht="11.25" customHeight="1">
      <c r="A891" s="458" t="s">
        <v>1447</v>
      </c>
      <c r="B891" s="458" t="s">
        <v>1408</v>
      </c>
      <c r="C891" s="458" t="s">
        <v>348</v>
      </c>
      <c r="D891" s="458" t="s">
        <v>410</v>
      </c>
      <c r="E891" s="458" t="s">
        <v>83</v>
      </c>
      <c r="F891" s="458" t="s">
        <v>411</v>
      </c>
      <c r="G891" s="458" t="s">
        <v>83</v>
      </c>
      <c r="H891" s="458" t="s">
        <v>83</v>
      </c>
      <c r="I891" s="458" t="s">
        <v>83</v>
      </c>
      <c r="J891" s="464"/>
      <c r="K891" s="458" t="s">
        <v>1444</v>
      </c>
      <c r="L891" s="457"/>
    </row>
    <row r="892" spans="1:11" ht="11.25" customHeight="1">
      <c r="A892" s="65" t="s">
        <v>1448</v>
      </c>
      <c r="B892" s="65" t="s">
        <v>1408</v>
      </c>
      <c r="C892" s="65" t="s">
        <v>348</v>
      </c>
      <c r="D892" s="65" t="s">
        <v>488</v>
      </c>
      <c r="E892" s="65" t="s">
        <v>424</v>
      </c>
      <c r="F892" s="65" t="s">
        <v>411</v>
      </c>
      <c r="G892" s="65" t="s">
        <v>83</v>
      </c>
      <c r="H892" s="65">
        <v>5</v>
      </c>
      <c r="I892" s="65" t="s">
        <v>83</v>
      </c>
      <c r="J892" s="466"/>
      <c r="K892" s="65" t="s">
        <v>1444</v>
      </c>
    </row>
    <row r="893" spans="1:12" s="476" customFormat="1" ht="11.25" customHeight="1">
      <c r="A893" s="476" t="s">
        <v>1449</v>
      </c>
      <c r="B893" s="476" t="s">
        <v>1408</v>
      </c>
      <c r="C893" s="476">
        <v>1</v>
      </c>
      <c r="D893" s="476" t="s">
        <v>410</v>
      </c>
      <c r="E893" s="476" t="s">
        <v>83</v>
      </c>
      <c r="F893" s="476" t="s">
        <v>411</v>
      </c>
      <c r="G893" s="476" t="s">
        <v>83</v>
      </c>
      <c r="H893" s="476" t="s">
        <v>83</v>
      </c>
      <c r="I893" s="476" t="s">
        <v>83</v>
      </c>
      <c r="J893" s="477"/>
      <c r="K893" s="463" t="s">
        <v>1444</v>
      </c>
      <c r="L893" s="478"/>
    </row>
    <row r="894" spans="1:12" s="458" customFormat="1" ht="11.25" customHeight="1">
      <c r="A894" s="458" t="s">
        <v>1450</v>
      </c>
      <c r="B894" s="458" t="s">
        <v>1408</v>
      </c>
      <c r="C894" s="458">
        <v>1</v>
      </c>
      <c r="D894" s="458" t="s">
        <v>410</v>
      </c>
      <c r="E894" s="458" t="s">
        <v>83</v>
      </c>
      <c r="F894" s="458" t="s">
        <v>411</v>
      </c>
      <c r="G894" s="458" t="s">
        <v>83</v>
      </c>
      <c r="H894" s="458" t="s">
        <v>83</v>
      </c>
      <c r="I894" s="458" t="s">
        <v>83</v>
      </c>
      <c r="J894" s="464"/>
      <c r="K894" s="451" t="s">
        <v>1444</v>
      </c>
      <c r="L894" s="457"/>
    </row>
    <row r="895" spans="1:11" ht="11.25" customHeight="1">
      <c r="A895" s="458" t="s">
        <v>1451</v>
      </c>
      <c r="B895" s="458" t="s">
        <v>1408</v>
      </c>
      <c r="C895" s="458">
        <v>1</v>
      </c>
      <c r="D895" s="458" t="s">
        <v>410</v>
      </c>
      <c r="E895" s="458" t="s">
        <v>83</v>
      </c>
      <c r="F895" s="458" t="s">
        <v>411</v>
      </c>
      <c r="G895" s="458" t="s">
        <v>83</v>
      </c>
      <c r="H895" s="458" t="s">
        <v>83</v>
      </c>
      <c r="I895" s="458" t="s">
        <v>83</v>
      </c>
      <c r="J895" s="466"/>
      <c r="K895" s="390" t="s">
        <v>1444</v>
      </c>
    </row>
    <row r="896" spans="1:11" ht="11.25" customHeight="1">
      <c r="A896" s="65" t="s">
        <v>1452</v>
      </c>
      <c r="B896" s="65" t="s">
        <v>1408</v>
      </c>
      <c r="C896" s="65">
        <v>1</v>
      </c>
      <c r="D896" s="65" t="s">
        <v>566</v>
      </c>
      <c r="E896" s="65" t="s">
        <v>174</v>
      </c>
      <c r="F896" s="65" t="s">
        <v>871</v>
      </c>
      <c r="G896" s="65" t="s">
        <v>871</v>
      </c>
      <c r="H896" s="65">
        <v>8</v>
      </c>
      <c r="I896" s="65" t="s">
        <v>323</v>
      </c>
      <c r="J896" s="466"/>
      <c r="K896" s="65" t="s">
        <v>1444</v>
      </c>
    </row>
    <row r="897" spans="1:11" ht="11.25" customHeight="1">
      <c r="A897" s="445" t="s">
        <v>1453</v>
      </c>
      <c r="B897" s="446" t="s">
        <v>322</v>
      </c>
      <c r="C897" s="446" t="s">
        <v>323</v>
      </c>
      <c r="D897" s="446" t="s">
        <v>324</v>
      </c>
      <c r="E897" s="446" t="s">
        <v>185</v>
      </c>
      <c r="F897" s="446" t="s">
        <v>325</v>
      </c>
      <c r="G897" s="446" t="s">
        <v>261</v>
      </c>
      <c r="H897" s="446" t="s">
        <v>326</v>
      </c>
      <c r="I897" s="446" t="s">
        <v>254</v>
      </c>
      <c r="J897" s="459" t="s">
        <v>327</v>
      </c>
      <c r="K897" s="447" t="s">
        <v>408</v>
      </c>
    </row>
    <row r="898" spans="1:11" ht="11.25" customHeight="1">
      <c r="A898" s="65" t="s">
        <v>1454</v>
      </c>
      <c r="B898" s="65" t="s">
        <v>1453</v>
      </c>
      <c r="C898" s="65">
        <v>1</v>
      </c>
      <c r="D898" s="65" t="s">
        <v>566</v>
      </c>
      <c r="E898" s="65" t="s">
        <v>424</v>
      </c>
      <c r="F898" s="65" t="s">
        <v>547</v>
      </c>
      <c r="G898" s="65" t="s">
        <v>548</v>
      </c>
      <c r="H898" s="65">
        <v>4</v>
      </c>
      <c r="I898" s="65" t="s">
        <v>83</v>
      </c>
      <c r="J898" s="466"/>
      <c r="K898" s="65" t="s">
        <v>1455</v>
      </c>
    </row>
    <row r="899" spans="1:11" ht="11.25" customHeight="1">
      <c r="A899" s="65" t="s">
        <v>1456</v>
      </c>
      <c r="B899" s="65" t="s">
        <v>1453</v>
      </c>
      <c r="C899" s="65">
        <v>1</v>
      </c>
      <c r="D899" s="65" t="s">
        <v>652</v>
      </c>
      <c r="E899" s="65" t="s">
        <v>613</v>
      </c>
      <c r="F899" s="65" t="s">
        <v>547</v>
      </c>
      <c r="G899" s="65" t="s">
        <v>548</v>
      </c>
      <c r="H899" s="65">
        <v>12</v>
      </c>
      <c r="I899" s="65" t="s">
        <v>83</v>
      </c>
      <c r="J899" s="466"/>
      <c r="K899" s="65" t="s">
        <v>1455</v>
      </c>
    </row>
    <row r="900" spans="1:11" ht="11.25" customHeight="1">
      <c r="A900" s="65" t="s">
        <v>1457</v>
      </c>
      <c r="B900" s="65" t="s">
        <v>1453</v>
      </c>
      <c r="C900" s="65" t="s">
        <v>348</v>
      </c>
      <c r="D900" s="65" t="s">
        <v>488</v>
      </c>
      <c r="E900" s="65" t="s">
        <v>424</v>
      </c>
      <c r="F900" s="65" t="s">
        <v>871</v>
      </c>
      <c r="G900" s="65" t="s">
        <v>548</v>
      </c>
      <c r="H900" s="65">
        <v>8</v>
      </c>
      <c r="I900" s="65" t="s">
        <v>83</v>
      </c>
      <c r="J900" s="466"/>
      <c r="K900" s="65" t="s">
        <v>1455</v>
      </c>
    </row>
    <row r="901" spans="1:11" ht="11.25" customHeight="1">
      <c r="A901" s="65" t="s">
        <v>1458</v>
      </c>
      <c r="B901" s="65" t="s">
        <v>1453</v>
      </c>
      <c r="C901" s="65">
        <v>1</v>
      </c>
      <c r="D901" s="65" t="s">
        <v>488</v>
      </c>
      <c r="E901" s="65" t="s">
        <v>424</v>
      </c>
      <c r="F901" s="65" t="s">
        <v>547</v>
      </c>
      <c r="G901" s="65" t="s">
        <v>548</v>
      </c>
      <c r="H901" s="65">
        <v>6</v>
      </c>
      <c r="I901" s="65" t="s">
        <v>83</v>
      </c>
      <c r="J901" s="466"/>
      <c r="K901" s="65" t="s">
        <v>1455</v>
      </c>
    </row>
    <row r="902" spans="1:11" ht="11.25" customHeight="1">
      <c r="A902" s="65" t="s">
        <v>1459</v>
      </c>
      <c r="B902" s="65" t="s">
        <v>1453</v>
      </c>
      <c r="C902" s="65">
        <v>1</v>
      </c>
      <c r="D902" s="65" t="s">
        <v>566</v>
      </c>
      <c r="E902" s="65" t="s">
        <v>613</v>
      </c>
      <c r="F902" s="65" t="s">
        <v>547</v>
      </c>
      <c r="G902" s="65" t="s">
        <v>548</v>
      </c>
      <c r="H902" s="65">
        <v>2</v>
      </c>
      <c r="I902" s="65" t="s">
        <v>1365</v>
      </c>
      <c r="J902" s="466"/>
      <c r="K902" s="65" t="s">
        <v>1455</v>
      </c>
    </row>
    <row r="903" spans="1:11" ht="11.25" customHeight="1">
      <c r="A903" s="65" t="s">
        <v>1460</v>
      </c>
      <c r="B903" s="65" t="s">
        <v>1453</v>
      </c>
      <c r="C903" s="65">
        <v>1</v>
      </c>
      <c r="D903" s="65" t="s">
        <v>566</v>
      </c>
      <c r="E903" s="65" t="s">
        <v>613</v>
      </c>
      <c r="F903" s="65" t="s">
        <v>547</v>
      </c>
      <c r="G903" s="65" t="s">
        <v>548</v>
      </c>
      <c r="H903" s="65">
        <v>10</v>
      </c>
      <c r="I903" s="65" t="s">
        <v>83</v>
      </c>
      <c r="J903" s="466"/>
      <c r="K903" s="65" t="s">
        <v>1455</v>
      </c>
    </row>
    <row r="904" spans="1:11" ht="11.25" customHeight="1">
      <c r="A904" s="65" t="s">
        <v>1461</v>
      </c>
      <c r="B904" s="65" t="s">
        <v>1453</v>
      </c>
      <c r="C904" s="65" t="s">
        <v>348</v>
      </c>
      <c r="D904" s="65" t="s">
        <v>644</v>
      </c>
      <c r="E904" s="65" t="s">
        <v>424</v>
      </c>
      <c r="F904" s="65" t="s">
        <v>411</v>
      </c>
      <c r="G904" s="65" t="s">
        <v>83</v>
      </c>
      <c r="H904" s="65">
        <v>6</v>
      </c>
      <c r="I904" s="65">
        <v>3</v>
      </c>
      <c r="J904" s="466"/>
      <c r="K904" s="65" t="s">
        <v>1455</v>
      </c>
    </row>
    <row r="905" spans="1:11" ht="11.25" customHeight="1">
      <c r="A905" s="65" t="s">
        <v>1462</v>
      </c>
      <c r="B905" s="65" t="s">
        <v>1453</v>
      </c>
      <c r="C905" s="65">
        <v>1</v>
      </c>
      <c r="D905" s="65" t="s">
        <v>588</v>
      </c>
      <c r="E905" s="65" t="s">
        <v>424</v>
      </c>
      <c r="F905" s="65" t="s">
        <v>547</v>
      </c>
      <c r="G905" s="65" t="s">
        <v>548</v>
      </c>
      <c r="H905" s="65">
        <v>10</v>
      </c>
      <c r="I905" s="65" t="s">
        <v>1463</v>
      </c>
      <c r="J905" s="466"/>
      <c r="K905" s="65" t="s">
        <v>1455</v>
      </c>
    </row>
    <row r="906" spans="1:11" ht="11.25" customHeight="1">
      <c r="A906" s="65" t="s">
        <v>1464</v>
      </c>
      <c r="B906" s="65" t="s">
        <v>1453</v>
      </c>
      <c r="C906" s="65" t="s">
        <v>348</v>
      </c>
      <c r="D906" s="65" t="s">
        <v>588</v>
      </c>
      <c r="E906" s="65" t="s">
        <v>613</v>
      </c>
      <c r="F906" s="65" t="s">
        <v>871</v>
      </c>
      <c r="G906" s="65" t="s">
        <v>548</v>
      </c>
      <c r="H906" s="65">
        <v>20</v>
      </c>
      <c r="I906" s="65" t="s">
        <v>991</v>
      </c>
      <c r="J906" s="466"/>
      <c r="K906" s="65" t="s">
        <v>1455</v>
      </c>
    </row>
    <row r="907" spans="1:11" ht="11.25" customHeight="1">
      <c r="A907" s="65" t="s">
        <v>1465</v>
      </c>
      <c r="B907" s="65" t="s">
        <v>1453</v>
      </c>
      <c r="C907" s="65">
        <v>1</v>
      </c>
      <c r="D907" s="65" t="s">
        <v>566</v>
      </c>
      <c r="E907" s="65" t="s">
        <v>613</v>
      </c>
      <c r="F907" s="65" t="s">
        <v>547</v>
      </c>
      <c r="G907" s="65" t="s">
        <v>548</v>
      </c>
      <c r="H907" s="65">
        <v>6</v>
      </c>
      <c r="I907" s="65" t="s">
        <v>83</v>
      </c>
      <c r="J907" s="466"/>
      <c r="K907" s="65" t="s">
        <v>1466</v>
      </c>
    </row>
    <row r="908" spans="1:11" ht="11.25" customHeight="1">
      <c r="A908" s="65" t="s">
        <v>1467</v>
      </c>
      <c r="B908" s="65" t="s">
        <v>1453</v>
      </c>
      <c r="C908" s="65">
        <v>1</v>
      </c>
      <c r="D908" s="65" t="s">
        <v>588</v>
      </c>
      <c r="E908" s="65" t="s">
        <v>424</v>
      </c>
      <c r="F908" s="65" t="s">
        <v>547</v>
      </c>
      <c r="G908" s="65" t="s">
        <v>548</v>
      </c>
      <c r="H908" s="65">
        <v>10</v>
      </c>
      <c r="I908" s="65" t="s">
        <v>323</v>
      </c>
      <c r="J908" s="466"/>
      <c r="K908" s="65" t="s">
        <v>1466</v>
      </c>
    </row>
    <row r="909" spans="1:11" ht="11.25" customHeight="1">
      <c r="A909" s="458" t="s">
        <v>1468</v>
      </c>
      <c r="B909" s="458" t="s">
        <v>1453</v>
      </c>
      <c r="C909" s="458">
        <v>1</v>
      </c>
      <c r="D909" s="458" t="s">
        <v>410</v>
      </c>
      <c r="E909" s="458" t="s">
        <v>83</v>
      </c>
      <c r="F909" s="458" t="s">
        <v>411</v>
      </c>
      <c r="G909" s="458" t="s">
        <v>83</v>
      </c>
      <c r="H909" s="458" t="s">
        <v>83</v>
      </c>
      <c r="I909" s="458" t="s">
        <v>83</v>
      </c>
      <c r="J909" s="464"/>
      <c r="K909" s="458" t="s">
        <v>1466</v>
      </c>
    </row>
    <row r="910" spans="1:11" ht="11.25" customHeight="1">
      <c r="A910" s="65" t="s">
        <v>1469</v>
      </c>
      <c r="B910" s="65" t="s">
        <v>1453</v>
      </c>
      <c r="C910" s="65">
        <v>1</v>
      </c>
      <c r="D910" s="65" t="s">
        <v>566</v>
      </c>
      <c r="E910" s="65" t="s">
        <v>613</v>
      </c>
      <c r="F910" s="65" t="s">
        <v>547</v>
      </c>
      <c r="G910" s="65" t="s">
        <v>548</v>
      </c>
      <c r="H910" s="65">
        <v>15</v>
      </c>
      <c r="I910" s="65" t="s">
        <v>1365</v>
      </c>
      <c r="J910" s="466"/>
      <c r="K910" s="390" t="s">
        <v>1466</v>
      </c>
    </row>
    <row r="911" spans="1:11" ht="11.25" customHeight="1">
      <c r="A911" s="65" t="s">
        <v>1470</v>
      </c>
      <c r="B911" s="65" t="s">
        <v>1453</v>
      </c>
      <c r="C911" s="65">
        <v>1</v>
      </c>
      <c r="D911" s="65" t="s">
        <v>566</v>
      </c>
      <c r="E911" s="65" t="s">
        <v>613</v>
      </c>
      <c r="F911" s="65" t="s">
        <v>547</v>
      </c>
      <c r="G911" s="65" t="s">
        <v>548</v>
      </c>
      <c r="H911" s="65">
        <v>15</v>
      </c>
      <c r="I911" s="65" t="s">
        <v>323</v>
      </c>
      <c r="J911" s="466"/>
      <c r="K911" s="65" t="s">
        <v>1466</v>
      </c>
    </row>
    <row r="912" spans="1:11" ht="11.25" customHeight="1">
      <c r="A912" s="65" t="s">
        <v>1471</v>
      </c>
      <c r="B912" s="65" t="s">
        <v>1453</v>
      </c>
      <c r="C912" s="65">
        <v>1</v>
      </c>
      <c r="D912" s="65" t="s">
        <v>495</v>
      </c>
      <c r="E912" s="65" t="s">
        <v>424</v>
      </c>
      <c r="F912" s="65" t="s">
        <v>547</v>
      </c>
      <c r="G912" s="65" t="s">
        <v>572</v>
      </c>
      <c r="H912" s="65">
        <v>2</v>
      </c>
      <c r="I912" s="65" t="s">
        <v>83</v>
      </c>
      <c r="J912" s="466"/>
      <c r="K912" s="65" t="s">
        <v>1466</v>
      </c>
    </row>
    <row r="913" spans="1:11" ht="11.25" customHeight="1">
      <c r="A913" s="65" t="s">
        <v>1472</v>
      </c>
      <c r="B913" s="65" t="s">
        <v>1453</v>
      </c>
      <c r="C913" s="65">
        <v>1</v>
      </c>
      <c r="D913" s="65" t="s">
        <v>652</v>
      </c>
      <c r="E913" s="65" t="s">
        <v>424</v>
      </c>
      <c r="F913" s="65" t="s">
        <v>547</v>
      </c>
      <c r="G913" s="65" t="s">
        <v>548</v>
      </c>
      <c r="H913" s="65">
        <v>12</v>
      </c>
      <c r="I913" s="65" t="s">
        <v>991</v>
      </c>
      <c r="J913" s="466"/>
      <c r="K913" s="65" t="s">
        <v>1466</v>
      </c>
    </row>
    <row r="914" spans="1:11" ht="11.25" customHeight="1">
      <c r="A914" s="65" t="s">
        <v>1473</v>
      </c>
      <c r="B914" s="65" t="s">
        <v>1453</v>
      </c>
      <c r="C914" s="65">
        <v>1</v>
      </c>
      <c r="D914" s="65" t="s">
        <v>566</v>
      </c>
      <c r="E914" s="65" t="s">
        <v>613</v>
      </c>
      <c r="F914" s="65" t="s">
        <v>547</v>
      </c>
      <c r="G914" s="65" t="s">
        <v>572</v>
      </c>
      <c r="H914" s="65">
        <v>10</v>
      </c>
      <c r="I914" s="65" t="s">
        <v>83</v>
      </c>
      <c r="J914" s="466"/>
      <c r="K914" s="65" t="s">
        <v>1466</v>
      </c>
    </row>
    <row r="915" spans="1:11" ht="11.25" customHeight="1">
      <c r="A915" s="65" t="s">
        <v>1474</v>
      </c>
      <c r="B915" s="65" t="s">
        <v>1453</v>
      </c>
      <c r="C915" s="65" t="s">
        <v>348</v>
      </c>
      <c r="D915" s="65" t="s">
        <v>488</v>
      </c>
      <c r="E915" s="65" t="s">
        <v>424</v>
      </c>
      <c r="F915" s="65" t="s">
        <v>411</v>
      </c>
      <c r="G915" s="65" t="s">
        <v>83</v>
      </c>
      <c r="H915" s="65">
        <v>12</v>
      </c>
      <c r="I915" s="65" t="s">
        <v>83</v>
      </c>
      <c r="J915" s="466"/>
      <c r="K915" s="65" t="s">
        <v>1466</v>
      </c>
    </row>
    <row r="916" spans="1:12" s="476" customFormat="1" ht="11.25" customHeight="1">
      <c r="A916" s="476" t="s">
        <v>1475</v>
      </c>
      <c r="B916" s="476" t="s">
        <v>1453</v>
      </c>
      <c r="C916" s="476" t="s">
        <v>348</v>
      </c>
      <c r="D916" s="476" t="s">
        <v>495</v>
      </c>
      <c r="E916" s="476" t="s">
        <v>424</v>
      </c>
      <c r="F916" s="476" t="s">
        <v>411</v>
      </c>
      <c r="G916" s="476" t="s">
        <v>83</v>
      </c>
      <c r="H916" s="476">
        <v>4</v>
      </c>
      <c r="I916" s="476" t="s">
        <v>83</v>
      </c>
      <c r="J916" s="477"/>
      <c r="K916" s="476" t="s">
        <v>1476</v>
      </c>
      <c r="L916" s="478"/>
    </row>
    <row r="917" spans="1:12" s="458" customFormat="1" ht="11.25" customHeight="1">
      <c r="A917" s="458" t="s">
        <v>1477</v>
      </c>
      <c r="B917" s="458" t="s">
        <v>1453</v>
      </c>
      <c r="C917" s="458">
        <v>1</v>
      </c>
      <c r="D917" s="458" t="s">
        <v>410</v>
      </c>
      <c r="E917" s="458" t="s">
        <v>83</v>
      </c>
      <c r="F917" s="458" t="s">
        <v>411</v>
      </c>
      <c r="G917" s="458" t="s">
        <v>83</v>
      </c>
      <c r="H917" s="458" t="s">
        <v>83</v>
      </c>
      <c r="I917" s="458" t="s">
        <v>83</v>
      </c>
      <c r="J917" s="464"/>
      <c r="K917" s="458" t="s">
        <v>1476</v>
      </c>
      <c r="L917" s="457"/>
    </row>
    <row r="918" spans="1:11" ht="11.25" customHeight="1">
      <c r="A918" s="65" t="s">
        <v>1478</v>
      </c>
      <c r="B918" s="65" t="s">
        <v>1453</v>
      </c>
      <c r="C918" s="65" t="s">
        <v>348</v>
      </c>
      <c r="D918" s="65" t="s">
        <v>488</v>
      </c>
      <c r="E918" s="65" t="s">
        <v>424</v>
      </c>
      <c r="F918" s="65" t="s">
        <v>411</v>
      </c>
      <c r="G918" s="65" t="s">
        <v>83</v>
      </c>
      <c r="H918" s="65">
        <v>10</v>
      </c>
      <c r="I918" s="65" t="s">
        <v>83</v>
      </c>
      <c r="J918" s="466"/>
      <c r="K918" s="390" t="s">
        <v>1476</v>
      </c>
    </row>
    <row r="919" spans="1:11" ht="11.25" customHeight="1">
      <c r="A919" s="458" t="s">
        <v>1479</v>
      </c>
      <c r="B919" s="458" t="s">
        <v>1453</v>
      </c>
      <c r="C919" s="458">
        <v>1</v>
      </c>
      <c r="D919" s="458" t="s">
        <v>410</v>
      </c>
      <c r="E919" s="458" t="s">
        <v>83</v>
      </c>
      <c r="F919" s="458" t="s">
        <v>411</v>
      </c>
      <c r="G919" s="458" t="s">
        <v>83</v>
      </c>
      <c r="H919" s="458" t="s">
        <v>83</v>
      </c>
      <c r="I919" s="458" t="s">
        <v>83</v>
      </c>
      <c r="J919" s="464"/>
      <c r="K919" s="458" t="s">
        <v>1476</v>
      </c>
    </row>
    <row r="920" spans="1:11" ht="11.25" customHeight="1">
      <c r="A920" s="65" t="s">
        <v>1480</v>
      </c>
      <c r="B920" s="65" t="s">
        <v>1453</v>
      </c>
      <c r="C920" s="65">
        <v>1</v>
      </c>
      <c r="D920" s="65" t="s">
        <v>566</v>
      </c>
      <c r="E920" s="65" t="s">
        <v>613</v>
      </c>
      <c r="F920" s="65" t="s">
        <v>547</v>
      </c>
      <c r="G920" s="65" t="s">
        <v>572</v>
      </c>
      <c r="H920" s="65">
        <v>20</v>
      </c>
      <c r="I920" s="65" t="s">
        <v>83</v>
      </c>
      <c r="J920" s="466"/>
      <c r="K920" s="65" t="s">
        <v>1476</v>
      </c>
    </row>
    <row r="921" spans="1:12" s="476" customFormat="1" ht="11.25" customHeight="1">
      <c r="A921" s="476" t="s">
        <v>1481</v>
      </c>
      <c r="B921" s="476" t="s">
        <v>1453</v>
      </c>
      <c r="C921" s="476">
        <v>1</v>
      </c>
      <c r="D921" s="476" t="s">
        <v>410</v>
      </c>
      <c r="E921" s="476" t="s">
        <v>83</v>
      </c>
      <c r="F921" s="476" t="s">
        <v>411</v>
      </c>
      <c r="G921" s="476" t="s">
        <v>83</v>
      </c>
      <c r="H921" s="476" t="s">
        <v>83</v>
      </c>
      <c r="I921" s="476" t="s">
        <v>83</v>
      </c>
      <c r="J921" s="477"/>
      <c r="K921" s="463" t="s">
        <v>1476</v>
      </c>
      <c r="L921" s="478"/>
    </row>
    <row r="922" spans="1:12" s="476" customFormat="1" ht="11.25" customHeight="1">
      <c r="A922" s="476" t="s">
        <v>1482</v>
      </c>
      <c r="B922" s="476" t="s">
        <v>1453</v>
      </c>
      <c r="C922" s="476">
        <v>1</v>
      </c>
      <c r="D922" s="476" t="s">
        <v>410</v>
      </c>
      <c r="E922" s="476" t="s">
        <v>83</v>
      </c>
      <c r="F922" s="476" t="s">
        <v>411</v>
      </c>
      <c r="G922" s="476" t="s">
        <v>83</v>
      </c>
      <c r="H922" s="476" t="s">
        <v>83</v>
      </c>
      <c r="I922" s="476" t="s">
        <v>83</v>
      </c>
      <c r="J922" s="477"/>
      <c r="K922" s="463" t="s">
        <v>1476</v>
      </c>
      <c r="L922" s="478"/>
    </row>
    <row r="923" spans="1:12" s="476" customFormat="1" ht="11.25" customHeight="1">
      <c r="A923" s="476" t="s">
        <v>1483</v>
      </c>
      <c r="B923" s="476" t="s">
        <v>1453</v>
      </c>
      <c r="C923" s="476">
        <v>1</v>
      </c>
      <c r="D923" s="476" t="s">
        <v>410</v>
      </c>
      <c r="E923" s="476" t="s">
        <v>83</v>
      </c>
      <c r="F923" s="476" t="s">
        <v>411</v>
      </c>
      <c r="G923" s="476" t="s">
        <v>83</v>
      </c>
      <c r="H923" s="476" t="s">
        <v>83</v>
      </c>
      <c r="I923" s="476" t="s">
        <v>83</v>
      </c>
      <c r="J923" s="477"/>
      <c r="K923" s="463" t="s">
        <v>1476</v>
      </c>
      <c r="L923" s="478"/>
    </row>
    <row r="924" spans="1:11" ht="11.25" customHeight="1">
      <c r="A924" s="65" t="s">
        <v>1484</v>
      </c>
      <c r="B924" s="65" t="s">
        <v>1453</v>
      </c>
      <c r="C924" s="65">
        <v>1</v>
      </c>
      <c r="D924" s="65" t="s">
        <v>644</v>
      </c>
      <c r="E924" s="65" t="s">
        <v>424</v>
      </c>
      <c r="F924" s="65" t="s">
        <v>871</v>
      </c>
      <c r="G924" s="65" t="s">
        <v>871</v>
      </c>
      <c r="H924" s="65">
        <v>8</v>
      </c>
      <c r="I924" s="65" t="s">
        <v>323</v>
      </c>
      <c r="J924" s="466"/>
      <c r="K924" s="65" t="s">
        <v>1476</v>
      </c>
    </row>
    <row r="925" spans="1:11" ht="11.25" customHeight="1">
      <c r="A925" s="445" t="s">
        <v>1485</v>
      </c>
      <c r="B925" s="446" t="s">
        <v>322</v>
      </c>
      <c r="C925" s="446" t="s">
        <v>323</v>
      </c>
      <c r="D925" s="446" t="s">
        <v>324</v>
      </c>
      <c r="E925" s="446" t="s">
        <v>185</v>
      </c>
      <c r="F925" s="446" t="s">
        <v>325</v>
      </c>
      <c r="G925" s="446" t="s">
        <v>261</v>
      </c>
      <c r="H925" s="446" t="s">
        <v>326</v>
      </c>
      <c r="I925" s="446" t="s">
        <v>254</v>
      </c>
      <c r="J925" s="459" t="s">
        <v>327</v>
      </c>
      <c r="K925" s="447" t="s">
        <v>408</v>
      </c>
    </row>
    <row r="926" spans="1:11" ht="11.25" customHeight="1">
      <c r="A926" s="65" t="s">
        <v>1486</v>
      </c>
      <c r="B926" s="65" t="s">
        <v>1485</v>
      </c>
      <c r="C926" s="65" t="s">
        <v>348</v>
      </c>
      <c r="D926" s="65" t="s">
        <v>495</v>
      </c>
      <c r="E926" s="65" t="s">
        <v>424</v>
      </c>
      <c r="F926" s="65" t="s">
        <v>411</v>
      </c>
      <c r="G926" s="65" t="s">
        <v>83</v>
      </c>
      <c r="H926" s="65">
        <v>12</v>
      </c>
      <c r="I926" s="65" t="s">
        <v>83</v>
      </c>
      <c r="J926" s="466"/>
      <c r="K926" s="390" t="s">
        <v>1487</v>
      </c>
    </row>
    <row r="927" spans="1:11" ht="11.25" customHeight="1">
      <c r="A927" s="65" t="s">
        <v>1488</v>
      </c>
      <c r="B927" s="65" t="s">
        <v>1485</v>
      </c>
      <c r="C927" s="65">
        <v>1</v>
      </c>
      <c r="D927" s="65" t="s">
        <v>566</v>
      </c>
      <c r="E927" s="65" t="s">
        <v>424</v>
      </c>
      <c r="F927" s="65" t="s">
        <v>411</v>
      </c>
      <c r="G927" s="65" t="s">
        <v>83</v>
      </c>
      <c r="H927" s="65" t="s">
        <v>83</v>
      </c>
      <c r="I927" s="65" t="s">
        <v>323</v>
      </c>
      <c r="J927" s="466"/>
      <c r="K927" s="65" t="s">
        <v>1487</v>
      </c>
    </row>
    <row r="928" spans="1:12" s="458" customFormat="1" ht="11.25" customHeight="1">
      <c r="A928" s="458" t="s">
        <v>1489</v>
      </c>
      <c r="B928" s="458" t="s">
        <v>1485</v>
      </c>
      <c r="C928" s="458">
        <v>1</v>
      </c>
      <c r="D928" s="458" t="s">
        <v>410</v>
      </c>
      <c r="E928" s="458" t="s">
        <v>83</v>
      </c>
      <c r="F928" s="458" t="s">
        <v>411</v>
      </c>
      <c r="G928" s="458" t="s">
        <v>83</v>
      </c>
      <c r="H928" s="458" t="s">
        <v>83</v>
      </c>
      <c r="I928" s="458" t="s">
        <v>83</v>
      </c>
      <c r="J928" s="464"/>
      <c r="K928" s="458" t="s">
        <v>1487</v>
      </c>
      <c r="L928" s="457"/>
    </row>
    <row r="929" spans="1:11" ht="11.25" customHeight="1">
      <c r="A929" s="458" t="s">
        <v>1490</v>
      </c>
      <c r="B929" s="458" t="s">
        <v>1485</v>
      </c>
      <c r="C929" s="458">
        <v>1</v>
      </c>
      <c r="D929" s="458" t="s">
        <v>410</v>
      </c>
      <c r="E929" s="458" t="s">
        <v>83</v>
      </c>
      <c r="F929" s="458" t="s">
        <v>411</v>
      </c>
      <c r="G929" s="458" t="s">
        <v>83</v>
      </c>
      <c r="H929" s="458" t="s">
        <v>83</v>
      </c>
      <c r="I929" s="458" t="s">
        <v>83</v>
      </c>
      <c r="J929" s="464"/>
      <c r="K929" s="458" t="s">
        <v>1487</v>
      </c>
    </row>
    <row r="930" spans="1:11" ht="11.25" customHeight="1">
      <c r="A930" s="65" t="s">
        <v>1491</v>
      </c>
      <c r="B930" s="65" t="s">
        <v>1485</v>
      </c>
      <c r="C930" s="65" t="s">
        <v>348</v>
      </c>
      <c r="D930" s="65" t="s">
        <v>423</v>
      </c>
      <c r="E930" s="65" t="s">
        <v>424</v>
      </c>
      <c r="F930" s="65" t="s">
        <v>411</v>
      </c>
      <c r="G930" s="65" t="s">
        <v>83</v>
      </c>
      <c r="H930" s="65">
        <v>10</v>
      </c>
      <c r="I930" s="65" t="s">
        <v>83</v>
      </c>
      <c r="J930" s="466"/>
      <c r="K930" s="65" t="s">
        <v>1487</v>
      </c>
    </row>
    <row r="931" spans="1:12" s="476" customFormat="1" ht="11.25" customHeight="1">
      <c r="A931" s="476" t="s">
        <v>1492</v>
      </c>
      <c r="B931" s="476" t="s">
        <v>1485</v>
      </c>
      <c r="C931" s="476">
        <v>1</v>
      </c>
      <c r="D931" s="476" t="s">
        <v>410</v>
      </c>
      <c r="E931" s="476" t="s">
        <v>83</v>
      </c>
      <c r="F931" s="476" t="s">
        <v>411</v>
      </c>
      <c r="G931" s="476" t="s">
        <v>83</v>
      </c>
      <c r="H931" s="476" t="s">
        <v>83</v>
      </c>
      <c r="I931" s="476" t="s">
        <v>83</v>
      </c>
      <c r="J931" s="477"/>
      <c r="K931" s="476" t="s">
        <v>1487</v>
      </c>
      <c r="L931" s="478"/>
    </row>
    <row r="932" spans="1:11" ht="11.25" customHeight="1">
      <c r="A932" s="65" t="s">
        <v>1493</v>
      </c>
      <c r="B932" s="65" t="s">
        <v>1485</v>
      </c>
      <c r="C932" s="65" t="s">
        <v>348</v>
      </c>
      <c r="D932" s="65" t="s">
        <v>644</v>
      </c>
      <c r="E932" s="65" t="s">
        <v>424</v>
      </c>
      <c r="F932" s="65" t="s">
        <v>411</v>
      </c>
      <c r="G932" s="65" t="s">
        <v>83</v>
      </c>
      <c r="H932" s="65">
        <v>6</v>
      </c>
      <c r="I932" s="65" t="s">
        <v>83</v>
      </c>
      <c r="J932" s="466"/>
      <c r="K932" s="65" t="s">
        <v>1487</v>
      </c>
    </row>
    <row r="933" spans="1:11" ht="11.25" customHeight="1">
      <c r="A933" s="65" t="s">
        <v>1494</v>
      </c>
      <c r="B933" s="65" t="s">
        <v>1485</v>
      </c>
      <c r="C933" s="65" t="s">
        <v>348</v>
      </c>
      <c r="D933" s="65" t="s">
        <v>495</v>
      </c>
      <c r="E933" s="65" t="s">
        <v>424</v>
      </c>
      <c r="F933" s="65" t="s">
        <v>411</v>
      </c>
      <c r="G933" s="65" t="s">
        <v>83</v>
      </c>
      <c r="H933" s="65">
        <v>6</v>
      </c>
      <c r="I933" s="65" t="s">
        <v>83</v>
      </c>
      <c r="J933" s="466"/>
      <c r="K933" s="65" t="s">
        <v>1487</v>
      </c>
    </row>
    <row r="934" spans="1:12" s="458" customFormat="1" ht="11.25" customHeight="1">
      <c r="A934" s="458" t="s">
        <v>1495</v>
      </c>
      <c r="B934" s="458" t="s">
        <v>1485</v>
      </c>
      <c r="C934" s="458">
        <v>1</v>
      </c>
      <c r="D934" s="458" t="s">
        <v>410</v>
      </c>
      <c r="E934" s="458" t="s">
        <v>83</v>
      </c>
      <c r="F934" s="458" t="s">
        <v>411</v>
      </c>
      <c r="G934" s="458" t="s">
        <v>83</v>
      </c>
      <c r="H934" s="458" t="s">
        <v>83</v>
      </c>
      <c r="I934" s="458" t="s">
        <v>83</v>
      </c>
      <c r="J934" s="464"/>
      <c r="K934" s="458" t="s">
        <v>1487</v>
      </c>
      <c r="L934" s="457"/>
    </row>
    <row r="935" spans="1:11" ht="11.25" customHeight="1">
      <c r="A935" s="65" t="s">
        <v>1496</v>
      </c>
      <c r="B935" s="65" t="s">
        <v>1485</v>
      </c>
      <c r="C935" s="65">
        <v>1</v>
      </c>
      <c r="D935" s="65" t="s">
        <v>495</v>
      </c>
      <c r="E935" s="65" t="s">
        <v>424</v>
      </c>
      <c r="F935" s="65" t="s">
        <v>411</v>
      </c>
      <c r="G935" s="65" t="s">
        <v>83</v>
      </c>
      <c r="H935" s="65" t="s">
        <v>83</v>
      </c>
      <c r="I935" s="65" t="s">
        <v>83</v>
      </c>
      <c r="J935" s="466"/>
      <c r="K935" s="65" t="s">
        <v>1497</v>
      </c>
    </row>
    <row r="936" spans="1:11" ht="11.25" customHeight="1">
      <c r="A936" s="65" t="s">
        <v>1498</v>
      </c>
      <c r="B936" s="65" t="s">
        <v>1485</v>
      </c>
      <c r="C936" s="65">
        <v>1</v>
      </c>
      <c r="D936" s="65" t="s">
        <v>566</v>
      </c>
      <c r="E936" s="65" t="s">
        <v>613</v>
      </c>
      <c r="F936" s="65" t="s">
        <v>547</v>
      </c>
      <c r="G936" s="65" t="s">
        <v>548</v>
      </c>
      <c r="H936" s="65">
        <v>10</v>
      </c>
      <c r="I936" s="65" t="s">
        <v>83</v>
      </c>
      <c r="J936" s="466"/>
      <c r="K936" s="65" t="s">
        <v>1497</v>
      </c>
    </row>
    <row r="937" spans="1:11" ht="11.25" customHeight="1">
      <c r="A937" s="65" t="s">
        <v>1499</v>
      </c>
      <c r="B937" s="65" t="s">
        <v>1485</v>
      </c>
      <c r="C937" s="65" t="s">
        <v>348</v>
      </c>
      <c r="D937" s="65" t="s">
        <v>566</v>
      </c>
      <c r="E937" s="65" t="s">
        <v>37</v>
      </c>
      <c r="F937" s="65" t="s">
        <v>702</v>
      </c>
      <c r="G937" s="65" t="s">
        <v>548</v>
      </c>
      <c r="H937" s="65">
        <v>10</v>
      </c>
      <c r="I937" s="65" t="s">
        <v>83</v>
      </c>
      <c r="J937" s="466"/>
      <c r="K937" s="65" t="s">
        <v>1497</v>
      </c>
    </row>
    <row r="938" spans="1:11" ht="11.25" customHeight="1">
      <c r="A938" s="65" t="s">
        <v>1500</v>
      </c>
      <c r="B938" s="65" t="s">
        <v>1485</v>
      </c>
      <c r="C938" s="65">
        <v>1</v>
      </c>
      <c r="D938" s="65" t="s">
        <v>652</v>
      </c>
      <c r="E938" s="65" t="s">
        <v>424</v>
      </c>
      <c r="F938" s="65" t="s">
        <v>411</v>
      </c>
      <c r="G938" s="65" t="s">
        <v>83</v>
      </c>
      <c r="H938" s="65">
        <v>10</v>
      </c>
      <c r="I938" s="65" t="s">
        <v>323</v>
      </c>
      <c r="J938" s="466"/>
      <c r="K938" s="65" t="s">
        <v>1497</v>
      </c>
    </row>
    <row r="939" spans="1:11" ht="11.25" customHeight="1">
      <c r="A939" s="65" t="s">
        <v>1501</v>
      </c>
      <c r="B939" s="65" t="s">
        <v>1485</v>
      </c>
      <c r="C939" s="65" t="s">
        <v>348</v>
      </c>
      <c r="D939" s="65" t="s">
        <v>644</v>
      </c>
      <c r="E939" s="65" t="s">
        <v>424</v>
      </c>
      <c r="F939" s="65" t="s">
        <v>411</v>
      </c>
      <c r="G939" s="65" t="s">
        <v>83</v>
      </c>
      <c r="H939" s="65">
        <v>6</v>
      </c>
      <c r="I939" s="65" t="s">
        <v>83</v>
      </c>
      <c r="J939" s="466"/>
      <c r="K939" s="65" t="s">
        <v>1497</v>
      </c>
    </row>
    <row r="940" spans="1:11" ht="11.25" customHeight="1">
      <c r="A940" s="65" t="s">
        <v>1502</v>
      </c>
      <c r="B940" s="65" t="s">
        <v>1485</v>
      </c>
      <c r="C940" s="65">
        <v>1</v>
      </c>
      <c r="D940" s="65" t="s">
        <v>495</v>
      </c>
      <c r="E940" s="65" t="s">
        <v>424</v>
      </c>
      <c r="F940" s="65" t="s">
        <v>411</v>
      </c>
      <c r="G940" s="65" t="s">
        <v>83</v>
      </c>
      <c r="H940" s="65">
        <v>9</v>
      </c>
      <c r="I940" s="65" t="s">
        <v>83</v>
      </c>
      <c r="J940" s="466"/>
      <c r="K940" s="390" t="s">
        <v>1497</v>
      </c>
    </row>
    <row r="941" spans="1:12" s="458" customFormat="1" ht="11.25" customHeight="1">
      <c r="A941" s="458" t="s">
        <v>1503</v>
      </c>
      <c r="B941" s="458" t="s">
        <v>1485</v>
      </c>
      <c r="C941" s="458" t="s">
        <v>348</v>
      </c>
      <c r="D941" s="458" t="s">
        <v>410</v>
      </c>
      <c r="E941" s="458" t="s">
        <v>83</v>
      </c>
      <c r="F941" s="458" t="s">
        <v>411</v>
      </c>
      <c r="G941" s="458" t="s">
        <v>83</v>
      </c>
      <c r="H941" s="458" t="s">
        <v>83</v>
      </c>
      <c r="I941" s="458" t="s">
        <v>83</v>
      </c>
      <c r="J941" s="464"/>
      <c r="K941" s="458" t="s">
        <v>1497</v>
      </c>
      <c r="L941" s="457"/>
    </row>
    <row r="942" spans="1:12" s="458" customFormat="1" ht="11.25" customHeight="1">
      <c r="A942" s="458" t="s">
        <v>1504</v>
      </c>
      <c r="B942" s="458" t="s">
        <v>1485</v>
      </c>
      <c r="C942" s="458">
        <v>1</v>
      </c>
      <c r="D942" s="458" t="s">
        <v>410</v>
      </c>
      <c r="E942" s="458" t="s">
        <v>83</v>
      </c>
      <c r="F942" s="458" t="s">
        <v>411</v>
      </c>
      <c r="G942" s="458" t="s">
        <v>83</v>
      </c>
      <c r="H942" s="458" t="s">
        <v>83</v>
      </c>
      <c r="I942" s="458" t="s">
        <v>83</v>
      </c>
      <c r="J942" s="464"/>
      <c r="K942" s="458" t="s">
        <v>1497</v>
      </c>
      <c r="L942" s="457"/>
    </row>
    <row r="943" spans="1:11" ht="11.25" customHeight="1">
      <c r="A943" s="65" t="s">
        <v>1505</v>
      </c>
      <c r="B943" s="65" t="s">
        <v>1485</v>
      </c>
      <c r="C943" s="65">
        <v>1</v>
      </c>
      <c r="D943" s="65" t="s">
        <v>488</v>
      </c>
      <c r="E943" s="65" t="s">
        <v>424</v>
      </c>
      <c r="F943" s="65" t="s">
        <v>411</v>
      </c>
      <c r="G943" s="65" t="s">
        <v>83</v>
      </c>
      <c r="H943" s="65">
        <v>7</v>
      </c>
      <c r="I943" s="65" t="s">
        <v>83</v>
      </c>
      <c r="J943" s="466"/>
      <c r="K943" s="390" t="s">
        <v>1497</v>
      </c>
    </row>
    <row r="944" spans="1:12" s="476" customFormat="1" ht="11.25" customHeight="1">
      <c r="A944" s="476" t="s">
        <v>1506</v>
      </c>
      <c r="B944" s="476" t="s">
        <v>1485</v>
      </c>
      <c r="C944" s="476" t="s">
        <v>348</v>
      </c>
      <c r="D944" s="476" t="s">
        <v>410</v>
      </c>
      <c r="E944" s="476" t="s">
        <v>83</v>
      </c>
      <c r="F944" s="476" t="s">
        <v>411</v>
      </c>
      <c r="G944" s="476" t="s">
        <v>83</v>
      </c>
      <c r="H944" s="476" t="s">
        <v>83</v>
      </c>
      <c r="I944" s="476" t="s">
        <v>83</v>
      </c>
      <c r="J944" s="477"/>
      <c r="K944" s="476" t="s">
        <v>1507</v>
      </c>
      <c r="L944" s="478"/>
    </row>
    <row r="945" spans="1:12" s="476" customFormat="1" ht="11.25" customHeight="1">
      <c r="A945" s="65" t="s">
        <v>1508</v>
      </c>
      <c r="B945" s="65" t="s">
        <v>1485</v>
      </c>
      <c r="C945" s="65" t="s">
        <v>348</v>
      </c>
      <c r="D945" s="65" t="s">
        <v>495</v>
      </c>
      <c r="E945" s="65" t="s">
        <v>424</v>
      </c>
      <c r="F945" s="65" t="s">
        <v>411</v>
      </c>
      <c r="G945" s="65" t="s">
        <v>83</v>
      </c>
      <c r="H945" s="65">
        <v>3</v>
      </c>
      <c r="I945" s="65" t="s">
        <v>83</v>
      </c>
      <c r="J945" s="466"/>
      <c r="K945" s="390" t="s">
        <v>1507</v>
      </c>
      <c r="L945" s="478"/>
    </row>
    <row r="946" spans="1:12" s="476" customFormat="1" ht="11.25" customHeight="1">
      <c r="A946" s="476" t="s">
        <v>1509</v>
      </c>
      <c r="B946" s="476" t="s">
        <v>1485</v>
      </c>
      <c r="C946" s="476" t="s">
        <v>348</v>
      </c>
      <c r="D946" s="476" t="s">
        <v>410</v>
      </c>
      <c r="E946" s="476" t="s">
        <v>83</v>
      </c>
      <c r="F946" s="476" t="s">
        <v>411</v>
      </c>
      <c r="G946" s="476" t="s">
        <v>83</v>
      </c>
      <c r="H946" s="476" t="s">
        <v>83</v>
      </c>
      <c r="I946" s="476" t="s">
        <v>83</v>
      </c>
      <c r="J946" s="477"/>
      <c r="K946" s="476" t="s">
        <v>1507</v>
      </c>
      <c r="L946" s="478"/>
    </row>
    <row r="947" spans="1:12" s="476" customFormat="1" ht="11.25" customHeight="1">
      <c r="A947" s="476" t="s">
        <v>1510</v>
      </c>
      <c r="B947" s="476" t="s">
        <v>1485</v>
      </c>
      <c r="C947" s="476" t="s">
        <v>348</v>
      </c>
      <c r="D947" s="476" t="s">
        <v>410</v>
      </c>
      <c r="E947" s="476" t="s">
        <v>83</v>
      </c>
      <c r="F947" s="476" t="s">
        <v>411</v>
      </c>
      <c r="G947" s="476" t="s">
        <v>83</v>
      </c>
      <c r="H947" s="476" t="s">
        <v>83</v>
      </c>
      <c r="I947" s="476" t="s">
        <v>83</v>
      </c>
      <c r="J947" s="477"/>
      <c r="K947" s="476" t="s">
        <v>1507</v>
      </c>
      <c r="L947" s="478"/>
    </row>
    <row r="948" spans="1:12" s="476" customFormat="1" ht="11.25" customHeight="1">
      <c r="A948" s="476" t="s">
        <v>1511</v>
      </c>
      <c r="B948" s="476" t="s">
        <v>1485</v>
      </c>
      <c r="C948" s="476" t="s">
        <v>348</v>
      </c>
      <c r="D948" s="476" t="s">
        <v>410</v>
      </c>
      <c r="E948" s="476" t="s">
        <v>83</v>
      </c>
      <c r="F948" s="476" t="s">
        <v>411</v>
      </c>
      <c r="G948" s="476" t="s">
        <v>83</v>
      </c>
      <c r="H948" s="476" t="s">
        <v>83</v>
      </c>
      <c r="I948" s="476" t="s">
        <v>83</v>
      </c>
      <c r="J948" s="477"/>
      <c r="K948" s="476" t="s">
        <v>1507</v>
      </c>
      <c r="L948" s="478"/>
    </row>
    <row r="949" spans="1:12" s="458" customFormat="1" ht="11.25" customHeight="1">
      <c r="A949" s="458" t="s">
        <v>1512</v>
      </c>
      <c r="B949" s="458" t="s">
        <v>1485</v>
      </c>
      <c r="C949" s="458">
        <v>1</v>
      </c>
      <c r="D949" s="458" t="s">
        <v>410</v>
      </c>
      <c r="E949" s="458" t="s">
        <v>83</v>
      </c>
      <c r="F949" s="458" t="s">
        <v>411</v>
      </c>
      <c r="G949" s="458" t="s">
        <v>83</v>
      </c>
      <c r="H949" s="458" t="s">
        <v>83</v>
      </c>
      <c r="I949" s="458" t="s">
        <v>83</v>
      </c>
      <c r="J949" s="464"/>
      <c r="K949" s="451" t="s">
        <v>1507</v>
      </c>
      <c r="L949" s="457" t="s">
        <v>1513</v>
      </c>
    </row>
    <row r="950" spans="1:12" s="476" customFormat="1" ht="11.25" customHeight="1">
      <c r="A950" s="65" t="s">
        <v>1514</v>
      </c>
      <c r="B950" s="65" t="s">
        <v>1485</v>
      </c>
      <c r="C950" s="65">
        <v>1</v>
      </c>
      <c r="D950" s="65" t="s">
        <v>495</v>
      </c>
      <c r="E950" s="65" t="s">
        <v>424</v>
      </c>
      <c r="F950" s="65" t="s">
        <v>411</v>
      </c>
      <c r="G950" s="65" t="s">
        <v>83</v>
      </c>
      <c r="H950" s="65" t="s">
        <v>83</v>
      </c>
      <c r="I950" s="65" t="s">
        <v>83</v>
      </c>
      <c r="J950" s="466"/>
      <c r="K950" s="390" t="s">
        <v>1507</v>
      </c>
      <c r="L950" s="478"/>
    </row>
    <row r="951" spans="1:12" s="476" customFormat="1" ht="11.25" customHeight="1">
      <c r="A951" s="476" t="s">
        <v>1515</v>
      </c>
      <c r="B951" s="476" t="s">
        <v>1485</v>
      </c>
      <c r="C951" s="476">
        <v>1</v>
      </c>
      <c r="D951" s="476" t="s">
        <v>410</v>
      </c>
      <c r="E951" s="476" t="s">
        <v>83</v>
      </c>
      <c r="F951" s="476" t="s">
        <v>411</v>
      </c>
      <c r="G951" s="476" t="s">
        <v>83</v>
      </c>
      <c r="H951" s="476" t="s">
        <v>83</v>
      </c>
      <c r="I951" s="476" t="s">
        <v>83</v>
      </c>
      <c r="J951" s="477"/>
      <c r="K951" s="463" t="s">
        <v>1507</v>
      </c>
      <c r="L951" s="478"/>
    </row>
    <row r="952" spans="1:11" ht="11.25" customHeight="1">
      <c r="A952" s="65" t="s">
        <v>1516</v>
      </c>
      <c r="B952" s="65" t="s">
        <v>1485</v>
      </c>
      <c r="C952" s="65">
        <v>1</v>
      </c>
      <c r="D952" s="65" t="s">
        <v>566</v>
      </c>
      <c r="E952" s="65" t="s">
        <v>174</v>
      </c>
      <c r="F952" s="65" t="s">
        <v>871</v>
      </c>
      <c r="G952" s="65" t="s">
        <v>871</v>
      </c>
      <c r="H952" s="65">
        <v>10</v>
      </c>
      <c r="I952" s="65" t="s">
        <v>323</v>
      </c>
      <c r="J952" s="466"/>
      <c r="K952" s="65" t="s">
        <v>1507</v>
      </c>
    </row>
    <row r="953" spans="1:11" ht="11.25" customHeight="1">
      <c r="A953" s="445" t="s">
        <v>1517</v>
      </c>
      <c r="B953" s="446" t="s">
        <v>322</v>
      </c>
      <c r="C953" s="446" t="s">
        <v>323</v>
      </c>
      <c r="D953" s="446" t="s">
        <v>324</v>
      </c>
      <c r="E953" s="446" t="s">
        <v>185</v>
      </c>
      <c r="F953" s="446" t="s">
        <v>325</v>
      </c>
      <c r="G953" s="446" t="s">
        <v>261</v>
      </c>
      <c r="H953" s="446" t="s">
        <v>326</v>
      </c>
      <c r="I953" s="446" t="s">
        <v>254</v>
      </c>
      <c r="J953" s="459" t="s">
        <v>327</v>
      </c>
      <c r="K953" s="447" t="s">
        <v>408</v>
      </c>
    </row>
    <row r="954" spans="1:11" ht="11.25" customHeight="1">
      <c r="A954" s="65" t="s">
        <v>1518</v>
      </c>
      <c r="B954" s="65" t="s">
        <v>1517</v>
      </c>
      <c r="C954" s="65">
        <v>1</v>
      </c>
      <c r="D954" s="65" t="s">
        <v>566</v>
      </c>
      <c r="E954" s="65" t="s">
        <v>613</v>
      </c>
      <c r="F954" s="65" t="s">
        <v>547</v>
      </c>
      <c r="G954" s="65" t="s">
        <v>548</v>
      </c>
      <c r="H954" s="65">
        <v>12</v>
      </c>
      <c r="I954" s="65" t="s">
        <v>83</v>
      </c>
      <c r="J954" s="466"/>
      <c r="K954" s="65" t="s">
        <v>1519</v>
      </c>
    </row>
    <row r="955" spans="1:11" ht="11.25" customHeight="1">
      <c r="A955" s="65" t="s">
        <v>1520</v>
      </c>
      <c r="B955" s="65" t="s">
        <v>1517</v>
      </c>
      <c r="C955" s="65" t="s">
        <v>348</v>
      </c>
      <c r="D955" s="65" t="s">
        <v>789</v>
      </c>
      <c r="E955" s="65" t="s">
        <v>613</v>
      </c>
      <c r="F955" s="65" t="s">
        <v>547</v>
      </c>
      <c r="G955" s="65" t="s">
        <v>548</v>
      </c>
      <c r="H955" s="65">
        <v>10</v>
      </c>
      <c r="I955" s="65" t="s">
        <v>83</v>
      </c>
      <c r="J955" s="466"/>
      <c r="K955" s="65" t="s">
        <v>1519</v>
      </c>
    </row>
    <row r="956" spans="1:11" ht="11.25" customHeight="1">
      <c r="A956" s="65" t="s">
        <v>1521</v>
      </c>
      <c r="B956" s="65" t="s">
        <v>1517</v>
      </c>
      <c r="C956" s="65" t="s">
        <v>348</v>
      </c>
      <c r="D956" s="65" t="s">
        <v>495</v>
      </c>
      <c r="E956" s="65" t="s">
        <v>613</v>
      </c>
      <c r="F956" s="65" t="s">
        <v>411</v>
      </c>
      <c r="G956" s="65" t="s">
        <v>83</v>
      </c>
      <c r="H956" s="65">
        <v>15</v>
      </c>
      <c r="I956" s="65" t="s">
        <v>83</v>
      </c>
      <c r="J956" s="466"/>
      <c r="K956" s="65" t="s">
        <v>1519</v>
      </c>
    </row>
    <row r="957" spans="1:11" ht="11.25" customHeight="1">
      <c r="A957" s="65" t="s">
        <v>1522</v>
      </c>
      <c r="B957" s="65" t="s">
        <v>1517</v>
      </c>
      <c r="C957" s="65" t="s">
        <v>348</v>
      </c>
      <c r="D957" s="65" t="s">
        <v>566</v>
      </c>
      <c r="E957" s="65" t="s">
        <v>613</v>
      </c>
      <c r="F957" s="65" t="s">
        <v>547</v>
      </c>
      <c r="G957" s="65" t="s">
        <v>548</v>
      </c>
      <c r="H957" s="65">
        <v>10</v>
      </c>
      <c r="I957" s="65" t="s">
        <v>83</v>
      </c>
      <c r="J957" s="466"/>
      <c r="K957" s="65" t="s">
        <v>1519</v>
      </c>
    </row>
    <row r="958" spans="1:11" ht="11.25" customHeight="1">
      <c r="A958" s="65" t="s">
        <v>1523</v>
      </c>
      <c r="B958" s="65" t="s">
        <v>1517</v>
      </c>
      <c r="C958" s="65" t="s">
        <v>348</v>
      </c>
      <c r="D958" s="65" t="s">
        <v>566</v>
      </c>
      <c r="E958" s="65" t="s">
        <v>613</v>
      </c>
      <c r="F958" s="65" t="s">
        <v>547</v>
      </c>
      <c r="G958" s="65" t="s">
        <v>548</v>
      </c>
      <c r="H958" s="65">
        <v>12</v>
      </c>
      <c r="I958" s="65" t="s">
        <v>83</v>
      </c>
      <c r="J958" s="466"/>
      <c r="K958" s="65" t="s">
        <v>1519</v>
      </c>
    </row>
    <row r="959" spans="1:11" ht="11.25" customHeight="1">
      <c r="A959" s="65" t="s">
        <v>1524</v>
      </c>
      <c r="B959" s="65" t="s">
        <v>1517</v>
      </c>
      <c r="C959" s="65" t="s">
        <v>348</v>
      </c>
      <c r="D959" s="65" t="s">
        <v>566</v>
      </c>
      <c r="E959" s="65" t="s">
        <v>613</v>
      </c>
      <c r="F959" s="65" t="s">
        <v>547</v>
      </c>
      <c r="G959" s="65" t="s">
        <v>548</v>
      </c>
      <c r="H959" s="65">
        <v>10</v>
      </c>
      <c r="I959" s="65" t="s">
        <v>83</v>
      </c>
      <c r="J959" s="466"/>
      <c r="K959" s="65" t="s">
        <v>1519</v>
      </c>
    </row>
    <row r="960" spans="1:11" ht="11.25" customHeight="1">
      <c r="A960" s="65" t="s">
        <v>1525</v>
      </c>
      <c r="B960" s="65" t="s">
        <v>1517</v>
      </c>
      <c r="C960" s="65">
        <v>1</v>
      </c>
      <c r="D960" s="65" t="s">
        <v>644</v>
      </c>
      <c r="E960" s="65" t="s">
        <v>424</v>
      </c>
      <c r="F960" s="65" t="s">
        <v>411</v>
      </c>
      <c r="G960" s="65" t="s">
        <v>83</v>
      </c>
      <c r="H960" s="65">
        <v>10</v>
      </c>
      <c r="I960" s="65" t="s">
        <v>83</v>
      </c>
      <c r="J960" s="466"/>
      <c r="K960" s="65" t="s">
        <v>1519</v>
      </c>
    </row>
    <row r="961" spans="1:11" ht="11.25" customHeight="1">
      <c r="A961" s="65" t="s">
        <v>1526</v>
      </c>
      <c r="B961" s="65" t="s">
        <v>1517</v>
      </c>
      <c r="C961" s="65">
        <v>1</v>
      </c>
      <c r="D961" s="65" t="s">
        <v>488</v>
      </c>
      <c r="E961" s="65" t="s">
        <v>424</v>
      </c>
      <c r="F961" s="65" t="s">
        <v>547</v>
      </c>
      <c r="G961" s="65" t="s">
        <v>548</v>
      </c>
      <c r="H961" s="65">
        <v>15</v>
      </c>
      <c r="I961" s="65" t="s">
        <v>991</v>
      </c>
      <c r="J961" s="466"/>
      <c r="K961" s="65" t="s">
        <v>1519</v>
      </c>
    </row>
    <row r="962" spans="1:11" ht="11.25" customHeight="1">
      <c r="A962" s="65" t="s">
        <v>1527</v>
      </c>
      <c r="B962" s="65" t="s">
        <v>1517</v>
      </c>
      <c r="C962" s="65">
        <v>1</v>
      </c>
      <c r="D962" s="65" t="s">
        <v>566</v>
      </c>
      <c r="E962" s="65" t="s">
        <v>613</v>
      </c>
      <c r="F962" s="65" t="s">
        <v>547</v>
      </c>
      <c r="G962" s="65" t="s">
        <v>548</v>
      </c>
      <c r="H962" s="65">
        <v>12</v>
      </c>
      <c r="I962" s="65" t="s">
        <v>83</v>
      </c>
      <c r="J962" s="466"/>
      <c r="K962" s="65" t="s">
        <v>1519</v>
      </c>
    </row>
    <row r="963" spans="1:11" ht="11.25" customHeight="1">
      <c r="A963" s="65" t="s">
        <v>1528</v>
      </c>
      <c r="B963" s="65" t="s">
        <v>1517</v>
      </c>
      <c r="C963" s="65">
        <v>1</v>
      </c>
      <c r="D963" s="65" t="s">
        <v>566</v>
      </c>
      <c r="E963" s="65" t="s">
        <v>613</v>
      </c>
      <c r="F963" s="65" t="s">
        <v>547</v>
      </c>
      <c r="G963" s="65" t="s">
        <v>548</v>
      </c>
      <c r="H963" s="65">
        <v>12</v>
      </c>
      <c r="I963" s="65" t="s">
        <v>83</v>
      </c>
      <c r="J963" s="466"/>
      <c r="K963" s="65" t="s">
        <v>1519</v>
      </c>
    </row>
    <row r="964" spans="1:11" ht="11.25" customHeight="1">
      <c r="A964" s="65" t="s">
        <v>1529</v>
      </c>
      <c r="B964" s="65" t="s">
        <v>1517</v>
      </c>
      <c r="C964" s="65">
        <v>1</v>
      </c>
      <c r="D964" s="65" t="s">
        <v>566</v>
      </c>
      <c r="E964" s="65" t="s">
        <v>613</v>
      </c>
      <c r="F964" s="65" t="s">
        <v>702</v>
      </c>
      <c r="G964" s="65" t="s">
        <v>548</v>
      </c>
      <c r="H964" s="65">
        <v>12</v>
      </c>
      <c r="I964" s="65" t="s">
        <v>83</v>
      </c>
      <c r="J964" s="466"/>
      <c r="K964" s="65" t="s">
        <v>1519</v>
      </c>
    </row>
    <row r="965" spans="1:11" ht="11.25" customHeight="1">
      <c r="A965" s="65" t="s">
        <v>1530</v>
      </c>
      <c r="B965" s="65" t="s">
        <v>1517</v>
      </c>
      <c r="C965" s="65" t="s">
        <v>348</v>
      </c>
      <c r="D965" s="65" t="s">
        <v>566</v>
      </c>
      <c r="E965" s="65" t="s">
        <v>613</v>
      </c>
      <c r="F965" s="65" t="s">
        <v>547</v>
      </c>
      <c r="G965" s="65" t="s">
        <v>548</v>
      </c>
      <c r="H965" s="65">
        <v>12</v>
      </c>
      <c r="I965" s="65" t="s">
        <v>83</v>
      </c>
      <c r="J965" s="466"/>
      <c r="K965" s="65" t="s">
        <v>1531</v>
      </c>
    </row>
    <row r="966" spans="1:11" ht="11.25" customHeight="1">
      <c r="A966" s="65" t="s">
        <v>1532</v>
      </c>
      <c r="B966" s="65" t="s">
        <v>1517</v>
      </c>
      <c r="C966" s="65">
        <v>1</v>
      </c>
      <c r="D966" s="65" t="s">
        <v>566</v>
      </c>
      <c r="E966" s="65" t="s">
        <v>613</v>
      </c>
      <c r="F966" s="65" t="s">
        <v>702</v>
      </c>
      <c r="G966" s="65" t="s">
        <v>548</v>
      </c>
      <c r="H966" s="65">
        <v>12</v>
      </c>
      <c r="I966" s="65" t="s">
        <v>83</v>
      </c>
      <c r="J966" s="466"/>
      <c r="K966" s="65" t="s">
        <v>1531</v>
      </c>
    </row>
    <row r="967" spans="1:11" ht="11.25" customHeight="1">
      <c r="A967" s="65" t="s">
        <v>1533</v>
      </c>
      <c r="B967" s="65" t="s">
        <v>1517</v>
      </c>
      <c r="C967" s="65">
        <v>1</v>
      </c>
      <c r="D967" s="65" t="s">
        <v>644</v>
      </c>
      <c r="E967" s="65" t="s">
        <v>424</v>
      </c>
      <c r="F967" s="65" t="s">
        <v>411</v>
      </c>
      <c r="G967" s="65" t="s">
        <v>83</v>
      </c>
      <c r="H967" s="65">
        <v>6</v>
      </c>
      <c r="I967" s="65" t="s">
        <v>83</v>
      </c>
      <c r="J967" s="466"/>
      <c r="K967" s="65" t="s">
        <v>1531</v>
      </c>
    </row>
    <row r="968" spans="1:11" ht="11.25" customHeight="1">
      <c r="A968" s="65" t="s">
        <v>1534</v>
      </c>
      <c r="B968" s="65" t="s">
        <v>1517</v>
      </c>
      <c r="C968" s="65" t="s">
        <v>348</v>
      </c>
      <c r="D968" s="65" t="s">
        <v>644</v>
      </c>
      <c r="E968" s="65" t="s">
        <v>424</v>
      </c>
      <c r="F968" s="65" t="s">
        <v>411</v>
      </c>
      <c r="G968" s="65" t="s">
        <v>83</v>
      </c>
      <c r="H968" s="65">
        <v>10</v>
      </c>
      <c r="I968" s="65" t="s">
        <v>83</v>
      </c>
      <c r="J968" s="466"/>
      <c r="K968" s="390" t="s">
        <v>1531</v>
      </c>
    </row>
    <row r="969" spans="1:11" ht="11.25" customHeight="1">
      <c r="A969" s="65" t="s">
        <v>1535</v>
      </c>
      <c r="B969" s="65" t="s">
        <v>1517</v>
      </c>
      <c r="C969" s="65" t="s">
        <v>348</v>
      </c>
      <c r="D969" s="65" t="s">
        <v>566</v>
      </c>
      <c r="E969" s="65" t="s">
        <v>613</v>
      </c>
      <c r="F969" s="65" t="s">
        <v>547</v>
      </c>
      <c r="G969" s="65" t="s">
        <v>548</v>
      </c>
      <c r="H969" s="65">
        <v>12</v>
      </c>
      <c r="I969" s="65" t="s">
        <v>83</v>
      </c>
      <c r="J969" s="466"/>
      <c r="K969" s="65" t="s">
        <v>1531</v>
      </c>
    </row>
    <row r="970" spans="1:11" ht="11.25" customHeight="1">
      <c r="A970" s="65" t="s">
        <v>1108</v>
      </c>
      <c r="B970" s="65" t="s">
        <v>1517</v>
      </c>
      <c r="C970" s="65">
        <v>1</v>
      </c>
      <c r="D970" s="65" t="s">
        <v>644</v>
      </c>
      <c r="E970" s="65" t="s">
        <v>424</v>
      </c>
      <c r="F970" s="65" t="s">
        <v>411</v>
      </c>
      <c r="G970" s="65" t="s">
        <v>83</v>
      </c>
      <c r="H970" s="65" t="s">
        <v>83</v>
      </c>
      <c r="I970" s="65" t="s">
        <v>655</v>
      </c>
      <c r="J970" s="466"/>
      <c r="K970" s="65" t="s">
        <v>1531</v>
      </c>
    </row>
    <row r="971" spans="1:12" s="458" customFormat="1" ht="11.25" customHeight="1">
      <c r="A971" s="458" t="s">
        <v>1536</v>
      </c>
      <c r="B971" s="458" t="s">
        <v>1517</v>
      </c>
      <c r="C971" s="458">
        <v>1</v>
      </c>
      <c r="D971" s="458" t="s">
        <v>410</v>
      </c>
      <c r="E971" s="458" t="s">
        <v>83</v>
      </c>
      <c r="F971" s="458" t="s">
        <v>411</v>
      </c>
      <c r="G971" s="458" t="s">
        <v>83</v>
      </c>
      <c r="H971" s="458" t="s">
        <v>83</v>
      </c>
      <c r="I971" s="458" t="s">
        <v>83</v>
      </c>
      <c r="J971" s="464"/>
      <c r="K971" s="451" t="s">
        <v>1531</v>
      </c>
      <c r="L971" s="457"/>
    </row>
    <row r="972" spans="1:11" ht="11.25" customHeight="1">
      <c r="A972" s="65" t="s">
        <v>1537</v>
      </c>
      <c r="B972" s="65" t="s">
        <v>1517</v>
      </c>
      <c r="C972" s="65">
        <v>1</v>
      </c>
      <c r="D972" s="65" t="s">
        <v>423</v>
      </c>
      <c r="E972" s="65" t="s">
        <v>424</v>
      </c>
      <c r="F972" s="65" t="s">
        <v>411</v>
      </c>
      <c r="G972" s="65" t="s">
        <v>83</v>
      </c>
      <c r="H972" s="65">
        <v>10</v>
      </c>
      <c r="I972" s="65" t="s">
        <v>83</v>
      </c>
      <c r="J972" s="466"/>
      <c r="K972" s="65" t="s">
        <v>1531</v>
      </c>
    </row>
    <row r="973" spans="1:12" s="458" customFormat="1" ht="11.25" customHeight="1">
      <c r="A973" s="458" t="s">
        <v>1538</v>
      </c>
      <c r="B973" s="458" t="s">
        <v>1517</v>
      </c>
      <c r="C973" s="458">
        <v>1</v>
      </c>
      <c r="D973" s="458" t="s">
        <v>410</v>
      </c>
      <c r="E973" s="458" t="s">
        <v>83</v>
      </c>
      <c r="F973" s="458" t="s">
        <v>411</v>
      </c>
      <c r="G973" s="458" t="s">
        <v>83</v>
      </c>
      <c r="H973" s="458" t="s">
        <v>83</v>
      </c>
      <c r="I973" s="458" t="s">
        <v>83</v>
      </c>
      <c r="J973" s="464"/>
      <c r="K973" s="451" t="s">
        <v>1531</v>
      </c>
      <c r="L973" s="457"/>
    </row>
    <row r="974" spans="1:11" ht="11.25" customHeight="1">
      <c r="A974" s="65" t="s">
        <v>1539</v>
      </c>
      <c r="B974" s="65" t="s">
        <v>1517</v>
      </c>
      <c r="C974" s="65" t="s">
        <v>348</v>
      </c>
      <c r="D974" s="65" t="s">
        <v>495</v>
      </c>
      <c r="E974" s="65" t="s">
        <v>424</v>
      </c>
      <c r="F974" s="65" t="s">
        <v>411</v>
      </c>
      <c r="G974" s="65" t="s">
        <v>83</v>
      </c>
      <c r="H974" s="65">
        <v>4</v>
      </c>
      <c r="I974" s="65" t="s">
        <v>83</v>
      </c>
      <c r="J974" s="466"/>
      <c r="K974" s="65" t="s">
        <v>1540</v>
      </c>
    </row>
    <row r="975" spans="1:11" ht="11.25" customHeight="1">
      <c r="A975" s="65" t="s">
        <v>1541</v>
      </c>
      <c r="B975" s="65" t="s">
        <v>1517</v>
      </c>
      <c r="C975" s="65">
        <v>1</v>
      </c>
      <c r="D975" s="65" t="s">
        <v>566</v>
      </c>
      <c r="E975" s="65" t="s">
        <v>613</v>
      </c>
      <c r="F975" s="65" t="s">
        <v>547</v>
      </c>
      <c r="G975" s="65" t="s">
        <v>548</v>
      </c>
      <c r="H975" s="65">
        <v>12</v>
      </c>
      <c r="I975" s="65" t="s">
        <v>83</v>
      </c>
      <c r="J975" s="466"/>
      <c r="K975" s="65" t="s">
        <v>1540</v>
      </c>
    </row>
    <row r="976" spans="1:11" ht="11.25" customHeight="1">
      <c r="A976" s="65" t="s">
        <v>1527</v>
      </c>
      <c r="B976" s="65" t="s">
        <v>1517</v>
      </c>
      <c r="C976" s="65">
        <v>1</v>
      </c>
      <c r="D976" s="65" t="s">
        <v>566</v>
      </c>
      <c r="E976" s="65" t="s">
        <v>613</v>
      </c>
      <c r="F976" s="65" t="s">
        <v>547</v>
      </c>
      <c r="G976" s="65" t="s">
        <v>548</v>
      </c>
      <c r="H976" s="65">
        <v>12</v>
      </c>
      <c r="I976" s="65" t="s">
        <v>83</v>
      </c>
      <c r="J976" s="466"/>
      <c r="K976" s="65" t="s">
        <v>1540</v>
      </c>
    </row>
    <row r="977" spans="1:11" ht="11.25" customHeight="1">
      <c r="A977" s="65" t="s">
        <v>1528</v>
      </c>
      <c r="B977" s="65" t="s">
        <v>1517</v>
      </c>
      <c r="C977" s="65">
        <v>1</v>
      </c>
      <c r="D977" s="65" t="s">
        <v>566</v>
      </c>
      <c r="E977" s="65" t="s">
        <v>613</v>
      </c>
      <c r="F977" s="65" t="s">
        <v>547</v>
      </c>
      <c r="G977" s="65" t="s">
        <v>548</v>
      </c>
      <c r="H977" s="65">
        <v>12</v>
      </c>
      <c r="I977" s="65" t="s">
        <v>83</v>
      </c>
      <c r="J977" s="466"/>
      <c r="K977" s="65" t="s">
        <v>1540</v>
      </c>
    </row>
    <row r="978" spans="1:11" ht="11.25" customHeight="1">
      <c r="A978" s="65" t="s">
        <v>1542</v>
      </c>
      <c r="B978" s="65" t="s">
        <v>1517</v>
      </c>
      <c r="C978" s="65">
        <v>1</v>
      </c>
      <c r="D978" s="65" t="s">
        <v>566</v>
      </c>
      <c r="E978" s="65" t="s">
        <v>613</v>
      </c>
      <c r="F978" s="65" t="s">
        <v>547</v>
      </c>
      <c r="G978" s="65" t="s">
        <v>548</v>
      </c>
      <c r="H978" s="65">
        <v>12</v>
      </c>
      <c r="I978" s="65" t="s">
        <v>83</v>
      </c>
      <c r="J978" s="466"/>
      <c r="K978" s="65" t="s">
        <v>1540</v>
      </c>
    </row>
    <row r="979" spans="1:11" ht="11.25" customHeight="1">
      <c r="A979" s="65" t="s">
        <v>1543</v>
      </c>
      <c r="B979" s="65" t="s">
        <v>1517</v>
      </c>
      <c r="C979" s="65">
        <v>1</v>
      </c>
      <c r="D979" s="65" t="s">
        <v>566</v>
      </c>
      <c r="E979" s="65" t="s">
        <v>613</v>
      </c>
      <c r="F979" s="65" t="s">
        <v>547</v>
      </c>
      <c r="G979" s="65" t="s">
        <v>1544</v>
      </c>
      <c r="H979" s="65">
        <v>24</v>
      </c>
      <c r="I979" s="65" t="s">
        <v>83</v>
      </c>
      <c r="J979" s="466"/>
      <c r="K979" s="390" t="s">
        <v>1540</v>
      </c>
    </row>
    <row r="980" spans="1:11" ht="11.25" customHeight="1">
      <c r="A980" s="65" t="s">
        <v>1545</v>
      </c>
      <c r="B980" s="65" t="s">
        <v>1517</v>
      </c>
      <c r="C980" s="65">
        <v>1</v>
      </c>
      <c r="D980" s="65" t="s">
        <v>566</v>
      </c>
      <c r="E980" s="65" t="s">
        <v>613</v>
      </c>
      <c r="F980" s="65" t="s">
        <v>547</v>
      </c>
      <c r="G980" s="65" t="s">
        <v>1544</v>
      </c>
      <c r="H980" s="65">
        <v>24</v>
      </c>
      <c r="I980" s="65" t="s">
        <v>83</v>
      </c>
      <c r="J980" s="466"/>
      <c r="K980" s="390" t="s">
        <v>1540</v>
      </c>
    </row>
    <row r="981" spans="1:11" ht="11.25" customHeight="1">
      <c r="A981" s="65" t="s">
        <v>1546</v>
      </c>
      <c r="B981" s="65" t="s">
        <v>1517</v>
      </c>
      <c r="C981" s="65">
        <v>1</v>
      </c>
      <c r="D981" s="65" t="s">
        <v>566</v>
      </c>
      <c r="E981" s="65" t="s">
        <v>613</v>
      </c>
      <c r="F981" s="65" t="s">
        <v>547</v>
      </c>
      <c r="G981" s="65" t="s">
        <v>1544</v>
      </c>
      <c r="H981" s="65">
        <v>24</v>
      </c>
      <c r="I981" s="65" t="s">
        <v>83</v>
      </c>
      <c r="J981" s="466"/>
      <c r="K981" s="390" t="s">
        <v>1540</v>
      </c>
    </row>
    <row r="982" spans="1:11" ht="11.25" customHeight="1">
      <c r="A982" s="65" t="s">
        <v>1547</v>
      </c>
      <c r="B982" s="65" t="s">
        <v>1517</v>
      </c>
      <c r="C982" s="65">
        <v>1</v>
      </c>
      <c r="D982" s="65" t="s">
        <v>566</v>
      </c>
      <c r="E982" s="65" t="s">
        <v>613</v>
      </c>
      <c r="F982" s="65" t="s">
        <v>871</v>
      </c>
      <c r="G982" s="65" t="s">
        <v>871</v>
      </c>
      <c r="H982" s="65">
        <v>12</v>
      </c>
      <c r="I982" s="65" t="s">
        <v>83</v>
      </c>
      <c r="J982" s="466"/>
      <c r="K982" s="65" t="s">
        <v>1540</v>
      </c>
    </row>
    <row r="983" spans="1:11" ht="11.25" customHeight="1">
      <c r="A983" s="445" t="s">
        <v>1548</v>
      </c>
      <c r="B983" s="446" t="s">
        <v>322</v>
      </c>
      <c r="C983" s="446" t="s">
        <v>323</v>
      </c>
      <c r="D983" s="446" t="s">
        <v>324</v>
      </c>
      <c r="E983" s="446" t="s">
        <v>185</v>
      </c>
      <c r="F983" s="446" t="s">
        <v>325</v>
      </c>
      <c r="G983" s="446" t="s">
        <v>261</v>
      </c>
      <c r="H983" s="446" t="s">
        <v>326</v>
      </c>
      <c r="I983" s="446" t="s">
        <v>254</v>
      </c>
      <c r="J983" s="459" t="s">
        <v>327</v>
      </c>
      <c r="K983" s="447" t="s">
        <v>408</v>
      </c>
    </row>
    <row r="984" spans="1:11" ht="11.25" customHeight="1">
      <c r="A984" s="65" t="s">
        <v>1549</v>
      </c>
      <c r="B984" s="65" t="s">
        <v>1548</v>
      </c>
      <c r="C984" s="65" t="s">
        <v>348</v>
      </c>
      <c r="D984" s="65" t="s">
        <v>644</v>
      </c>
      <c r="E984" s="65" t="s">
        <v>424</v>
      </c>
      <c r="F984" s="65" t="s">
        <v>411</v>
      </c>
      <c r="G984" s="65" t="s">
        <v>83</v>
      </c>
      <c r="H984" s="65">
        <v>12</v>
      </c>
      <c r="I984" s="65" t="s">
        <v>83</v>
      </c>
      <c r="J984" s="466"/>
      <c r="K984" s="65" t="s">
        <v>1550</v>
      </c>
    </row>
    <row r="985" spans="1:11" ht="11.25" customHeight="1">
      <c r="A985" s="65" t="s">
        <v>1551</v>
      </c>
      <c r="B985" s="65" t="s">
        <v>1548</v>
      </c>
      <c r="C985" s="65" t="s">
        <v>348</v>
      </c>
      <c r="D985" s="65" t="s">
        <v>566</v>
      </c>
      <c r="E985" s="65" t="s">
        <v>424</v>
      </c>
      <c r="F985" s="65" t="s">
        <v>411</v>
      </c>
      <c r="G985" s="65" t="s">
        <v>83</v>
      </c>
      <c r="H985" s="65">
        <v>14</v>
      </c>
      <c r="I985" s="65" t="s">
        <v>83</v>
      </c>
      <c r="J985" s="466"/>
      <c r="K985" s="65" t="s">
        <v>1550</v>
      </c>
    </row>
    <row r="986" spans="1:11" ht="11.25" customHeight="1">
      <c r="A986" s="65" t="s">
        <v>1552</v>
      </c>
      <c r="B986" s="65" t="s">
        <v>1548</v>
      </c>
      <c r="C986" s="65" t="s">
        <v>348</v>
      </c>
      <c r="D986" s="65" t="s">
        <v>488</v>
      </c>
      <c r="E986" s="65" t="s">
        <v>424</v>
      </c>
      <c r="F986" s="65" t="s">
        <v>411</v>
      </c>
      <c r="G986" s="65" t="s">
        <v>83</v>
      </c>
      <c r="H986" s="65" t="s">
        <v>83</v>
      </c>
      <c r="I986" s="65">
        <v>1</v>
      </c>
      <c r="J986" s="466"/>
      <c r="K986" s="65" t="s">
        <v>1550</v>
      </c>
    </row>
    <row r="987" spans="1:11" ht="11.25" customHeight="1">
      <c r="A987" s="65" t="s">
        <v>1553</v>
      </c>
      <c r="B987" s="65" t="s">
        <v>1548</v>
      </c>
      <c r="C987" s="65">
        <v>1</v>
      </c>
      <c r="D987" s="65" t="s">
        <v>495</v>
      </c>
      <c r="E987" s="65" t="s">
        <v>424</v>
      </c>
      <c r="F987" s="65" t="s">
        <v>411</v>
      </c>
      <c r="G987" s="65" t="s">
        <v>83</v>
      </c>
      <c r="H987" s="65" t="s">
        <v>83</v>
      </c>
      <c r="I987" s="65" t="s">
        <v>615</v>
      </c>
      <c r="J987" s="466"/>
      <c r="K987" s="65" t="s">
        <v>1550</v>
      </c>
    </row>
    <row r="988" spans="1:12" s="458" customFormat="1" ht="11.25" customHeight="1">
      <c r="A988" s="458" t="s">
        <v>1554</v>
      </c>
      <c r="B988" s="458" t="s">
        <v>1548</v>
      </c>
      <c r="C988" s="458">
        <v>1</v>
      </c>
      <c r="D988" s="458" t="s">
        <v>410</v>
      </c>
      <c r="E988" s="458" t="s">
        <v>83</v>
      </c>
      <c r="F988" s="458" t="s">
        <v>411</v>
      </c>
      <c r="G988" s="458" t="s">
        <v>83</v>
      </c>
      <c r="H988" s="458" t="s">
        <v>83</v>
      </c>
      <c r="I988" s="458" t="s">
        <v>83</v>
      </c>
      <c r="J988" s="464"/>
      <c r="K988" s="451" t="s">
        <v>1550</v>
      </c>
      <c r="L988" s="457"/>
    </row>
    <row r="989" spans="1:11" ht="11.25" customHeight="1">
      <c r="A989" s="65" t="s">
        <v>1555</v>
      </c>
      <c r="B989" s="65" t="s">
        <v>1548</v>
      </c>
      <c r="C989" s="65">
        <v>1</v>
      </c>
      <c r="D989" s="65" t="s">
        <v>566</v>
      </c>
      <c r="E989" s="65" t="s">
        <v>871</v>
      </c>
      <c r="F989" s="65" t="s">
        <v>871</v>
      </c>
      <c r="G989" s="65" t="s">
        <v>871</v>
      </c>
      <c r="H989" s="65">
        <v>15</v>
      </c>
      <c r="I989" s="65" t="s">
        <v>323</v>
      </c>
      <c r="J989" s="466"/>
      <c r="K989" s="65" t="s">
        <v>1550</v>
      </c>
    </row>
    <row r="990" spans="1:11" ht="11.25" customHeight="1">
      <c r="A990" s="65" t="s">
        <v>1556</v>
      </c>
      <c r="B990" s="65" t="s">
        <v>1548</v>
      </c>
      <c r="C990" s="65" t="s">
        <v>348</v>
      </c>
      <c r="D990" s="65" t="s">
        <v>644</v>
      </c>
      <c r="E990" s="65" t="s">
        <v>424</v>
      </c>
      <c r="F990" s="65" t="s">
        <v>411</v>
      </c>
      <c r="G990" s="65" t="s">
        <v>83</v>
      </c>
      <c r="H990" s="65">
        <v>8</v>
      </c>
      <c r="I990" s="65" t="s">
        <v>83</v>
      </c>
      <c r="J990" s="466"/>
      <c r="K990" s="65" t="s">
        <v>1550</v>
      </c>
    </row>
    <row r="991" spans="1:11" ht="11.25" customHeight="1">
      <c r="A991" s="65" t="s">
        <v>1557</v>
      </c>
      <c r="B991" s="65" t="s">
        <v>1548</v>
      </c>
      <c r="C991" s="65" t="s">
        <v>348</v>
      </c>
      <c r="D991" s="65" t="s">
        <v>566</v>
      </c>
      <c r="E991" s="65" t="s">
        <v>613</v>
      </c>
      <c r="F991" s="65" t="s">
        <v>547</v>
      </c>
      <c r="G991" s="65" t="s">
        <v>548</v>
      </c>
      <c r="H991" s="65">
        <v>10</v>
      </c>
      <c r="I991" s="65" t="s">
        <v>83</v>
      </c>
      <c r="J991" s="466"/>
      <c r="K991" s="65" t="s">
        <v>1550</v>
      </c>
    </row>
    <row r="992" spans="1:12" s="458" customFormat="1" ht="11.25" customHeight="1">
      <c r="A992" s="458" t="s">
        <v>1558</v>
      </c>
      <c r="B992" s="458" t="s">
        <v>1548</v>
      </c>
      <c r="C992" s="458" t="s">
        <v>348</v>
      </c>
      <c r="D992" s="458" t="s">
        <v>410</v>
      </c>
      <c r="E992" s="458" t="s">
        <v>83</v>
      </c>
      <c r="F992" s="458" t="s">
        <v>411</v>
      </c>
      <c r="G992" s="458" t="s">
        <v>83</v>
      </c>
      <c r="H992" s="458" t="s">
        <v>83</v>
      </c>
      <c r="I992" s="458" t="s">
        <v>83</v>
      </c>
      <c r="J992" s="464"/>
      <c r="K992" s="451" t="s">
        <v>1550</v>
      </c>
      <c r="L992" s="457"/>
    </row>
    <row r="993" spans="1:11" ht="11.25" customHeight="1">
      <c r="A993" s="65" t="s">
        <v>1559</v>
      </c>
      <c r="B993" s="65" t="s">
        <v>1548</v>
      </c>
      <c r="C993" s="65" t="s">
        <v>348</v>
      </c>
      <c r="D993" s="65" t="s">
        <v>588</v>
      </c>
      <c r="E993" s="65" t="s">
        <v>424</v>
      </c>
      <c r="F993" s="65" t="s">
        <v>547</v>
      </c>
      <c r="G993" s="65" t="s">
        <v>1544</v>
      </c>
      <c r="H993" s="65">
        <v>15</v>
      </c>
      <c r="I993" s="65" t="s">
        <v>615</v>
      </c>
      <c r="J993" s="466"/>
      <c r="K993" s="65" t="s">
        <v>1560</v>
      </c>
    </row>
    <row r="994" spans="1:12" s="458" customFormat="1" ht="11.25" customHeight="1">
      <c r="A994" s="458" t="s">
        <v>1561</v>
      </c>
      <c r="B994" s="458" t="s">
        <v>1548</v>
      </c>
      <c r="C994" s="458">
        <v>1</v>
      </c>
      <c r="D994" s="458" t="s">
        <v>410</v>
      </c>
      <c r="E994" s="458" t="s">
        <v>83</v>
      </c>
      <c r="F994" s="458" t="s">
        <v>411</v>
      </c>
      <c r="G994" s="458" t="s">
        <v>83</v>
      </c>
      <c r="H994" s="458" t="s">
        <v>83</v>
      </c>
      <c r="I994" s="458" t="s">
        <v>83</v>
      </c>
      <c r="J994" s="464"/>
      <c r="K994" s="451" t="s">
        <v>1560</v>
      </c>
      <c r="L994" s="457"/>
    </row>
    <row r="995" spans="1:11" ht="11.25" customHeight="1">
      <c r="A995" s="65" t="s">
        <v>1562</v>
      </c>
      <c r="B995" s="65" t="s">
        <v>1548</v>
      </c>
      <c r="C995" s="65">
        <v>1</v>
      </c>
      <c r="D995" s="65" t="s">
        <v>644</v>
      </c>
      <c r="E995" s="65" t="s">
        <v>424</v>
      </c>
      <c r="F995" s="65" t="s">
        <v>411</v>
      </c>
      <c r="G995" s="65" t="s">
        <v>83</v>
      </c>
      <c r="H995" s="65">
        <v>12</v>
      </c>
      <c r="I995" s="65" t="s">
        <v>83</v>
      </c>
      <c r="J995" s="466"/>
      <c r="K995" s="65" t="s">
        <v>1560</v>
      </c>
    </row>
    <row r="996" spans="1:11" ht="11.25" customHeight="1">
      <c r="A996" s="65" t="s">
        <v>1563</v>
      </c>
      <c r="B996" s="65" t="s">
        <v>1548</v>
      </c>
      <c r="C996" s="65">
        <v>1</v>
      </c>
      <c r="D996" s="65" t="s">
        <v>644</v>
      </c>
      <c r="E996" s="65" t="s">
        <v>424</v>
      </c>
      <c r="F996" s="65" t="s">
        <v>411</v>
      </c>
      <c r="G996" s="65" t="s">
        <v>83</v>
      </c>
      <c r="H996" s="65" t="s">
        <v>83</v>
      </c>
      <c r="I996" s="65" t="s">
        <v>83</v>
      </c>
      <c r="J996" s="466"/>
      <c r="K996" s="65" t="s">
        <v>1560</v>
      </c>
    </row>
    <row r="997" spans="1:11" ht="11.25" customHeight="1">
      <c r="A997" s="65" t="s">
        <v>1564</v>
      </c>
      <c r="B997" s="65" t="s">
        <v>1548</v>
      </c>
      <c r="C997" s="65" t="s">
        <v>348</v>
      </c>
      <c r="D997" s="65" t="s">
        <v>644</v>
      </c>
      <c r="E997" s="65" t="s">
        <v>424</v>
      </c>
      <c r="F997" s="65" t="s">
        <v>411</v>
      </c>
      <c r="G997" s="65" t="s">
        <v>83</v>
      </c>
      <c r="H997" s="65">
        <v>5</v>
      </c>
      <c r="I997" s="65" t="s">
        <v>83</v>
      </c>
      <c r="J997" s="466"/>
      <c r="K997" s="65" t="s">
        <v>1560</v>
      </c>
    </row>
    <row r="998" spans="1:11" ht="11.25" customHeight="1">
      <c r="A998" s="65" t="s">
        <v>1565</v>
      </c>
      <c r="B998" s="65" t="s">
        <v>1548</v>
      </c>
      <c r="C998" s="65" t="s">
        <v>348</v>
      </c>
      <c r="D998" s="65" t="s">
        <v>644</v>
      </c>
      <c r="E998" s="65" t="s">
        <v>424</v>
      </c>
      <c r="F998" s="65" t="s">
        <v>411</v>
      </c>
      <c r="G998" s="65" t="s">
        <v>83</v>
      </c>
      <c r="H998" s="65">
        <v>6</v>
      </c>
      <c r="I998" s="65" t="s">
        <v>83</v>
      </c>
      <c r="J998" s="466"/>
      <c r="K998" s="65" t="s">
        <v>1560</v>
      </c>
    </row>
    <row r="999" spans="1:11" ht="11.25" customHeight="1">
      <c r="A999" s="65" t="s">
        <v>1566</v>
      </c>
      <c r="B999" s="65" t="s">
        <v>1548</v>
      </c>
      <c r="C999" s="65">
        <v>1</v>
      </c>
      <c r="D999" s="65" t="s">
        <v>789</v>
      </c>
      <c r="E999" s="65" t="s">
        <v>613</v>
      </c>
      <c r="F999" s="65" t="s">
        <v>547</v>
      </c>
      <c r="G999" s="65" t="s">
        <v>548</v>
      </c>
      <c r="H999" s="65">
        <v>10</v>
      </c>
      <c r="I999" s="65" t="s">
        <v>83</v>
      </c>
      <c r="J999" s="466"/>
      <c r="K999" s="390" t="s">
        <v>1560</v>
      </c>
    </row>
    <row r="1000" spans="1:11" ht="11.25" customHeight="1">
      <c r="A1000" s="65" t="s">
        <v>1567</v>
      </c>
      <c r="B1000" s="65" t="s">
        <v>1548</v>
      </c>
      <c r="C1000" s="65">
        <v>1</v>
      </c>
      <c r="D1000" s="65" t="s">
        <v>644</v>
      </c>
      <c r="E1000" s="65" t="s">
        <v>424</v>
      </c>
      <c r="F1000" s="65" t="s">
        <v>411</v>
      </c>
      <c r="G1000" s="65" t="s">
        <v>83</v>
      </c>
      <c r="H1000" s="65">
        <v>14</v>
      </c>
      <c r="I1000" s="65" t="s">
        <v>323</v>
      </c>
      <c r="J1000" s="466"/>
      <c r="K1000" s="65" t="s">
        <v>1560</v>
      </c>
    </row>
    <row r="1001" spans="1:11" ht="11.25" customHeight="1">
      <c r="A1001" s="65" t="s">
        <v>1568</v>
      </c>
      <c r="B1001" s="65" t="s">
        <v>1548</v>
      </c>
      <c r="C1001" s="65" t="s">
        <v>348</v>
      </c>
      <c r="D1001" s="65" t="s">
        <v>566</v>
      </c>
      <c r="E1001" s="65" t="s">
        <v>613</v>
      </c>
      <c r="F1001" s="65" t="s">
        <v>547</v>
      </c>
      <c r="G1001" s="65" t="s">
        <v>548</v>
      </c>
      <c r="H1001" s="65">
        <v>8</v>
      </c>
      <c r="I1001" s="65" t="s">
        <v>83</v>
      </c>
      <c r="J1001" s="466"/>
      <c r="K1001" s="65" t="s">
        <v>1560</v>
      </c>
    </row>
    <row r="1002" spans="1:12" s="458" customFormat="1" ht="11.25" customHeight="1">
      <c r="A1002" s="458" t="s">
        <v>1569</v>
      </c>
      <c r="B1002" s="458" t="s">
        <v>1548</v>
      </c>
      <c r="C1002" s="458">
        <v>1</v>
      </c>
      <c r="D1002" s="458" t="s">
        <v>410</v>
      </c>
      <c r="E1002" s="458" t="s">
        <v>83</v>
      </c>
      <c r="F1002" s="458" t="s">
        <v>411</v>
      </c>
      <c r="G1002" s="458" t="s">
        <v>83</v>
      </c>
      <c r="H1002" s="458" t="s">
        <v>83</v>
      </c>
      <c r="I1002" s="458" t="s">
        <v>83</v>
      </c>
      <c r="J1002" s="464"/>
      <c r="K1002" s="458" t="s">
        <v>1570</v>
      </c>
      <c r="L1002" s="457"/>
    </row>
    <row r="1003" spans="1:11" ht="11.25" customHeight="1">
      <c r="A1003" s="65" t="s">
        <v>1571</v>
      </c>
      <c r="B1003" s="65" t="s">
        <v>1548</v>
      </c>
      <c r="C1003" s="65" t="s">
        <v>348</v>
      </c>
      <c r="D1003" s="65" t="s">
        <v>566</v>
      </c>
      <c r="E1003" s="65" t="s">
        <v>613</v>
      </c>
      <c r="F1003" s="65" t="s">
        <v>871</v>
      </c>
      <c r="G1003" s="65" t="s">
        <v>674</v>
      </c>
      <c r="H1003" s="65">
        <v>7</v>
      </c>
      <c r="I1003" s="65" t="s">
        <v>83</v>
      </c>
      <c r="J1003" s="466"/>
      <c r="K1003" s="65" t="s">
        <v>1570</v>
      </c>
    </row>
    <row r="1004" spans="1:11" ht="11.25" customHeight="1">
      <c r="A1004" s="65" t="s">
        <v>1572</v>
      </c>
      <c r="B1004" s="65" t="s">
        <v>1548</v>
      </c>
      <c r="C1004" s="65">
        <v>1</v>
      </c>
      <c r="D1004" s="65" t="s">
        <v>423</v>
      </c>
      <c r="E1004" s="65" t="s">
        <v>424</v>
      </c>
      <c r="F1004" s="65" t="s">
        <v>411</v>
      </c>
      <c r="G1004" s="65" t="s">
        <v>83</v>
      </c>
      <c r="H1004" s="65">
        <v>10</v>
      </c>
      <c r="I1004" s="65" t="s">
        <v>323</v>
      </c>
      <c r="J1004" s="466"/>
      <c r="K1004" s="65" t="s">
        <v>1570</v>
      </c>
    </row>
    <row r="1005" spans="1:11" ht="11.25" customHeight="1">
      <c r="A1005" s="65" t="s">
        <v>1573</v>
      </c>
      <c r="B1005" s="65" t="s">
        <v>1548</v>
      </c>
      <c r="C1005" s="65" t="s">
        <v>348</v>
      </c>
      <c r="D1005" s="65" t="s">
        <v>644</v>
      </c>
      <c r="E1005" s="65" t="s">
        <v>424</v>
      </c>
      <c r="F1005" s="65" t="s">
        <v>411</v>
      </c>
      <c r="G1005" s="65" t="s">
        <v>83</v>
      </c>
      <c r="H1005" s="65">
        <v>9</v>
      </c>
      <c r="I1005" s="65" t="s">
        <v>83</v>
      </c>
      <c r="J1005" s="466"/>
      <c r="K1005" s="390" t="s">
        <v>1570</v>
      </c>
    </row>
    <row r="1006" spans="1:12" s="458" customFormat="1" ht="11.25" customHeight="1">
      <c r="A1006" s="458" t="s">
        <v>1574</v>
      </c>
      <c r="B1006" s="458" t="s">
        <v>1548</v>
      </c>
      <c r="C1006" s="458" t="s">
        <v>348</v>
      </c>
      <c r="D1006" s="458" t="s">
        <v>410</v>
      </c>
      <c r="E1006" s="458" t="s">
        <v>424</v>
      </c>
      <c r="F1006" s="458" t="s">
        <v>411</v>
      </c>
      <c r="G1006" s="458" t="s">
        <v>83</v>
      </c>
      <c r="H1006" s="458" t="s">
        <v>83</v>
      </c>
      <c r="I1006" s="458" t="s">
        <v>83</v>
      </c>
      <c r="J1006" s="464"/>
      <c r="K1006" s="451" t="s">
        <v>1570</v>
      </c>
      <c r="L1006" s="457"/>
    </row>
    <row r="1007" spans="1:12" s="458" customFormat="1" ht="11.25" customHeight="1">
      <c r="A1007" s="458" t="s">
        <v>1575</v>
      </c>
      <c r="B1007" s="458" t="s">
        <v>1548</v>
      </c>
      <c r="C1007" s="458">
        <v>1</v>
      </c>
      <c r="D1007" s="458" t="s">
        <v>410</v>
      </c>
      <c r="E1007" s="458" t="s">
        <v>424</v>
      </c>
      <c r="F1007" s="458" t="s">
        <v>411</v>
      </c>
      <c r="G1007" s="458" t="s">
        <v>83</v>
      </c>
      <c r="H1007" s="458" t="s">
        <v>83</v>
      </c>
      <c r="I1007" s="458" t="s">
        <v>83</v>
      </c>
      <c r="J1007" s="464"/>
      <c r="K1007" s="451" t="s">
        <v>1570</v>
      </c>
      <c r="L1007" s="457"/>
    </row>
    <row r="1008" spans="1:11" ht="11.25" customHeight="1">
      <c r="A1008" s="65" t="s">
        <v>1576</v>
      </c>
      <c r="B1008" s="65" t="s">
        <v>1548</v>
      </c>
      <c r="C1008" s="65">
        <v>1</v>
      </c>
      <c r="D1008" s="65" t="s">
        <v>641</v>
      </c>
      <c r="E1008" s="65" t="s">
        <v>424</v>
      </c>
      <c r="F1008" s="65" t="s">
        <v>547</v>
      </c>
      <c r="G1008" s="65">
        <v>20</v>
      </c>
      <c r="H1008" s="65" t="s">
        <v>83</v>
      </c>
      <c r="I1008" s="65" t="s">
        <v>991</v>
      </c>
      <c r="J1008" s="466"/>
      <c r="K1008" s="390" t="s">
        <v>1570</v>
      </c>
    </row>
    <row r="1009" spans="1:11" ht="11.25" customHeight="1">
      <c r="A1009" s="65" t="s">
        <v>1577</v>
      </c>
      <c r="B1009" s="65" t="s">
        <v>1548</v>
      </c>
      <c r="C1009" s="65">
        <v>1</v>
      </c>
      <c r="D1009" s="65" t="s">
        <v>644</v>
      </c>
      <c r="E1009" s="65" t="s">
        <v>424</v>
      </c>
      <c r="F1009" s="65" t="s">
        <v>411</v>
      </c>
      <c r="G1009" s="65" t="s">
        <v>83</v>
      </c>
      <c r="H1009" s="65">
        <v>20</v>
      </c>
      <c r="I1009" s="65" t="s">
        <v>323</v>
      </c>
      <c r="J1009" s="466"/>
      <c r="K1009" s="390" t="s">
        <v>1570</v>
      </c>
    </row>
    <row r="1010" spans="1:11" ht="11.25" customHeight="1">
      <c r="A1010" s="65" t="s">
        <v>1578</v>
      </c>
      <c r="B1010" s="65" t="s">
        <v>1548</v>
      </c>
      <c r="C1010" s="65">
        <v>1</v>
      </c>
      <c r="D1010" s="65" t="s">
        <v>644</v>
      </c>
      <c r="E1010" s="65" t="s">
        <v>424</v>
      </c>
      <c r="F1010" s="65" t="s">
        <v>411</v>
      </c>
      <c r="G1010" s="65" t="s">
        <v>83</v>
      </c>
      <c r="H1010" s="65">
        <v>12</v>
      </c>
      <c r="I1010" s="65" t="s">
        <v>83</v>
      </c>
      <c r="J1010" s="466"/>
      <c r="K1010" s="65" t="s">
        <v>1570</v>
      </c>
    </row>
    <row r="1011" spans="1:11" ht="11.25" customHeight="1">
      <c r="A1011" s="445" t="s">
        <v>1579</v>
      </c>
      <c r="B1011" s="446" t="s">
        <v>322</v>
      </c>
      <c r="C1011" s="446" t="s">
        <v>323</v>
      </c>
      <c r="D1011" s="446" t="s">
        <v>324</v>
      </c>
      <c r="E1011" s="446" t="s">
        <v>185</v>
      </c>
      <c r="F1011" s="446" t="s">
        <v>325</v>
      </c>
      <c r="G1011" s="446" t="s">
        <v>261</v>
      </c>
      <c r="H1011" s="446" t="s">
        <v>326</v>
      </c>
      <c r="I1011" s="446" t="s">
        <v>254</v>
      </c>
      <c r="J1011" s="459" t="s">
        <v>327</v>
      </c>
      <c r="K1011" s="447" t="s">
        <v>408</v>
      </c>
    </row>
    <row r="1012" spans="1:11" ht="11.25" customHeight="1">
      <c r="A1012" s="65" t="s">
        <v>616</v>
      </c>
      <c r="B1012" s="65" t="s">
        <v>1579</v>
      </c>
      <c r="C1012" s="65" t="s">
        <v>348</v>
      </c>
      <c r="D1012" s="65" t="s">
        <v>495</v>
      </c>
      <c r="E1012" s="65" t="s">
        <v>36</v>
      </c>
      <c r="F1012" s="65" t="s">
        <v>871</v>
      </c>
      <c r="G1012" s="65" t="s">
        <v>572</v>
      </c>
      <c r="H1012" s="65">
        <v>5</v>
      </c>
      <c r="I1012" s="65" t="s">
        <v>83</v>
      </c>
      <c r="J1012" s="466"/>
      <c r="K1012" s="65" t="s">
        <v>1580</v>
      </c>
    </row>
    <row r="1013" spans="1:12" s="458" customFormat="1" ht="11.25" customHeight="1">
      <c r="A1013" s="458" t="s">
        <v>1581</v>
      </c>
      <c r="B1013" s="458" t="s">
        <v>1579</v>
      </c>
      <c r="C1013" s="458" t="s">
        <v>348</v>
      </c>
      <c r="D1013" s="458" t="s">
        <v>410</v>
      </c>
      <c r="E1013" s="458" t="s">
        <v>83</v>
      </c>
      <c r="F1013" s="458" t="s">
        <v>411</v>
      </c>
      <c r="G1013" s="458" t="s">
        <v>83</v>
      </c>
      <c r="H1013" s="458" t="s">
        <v>83</v>
      </c>
      <c r="I1013" s="458" t="s">
        <v>83</v>
      </c>
      <c r="J1013" s="464"/>
      <c r="K1013" s="458" t="s">
        <v>1580</v>
      </c>
      <c r="L1013" s="457"/>
    </row>
    <row r="1014" spans="1:12" s="458" customFormat="1" ht="11.25" customHeight="1">
      <c r="A1014" s="458" t="s">
        <v>1582</v>
      </c>
      <c r="B1014" s="458" t="s">
        <v>1579</v>
      </c>
      <c r="C1014" s="458">
        <v>1</v>
      </c>
      <c r="D1014" s="458" t="s">
        <v>410</v>
      </c>
      <c r="E1014" s="458" t="s">
        <v>83</v>
      </c>
      <c r="F1014" s="458" t="s">
        <v>411</v>
      </c>
      <c r="G1014" s="458" t="s">
        <v>83</v>
      </c>
      <c r="H1014" s="458" t="s">
        <v>83</v>
      </c>
      <c r="I1014" s="458" t="s">
        <v>83</v>
      </c>
      <c r="J1014" s="464"/>
      <c r="K1014" s="458" t="s">
        <v>1580</v>
      </c>
      <c r="L1014" s="457"/>
    </row>
    <row r="1015" spans="1:12" s="458" customFormat="1" ht="11.25" customHeight="1">
      <c r="A1015" s="458" t="s">
        <v>1583</v>
      </c>
      <c r="B1015" s="458" t="s">
        <v>1579</v>
      </c>
      <c r="C1015" s="458">
        <v>1</v>
      </c>
      <c r="D1015" s="458" t="s">
        <v>410</v>
      </c>
      <c r="E1015" s="458" t="s">
        <v>83</v>
      </c>
      <c r="F1015" s="458" t="s">
        <v>411</v>
      </c>
      <c r="G1015" s="458" t="s">
        <v>83</v>
      </c>
      <c r="H1015" s="458" t="s">
        <v>83</v>
      </c>
      <c r="I1015" s="458" t="s">
        <v>83</v>
      </c>
      <c r="J1015" s="464"/>
      <c r="K1015" s="458" t="s">
        <v>1580</v>
      </c>
      <c r="L1015" s="457"/>
    </row>
    <row r="1016" spans="1:11" ht="11.25" customHeight="1">
      <c r="A1016" s="65" t="s">
        <v>1584</v>
      </c>
      <c r="B1016" s="65" t="s">
        <v>1579</v>
      </c>
      <c r="C1016" s="65" t="s">
        <v>348</v>
      </c>
      <c r="D1016" s="65" t="s">
        <v>644</v>
      </c>
      <c r="E1016" s="65" t="s">
        <v>424</v>
      </c>
      <c r="F1016" s="65" t="s">
        <v>411</v>
      </c>
      <c r="G1016" s="65" t="s">
        <v>83</v>
      </c>
      <c r="H1016" s="65">
        <v>7</v>
      </c>
      <c r="I1016" s="65" t="s">
        <v>83</v>
      </c>
      <c r="J1016" s="466"/>
      <c r="K1016" s="65" t="s">
        <v>1580</v>
      </c>
    </row>
    <row r="1017" spans="1:11" ht="11.25" customHeight="1">
      <c r="A1017" s="65" t="s">
        <v>1585</v>
      </c>
      <c r="B1017" s="65" t="s">
        <v>1579</v>
      </c>
      <c r="C1017" s="65">
        <v>1</v>
      </c>
      <c r="D1017" s="65" t="s">
        <v>566</v>
      </c>
      <c r="E1017" s="65" t="s">
        <v>174</v>
      </c>
      <c r="F1017" s="65" t="s">
        <v>547</v>
      </c>
      <c r="G1017" s="65" t="s">
        <v>630</v>
      </c>
      <c r="H1017" s="65">
        <v>12</v>
      </c>
      <c r="I1017" s="65" t="s">
        <v>83</v>
      </c>
      <c r="J1017" s="466"/>
      <c r="K1017" s="390" t="s">
        <v>1580</v>
      </c>
    </row>
    <row r="1018" spans="1:11" ht="11.25" customHeight="1">
      <c r="A1018" s="65" t="s">
        <v>1586</v>
      </c>
      <c r="B1018" s="65" t="s">
        <v>1579</v>
      </c>
      <c r="C1018" s="65" t="s">
        <v>348</v>
      </c>
      <c r="D1018" s="65" t="s">
        <v>566</v>
      </c>
      <c r="E1018" s="65" t="s">
        <v>174</v>
      </c>
      <c r="F1018" s="65" t="s">
        <v>547</v>
      </c>
      <c r="G1018" s="65" t="s">
        <v>630</v>
      </c>
      <c r="H1018" s="65">
        <v>7</v>
      </c>
      <c r="I1018" s="65" t="s">
        <v>83</v>
      </c>
      <c r="J1018" s="466"/>
      <c r="K1018" s="390" t="s">
        <v>1580</v>
      </c>
    </row>
    <row r="1019" spans="1:11" ht="11.25" customHeight="1">
      <c r="A1019" s="65" t="s">
        <v>1587</v>
      </c>
      <c r="B1019" s="65" t="s">
        <v>1579</v>
      </c>
      <c r="C1019" s="65">
        <v>1</v>
      </c>
      <c r="D1019" s="65" t="s">
        <v>423</v>
      </c>
      <c r="E1019" s="65" t="s">
        <v>424</v>
      </c>
      <c r="F1019" s="65" t="s">
        <v>547</v>
      </c>
      <c r="G1019" s="65" t="s">
        <v>548</v>
      </c>
      <c r="H1019" s="65">
        <v>6</v>
      </c>
      <c r="I1019" s="65" t="s">
        <v>323</v>
      </c>
      <c r="J1019" s="466"/>
      <c r="K1019" s="65" t="s">
        <v>1580</v>
      </c>
    </row>
    <row r="1020" spans="1:12" s="458" customFormat="1" ht="11.25" customHeight="1">
      <c r="A1020" s="65" t="s">
        <v>1588</v>
      </c>
      <c r="B1020" s="65" t="s">
        <v>1579</v>
      </c>
      <c r="C1020" s="65">
        <v>1</v>
      </c>
      <c r="D1020" s="65" t="s">
        <v>644</v>
      </c>
      <c r="E1020" s="65" t="s">
        <v>424</v>
      </c>
      <c r="F1020" s="65" t="s">
        <v>411</v>
      </c>
      <c r="G1020" s="65" t="s">
        <v>83</v>
      </c>
      <c r="H1020" s="65">
        <v>10</v>
      </c>
      <c r="I1020" s="65" t="s">
        <v>83</v>
      </c>
      <c r="J1020" s="466"/>
      <c r="K1020" s="390" t="s">
        <v>1580</v>
      </c>
      <c r="L1020" s="457"/>
    </row>
    <row r="1021" spans="1:11" ht="11.25" customHeight="1">
      <c r="A1021" s="65" t="s">
        <v>1589</v>
      </c>
      <c r="B1021" s="65" t="s">
        <v>1579</v>
      </c>
      <c r="C1021" s="65" t="s">
        <v>348</v>
      </c>
      <c r="D1021" s="65" t="s">
        <v>789</v>
      </c>
      <c r="E1021" s="65" t="s">
        <v>233</v>
      </c>
      <c r="F1021" s="65" t="s">
        <v>411</v>
      </c>
      <c r="G1021" s="65" t="s">
        <v>83</v>
      </c>
      <c r="H1021" s="65">
        <v>10</v>
      </c>
      <c r="I1021" s="65" t="s">
        <v>83</v>
      </c>
      <c r="J1021" s="466"/>
      <c r="K1021" s="390" t="s">
        <v>1590</v>
      </c>
    </row>
    <row r="1022" spans="1:11" ht="11.25" customHeight="1">
      <c r="A1022" s="65" t="s">
        <v>1591</v>
      </c>
      <c r="B1022" s="65" t="s">
        <v>1579</v>
      </c>
      <c r="C1022" s="65">
        <v>1</v>
      </c>
      <c r="D1022" s="65" t="s">
        <v>488</v>
      </c>
      <c r="E1022" s="65" t="s">
        <v>424</v>
      </c>
      <c r="F1022" s="65" t="s">
        <v>871</v>
      </c>
      <c r="G1022" s="65" t="s">
        <v>489</v>
      </c>
      <c r="H1022" s="65">
        <v>15</v>
      </c>
      <c r="I1022" s="65" t="s">
        <v>323</v>
      </c>
      <c r="J1022" s="466"/>
      <c r="K1022" s="390" t="s">
        <v>1590</v>
      </c>
    </row>
    <row r="1023" spans="1:12" s="458" customFormat="1" ht="11.25" customHeight="1">
      <c r="A1023" s="458" t="s">
        <v>1592</v>
      </c>
      <c r="B1023" s="458" t="s">
        <v>1579</v>
      </c>
      <c r="C1023" s="458">
        <v>1</v>
      </c>
      <c r="D1023" s="458" t="s">
        <v>410</v>
      </c>
      <c r="E1023" s="458" t="s">
        <v>83</v>
      </c>
      <c r="F1023" s="458" t="s">
        <v>411</v>
      </c>
      <c r="G1023" s="458" t="s">
        <v>83</v>
      </c>
      <c r="H1023" s="458" t="s">
        <v>83</v>
      </c>
      <c r="I1023" s="458" t="s">
        <v>83</v>
      </c>
      <c r="J1023" s="464"/>
      <c r="K1023" s="458" t="s">
        <v>1590</v>
      </c>
      <c r="L1023" s="457"/>
    </row>
    <row r="1024" spans="1:11" ht="11.25" customHeight="1">
      <c r="A1024" s="65" t="s">
        <v>1593</v>
      </c>
      <c r="B1024" s="65" t="s">
        <v>1579</v>
      </c>
      <c r="C1024" s="65" t="s">
        <v>348</v>
      </c>
      <c r="D1024" s="65" t="s">
        <v>644</v>
      </c>
      <c r="E1024" s="65" t="s">
        <v>424</v>
      </c>
      <c r="F1024" s="65" t="s">
        <v>411</v>
      </c>
      <c r="G1024" s="65" t="s">
        <v>83</v>
      </c>
      <c r="H1024" s="65">
        <v>5</v>
      </c>
      <c r="I1024" s="65" t="s">
        <v>83</v>
      </c>
      <c r="J1024" s="466"/>
      <c r="K1024" s="65" t="s">
        <v>1590</v>
      </c>
    </row>
    <row r="1025" spans="1:11" ht="11.25" customHeight="1">
      <c r="A1025" s="65" t="s">
        <v>1594</v>
      </c>
      <c r="B1025" s="65" t="s">
        <v>1579</v>
      </c>
      <c r="C1025" s="65" t="s">
        <v>348</v>
      </c>
      <c r="D1025" s="65" t="s">
        <v>423</v>
      </c>
      <c r="E1025" s="65" t="s">
        <v>424</v>
      </c>
      <c r="F1025" s="65" t="s">
        <v>411</v>
      </c>
      <c r="G1025" s="65" t="s">
        <v>83</v>
      </c>
      <c r="H1025" s="65">
        <v>8</v>
      </c>
      <c r="I1025" s="65" t="s">
        <v>83</v>
      </c>
      <c r="J1025" s="466"/>
      <c r="K1025" s="65" t="s">
        <v>1590</v>
      </c>
    </row>
    <row r="1026" spans="1:11" ht="11.25" customHeight="1">
      <c r="A1026" s="65" t="s">
        <v>1595</v>
      </c>
      <c r="B1026" s="65" t="s">
        <v>1579</v>
      </c>
      <c r="C1026" s="65">
        <v>1</v>
      </c>
      <c r="D1026" s="65" t="s">
        <v>652</v>
      </c>
      <c r="E1026" s="65" t="s">
        <v>424</v>
      </c>
      <c r="F1026" s="65" t="s">
        <v>871</v>
      </c>
      <c r="G1026" s="65" t="s">
        <v>83</v>
      </c>
      <c r="H1026" s="65">
        <v>10</v>
      </c>
      <c r="I1026" s="65" t="s">
        <v>323</v>
      </c>
      <c r="J1026" s="466"/>
      <c r="K1026" s="65" t="s">
        <v>1590</v>
      </c>
    </row>
    <row r="1027" spans="1:12" s="458" customFormat="1" ht="11.25" customHeight="1">
      <c r="A1027" s="458" t="s">
        <v>1596</v>
      </c>
      <c r="B1027" s="458" t="s">
        <v>1579</v>
      </c>
      <c r="C1027" s="458">
        <v>1</v>
      </c>
      <c r="D1027" s="458" t="s">
        <v>410</v>
      </c>
      <c r="E1027" s="458" t="s">
        <v>83</v>
      </c>
      <c r="F1027" s="458" t="s">
        <v>411</v>
      </c>
      <c r="G1027" s="458" t="s">
        <v>83</v>
      </c>
      <c r="H1027" s="458" t="s">
        <v>83</v>
      </c>
      <c r="I1027" s="458" t="s">
        <v>83</v>
      </c>
      <c r="J1027" s="464"/>
      <c r="K1027" s="458" t="s">
        <v>1590</v>
      </c>
      <c r="L1027" s="457"/>
    </row>
    <row r="1028" spans="1:11" ht="11.25" customHeight="1">
      <c r="A1028" s="65" t="s">
        <v>1597</v>
      </c>
      <c r="B1028" s="65" t="s">
        <v>1579</v>
      </c>
      <c r="C1028" s="65">
        <v>1</v>
      </c>
      <c r="D1028" s="65" t="s">
        <v>495</v>
      </c>
      <c r="E1028" s="65" t="s">
        <v>424</v>
      </c>
      <c r="F1028" s="65" t="s">
        <v>411</v>
      </c>
      <c r="G1028" s="65" t="s">
        <v>83</v>
      </c>
      <c r="H1028" s="65">
        <v>15</v>
      </c>
      <c r="I1028" s="65" t="s">
        <v>323</v>
      </c>
      <c r="J1028" s="466"/>
      <c r="K1028" s="65" t="s">
        <v>1590</v>
      </c>
    </row>
    <row r="1029" spans="1:11" ht="11.25" customHeight="1">
      <c r="A1029" s="65" t="s">
        <v>1598</v>
      </c>
      <c r="B1029" s="65" t="s">
        <v>1579</v>
      </c>
      <c r="C1029" s="65" t="s">
        <v>348</v>
      </c>
      <c r="D1029" s="65" t="s">
        <v>644</v>
      </c>
      <c r="E1029" s="65" t="s">
        <v>424</v>
      </c>
      <c r="F1029" s="65" t="s">
        <v>411</v>
      </c>
      <c r="G1029" s="65" t="s">
        <v>83</v>
      </c>
      <c r="H1029" s="65">
        <v>10</v>
      </c>
      <c r="I1029" s="65" t="s">
        <v>83</v>
      </c>
      <c r="J1029" s="466"/>
      <c r="K1029" s="65" t="s">
        <v>1590</v>
      </c>
    </row>
    <row r="1030" spans="1:12" s="458" customFormat="1" ht="11.25" customHeight="1">
      <c r="A1030" s="458" t="s">
        <v>1599</v>
      </c>
      <c r="B1030" s="458" t="s">
        <v>1579</v>
      </c>
      <c r="C1030" s="458">
        <v>1</v>
      </c>
      <c r="D1030" s="458" t="s">
        <v>410</v>
      </c>
      <c r="E1030" s="458" t="s">
        <v>83</v>
      </c>
      <c r="F1030" s="458" t="s">
        <v>411</v>
      </c>
      <c r="G1030" s="458" t="s">
        <v>83</v>
      </c>
      <c r="H1030" s="458" t="s">
        <v>83</v>
      </c>
      <c r="I1030" s="458" t="s">
        <v>83</v>
      </c>
      <c r="J1030" s="464"/>
      <c r="K1030" s="458" t="s">
        <v>1600</v>
      </c>
      <c r="L1030" s="457"/>
    </row>
    <row r="1031" spans="1:11" ht="11.25" customHeight="1">
      <c r="A1031" s="65" t="s">
        <v>1601</v>
      </c>
      <c r="B1031" s="65" t="s">
        <v>1579</v>
      </c>
      <c r="C1031" s="65" t="s">
        <v>348</v>
      </c>
      <c r="D1031" s="65" t="s">
        <v>566</v>
      </c>
      <c r="E1031" s="65" t="s">
        <v>424</v>
      </c>
      <c r="F1031" s="65" t="s">
        <v>411</v>
      </c>
      <c r="G1031" s="65" t="s">
        <v>83</v>
      </c>
      <c r="H1031" s="65">
        <v>8</v>
      </c>
      <c r="I1031" s="65" t="s">
        <v>83</v>
      </c>
      <c r="J1031" s="466"/>
      <c r="K1031" s="65" t="s">
        <v>1600</v>
      </c>
    </row>
    <row r="1032" spans="1:12" s="458" customFormat="1" ht="11.25" customHeight="1">
      <c r="A1032" s="458" t="s">
        <v>1602</v>
      </c>
      <c r="B1032" s="458" t="s">
        <v>1579</v>
      </c>
      <c r="C1032" s="458" t="s">
        <v>348</v>
      </c>
      <c r="D1032" s="458" t="s">
        <v>410</v>
      </c>
      <c r="E1032" s="458" t="s">
        <v>83</v>
      </c>
      <c r="F1032" s="458" t="s">
        <v>411</v>
      </c>
      <c r="G1032" s="458" t="s">
        <v>83</v>
      </c>
      <c r="H1032" s="458" t="s">
        <v>83</v>
      </c>
      <c r="I1032" s="458" t="s">
        <v>83</v>
      </c>
      <c r="J1032" s="464"/>
      <c r="K1032" s="458" t="s">
        <v>1600</v>
      </c>
      <c r="L1032" s="457"/>
    </row>
    <row r="1033" spans="1:11" ht="11.25" customHeight="1">
      <c r="A1033" s="65" t="s">
        <v>1603</v>
      </c>
      <c r="B1033" s="65" t="s">
        <v>1579</v>
      </c>
      <c r="C1033" s="65">
        <v>1</v>
      </c>
      <c r="D1033" s="65" t="s">
        <v>488</v>
      </c>
      <c r="E1033" s="65" t="s">
        <v>424</v>
      </c>
      <c r="F1033" s="65" t="s">
        <v>411</v>
      </c>
      <c r="G1033" s="65" t="s">
        <v>83</v>
      </c>
      <c r="H1033" s="65">
        <v>10</v>
      </c>
      <c r="I1033" s="65" t="s">
        <v>323</v>
      </c>
      <c r="J1033" s="466"/>
      <c r="K1033" s="65" t="s">
        <v>1600</v>
      </c>
    </row>
    <row r="1034" spans="1:12" s="458" customFormat="1" ht="11.25" customHeight="1">
      <c r="A1034" s="458" t="s">
        <v>1604</v>
      </c>
      <c r="B1034" s="458" t="s">
        <v>1579</v>
      </c>
      <c r="C1034" s="458" t="s">
        <v>348</v>
      </c>
      <c r="D1034" s="458" t="s">
        <v>410</v>
      </c>
      <c r="E1034" s="458" t="s">
        <v>83</v>
      </c>
      <c r="F1034" s="458" t="s">
        <v>411</v>
      </c>
      <c r="G1034" s="458" t="s">
        <v>83</v>
      </c>
      <c r="H1034" s="458" t="s">
        <v>83</v>
      </c>
      <c r="I1034" s="458" t="s">
        <v>83</v>
      </c>
      <c r="J1034" s="464"/>
      <c r="K1034" s="458" t="s">
        <v>1600</v>
      </c>
      <c r="L1034" s="457"/>
    </row>
    <row r="1035" spans="1:12" s="458" customFormat="1" ht="11.25" customHeight="1">
      <c r="A1035" s="458" t="s">
        <v>1605</v>
      </c>
      <c r="B1035" s="458" t="s">
        <v>1579</v>
      </c>
      <c r="C1035" s="458">
        <v>1</v>
      </c>
      <c r="D1035" s="458" t="s">
        <v>410</v>
      </c>
      <c r="E1035" s="458" t="s">
        <v>83</v>
      </c>
      <c r="F1035" s="458" t="s">
        <v>411</v>
      </c>
      <c r="G1035" s="458" t="s">
        <v>83</v>
      </c>
      <c r="H1035" s="458" t="s">
        <v>83</v>
      </c>
      <c r="I1035" s="458" t="s">
        <v>83</v>
      </c>
      <c r="J1035" s="464"/>
      <c r="K1035" s="451" t="s">
        <v>1600</v>
      </c>
      <c r="L1035" s="457"/>
    </row>
    <row r="1036" spans="1:12" s="458" customFormat="1" ht="11.25" customHeight="1">
      <c r="A1036" s="458" t="s">
        <v>1606</v>
      </c>
      <c r="B1036" s="458" t="s">
        <v>1579</v>
      </c>
      <c r="C1036" s="458">
        <v>1</v>
      </c>
      <c r="D1036" s="458" t="s">
        <v>410</v>
      </c>
      <c r="E1036" s="458" t="s">
        <v>83</v>
      </c>
      <c r="F1036" s="458" t="s">
        <v>411</v>
      </c>
      <c r="G1036" s="458" t="s">
        <v>83</v>
      </c>
      <c r="H1036" s="458" t="s">
        <v>83</v>
      </c>
      <c r="I1036" s="458" t="s">
        <v>83</v>
      </c>
      <c r="J1036" s="464"/>
      <c r="K1036" s="451" t="s">
        <v>1600</v>
      </c>
      <c r="L1036" s="457"/>
    </row>
    <row r="1037" spans="1:11" ht="11.25" customHeight="1">
      <c r="A1037" s="65" t="s">
        <v>1607</v>
      </c>
      <c r="B1037" s="65" t="s">
        <v>1579</v>
      </c>
      <c r="C1037" s="65">
        <v>1</v>
      </c>
      <c r="D1037" s="65" t="s">
        <v>488</v>
      </c>
      <c r="E1037" s="65" t="s">
        <v>424</v>
      </c>
      <c r="F1037" s="65" t="s">
        <v>411</v>
      </c>
      <c r="G1037" s="65" t="s">
        <v>83</v>
      </c>
      <c r="H1037" s="65" t="s">
        <v>83</v>
      </c>
      <c r="I1037" s="65" t="s">
        <v>655</v>
      </c>
      <c r="J1037" s="466"/>
      <c r="K1037" s="390" t="s">
        <v>1600</v>
      </c>
    </row>
    <row r="1038" spans="1:11" ht="11.25" customHeight="1">
      <c r="A1038" s="65" t="s">
        <v>1608</v>
      </c>
      <c r="B1038" s="65" t="s">
        <v>1579</v>
      </c>
      <c r="C1038" s="65">
        <v>1</v>
      </c>
      <c r="D1038" s="65" t="s">
        <v>566</v>
      </c>
      <c r="E1038" s="65" t="s">
        <v>174</v>
      </c>
      <c r="F1038" s="65" t="s">
        <v>871</v>
      </c>
      <c r="G1038" s="65" t="s">
        <v>871</v>
      </c>
      <c r="H1038" s="65">
        <v>10</v>
      </c>
      <c r="I1038" s="65" t="s">
        <v>83</v>
      </c>
      <c r="J1038" s="466"/>
      <c r="K1038" s="65" t="s">
        <v>1600</v>
      </c>
    </row>
    <row r="1039" spans="1:11" ht="11.25" customHeight="1">
      <c r="A1039" s="445" t="s">
        <v>1609</v>
      </c>
      <c r="B1039" s="446" t="s">
        <v>322</v>
      </c>
      <c r="C1039" s="446" t="s">
        <v>323</v>
      </c>
      <c r="D1039" s="446" t="s">
        <v>324</v>
      </c>
      <c r="E1039" s="446" t="s">
        <v>185</v>
      </c>
      <c r="F1039" s="446" t="s">
        <v>325</v>
      </c>
      <c r="G1039" s="446" t="s">
        <v>261</v>
      </c>
      <c r="H1039" s="446" t="s">
        <v>326</v>
      </c>
      <c r="I1039" s="446" t="s">
        <v>254</v>
      </c>
      <c r="J1039" s="459" t="s">
        <v>327</v>
      </c>
      <c r="K1039" s="447" t="s">
        <v>408</v>
      </c>
    </row>
    <row r="1040" spans="1:12" s="458" customFormat="1" ht="11.25" customHeight="1">
      <c r="A1040" s="458" t="s">
        <v>1610</v>
      </c>
      <c r="B1040" s="458" t="s">
        <v>1609</v>
      </c>
      <c r="C1040" s="458" t="s">
        <v>348</v>
      </c>
      <c r="D1040" s="458" t="s">
        <v>410</v>
      </c>
      <c r="E1040" s="458" t="s">
        <v>83</v>
      </c>
      <c r="F1040" s="458" t="s">
        <v>411</v>
      </c>
      <c r="G1040" s="458" t="s">
        <v>83</v>
      </c>
      <c r="H1040" s="458" t="s">
        <v>83</v>
      </c>
      <c r="I1040" s="458" t="s">
        <v>83</v>
      </c>
      <c r="J1040" s="464"/>
      <c r="K1040" s="458" t="s">
        <v>1611</v>
      </c>
      <c r="L1040" s="457"/>
    </row>
    <row r="1041" spans="1:11" ht="11.25" customHeight="1">
      <c r="A1041" s="65" t="s">
        <v>1612</v>
      </c>
      <c r="B1041" s="65" t="s">
        <v>1609</v>
      </c>
      <c r="C1041" s="65" t="s">
        <v>348</v>
      </c>
      <c r="D1041" s="65" t="s">
        <v>1044</v>
      </c>
      <c r="E1041" s="65" t="s">
        <v>424</v>
      </c>
      <c r="F1041" s="65" t="s">
        <v>411</v>
      </c>
      <c r="G1041" s="65" t="s">
        <v>83</v>
      </c>
      <c r="H1041" s="65">
        <v>8</v>
      </c>
      <c r="I1041" s="65">
        <v>1</v>
      </c>
      <c r="J1041" s="466"/>
      <c r="K1041" s="65" t="s">
        <v>1611</v>
      </c>
    </row>
    <row r="1042" spans="1:11" ht="11.25" customHeight="1">
      <c r="A1042" s="65" t="s">
        <v>1613</v>
      </c>
      <c r="B1042" s="65" t="s">
        <v>1609</v>
      </c>
      <c r="C1042" s="65" t="s">
        <v>348</v>
      </c>
      <c r="D1042" s="65" t="s">
        <v>588</v>
      </c>
      <c r="E1042" s="65" t="s">
        <v>174</v>
      </c>
      <c r="F1042" s="65" t="s">
        <v>871</v>
      </c>
      <c r="G1042" s="65" t="s">
        <v>630</v>
      </c>
      <c r="H1042" s="65">
        <v>10</v>
      </c>
      <c r="I1042" s="65" t="s">
        <v>991</v>
      </c>
      <c r="J1042" s="466"/>
      <c r="K1042" s="65" t="s">
        <v>1611</v>
      </c>
    </row>
    <row r="1043" spans="1:11" ht="11.25" customHeight="1">
      <c r="A1043" s="65" t="s">
        <v>1614</v>
      </c>
      <c r="B1043" s="65" t="s">
        <v>1609</v>
      </c>
      <c r="C1043" s="65" t="s">
        <v>348</v>
      </c>
      <c r="D1043" s="65" t="s">
        <v>495</v>
      </c>
      <c r="E1043" s="65" t="s">
        <v>424</v>
      </c>
      <c r="F1043" s="65" t="s">
        <v>411</v>
      </c>
      <c r="G1043" s="65" t="s">
        <v>83</v>
      </c>
      <c r="H1043" s="65">
        <v>10</v>
      </c>
      <c r="I1043" s="65" t="s">
        <v>83</v>
      </c>
      <c r="J1043" s="466"/>
      <c r="K1043" s="65" t="s">
        <v>1611</v>
      </c>
    </row>
    <row r="1044" spans="1:12" s="458" customFormat="1" ht="11.25" customHeight="1">
      <c r="A1044" s="458" t="s">
        <v>1615</v>
      </c>
      <c r="B1044" s="458" t="s">
        <v>1609</v>
      </c>
      <c r="C1044" s="458" t="s">
        <v>348</v>
      </c>
      <c r="D1044" s="458" t="s">
        <v>410</v>
      </c>
      <c r="E1044" s="458" t="s">
        <v>83</v>
      </c>
      <c r="F1044" s="458" t="s">
        <v>411</v>
      </c>
      <c r="G1044" s="458" t="s">
        <v>83</v>
      </c>
      <c r="H1044" s="458" t="s">
        <v>83</v>
      </c>
      <c r="I1044" s="458" t="s">
        <v>83</v>
      </c>
      <c r="J1044" s="464"/>
      <c r="K1044" s="451" t="s">
        <v>1611</v>
      </c>
      <c r="L1044" s="457"/>
    </row>
    <row r="1045" spans="1:11" ht="11.25" customHeight="1">
      <c r="A1045" s="458" t="s">
        <v>1616</v>
      </c>
      <c r="B1045" s="458" t="s">
        <v>1609</v>
      </c>
      <c r="C1045" s="458" t="s">
        <v>348</v>
      </c>
      <c r="D1045" s="458" t="s">
        <v>410</v>
      </c>
      <c r="E1045" s="458" t="s">
        <v>83</v>
      </c>
      <c r="F1045" s="458" t="s">
        <v>411</v>
      </c>
      <c r="G1045" s="458" t="s">
        <v>83</v>
      </c>
      <c r="H1045" s="458" t="s">
        <v>83</v>
      </c>
      <c r="I1045" s="458" t="s">
        <v>83</v>
      </c>
      <c r="J1045" s="464"/>
      <c r="K1045" s="458" t="s">
        <v>1611</v>
      </c>
    </row>
    <row r="1046" spans="1:11" ht="11.25" customHeight="1">
      <c r="A1046" s="65" t="s">
        <v>1617</v>
      </c>
      <c r="B1046" s="65" t="s">
        <v>1609</v>
      </c>
      <c r="C1046" s="65" t="s">
        <v>348</v>
      </c>
      <c r="D1046" s="65" t="s">
        <v>423</v>
      </c>
      <c r="E1046" s="65" t="s">
        <v>424</v>
      </c>
      <c r="F1046" s="65" t="s">
        <v>547</v>
      </c>
      <c r="G1046" s="65" t="s">
        <v>548</v>
      </c>
      <c r="H1046" s="65">
        <v>10</v>
      </c>
      <c r="I1046" s="65" t="s">
        <v>83</v>
      </c>
      <c r="J1046" s="466"/>
      <c r="K1046" s="65" t="s">
        <v>1611</v>
      </c>
    </row>
    <row r="1047" spans="1:11" ht="11.25" customHeight="1">
      <c r="A1047" s="65" t="s">
        <v>1618</v>
      </c>
      <c r="B1047" s="65" t="s">
        <v>1609</v>
      </c>
      <c r="C1047" s="65">
        <v>1</v>
      </c>
      <c r="D1047" s="65" t="s">
        <v>644</v>
      </c>
      <c r="E1047" s="65" t="s">
        <v>424</v>
      </c>
      <c r="F1047" s="65" t="s">
        <v>411</v>
      </c>
      <c r="G1047" s="65" t="s">
        <v>83</v>
      </c>
      <c r="H1047" s="65">
        <v>8</v>
      </c>
      <c r="I1047" s="65" t="s">
        <v>83</v>
      </c>
      <c r="J1047" s="466"/>
      <c r="K1047" s="390" t="s">
        <v>1611</v>
      </c>
    </row>
    <row r="1048" spans="1:11" ht="11.25" customHeight="1">
      <c r="A1048" s="65" t="s">
        <v>1619</v>
      </c>
      <c r="B1048" s="65" t="s">
        <v>1609</v>
      </c>
      <c r="C1048" s="65">
        <v>1</v>
      </c>
      <c r="D1048" s="65" t="s">
        <v>652</v>
      </c>
      <c r="E1048" s="65" t="s">
        <v>424</v>
      </c>
      <c r="F1048" s="65" t="s">
        <v>547</v>
      </c>
      <c r="G1048" s="65" t="s">
        <v>1544</v>
      </c>
      <c r="H1048" s="65">
        <v>12</v>
      </c>
      <c r="I1048" s="65" t="s">
        <v>991</v>
      </c>
      <c r="J1048" s="466"/>
      <c r="K1048" s="390" t="s">
        <v>1611</v>
      </c>
    </row>
    <row r="1049" spans="1:11" ht="11.25" customHeight="1">
      <c r="A1049" s="65" t="s">
        <v>956</v>
      </c>
      <c r="B1049" s="65" t="s">
        <v>1609</v>
      </c>
      <c r="C1049" s="65">
        <v>1</v>
      </c>
      <c r="D1049" s="65" t="s">
        <v>423</v>
      </c>
      <c r="E1049" s="65" t="s">
        <v>424</v>
      </c>
      <c r="F1049" s="65" t="s">
        <v>411</v>
      </c>
      <c r="G1049" s="65" t="s">
        <v>83</v>
      </c>
      <c r="H1049" s="65">
        <v>5</v>
      </c>
      <c r="I1049" s="65" t="s">
        <v>655</v>
      </c>
      <c r="J1049" s="466"/>
      <c r="K1049" s="390" t="s">
        <v>1620</v>
      </c>
    </row>
    <row r="1050" spans="1:11" ht="11.25" customHeight="1">
      <c r="A1050" s="65" t="s">
        <v>1621</v>
      </c>
      <c r="B1050" s="65" t="s">
        <v>1609</v>
      </c>
      <c r="C1050" s="65">
        <v>1</v>
      </c>
      <c r="D1050" s="65" t="s">
        <v>566</v>
      </c>
      <c r="E1050" s="65" t="s">
        <v>33</v>
      </c>
      <c r="F1050" s="65" t="s">
        <v>702</v>
      </c>
      <c r="G1050" s="65" t="s">
        <v>548</v>
      </c>
      <c r="H1050" s="65">
        <v>8</v>
      </c>
      <c r="I1050" s="65" t="s">
        <v>83</v>
      </c>
      <c r="J1050" s="466"/>
      <c r="K1050" s="65" t="s">
        <v>1620</v>
      </c>
    </row>
    <row r="1051" spans="1:11" ht="11.25" customHeight="1">
      <c r="A1051" s="65" t="s">
        <v>1622</v>
      </c>
      <c r="B1051" s="65" t="s">
        <v>1609</v>
      </c>
      <c r="C1051" s="65">
        <v>1</v>
      </c>
      <c r="D1051" s="65" t="s">
        <v>588</v>
      </c>
      <c r="E1051" s="65" t="s">
        <v>424</v>
      </c>
      <c r="F1051" s="65" t="s">
        <v>411</v>
      </c>
      <c r="G1051" s="65" t="s">
        <v>83</v>
      </c>
      <c r="H1051" s="65">
        <v>15</v>
      </c>
      <c r="I1051" s="65" t="s">
        <v>323</v>
      </c>
      <c r="J1051" s="466"/>
      <c r="K1051" s="65" t="s">
        <v>1620</v>
      </c>
    </row>
    <row r="1052" spans="1:12" s="458" customFormat="1" ht="11.25" customHeight="1">
      <c r="A1052" s="458" t="s">
        <v>1623</v>
      </c>
      <c r="B1052" s="458" t="s">
        <v>1609</v>
      </c>
      <c r="C1052" s="458" t="s">
        <v>348</v>
      </c>
      <c r="D1052" s="458" t="s">
        <v>410</v>
      </c>
      <c r="E1052" s="458" t="s">
        <v>83</v>
      </c>
      <c r="F1052" s="458" t="s">
        <v>411</v>
      </c>
      <c r="G1052" s="458" t="s">
        <v>83</v>
      </c>
      <c r="H1052" s="458" t="s">
        <v>83</v>
      </c>
      <c r="I1052" s="458" t="s">
        <v>83</v>
      </c>
      <c r="J1052" s="464"/>
      <c r="K1052" s="458" t="s">
        <v>1620</v>
      </c>
      <c r="L1052" s="457"/>
    </row>
    <row r="1053" spans="1:11" ht="11.25" customHeight="1">
      <c r="A1053" s="65" t="s">
        <v>1624</v>
      </c>
      <c r="B1053" s="65" t="s">
        <v>1609</v>
      </c>
      <c r="C1053" s="65">
        <v>1</v>
      </c>
      <c r="D1053" s="65" t="s">
        <v>644</v>
      </c>
      <c r="E1053" s="65" t="s">
        <v>424</v>
      </c>
      <c r="F1053" s="65" t="s">
        <v>411</v>
      </c>
      <c r="G1053" s="65" t="s">
        <v>83</v>
      </c>
      <c r="H1053" s="65">
        <v>18</v>
      </c>
      <c r="I1053" s="65" t="s">
        <v>323</v>
      </c>
      <c r="J1053" s="466"/>
      <c r="K1053" s="390" t="s">
        <v>1620</v>
      </c>
    </row>
    <row r="1054" spans="1:11" ht="11.25" customHeight="1">
      <c r="A1054" s="65" t="s">
        <v>1625</v>
      </c>
      <c r="B1054" s="65" t="s">
        <v>1609</v>
      </c>
      <c r="C1054" s="65">
        <v>1</v>
      </c>
      <c r="D1054" s="65" t="s">
        <v>644</v>
      </c>
      <c r="E1054" s="65" t="s">
        <v>424</v>
      </c>
      <c r="F1054" s="65" t="s">
        <v>411</v>
      </c>
      <c r="G1054" s="65" t="s">
        <v>83</v>
      </c>
      <c r="H1054" s="65">
        <v>8</v>
      </c>
      <c r="I1054" s="65" t="s">
        <v>83</v>
      </c>
      <c r="J1054" s="466"/>
      <c r="K1054" s="65" t="s">
        <v>1620</v>
      </c>
    </row>
    <row r="1055" spans="1:12" s="458" customFormat="1" ht="11.25" customHeight="1">
      <c r="A1055" s="458" t="s">
        <v>1626</v>
      </c>
      <c r="B1055" s="458" t="s">
        <v>1609</v>
      </c>
      <c r="C1055" s="458">
        <v>1</v>
      </c>
      <c r="D1055" s="458" t="s">
        <v>410</v>
      </c>
      <c r="E1055" s="458" t="s">
        <v>83</v>
      </c>
      <c r="F1055" s="458" t="s">
        <v>411</v>
      </c>
      <c r="G1055" s="458" t="s">
        <v>83</v>
      </c>
      <c r="H1055" s="458" t="s">
        <v>83</v>
      </c>
      <c r="I1055" s="458" t="s">
        <v>83</v>
      </c>
      <c r="J1055" s="464"/>
      <c r="K1055" s="458" t="s">
        <v>1620</v>
      </c>
      <c r="L1055" s="457"/>
    </row>
    <row r="1056" spans="1:11" ht="11.25" customHeight="1">
      <c r="A1056" s="65" t="s">
        <v>1627</v>
      </c>
      <c r="B1056" s="65" t="s">
        <v>1609</v>
      </c>
      <c r="C1056" s="65">
        <v>1</v>
      </c>
      <c r="D1056" s="65" t="s">
        <v>588</v>
      </c>
      <c r="E1056" s="65" t="s">
        <v>424</v>
      </c>
      <c r="F1056" s="65" t="s">
        <v>411</v>
      </c>
      <c r="G1056" s="65" t="s">
        <v>83</v>
      </c>
      <c r="H1056" s="65">
        <v>10</v>
      </c>
      <c r="I1056" s="65">
        <v>3</v>
      </c>
      <c r="J1056" s="466"/>
      <c r="K1056" s="65" t="s">
        <v>1620</v>
      </c>
    </row>
    <row r="1057" spans="1:12" s="458" customFormat="1" ht="11.25" customHeight="1">
      <c r="A1057" s="458" t="s">
        <v>1628</v>
      </c>
      <c r="B1057" s="458" t="s">
        <v>1609</v>
      </c>
      <c r="C1057" s="458" t="s">
        <v>348</v>
      </c>
      <c r="D1057" s="458" t="s">
        <v>410</v>
      </c>
      <c r="E1057" s="458" t="s">
        <v>83</v>
      </c>
      <c r="F1057" s="458" t="s">
        <v>411</v>
      </c>
      <c r="G1057" s="458" t="s">
        <v>83</v>
      </c>
      <c r="H1057" s="458" t="s">
        <v>83</v>
      </c>
      <c r="I1057" s="458" t="s">
        <v>83</v>
      </c>
      <c r="J1057" s="464"/>
      <c r="K1057" s="458" t="s">
        <v>1620</v>
      </c>
      <c r="L1057" s="457"/>
    </row>
    <row r="1058" spans="1:11" ht="11.25" customHeight="1">
      <c r="A1058" s="65" t="s">
        <v>1629</v>
      </c>
      <c r="B1058" s="65" t="s">
        <v>1609</v>
      </c>
      <c r="C1058" s="65" t="s">
        <v>348</v>
      </c>
      <c r="D1058" s="65" t="s">
        <v>644</v>
      </c>
      <c r="E1058" s="65" t="s">
        <v>424</v>
      </c>
      <c r="F1058" s="65" t="s">
        <v>411</v>
      </c>
      <c r="G1058" s="65" t="s">
        <v>83</v>
      </c>
      <c r="H1058" s="65">
        <v>8</v>
      </c>
      <c r="I1058" s="65" t="s">
        <v>83</v>
      </c>
      <c r="J1058" s="466"/>
      <c r="K1058" s="65" t="s">
        <v>1630</v>
      </c>
    </row>
    <row r="1059" spans="1:12" s="458" customFormat="1" ht="11.25" customHeight="1">
      <c r="A1059" s="458" t="s">
        <v>1631</v>
      </c>
      <c r="B1059" s="458" t="s">
        <v>1609</v>
      </c>
      <c r="C1059" s="458">
        <v>1</v>
      </c>
      <c r="D1059" s="458" t="s">
        <v>410</v>
      </c>
      <c r="E1059" s="458" t="s">
        <v>83</v>
      </c>
      <c r="F1059" s="458" t="s">
        <v>411</v>
      </c>
      <c r="G1059" s="458" t="s">
        <v>83</v>
      </c>
      <c r="H1059" s="458" t="s">
        <v>83</v>
      </c>
      <c r="I1059" s="458" t="s">
        <v>83</v>
      </c>
      <c r="J1059" s="464"/>
      <c r="K1059" s="458" t="s">
        <v>1630</v>
      </c>
      <c r="L1059" s="457"/>
    </row>
    <row r="1060" spans="1:12" s="458" customFormat="1" ht="11.25" customHeight="1">
      <c r="A1060" s="458" t="s">
        <v>1632</v>
      </c>
      <c r="B1060" s="458" t="s">
        <v>1609</v>
      </c>
      <c r="C1060" s="458" t="s">
        <v>348</v>
      </c>
      <c r="D1060" s="458" t="s">
        <v>410</v>
      </c>
      <c r="E1060" s="458" t="s">
        <v>83</v>
      </c>
      <c r="F1060" s="458" t="s">
        <v>411</v>
      </c>
      <c r="G1060" s="458" t="s">
        <v>83</v>
      </c>
      <c r="H1060" s="458" t="s">
        <v>83</v>
      </c>
      <c r="I1060" s="458" t="s">
        <v>83</v>
      </c>
      <c r="J1060" s="464"/>
      <c r="K1060" s="458" t="s">
        <v>1630</v>
      </c>
      <c r="L1060" s="457"/>
    </row>
    <row r="1061" spans="1:12" s="458" customFormat="1" ht="11.25" customHeight="1">
      <c r="A1061" s="458" t="s">
        <v>1633</v>
      </c>
      <c r="B1061" s="458" t="s">
        <v>1609</v>
      </c>
      <c r="C1061" s="458" t="s">
        <v>348</v>
      </c>
      <c r="D1061" s="458" t="s">
        <v>410</v>
      </c>
      <c r="E1061" s="458" t="s">
        <v>83</v>
      </c>
      <c r="F1061" s="458" t="s">
        <v>411</v>
      </c>
      <c r="G1061" s="458" t="s">
        <v>83</v>
      </c>
      <c r="H1061" s="458" t="s">
        <v>83</v>
      </c>
      <c r="I1061" s="458" t="s">
        <v>83</v>
      </c>
      <c r="J1061" s="464"/>
      <c r="K1061" s="458" t="s">
        <v>1630</v>
      </c>
      <c r="L1061" s="457"/>
    </row>
    <row r="1062" spans="1:11" ht="11.25" customHeight="1">
      <c r="A1062" s="458" t="s">
        <v>1634</v>
      </c>
      <c r="B1062" s="458" t="s">
        <v>1609</v>
      </c>
      <c r="C1062" s="458" t="s">
        <v>348</v>
      </c>
      <c r="D1062" s="458" t="s">
        <v>410</v>
      </c>
      <c r="E1062" s="458" t="s">
        <v>83</v>
      </c>
      <c r="F1062" s="458" t="s">
        <v>411</v>
      </c>
      <c r="G1062" s="458" t="s">
        <v>83</v>
      </c>
      <c r="H1062" s="458" t="s">
        <v>83</v>
      </c>
      <c r="I1062" s="458" t="s">
        <v>83</v>
      </c>
      <c r="J1062" s="466"/>
      <c r="K1062" s="65" t="s">
        <v>1630</v>
      </c>
    </row>
    <row r="1063" spans="1:11" ht="11.25" customHeight="1">
      <c r="A1063" s="65" t="s">
        <v>1635</v>
      </c>
      <c r="B1063" s="65" t="s">
        <v>1609</v>
      </c>
      <c r="C1063" s="65">
        <v>1</v>
      </c>
      <c r="D1063" s="65" t="s">
        <v>652</v>
      </c>
      <c r="E1063" s="65" t="s">
        <v>424</v>
      </c>
      <c r="F1063" s="65" t="s">
        <v>411</v>
      </c>
      <c r="G1063" s="65" t="s">
        <v>83</v>
      </c>
      <c r="H1063" s="65">
        <v>14</v>
      </c>
      <c r="I1063" s="65" t="s">
        <v>323</v>
      </c>
      <c r="J1063" s="466"/>
      <c r="K1063" s="390" t="s">
        <v>1630</v>
      </c>
    </row>
    <row r="1064" spans="1:12" s="458" customFormat="1" ht="11.25" customHeight="1">
      <c r="A1064" s="458" t="s">
        <v>1636</v>
      </c>
      <c r="B1064" s="458" t="s">
        <v>1609</v>
      </c>
      <c r="C1064" s="458">
        <v>1</v>
      </c>
      <c r="D1064" s="458" t="s">
        <v>410</v>
      </c>
      <c r="E1064" s="458" t="s">
        <v>83</v>
      </c>
      <c r="F1064" s="458" t="s">
        <v>411</v>
      </c>
      <c r="G1064" s="458" t="s">
        <v>83</v>
      </c>
      <c r="H1064" s="458" t="s">
        <v>83</v>
      </c>
      <c r="I1064" s="458" t="s">
        <v>83</v>
      </c>
      <c r="J1064" s="464"/>
      <c r="K1064" s="451" t="s">
        <v>1630</v>
      </c>
      <c r="L1064" s="457"/>
    </row>
    <row r="1065" spans="1:12" s="458" customFormat="1" ht="11.25" customHeight="1">
      <c r="A1065" s="458" t="s">
        <v>1637</v>
      </c>
      <c r="B1065" s="458" t="s">
        <v>1609</v>
      </c>
      <c r="C1065" s="458">
        <v>1</v>
      </c>
      <c r="D1065" s="458" t="s">
        <v>410</v>
      </c>
      <c r="E1065" s="458" t="s">
        <v>83</v>
      </c>
      <c r="F1065" s="458" t="s">
        <v>411</v>
      </c>
      <c r="G1065" s="458" t="s">
        <v>83</v>
      </c>
      <c r="H1065" s="458" t="s">
        <v>83</v>
      </c>
      <c r="I1065" s="458" t="s">
        <v>83</v>
      </c>
      <c r="J1065" s="464"/>
      <c r="K1065" s="451" t="s">
        <v>1630</v>
      </c>
      <c r="L1065" s="457"/>
    </row>
    <row r="1066" spans="1:11" ht="11.25" customHeight="1">
      <c r="A1066" s="65" t="s">
        <v>1638</v>
      </c>
      <c r="B1066" s="65" t="s">
        <v>1609</v>
      </c>
      <c r="C1066" s="65">
        <v>1</v>
      </c>
      <c r="D1066" s="65" t="s">
        <v>566</v>
      </c>
      <c r="E1066" s="65" t="s">
        <v>174</v>
      </c>
      <c r="F1066" s="65" t="s">
        <v>871</v>
      </c>
      <c r="G1066" s="65" t="s">
        <v>871</v>
      </c>
      <c r="H1066" s="65">
        <v>10</v>
      </c>
      <c r="I1066" s="65" t="s">
        <v>323</v>
      </c>
      <c r="J1066" s="466"/>
      <c r="K1066" s="65" t="s">
        <v>1630</v>
      </c>
    </row>
    <row r="1067" spans="1:11" ht="11.25" customHeight="1">
      <c r="A1067" s="445" t="s">
        <v>1639</v>
      </c>
      <c r="B1067" s="446" t="s">
        <v>322</v>
      </c>
      <c r="C1067" s="446" t="s">
        <v>323</v>
      </c>
      <c r="D1067" s="446" t="s">
        <v>324</v>
      </c>
      <c r="E1067" s="446" t="s">
        <v>185</v>
      </c>
      <c r="F1067" s="446" t="s">
        <v>325</v>
      </c>
      <c r="G1067" s="446" t="s">
        <v>261</v>
      </c>
      <c r="H1067" s="446" t="s">
        <v>326</v>
      </c>
      <c r="I1067" s="446" t="s">
        <v>254</v>
      </c>
      <c r="J1067" s="459" t="s">
        <v>327</v>
      </c>
      <c r="K1067" s="447" t="s">
        <v>408</v>
      </c>
    </row>
    <row r="1068" spans="1:11" ht="11.25" customHeight="1">
      <c r="A1068" s="65" t="s">
        <v>1640</v>
      </c>
      <c r="B1068" s="65" t="s">
        <v>1639</v>
      </c>
      <c r="C1068" s="65" t="s">
        <v>348</v>
      </c>
      <c r="D1068" s="65" t="s">
        <v>488</v>
      </c>
      <c r="E1068" s="65" t="s">
        <v>424</v>
      </c>
      <c r="F1068" s="65" t="s">
        <v>411</v>
      </c>
      <c r="G1068" s="65" t="s">
        <v>83</v>
      </c>
      <c r="H1068" s="65" t="s">
        <v>83</v>
      </c>
      <c r="I1068" s="65">
        <v>1</v>
      </c>
      <c r="J1068" s="466" t="s">
        <v>1641</v>
      </c>
      <c r="K1068" s="65" t="s">
        <v>1642</v>
      </c>
    </row>
    <row r="1069" spans="1:11" ht="11.25" customHeight="1">
      <c r="A1069" s="65" t="s">
        <v>1643</v>
      </c>
      <c r="B1069" s="65" t="s">
        <v>1639</v>
      </c>
      <c r="C1069" s="65" t="s">
        <v>348</v>
      </c>
      <c r="D1069" s="65" t="s">
        <v>644</v>
      </c>
      <c r="E1069" s="65" t="s">
        <v>424</v>
      </c>
      <c r="F1069" s="65" t="s">
        <v>411</v>
      </c>
      <c r="G1069" s="65" t="s">
        <v>83</v>
      </c>
      <c r="H1069" s="65">
        <v>8</v>
      </c>
      <c r="I1069" s="65" t="s">
        <v>83</v>
      </c>
      <c r="J1069" s="466"/>
      <c r="K1069" s="390" t="s">
        <v>1644</v>
      </c>
    </row>
    <row r="1070" spans="1:11" ht="11.25" customHeight="1">
      <c r="A1070" s="65" t="s">
        <v>1645</v>
      </c>
      <c r="B1070" s="65" t="s">
        <v>1639</v>
      </c>
      <c r="C1070" s="65">
        <v>1</v>
      </c>
      <c r="D1070" s="65" t="s">
        <v>644</v>
      </c>
      <c r="E1070" s="65" t="s">
        <v>424</v>
      </c>
      <c r="F1070" s="65" t="s">
        <v>411</v>
      </c>
      <c r="G1070" s="65" t="s">
        <v>83</v>
      </c>
      <c r="H1070" s="65">
        <v>8</v>
      </c>
      <c r="I1070" s="65" t="s">
        <v>83</v>
      </c>
      <c r="J1070" s="466"/>
      <c r="K1070" s="390" t="s">
        <v>1644</v>
      </c>
    </row>
    <row r="1071" spans="1:12" s="458" customFormat="1" ht="11.25" customHeight="1">
      <c r="A1071" s="458" t="s">
        <v>1646</v>
      </c>
      <c r="B1071" s="458" t="s">
        <v>1639</v>
      </c>
      <c r="C1071" s="458">
        <v>1</v>
      </c>
      <c r="D1071" s="458" t="s">
        <v>410</v>
      </c>
      <c r="E1071" s="458" t="s">
        <v>83</v>
      </c>
      <c r="F1071" s="458" t="s">
        <v>411</v>
      </c>
      <c r="G1071" s="458" t="s">
        <v>83</v>
      </c>
      <c r="H1071" s="458" t="s">
        <v>83</v>
      </c>
      <c r="I1071" s="458" t="s">
        <v>83</v>
      </c>
      <c r="J1071" s="464"/>
      <c r="K1071" s="451" t="s">
        <v>1642</v>
      </c>
      <c r="L1071" s="457"/>
    </row>
    <row r="1072" spans="1:12" s="458" customFormat="1" ht="11.25" customHeight="1">
      <c r="A1072" s="458" t="s">
        <v>1647</v>
      </c>
      <c r="B1072" s="458" t="s">
        <v>1639</v>
      </c>
      <c r="C1072" s="458">
        <v>1</v>
      </c>
      <c r="D1072" s="458" t="s">
        <v>410</v>
      </c>
      <c r="E1072" s="458" t="s">
        <v>83</v>
      </c>
      <c r="F1072" s="458" t="s">
        <v>411</v>
      </c>
      <c r="G1072" s="458" t="s">
        <v>83</v>
      </c>
      <c r="H1072" s="458" t="s">
        <v>83</v>
      </c>
      <c r="I1072" s="458" t="s">
        <v>83</v>
      </c>
      <c r="J1072" s="464"/>
      <c r="K1072" s="451" t="s">
        <v>1642</v>
      </c>
      <c r="L1072" s="457"/>
    </row>
    <row r="1073" spans="1:12" s="458" customFormat="1" ht="11.25" customHeight="1">
      <c r="A1073" s="458" t="s">
        <v>1648</v>
      </c>
      <c r="B1073" s="458" t="s">
        <v>1639</v>
      </c>
      <c r="C1073" s="458">
        <v>1</v>
      </c>
      <c r="D1073" s="458" t="s">
        <v>410</v>
      </c>
      <c r="E1073" s="458" t="s">
        <v>83</v>
      </c>
      <c r="F1073" s="458" t="s">
        <v>411</v>
      </c>
      <c r="G1073" s="458" t="s">
        <v>83</v>
      </c>
      <c r="H1073" s="458" t="s">
        <v>83</v>
      </c>
      <c r="I1073" s="458" t="s">
        <v>83</v>
      </c>
      <c r="J1073" s="464"/>
      <c r="K1073" s="451" t="s">
        <v>1642</v>
      </c>
      <c r="L1073" s="457"/>
    </row>
    <row r="1074" spans="1:12" s="458" customFormat="1" ht="11.25" customHeight="1">
      <c r="A1074" s="458" t="s">
        <v>1649</v>
      </c>
      <c r="B1074" s="458" t="s">
        <v>1639</v>
      </c>
      <c r="C1074" s="458">
        <v>1</v>
      </c>
      <c r="D1074" s="458" t="s">
        <v>410</v>
      </c>
      <c r="E1074" s="458" t="s">
        <v>83</v>
      </c>
      <c r="F1074" s="458" t="s">
        <v>411</v>
      </c>
      <c r="G1074" s="458" t="s">
        <v>83</v>
      </c>
      <c r="H1074" s="458" t="s">
        <v>83</v>
      </c>
      <c r="I1074" s="458" t="s">
        <v>83</v>
      </c>
      <c r="J1074" s="464"/>
      <c r="K1074" s="451" t="s">
        <v>1642</v>
      </c>
      <c r="L1074" s="457"/>
    </row>
    <row r="1075" spans="1:12" s="458" customFormat="1" ht="11.25" customHeight="1">
      <c r="A1075" s="458" t="s">
        <v>1650</v>
      </c>
      <c r="B1075" s="458" t="s">
        <v>1639</v>
      </c>
      <c r="C1075" s="458">
        <v>1</v>
      </c>
      <c r="D1075" s="458" t="s">
        <v>410</v>
      </c>
      <c r="E1075" s="458" t="s">
        <v>83</v>
      </c>
      <c r="F1075" s="458" t="s">
        <v>411</v>
      </c>
      <c r="G1075" s="458" t="s">
        <v>83</v>
      </c>
      <c r="H1075" s="458" t="s">
        <v>83</v>
      </c>
      <c r="I1075" s="458" t="s">
        <v>83</v>
      </c>
      <c r="J1075" s="464"/>
      <c r="K1075" s="451" t="s">
        <v>1642</v>
      </c>
      <c r="L1075" s="457"/>
    </row>
    <row r="1076" spans="1:12" s="458" customFormat="1" ht="11.25" customHeight="1">
      <c r="A1076" s="458" t="s">
        <v>1651</v>
      </c>
      <c r="B1076" s="458" t="s">
        <v>1639</v>
      </c>
      <c r="C1076" s="458">
        <v>1</v>
      </c>
      <c r="D1076" s="458" t="s">
        <v>410</v>
      </c>
      <c r="E1076" s="458" t="s">
        <v>83</v>
      </c>
      <c r="F1076" s="458" t="s">
        <v>411</v>
      </c>
      <c r="G1076" s="458" t="s">
        <v>83</v>
      </c>
      <c r="H1076" s="458" t="s">
        <v>83</v>
      </c>
      <c r="I1076" s="458" t="s">
        <v>83</v>
      </c>
      <c r="J1076" s="464"/>
      <c r="K1076" s="451" t="s">
        <v>1642</v>
      </c>
      <c r="L1076" s="457"/>
    </row>
    <row r="1077" spans="1:11" ht="11.25" customHeight="1">
      <c r="A1077" s="65" t="s">
        <v>1652</v>
      </c>
      <c r="B1077" s="65" t="s">
        <v>1639</v>
      </c>
      <c r="C1077" s="65" t="s">
        <v>348</v>
      </c>
      <c r="D1077" s="65" t="s">
        <v>644</v>
      </c>
      <c r="E1077" s="65" t="s">
        <v>424</v>
      </c>
      <c r="F1077" s="65" t="s">
        <v>411</v>
      </c>
      <c r="G1077" s="65" t="s">
        <v>83</v>
      </c>
      <c r="H1077" s="65">
        <v>6</v>
      </c>
      <c r="I1077" s="65" t="s">
        <v>83</v>
      </c>
      <c r="J1077" s="466"/>
      <c r="K1077" s="390" t="s">
        <v>1642</v>
      </c>
    </row>
    <row r="1078" spans="1:11" ht="11.25" customHeight="1">
      <c r="A1078" s="65" t="s">
        <v>1653</v>
      </c>
      <c r="B1078" s="65" t="s">
        <v>1639</v>
      </c>
      <c r="C1078" s="65" t="s">
        <v>348</v>
      </c>
      <c r="D1078" s="65" t="s">
        <v>644</v>
      </c>
      <c r="E1078" s="65" t="s">
        <v>424</v>
      </c>
      <c r="F1078" s="65" t="s">
        <v>411</v>
      </c>
      <c r="G1078" s="65" t="s">
        <v>83</v>
      </c>
      <c r="H1078" s="65">
        <v>6</v>
      </c>
      <c r="I1078" s="65" t="s">
        <v>83</v>
      </c>
      <c r="J1078" s="466"/>
      <c r="K1078" s="390" t="s">
        <v>1642</v>
      </c>
    </row>
    <row r="1079" spans="1:11" ht="11.25" customHeight="1">
      <c r="A1079" s="65" t="s">
        <v>1654</v>
      </c>
      <c r="B1079" s="65" t="s">
        <v>1639</v>
      </c>
      <c r="C1079" s="65" t="s">
        <v>348</v>
      </c>
      <c r="D1079" s="65" t="s">
        <v>644</v>
      </c>
      <c r="E1079" s="65" t="s">
        <v>424</v>
      </c>
      <c r="F1079" s="65" t="s">
        <v>411</v>
      </c>
      <c r="G1079" s="65" t="s">
        <v>83</v>
      </c>
      <c r="H1079" s="65">
        <v>6</v>
      </c>
      <c r="I1079" s="65" t="s">
        <v>83</v>
      </c>
      <c r="J1079" s="466"/>
      <c r="K1079" s="390" t="s">
        <v>1642</v>
      </c>
    </row>
    <row r="1080" spans="1:11" ht="11.25" customHeight="1">
      <c r="A1080" s="65" t="s">
        <v>1655</v>
      </c>
      <c r="B1080" s="65" t="s">
        <v>1639</v>
      </c>
      <c r="C1080" s="65" t="s">
        <v>348</v>
      </c>
      <c r="D1080" s="65" t="s">
        <v>644</v>
      </c>
      <c r="E1080" s="65" t="s">
        <v>424</v>
      </c>
      <c r="F1080" s="65" t="s">
        <v>411</v>
      </c>
      <c r="G1080" s="65" t="s">
        <v>83</v>
      </c>
      <c r="H1080" s="65">
        <v>6</v>
      </c>
      <c r="I1080" s="65" t="s">
        <v>83</v>
      </c>
      <c r="J1080" s="466"/>
      <c r="K1080" s="390" t="s">
        <v>1642</v>
      </c>
    </row>
    <row r="1081" spans="1:11" ht="11.25" customHeight="1">
      <c r="A1081" s="65" t="s">
        <v>1656</v>
      </c>
      <c r="B1081" s="65" t="s">
        <v>1639</v>
      </c>
      <c r="C1081" s="65" t="s">
        <v>348</v>
      </c>
      <c r="D1081" s="65" t="s">
        <v>644</v>
      </c>
      <c r="E1081" s="65" t="s">
        <v>424</v>
      </c>
      <c r="F1081" s="65" t="s">
        <v>411</v>
      </c>
      <c r="G1081" s="65" t="s">
        <v>83</v>
      </c>
      <c r="H1081" s="65">
        <v>6</v>
      </c>
      <c r="I1081" s="65" t="s">
        <v>83</v>
      </c>
      <c r="J1081" s="466"/>
      <c r="K1081" s="390" t="s">
        <v>1642</v>
      </c>
    </row>
    <row r="1082" spans="1:11" ht="11.25" customHeight="1">
      <c r="A1082" s="65" t="s">
        <v>1657</v>
      </c>
      <c r="B1082" s="65" t="s">
        <v>1639</v>
      </c>
      <c r="C1082" s="65" t="s">
        <v>348</v>
      </c>
      <c r="D1082" s="65" t="s">
        <v>644</v>
      </c>
      <c r="E1082" s="65" t="s">
        <v>424</v>
      </c>
      <c r="F1082" s="65" t="s">
        <v>411</v>
      </c>
      <c r="G1082" s="65" t="s">
        <v>83</v>
      </c>
      <c r="H1082" s="65">
        <v>6</v>
      </c>
      <c r="I1082" s="65" t="s">
        <v>83</v>
      </c>
      <c r="J1082" s="466"/>
      <c r="K1082" s="390" t="s">
        <v>1642</v>
      </c>
    </row>
    <row r="1083" spans="1:11" ht="11.25" customHeight="1">
      <c r="A1083" s="65" t="s">
        <v>1658</v>
      </c>
      <c r="B1083" s="65" t="s">
        <v>1639</v>
      </c>
      <c r="C1083" s="65" t="s">
        <v>348</v>
      </c>
      <c r="D1083" s="65" t="s">
        <v>644</v>
      </c>
      <c r="E1083" s="65" t="s">
        <v>424</v>
      </c>
      <c r="F1083" s="65" t="s">
        <v>411</v>
      </c>
      <c r="G1083" s="65" t="s">
        <v>83</v>
      </c>
      <c r="H1083" s="65">
        <v>8</v>
      </c>
      <c r="I1083" s="65" t="s">
        <v>83</v>
      </c>
      <c r="J1083" s="466"/>
      <c r="K1083" s="390" t="s">
        <v>1642</v>
      </c>
    </row>
    <row r="1084" spans="1:11" ht="11.25" customHeight="1">
      <c r="A1084" s="65" t="s">
        <v>1659</v>
      </c>
      <c r="B1084" s="65" t="s">
        <v>1639</v>
      </c>
      <c r="C1084" s="65">
        <v>1</v>
      </c>
      <c r="D1084" s="65" t="s">
        <v>566</v>
      </c>
      <c r="E1084" s="65" t="s">
        <v>174</v>
      </c>
      <c r="F1084" s="65" t="s">
        <v>702</v>
      </c>
      <c r="G1084" s="65" t="s">
        <v>630</v>
      </c>
      <c r="H1084" s="65">
        <v>9</v>
      </c>
      <c r="I1084" s="65" t="s">
        <v>83</v>
      </c>
      <c r="J1084" s="466"/>
      <c r="K1084" s="390" t="s">
        <v>1644</v>
      </c>
    </row>
    <row r="1085" spans="1:11" ht="11.25" customHeight="1">
      <c r="A1085" s="65" t="s">
        <v>1660</v>
      </c>
      <c r="B1085" s="65" t="s">
        <v>1639</v>
      </c>
      <c r="C1085" s="65">
        <v>1</v>
      </c>
      <c r="D1085" s="65" t="s">
        <v>789</v>
      </c>
      <c r="E1085" s="65" t="s">
        <v>424</v>
      </c>
      <c r="F1085" s="65" t="s">
        <v>411</v>
      </c>
      <c r="G1085" s="65" t="s">
        <v>83</v>
      </c>
      <c r="H1085" s="65">
        <v>8</v>
      </c>
      <c r="I1085" s="65" t="s">
        <v>83</v>
      </c>
      <c r="J1085" s="466"/>
      <c r="K1085" s="390" t="s">
        <v>1644</v>
      </c>
    </row>
    <row r="1086" spans="1:11" ht="11.25" customHeight="1">
      <c r="A1086" s="65" t="s">
        <v>1661</v>
      </c>
      <c r="B1086" s="65" t="s">
        <v>1639</v>
      </c>
      <c r="C1086" s="65">
        <v>1</v>
      </c>
      <c r="D1086" s="65" t="s">
        <v>488</v>
      </c>
      <c r="E1086" s="65" t="s">
        <v>424</v>
      </c>
      <c r="F1086" s="65" t="s">
        <v>411</v>
      </c>
      <c r="G1086" s="65" t="s">
        <v>83</v>
      </c>
      <c r="H1086" s="65" t="s">
        <v>83</v>
      </c>
      <c r="I1086" s="65" t="s">
        <v>83</v>
      </c>
      <c r="J1086" s="466"/>
      <c r="K1086" s="390" t="s">
        <v>1644</v>
      </c>
    </row>
    <row r="1087" spans="1:12" s="458" customFormat="1" ht="11.25" customHeight="1">
      <c r="A1087" s="458" t="s">
        <v>1662</v>
      </c>
      <c r="B1087" s="458" t="s">
        <v>1639</v>
      </c>
      <c r="C1087" s="458">
        <v>1</v>
      </c>
      <c r="D1087" s="458" t="s">
        <v>410</v>
      </c>
      <c r="E1087" s="458" t="s">
        <v>83</v>
      </c>
      <c r="F1087" s="458" t="s">
        <v>411</v>
      </c>
      <c r="G1087" s="458" t="s">
        <v>83</v>
      </c>
      <c r="H1087" s="458" t="s">
        <v>83</v>
      </c>
      <c r="I1087" s="458" t="s">
        <v>83</v>
      </c>
      <c r="J1087" s="464"/>
      <c r="K1087" s="451" t="s">
        <v>1642</v>
      </c>
      <c r="L1087" s="457"/>
    </row>
    <row r="1088" spans="1:12" s="458" customFormat="1" ht="11.25" customHeight="1">
      <c r="A1088" s="458" t="s">
        <v>1663</v>
      </c>
      <c r="B1088" s="458" t="s">
        <v>1639</v>
      </c>
      <c r="C1088" s="458">
        <v>1</v>
      </c>
      <c r="D1088" s="458" t="s">
        <v>410</v>
      </c>
      <c r="E1088" s="458" t="s">
        <v>83</v>
      </c>
      <c r="F1088" s="458" t="s">
        <v>411</v>
      </c>
      <c r="G1088" s="458" t="s">
        <v>83</v>
      </c>
      <c r="H1088" s="458" t="s">
        <v>83</v>
      </c>
      <c r="I1088" s="458" t="s">
        <v>83</v>
      </c>
      <c r="J1088" s="464"/>
      <c r="K1088" s="451" t="s">
        <v>1642</v>
      </c>
      <c r="L1088" s="457"/>
    </row>
    <row r="1089" spans="1:12" s="458" customFormat="1" ht="11.25" customHeight="1">
      <c r="A1089" s="458" t="s">
        <v>1664</v>
      </c>
      <c r="B1089" s="458" t="s">
        <v>1639</v>
      </c>
      <c r="C1089" s="458">
        <v>1</v>
      </c>
      <c r="D1089" s="458" t="s">
        <v>410</v>
      </c>
      <c r="E1089" s="458" t="s">
        <v>83</v>
      </c>
      <c r="F1089" s="458" t="s">
        <v>411</v>
      </c>
      <c r="G1089" s="458" t="s">
        <v>83</v>
      </c>
      <c r="H1089" s="458" t="s">
        <v>83</v>
      </c>
      <c r="I1089" s="458" t="s">
        <v>83</v>
      </c>
      <c r="J1089" s="464"/>
      <c r="K1089" s="451" t="s">
        <v>1642</v>
      </c>
      <c r="L1089" s="457"/>
    </row>
    <row r="1090" spans="1:12" s="458" customFormat="1" ht="11.25" customHeight="1">
      <c r="A1090" s="458" t="s">
        <v>1665</v>
      </c>
      <c r="B1090" s="458" t="s">
        <v>1639</v>
      </c>
      <c r="C1090" s="458">
        <v>1</v>
      </c>
      <c r="D1090" s="458" t="s">
        <v>410</v>
      </c>
      <c r="E1090" s="458" t="s">
        <v>83</v>
      </c>
      <c r="F1090" s="458" t="s">
        <v>411</v>
      </c>
      <c r="G1090" s="458" t="s">
        <v>83</v>
      </c>
      <c r="H1090" s="458" t="s">
        <v>83</v>
      </c>
      <c r="I1090" s="458" t="s">
        <v>83</v>
      </c>
      <c r="J1090" s="464"/>
      <c r="K1090" s="451" t="s">
        <v>1642</v>
      </c>
      <c r="L1090" s="457"/>
    </row>
    <row r="1091" spans="1:12" s="458" customFormat="1" ht="11.25" customHeight="1">
      <c r="A1091" s="458" t="s">
        <v>1666</v>
      </c>
      <c r="B1091" s="458" t="s">
        <v>1639</v>
      </c>
      <c r="C1091" s="458">
        <v>1</v>
      </c>
      <c r="D1091" s="458" t="s">
        <v>410</v>
      </c>
      <c r="E1091" s="458" t="s">
        <v>83</v>
      </c>
      <c r="F1091" s="458" t="s">
        <v>411</v>
      </c>
      <c r="G1091" s="458" t="s">
        <v>83</v>
      </c>
      <c r="H1091" s="458" t="s">
        <v>83</v>
      </c>
      <c r="I1091" s="458" t="s">
        <v>83</v>
      </c>
      <c r="J1091" s="464"/>
      <c r="K1091" s="451" t="s">
        <v>1642</v>
      </c>
      <c r="L1091" s="457"/>
    </row>
    <row r="1092" spans="1:12" s="458" customFormat="1" ht="11.25" customHeight="1">
      <c r="A1092" s="458" t="s">
        <v>1667</v>
      </c>
      <c r="B1092" s="458" t="s">
        <v>1639</v>
      </c>
      <c r="C1092" s="458">
        <v>1</v>
      </c>
      <c r="D1092" s="458" t="s">
        <v>410</v>
      </c>
      <c r="E1092" s="458" t="s">
        <v>83</v>
      </c>
      <c r="F1092" s="458" t="s">
        <v>411</v>
      </c>
      <c r="G1092" s="458" t="s">
        <v>83</v>
      </c>
      <c r="H1092" s="458" t="s">
        <v>83</v>
      </c>
      <c r="I1092" s="458" t="s">
        <v>83</v>
      </c>
      <c r="J1092" s="464"/>
      <c r="K1092" s="451" t="s">
        <v>1642</v>
      </c>
      <c r="L1092" s="457"/>
    </row>
    <row r="1093" spans="1:11" ht="11.25" customHeight="1">
      <c r="A1093" s="65" t="s">
        <v>1668</v>
      </c>
      <c r="B1093" s="65" t="s">
        <v>1639</v>
      </c>
      <c r="C1093" s="65">
        <v>1</v>
      </c>
      <c r="D1093" s="65" t="s">
        <v>641</v>
      </c>
      <c r="E1093" s="65" t="s">
        <v>424</v>
      </c>
      <c r="F1093" s="65" t="s">
        <v>411</v>
      </c>
      <c r="G1093" s="65" t="s">
        <v>83</v>
      </c>
      <c r="H1093" s="65" t="s">
        <v>83</v>
      </c>
      <c r="I1093" s="65" t="s">
        <v>1365</v>
      </c>
      <c r="J1093" s="466"/>
      <c r="K1093" s="390" t="s">
        <v>1644</v>
      </c>
    </row>
    <row r="1094" spans="1:11" ht="11.25" customHeight="1">
      <c r="A1094" s="65" t="s">
        <v>1669</v>
      </c>
      <c r="B1094" s="65" t="s">
        <v>1639</v>
      </c>
      <c r="C1094" s="65">
        <v>1</v>
      </c>
      <c r="D1094" s="65" t="s">
        <v>644</v>
      </c>
      <c r="E1094" s="65" t="s">
        <v>424</v>
      </c>
      <c r="F1094" s="65" t="s">
        <v>411</v>
      </c>
      <c r="G1094" s="65" t="s">
        <v>83</v>
      </c>
      <c r="H1094" s="65">
        <v>3</v>
      </c>
      <c r="I1094" s="65" t="s">
        <v>83</v>
      </c>
      <c r="J1094" s="466"/>
      <c r="K1094" s="390" t="s">
        <v>1642</v>
      </c>
    </row>
    <row r="1095" spans="1:11" ht="11.25" customHeight="1">
      <c r="A1095" s="65" t="s">
        <v>1670</v>
      </c>
      <c r="B1095" s="65" t="s">
        <v>1639</v>
      </c>
      <c r="C1095" s="65">
        <v>1</v>
      </c>
      <c r="D1095" s="65" t="s">
        <v>644</v>
      </c>
      <c r="E1095" s="65" t="s">
        <v>424</v>
      </c>
      <c r="F1095" s="65" t="s">
        <v>411</v>
      </c>
      <c r="G1095" s="65" t="s">
        <v>83</v>
      </c>
      <c r="H1095" s="65">
        <v>3</v>
      </c>
      <c r="I1095" s="65" t="s">
        <v>83</v>
      </c>
      <c r="J1095" s="466"/>
      <c r="K1095" s="390" t="s">
        <v>1642</v>
      </c>
    </row>
    <row r="1096" spans="1:11" ht="11.25" customHeight="1">
      <c r="A1096" s="65" t="s">
        <v>1671</v>
      </c>
      <c r="B1096" s="65" t="s">
        <v>1639</v>
      </c>
      <c r="C1096" s="65">
        <v>1</v>
      </c>
      <c r="D1096" s="65" t="s">
        <v>488</v>
      </c>
      <c r="E1096" s="65" t="s">
        <v>424</v>
      </c>
      <c r="F1096" s="65" t="s">
        <v>411</v>
      </c>
      <c r="G1096" s="65" t="s">
        <v>83</v>
      </c>
      <c r="H1096" s="65" t="s">
        <v>83</v>
      </c>
      <c r="I1096" s="65" t="s">
        <v>83</v>
      </c>
      <c r="J1096" s="466"/>
      <c r="K1096" s="390" t="s">
        <v>1644</v>
      </c>
    </row>
    <row r="1097" spans="1:11" ht="11.25" customHeight="1">
      <c r="A1097" s="65" t="s">
        <v>1672</v>
      </c>
      <c r="B1097" s="65" t="s">
        <v>1639</v>
      </c>
      <c r="C1097" s="65">
        <v>1</v>
      </c>
      <c r="D1097" s="65" t="s">
        <v>423</v>
      </c>
      <c r="E1097" s="65" t="s">
        <v>424</v>
      </c>
      <c r="F1097" s="65" t="s">
        <v>411</v>
      </c>
      <c r="G1097" s="65" t="s">
        <v>83</v>
      </c>
      <c r="H1097" s="65">
        <v>9</v>
      </c>
      <c r="I1097" s="65" t="s">
        <v>1365</v>
      </c>
      <c r="J1097" s="466"/>
      <c r="K1097" s="390" t="s">
        <v>1642</v>
      </c>
    </row>
    <row r="1098" spans="1:11" ht="11.25" customHeight="1">
      <c r="A1098" s="65" t="s">
        <v>1673</v>
      </c>
      <c r="B1098" s="65" t="s">
        <v>1639</v>
      </c>
      <c r="C1098" s="65" t="s">
        <v>348</v>
      </c>
      <c r="D1098" s="65" t="s">
        <v>495</v>
      </c>
      <c r="E1098" s="65" t="s">
        <v>424</v>
      </c>
      <c r="F1098" s="65" t="s">
        <v>411</v>
      </c>
      <c r="G1098" s="65" t="s">
        <v>83</v>
      </c>
      <c r="H1098" s="65">
        <v>5</v>
      </c>
      <c r="I1098" s="65" t="s">
        <v>83</v>
      </c>
      <c r="J1098" s="466"/>
      <c r="K1098" s="390" t="s">
        <v>1674</v>
      </c>
    </row>
    <row r="1099" spans="1:12" s="458" customFormat="1" ht="11.25" customHeight="1">
      <c r="A1099" s="458" t="s">
        <v>1675</v>
      </c>
      <c r="B1099" s="458" t="s">
        <v>1639</v>
      </c>
      <c r="C1099" s="458">
        <v>1</v>
      </c>
      <c r="D1099" s="458" t="s">
        <v>410</v>
      </c>
      <c r="E1099" s="458" t="s">
        <v>83</v>
      </c>
      <c r="F1099" s="458" t="s">
        <v>411</v>
      </c>
      <c r="G1099" s="458" t="s">
        <v>83</v>
      </c>
      <c r="H1099" s="458" t="s">
        <v>83</v>
      </c>
      <c r="J1099" s="464"/>
      <c r="K1099" s="451" t="s">
        <v>1642</v>
      </c>
      <c r="L1099" s="457"/>
    </row>
    <row r="1100" spans="1:12" s="458" customFormat="1" ht="11.25" customHeight="1">
      <c r="A1100" s="458" t="s">
        <v>1676</v>
      </c>
      <c r="B1100" s="458" t="s">
        <v>1639</v>
      </c>
      <c r="C1100" s="458" t="s">
        <v>348</v>
      </c>
      <c r="D1100" s="458" t="s">
        <v>410</v>
      </c>
      <c r="E1100" s="458" t="s">
        <v>83</v>
      </c>
      <c r="F1100" s="458" t="s">
        <v>411</v>
      </c>
      <c r="G1100" s="458" t="s">
        <v>83</v>
      </c>
      <c r="H1100" s="458" t="s">
        <v>83</v>
      </c>
      <c r="I1100" s="458" t="s">
        <v>83</v>
      </c>
      <c r="J1100" s="464"/>
      <c r="K1100" s="451" t="s">
        <v>1674</v>
      </c>
      <c r="L1100" s="457"/>
    </row>
    <row r="1101" spans="1:11" ht="11.25" customHeight="1">
      <c r="A1101" s="65" t="s">
        <v>1677</v>
      </c>
      <c r="B1101" s="65" t="s">
        <v>1639</v>
      </c>
      <c r="C1101" s="65">
        <v>1</v>
      </c>
      <c r="D1101" s="65" t="s">
        <v>566</v>
      </c>
      <c r="E1101" s="65" t="s">
        <v>174</v>
      </c>
      <c r="F1101" s="65" t="s">
        <v>871</v>
      </c>
      <c r="G1101" s="65" t="s">
        <v>871</v>
      </c>
      <c r="H1101" s="65">
        <v>8</v>
      </c>
      <c r="I1101" s="65" t="s">
        <v>83</v>
      </c>
      <c r="J1101" s="466"/>
      <c r="K1101" s="390" t="s">
        <v>1674</v>
      </c>
    </row>
    <row r="1102" spans="1:12" s="458" customFormat="1" ht="11.25" customHeight="1">
      <c r="A1102" s="458" t="s">
        <v>1678</v>
      </c>
      <c r="B1102" s="458" t="s">
        <v>1639</v>
      </c>
      <c r="C1102" s="458" t="s">
        <v>348</v>
      </c>
      <c r="D1102" s="458" t="s">
        <v>410</v>
      </c>
      <c r="E1102" s="458" t="s">
        <v>83</v>
      </c>
      <c r="F1102" s="458" t="s">
        <v>411</v>
      </c>
      <c r="G1102" s="458" t="s">
        <v>83</v>
      </c>
      <c r="H1102" s="458" t="s">
        <v>83</v>
      </c>
      <c r="I1102" s="458" t="s">
        <v>83</v>
      </c>
      <c r="J1102" s="464"/>
      <c r="K1102" s="451" t="s">
        <v>1644</v>
      </c>
      <c r="L1102" s="457"/>
    </row>
    <row r="1103" spans="1:11" ht="11.25" customHeight="1">
      <c r="A1103" s="65" t="s">
        <v>1679</v>
      </c>
      <c r="B1103" s="65" t="s">
        <v>1639</v>
      </c>
      <c r="C1103" s="65">
        <v>1</v>
      </c>
      <c r="D1103" s="65" t="s">
        <v>488</v>
      </c>
      <c r="E1103" s="65" t="s">
        <v>424</v>
      </c>
      <c r="F1103" s="65" t="s">
        <v>411</v>
      </c>
      <c r="G1103" s="65" t="s">
        <v>83</v>
      </c>
      <c r="H1103" s="65" t="s">
        <v>83</v>
      </c>
      <c r="I1103" s="65" t="s">
        <v>83</v>
      </c>
      <c r="J1103" s="466"/>
      <c r="K1103" s="390" t="s">
        <v>1674</v>
      </c>
    </row>
    <row r="1104" spans="1:11" ht="11.25" customHeight="1">
      <c r="A1104" s="65" t="s">
        <v>1680</v>
      </c>
      <c r="B1104" s="65" t="s">
        <v>1639</v>
      </c>
      <c r="C1104" s="65">
        <v>1</v>
      </c>
      <c r="D1104" s="65" t="s">
        <v>488</v>
      </c>
      <c r="E1104" s="65" t="s">
        <v>424</v>
      </c>
      <c r="F1104" s="65" t="s">
        <v>411</v>
      </c>
      <c r="G1104" s="65" t="s">
        <v>83</v>
      </c>
      <c r="H1104" s="65" t="s">
        <v>83</v>
      </c>
      <c r="I1104" s="65" t="s">
        <v>83</v>
      </c>
      <c r="J1104" s="466"/>
      <c r="K1104" s="390" t="s">
        <v>1674</v>
      </c>
    </row>
    <row r="1105" spans="1:11" ht="11.25" customHeight="1">
      <c r="A1105" s="65" t="s">
        <v>1681</v>
      </c>
      <c r="B1105" s="65" t="s">
        <v>1639</v>
      </c>
      <c r="C1105" s="65">
        <v>1</v>
      </c>
      <c r="D1105" s="65" t="s">
        <v>488</v>
      </c>
      <c r="E1105" s="65" t="s">
        <v>424</v>
      </c>
      <c r="F1105" s="65" t="s">
        <v>411</v>
      </c>
      <c r="G1105" s="65" t="s">
        <v>83</v>
      </c>
      <c r="H1105" s="65" t="s">
        <v>83</v>
      </c>
      <c r="I1105" s="65" t="s">
        <v>83</v>
      </c>
      <c r="J1105" s="466"/>
      <c r="K1105" s="390" t="s">
        <v>1644</v>
      </c>
    </row>
    <row r="1106" spans="1:12" s="458" customFormat="1" ht="11.25" customHeight="1">
      <c r="A1106" s="458" t="s">
        <v>1682</v>
      </c>
      <c r="B1106" s="458" t="s">
        <v>1639</v>
      </c>
      <c r="C1106" s="458" t="s">
        <v>348</v>
      </c>
      <c r="D1106" s="458" t="s">
        <v>410</v>
      </c>
      <c r="E1106" s="458" t="s">
        <v>83</v>
      </c>
      <c r="F1106" s="458" t="s">
        <v>411</v>
      </c>
      <c r="G1106" s="458" t="s">
        <v>83</v>
      </c>
      <c r="H1106" s="458" t="s">
        <v>83</v>
      </c>
      <c r="I1106" s="458" t="s">
        <v>83</v>
      </c>
      <c r="J1106" s="464"/>
      <c r="K1106" s="451" t="s">
        <v>1674</v>
      </c>
      <c r="L1106" s="457"/>
    </row>
    <row r="1107" spans="1:12" s="458" customFormat="1" ht="11.25" customHeight="1">
      <c r="A1107" s="458" t="s">
        <v>1683</v>
      </c>
      <c r="B1107" s="458" t="s">
        <v>1639</v>
      </c>
      <c r="C1107" s="458" t="s">
        <v>348</v>
      </c>
      <c r="D1107" s="458" t="s">
        <v>410</v>
      </c>
      <c r="E1107" s="458" t="s">
        <v>83</v>
      </c>
      <c r="F1107" s="458" t="s">
        <v>411</v>
      </c>
      <c r="G1107" s="458" t="s">
        <v>83</v>
      </c>
      <c r="H1107" s="458" t="s">
        <v>83</v>
      </c>
      <c r="I1107" s="458" t="s">
        <v>83</v>
      </c>
      <c r="J1107" s="464"/>
      <c r="K1107" s="451" t="s">
        <v>1674</v>
      </c>
      <c r="L1107" s="457"/>
    </row>
    <row r="1108" spans="1:12" s="458" customFormat="1" ht="11.25" customHeight="1">
      <c r="A1108" s="458" t="s">
        <v>1684</v>
      </c>
      <c r="B1108" s="458" t="s">
        <v>1639</v>
      </c>
      <c r="C1108" s="458">
        <v>1</v>
      </c>
      <c r="D1108" s="458" t="s">
        <v>410</v>
      </c>
      <c r="E1108" s="458" t="s">
        <v>83</v>
      </c>
      <c r="F1108" s="458" t="s">
        <v>411</v>
      </c>
      <c r="G1108" s="458" t="s">
        <v>83</v>
      </c>
      <c r="H1108" s="458" t="s">
        <v>83</v>
      </c>
      <c r="I1108" s="458" t="s">
        <v>83</v>
      </c>
      <c r="J1108" s="464"/>
      <c r="K1108" s="451" t="s">
        <v>1674</v>
      </c>
      <c r="L1108" s="457"/>
    </row>
    <row r="1109" spans="1:11" ht="11.25" customHeight="1">
      <c r="A1109" s="65" t="s">
        <v>1685</v>
      </c>
      <c r="B1109" s="65" t="s">
        <v>1639</v>
      </c>
      <c r="C1109" s="65">
        <v>1</v>
      </c>
      <c r="D1109" s="65" t="s">
        <v>488</v>
      </c>
      <c r="E1109" s="65" t="s">
        <v>424</v>
      </c>
      <c r="F1109" s="65" t="s">
        <v>411</v>
      </c>
      <c r="G1109" s="65" t="s">
        <v>83</v>
      </c>
      <c r="H1109" s="65" t="s">
        <v>83</v>
      </c>
      <c r="I1109" s="65" t="s">
        <v>83</v>
      </c>
      <c r="J1109" s="466"/>
      <c r="K1109" s="390" t="s">
        <v>1674</v>
      </c>
    </row>
    <row r="1110" spans="1:11" ht="11.25" customHeight="1">
      <c r="A1110" s="445" t="s">
        <v>1686</v>
      </c>
      <c r="B1110" s="446" t="s">
        <v>322</v>
      </c>
      <c r="C1110" s="446" t="s">
        <v>323</v>
      </c>
      <c r="D1110" s="446" t="s">
        <v>324</v>
      </c>
      <c r="E1110" s="446" t="s">
        <v>185</v>
      </c>
      <c r="F1110" s="446" t="s">
        <v>325</v>
      </c>
      <c r="G1110" s="446" t="s">
        <v>261</v>
      </c>
      <c r="H1110" s="446" t="s">
        <v>326</v>
      </c>
      <c r="I1110" s="446" t="s">
        <v>254</v>
      </c>
      <c r="J1110" s="459" t="s">
        <v>327</v>
      </c>
      <c r="K1110" s="447" t="s">
        <v>408</v>
      </c>
    </row>
    <row r="1111" spans="1:11" ht="11.25" customHeight="1">
      <c r="A1111" s="65" t="s">
        <v>1687</v>
      </c>
      <c r="B1111" s="65" t="s">
        <v>1686</v>
      </c>
      <c r="C1111" s="65" t="s">
        <v>348</v>
      </c>
      <c r="D1111" s="65" t="s">
        <v>566</v>
      </c>
      <c r="E1111" s="65" t="s">
        <v>174</v>
      </c>
      <c r="F1111" s="65" t="s">
        <v>547</v>
      </c>
      <c r="G1111" s="65" t="s">
        <v>630</v>
      </c>
      <c r="H1111" s="65">
        <v>6</v>
      </c>
      <c r="I1111" s="65" t="s">
        <v>83</v>
      </c>
      <c r="J1111" s="466"/>
      <c r="K1111" s="390" t="s">
        <v>1688</v>
      </c>
    </row>
    <row r="1112" spans="1:12" s="458" customFormat="1" ht="11.25" customHeight="1">
      <c r="A1112" s="458" t="s">
        <v>1689</v>
      </c>
      <c r="B1112" s="458" t="s">
        <v>1686</v>
      </c>
      <c r="C1112" s="458">
        <v>1</v>
      </c>
      <c r="D1112" s="458" t="s">
        <v>410</v>
      </c>
      <c r="E1112" s="458" t="s">
        <v>83</v>
      </c>
      <c r="F1112" s="458" t="s">
        <v>411</v>
      </c>
      <c r="G1112" s="458" t="s">
        <v>83</v>
      </c>
      <c r="H1112" s="458" t="s">
        <v>83</v>
      </c>
      <c r="I1112" s="458" t="s">
        <v>83</v>
      </c>
      <c r="J1112" s="464"/>
      <c r="K1112" s="451" t="s">
        <v>1688</v>
      </c>
      <c r="L1112" s="457"/>
    </row>
    <row r="1113" spans="1:12" s="458" customFormat="1" ht="11.25" customHeight="1">
      <c r="A1113" s="458" t="s">
        <v>1690</v>
      </c>
      <c r="B1113" s="458" t="s">
        <v>1686</v>
      </c>
      <c r="C1113" s="458">
        <v>1</v>
      </c>
      <c r="D1113" s="458" t="s">
        <v>410</v>
      </c>
      <c r="E1113" s="458" t="s">
        <v>83</v>
      </c>
      <c r="F1113" s="458" t="s">
        <v>411</v>
      </c>
      <c r="G1113" s="458" t="s">
        <v>83</v>
      </c>
      <c r="H1113" s="458" t="s">
        <v>83</v>
      </c>
      <c r="I1113" s="458" t="s">
        <v>83</v>
      </c>
      <c r="J1113" s="464"/>
      <c r="K1113" s="451" t="s">
        <v>1688</v>
      </c>
      <c r="L1113" s="457"/>
    </row>
    <row r="1114" spans="1:12" s="458" customFormat="1" ht="11.25" customHeight="1">
      <c r="A1114" s="458" t="s">
        <v>1691</v>
      </c>
      <c r="B1114" s="458" t="s">
        <v>1686</v>
      </c>
      <c r="C1114" s="458" t="s">
        <v>348</v>
      </c>
      <c r="D1114" s="458" t="s">
        <v>410</v>
      </c>
      <c r="E1114" s="458" t="s">
        <v>83</v>
      </c>
      <c r="F1114" s="458" t="s">
        <v>411</v>
      </c>
      <c r="G1114" s="458" t="s">
        <v>83</v>
      </c>
      <c r="H1114" s="458" t="s">
        <v>83</v>
      </c>
      <c r="I1114" s="458" t="s">
        <v>83</v>
      </c>
      <c r="J1114" s="464"/>
      <c r="K1114" s="451" t="s">
        <v>1688</v>
      </c>
      <c r="L1114" s="457"/>
    </row>
    <row r="1115" spans="1:11" ht="11.25" customHeight="1">
      <c r="A1115" s="65" t="s">
        <v>1692</v>
      </c>
      <c r="B1115" s="65" t="s">
        <v>1686</v>
      </c>
      <c r="C1115" s="65">
        <v>1</v>
      </c>
      <c r="D1115" s="65" t="s">
        <v>566</v>
      </c>
      <c r="E1115" s="65" t="s">
        <v>424</v>
      </c>
      <c r="F1115" s="65" t="s">
        <v>411</v>
      </c>
      <c r="G1115" s="65" t="s">
        <v>83</v>
      </c>
      <c r="H1115" s="65">
        <v>10</v>
      </c>
      <c r="I1115" s="65" t="s">
        <v>83</v>
      </c>
      <c r="J1115" s="466"/>
      <c r="K1115" s="390" t="s">
        <v>1688</v>
      </c>
    </row>
    <row r="1116" spans="1:12" s="458" customFormat="1" ht="11.25" customHeight="1">
      <c r="A1116" s="458" t="s">
        <v>1693</v>
      </c>
      <c r="B1116" s="458" t="s">
        <v>1686</v>
      </c>
      <c r="C1116" s="458" t="s">
        <v>348</v>
      </c>
      <c r="D1116" s="458" t="s">
        <v>410</v>
      </c>
      <c r="E1116" s="458" t="s">
        <v>83</v>
      </c>
      <c r="F1116" s="458" t="s">
        <v>411</v>
      </c>
      <c r="G1116" s="458" t="s">
        <v>83</v>
      </c>
      <c r="H1116" s="458" t="s">
        <v>83</v>
      </c>
      <c r="I1116" s="458" t="s">
        <v>83</v>
      </c>
      <c r="J1116" s="464"/>
      <c r="K1116" s="451" t="s">
        <v>1688</v>
      </c>
      <c r="L1116" s="457"/>
    </row>
    <row r="1117" spans="1:11" ht="11.25" customHeight="1">
      <c r="A1117" s="65" t="s">
        <v>1694</v>
      </c>
      <c r="B1117" s="65" t="s">
        <v>1686</v>
      </c>
      <c r="C1117" s="65" t="s">
        <v>348</v>
      </c>
      <c r="D1117" s="65" t="s">
        <v>423</v>
      </c>
      <c r="E1117" s="65" t="s">
        <v>424</v>
      </c>
      <c r="F1117" s="65" t="s">
        <v>411</v>
      </c>
      <c r="G1117" s="65" t="s">
        <v>83</v>
      </c>
      <c r="H1117" s="65">
        <v>8</v>
      </c>
      <c r="I1117" s="65" t="s">
        <v>991</v>
      </c>
      <c r="J1117" s="466"/>
      <c r="K1117" s="390" t="s">
        <v>1688</v>
      </c>
    </row>
    <row r="1118" spans="1:12" s="458" customFormat="1" ht="11.25" customHeight="1">
      <c r="A1118" s="458" t="s">
        <v>1695</v>
      </c>
      <c r="B1118" s="458" t="s">
        <v>1686</v>
      </c>
      <c r="C1118" s="458">
        <v>1</v>
      </c>
      <c r="D1118" s="458" t="s">
        <v>410</v>
      </c>
      <c r="E1118" s="458" t="s">
        <v>83</v>
      </c>
      <c r="F1118" s="458" t="s">
        <v>411</v>
      </c>
      <c r="G1118" s="458" t="s">
        <v>83</v>
      </c>
      <c r="H1118" s="458" t="s">
        <v>83</v>
      </c>
      <c r="I1118" s="458" t="s">
        <v>83</v>
      </c>
      <c r="J1118" s="464"/>
      <c r="K1118" s="451" t="s">
        <v>1688</v>
      </c>
      <c r="L1118" s="457"/>
    </row>
    <row r="1119" spans="1:12" s="458" customFormat="1" ht="11.25" customHeight="1">
      <c r="A1119" s="458" t="s">
        <v>959</v>
      </c>
      <c r="B1119" s="458" t="s">
        <v>1686</v>
      </c>
      <c r="C1119" s="458">
        <v>1</v>
      </c>
      <c r="D1119" s="458" t="s">
        <v>410</v>
      </c>
      <c r="E1119" s="458" t="s">
        <v>83</v>
      </c>
      <c r="F1119" s="458" t="s">
        <v>411</v>
      </c>
      <c r="G1119" s="458" t="s">
        <v>83</v>
      </c>
      <c r="H1119" s="458" t="s">
        <v>83</v>
      </c>
      <c r="I1119" s="458" t="s">
        <v>83</v>
      </c>
      <c r="J1119" s="464"/>
      <c r="K1119" s="451" t="s">
        <v>1688</v>
      </c>
      <c r="L1119" s="457"/>
    </row>
    <row r="1120" spans="1:11" ht="11.25" customHeight="1">
      <c r="A1120" s="65" t="s">
        <v>1696</v>
      </c>
      <c r="B1120" s="65" t="s">
        <v>1686</v>
      </c>
      <c r="C1120" s="65" t="s">
        <v>348</v>
      </c>
      <c r="D1120" s="65" t="s">
        <v>566</v>
      </c>
      <c r="E1120" s="65" t="s">
        <v>37</v>
      </c>
      <c r="F1120" s="65" t="s">
        <v>547</v>
      </c>
      <c r="G1120" s="65" t="s">
        <v>674</v>
      </c>
      <c r="H1120" s="65">
        <v>13</v>
      </c>
      <c r="I1120" s="65" t="s">
        <v>83</v>
      </c>
      <c r="J1120" s="466"/>
      <c r="K1120" s="390" t="s">
        <v>1697</v>
      </c>
    </row>
    <row r="1121" spans="1:11" ht="11.25" customHeight="1">
      <c r="A1121" s="458" t="s">
        <v>1698</v>
      </c>
      <c r="B1121" s="458" t="s">
        <v>1686</v>
      </c>
      <c r="C1121" s="458">
        <v>1</v>
      </c>
      <c r="D1121" s="458" t="s">
        <v>410</v>
      </c>
      <c r="E1121" s="458" t="s">
        <v>83</v>
      </c>
      <c r="F1121" s="458" t="s">
        <v>411</v>
      </c>
      <c r="G1121" s="458" t="s">
        <v>83</v>
      </c>
      <c r="H1121" s="458" t="s">
        <v>83</v>
      </c>
      <c r="I1121" s="458" t="s">
        <v>83</v>
      </c>
      <c r="J1121" s="464"/>
      <c r="K1121" s="451" t="s">
        <v>1697</v>
      </c>
    </row>
    <row r="1122" spans="1:11" ht="11.25" customHeight="1">
      <c r="A1122" s="65" t="s">
        <v>1699</v>
      </c>
      <c r="B1122" s="65" t="s">
        <v>1686</v>
      </c>
      <c r="C1122" s="65">
        <v>1</v>
      </c>
      <c r="D1122" s="65" t="s">
        <v>566</v>
      </c>
      <c r="E1122" s="65" t="s">
        <v>174</v>
      </c>
      <c r="F1122" s="65" t="s">
        <v>702</v>
      </c>
      <c r="G1122" s="65" t="s">
        <v>630</v>
      </c>
      <c r="H1122" s="65">
        <v>9</v>
      </c>
      <c r="I1122" s="65" t="s">
        <v>83</v>
      </c>
      <c r="J1122" s="466"/>
      <c r="K1122" s="390" t="s">
        <v>1697</v>
      </c>
    </row>
    <row r="1123" spans="1:11" ht="11.25" customHeight="1">
      <c r="A1123" s="65" t="s">
        <v>1700</v>
      </c>
      <c r="B1123" s="65" t="s">
        <v>1686</v>
      </c>
      <c r="C1123" s="65">
        <v>1</v>
      </c>
      <c r="D1123" s="65" t="s">
        <v>644</v>
      </c>
      <c r="E1123" s="65" t="s">
        <v>424</v>
      </c>
      <c r="F1123" s="65" t="s">
        <v>411</v>
      </c>
      <c r="G1123" s="65" t="s">
        <v>83</v>
      </c>
      <c r="H1123" s="65">
        <v>6</v>
      </c>
      <c r="I1123" s="65" t="s">
        <v>83</v>
      </c>
      <c r="J1123" s="466"/>
      <c r="K1123" s="390" t="s">
        <v>1697</v>
      </c>
    </row>
    <row r="1124" spans="1:12" s="458" customFormat="1" ht="11.25" customHeight="1">
      <c r="A1124" s="458" t="s">
        <v>1701</v>
      </c>
      <c r="B1124" s="458" t="s">
        <v>1686</v>
      </c>
      <c r="C1124" s="458" t="s">
        <v>348</v>
      </c>
      <c r="D1124" s="458" t="s">
        <v>410</v>
      </c>
      <c r="E1124" s="458" t="s">
        <v>83</v>
      </c>
      <c r="F1124" s="458" t="s">
        <v>411</v>
      </c>
      <c r="G1124" s="458" t="s">
        <v>83</v>
      </c>
      <c r="H1124" s="458" t="s">
        <v>83</v>
      </c>
      <c r="I1124" s="458" t="s">
        <v>83</v>
      </c>
      <c r="J1124" s="464"/>
      <c r="K1124" s="451" t="s">
        <v>1697</v>
      </c>
      <c r="L1124" s="457"/>
    </row>
    <row r="1125" spans="1:12" s="458" customFormat="1" ht="11.25" customHeight="1">
      <c r="A1125" s="458" t="s">
        <v>1702</v>
      </c>
      <c r="B1125" s="458" t="s">
        <v>1686</v>
      </c>
      <c r="C1125" s="458" t="s">
        <v>348</v>
      </c>
      <c r="D1125" s="458" t="s">
        <v>410</v>
      </c>
      <c r="E1125" s="458" t="s">
        <v>83</v>
      </c>
      <c r="F1125" s="458" t="s">
        <v>411</v>
      </c>
      <c r="G1125" s="458" t="s">
        <v>83</v>
      </c>
      <c r="H1125" s="458" t="s">
        <v>83</v>
      </c>
      <c r="I1125" s="458" t="s">
        <v>83</v>
      </c>
      <c r="J1125" s="464"/>
      <c r="K1125" s="451" t="s">
        <v>1697</v>
      </c>
      <c r="L1125" s="457"/>
    </row>
    <row r="1126" spans="1:11" ht="11.25" customHeight="1">
      <c r="A1126" s="65" t="s">
        <v>1703</v>
      </c>
      <c r="B1126" s="65" t="s">
        <v>1686</v>
      </c>
      <c r="C1126" s="65">
        <v>1</v>
      </c>
      <c r="D1126" s="65" t="s">
        <v>641</v>
      </c>
      <c r="E1126" s="65" t="s">
        <v>424</v>
      </c>
      <c r="F1126" s="65" t="s">
        <v>411</v>
      </c>
      <c r="G1126" s="65" t="s">
        <v>83</v>
      </c>
      <c r="H1126" s="65">
        <v>10</v>
      </c>
      <c r="I1126" s="65" t="s">
        <v>83</v>
      </c>
      <c r="J1126" s="466"/>
      <c r="K1126" s="390" t="s">
        <v>1697</v>
      </c>
    </row>
    <row r="1127" spans="1:12" s="458" customFormat="1" ht="11.25" customHeight="1">
      <c r="A1127" s="458" t="s">
        <v>1704</v>
      </c>
      <c r="B1127" s="458" t="s">
        <v>1686</v>
      </c>
      <c r="C1127" s="458" t="s">
        <v>348</v>
      </c>
      <c r="D1127" s="458" t="s">
        <v>410</v>
      </c>
      <c r="E1127" s="458" t="s">
        <v>83</v>
      </c>
      <c r="F1127" s="458" t="s">
        <v>411</v>
      </c>
      <c r="G1127" s="458" t="s">
        <v>83</v>
      </c>
      <c r="H1127" s="458" t="s">
        <v>83</v>
      </c>
      <c r="I1127" s="458" t="s">
        <v>83</v>
      </c>
      <c r="J1127" s="464"/>
      <c r="K1127" s="451" t="s">
        <v>1697</v>
      </c>
      <c r="L1127" s="457"/>
    </row>
    <row r="1128" spans="1:11" ht="11.25" customHeight="1">
      <c r="A1128" s="65" t="s">
        <v>1705</v>
      </c>
      <c r="B1128" s="65" t="s">
        <v>1686</v>
      </c>
      <c r="C1128" s="65" t="s">
        <v>348</v>
      </c>
      <c r="D1128" s="65" t="s">
        <v>644</v>
      </c>
      <c r="E1128" s="65" t="s">
        <v>424</v>
      </c>
      <c r="F1128" s="65" t="s">
        <v>411</v>
      </c>
      <c r="G1128" s="65" t="s">
        <v>83</v>
      </c>
      <c r="H1128" s="65">
        <v>4</v>
      </c>
      <c r="I1128" s="65" t="s">
        <v>83</v>
      </c>
      <c r="J1128" s="466"/>
      <c r="K1128" s="390" t="s">
        <v>1697</v>
      </c>
    </row>
    <row r="1129" spans="1:11" ht="11.25" customHeight="1">
      <c r="A1129" s="65" t="s">
        <v>1706</v>
      </c>
      <c r="B1129" s="65" t="s">
        <v>1686</v>
      </c>
      <c r="C1129" s="65" t="s">
        <v>348</v>
      </c>
      <c r="D1129" s="65" t="s">
        <v>488</v>
      </c>
      <c r="E1129" s="65" t="s">
        <v>424</v>
      </c>
      <c r="F1129" s="65" t="s">
        <v>411</v>
      </c>
      <c r="G1129" s="65" t="s">
        <v>83</v>
      </c>
      <c r="H1129" s="65" t="s">
        <v>83</v>
      </c>
      <c r="I1129" s="65" t="s">
        <v>83</v>
      </c>
      <c r="J1129" s="466"/>
      <c r="K1129" s="390" t="s">
        <v>1707</v>
      </c>
    </row>
    <row r="1130" spans="1:12" s="458" customFormat="1" ht="11.25" customHeight="1">
      <c r="A1130" s="458" t="s">
        <v>1708</v>
      </c>
      <c r="B1130" s="458" t="s">
        <v>1686</v>
      </c>
      <c r="C1130" s="458" t="s">
        <v>348</v>
      </c>
      <c r="D1130" s="458" t="s">
        <v>410</v>
      </c>
      <c r="E1130" s="458" t="s">
        <v>83</v>
      </c>
      <c r="F1130" s="458" t="s">
        <v>411</v>
      </c>
      <c r="G1130" s="458" t="s">
        <v>83</v>
      </c>
      <c r="H1130" s="458" t="s">
        <v>83</v>
      </c>
      <c r="I1130" s="458" t="s">
        <v>83</v>
      </c>
      <c r="J1130" s="464"/>
      <c r="K1130" s="451" t="s">
        <v>1707</v>
      </c>
      <c r="L1130" s="457"/>
    </row>
    <row r="1131" spans="1:11" ht="11.25" customHeight="1">
      <c r="A1131" s="65" t="s">
        <v>1709</v>
      </c>
      <c r="B1131" s="65" t="s">
        <v>1686</v>
      </c>
      <c r="C1131" s="65">
        <v>1</v>
      </c>
      <c r="D1131" s="65" t="s">
        <v>488</v>
      </c>
      <c r="E1131" s="65" t="s">
        <v>424</v>
      </c>
      <c r="F1131" s="65" t="s">
        <v>411</v>
      </c>
      <c r="G1131" s="65" t="s">
        <v>83</v>
      </c>
      <c r="H1131" s="65">
        <v>5</v>
      </c>
      <c r="I1131" s="65" t="s">
        <v>83</v>
      </c>
      <c r="J1131" s="466"/>
      <c r="K1131" s="390" t="s">
        <v>1707</v>
      </c>
    </row>
    <row r="1132" spans="1:11" ht="11.25" customHeight="1">
      <c r="A1132" s="65" t="s">
        <v>1710</v>
      </c>
      <c r="B1132" s="65" t="s">
        <v>1686</v>
      </c>
      <c r="C1132" s="65">
        <v>1</v>
      </c>
      <c r="D1132" s="65" t="s">
        <v>488</v>
      </c>
      <c r="E1132" s="65" t="s">
        <v>424</v>
      </c>
      <c r="F1132" s="65" t="s">
        <v>411</v>
      </c>
      <c r="G1132" s="65" t="s">
        <v>83</v>
      </c>
      <c r="H1132" s="65" t="s">
        <v>83</v>
      </c>
      <c r="I1132" s="65" t="s">
        <v>83</v>
      </c>
      <c r="J1132" s="466"/>
      <c r="K1132" s="390" t="s">
        <v>1707</v>
      </c>
    </row>
    <row r="1133" spans="1:11" ht="11.25" customHeight="1">
      <c r="A1133" s="65" t="s">
        <v>1711</v>
      </c>
      <c r="B1133" s="65" t="s">
        <v>1686</v>
      </c>
      <c r="C1133" s="65">
        <v>1</v>
      </c>
      <c r="D1133" s="65" t="s">
        <v>644</v>
      </c>
      <c r="E1133" s="65" t="s">
        <v>424</v>
      </c>
      <c r="F1133" s="65" t="s">
        <v>411</v>
      </c>
      <c r="G1133" s="65" t="s">
        <v>83</v>
      </c>
      <c r="H1133" s="65">
        <v>5</v>
      </c>
      <c r="I1133" s="65" t="s">
        <v>83</v>
      </c>
      <c r="J1133" s="466"/>
      <c r="K1133" s="390" t="s">
        <v>1707</v>
      </c>
    </row>
    <row r="1134" spans="1:12" s="458" customFormat="1" ht="11.25" customHeight="1">
      <c r="A1134" s="458" t="s">
        <v>1712</v>
      </c>
      <c r="B1134" s="458" t="s">
        <v>1686</v>
      </c>
      <c r="C1134" s="458" t="s">
        <v>348</v>
      </c>
      <c r="D1134" s="458" t="s">
        <v>410</v>
      </c>
      <c r="E1134" s="458" t="s">
        <v>83</v>
      </c>
      <c r="F1134" s="458" t="s">
        <v>411</v>
      </c>
      <c r="G1134" s="458" t="s">
        <v>83</v>
      </c>
      <c r="H1134" s="458" t="s">
        <v>83</v>
      </c>
      <c r="I1134" s="458" t="s">
        <v>83</v>
      </c>
      <c r="J1134" s="464"/>
      <c r="K1134" s="451" t="s">
        <v>1707</v>
      </c>
      <c r="L1134" s="457"/>
    </row>
    <row r="1135" spans="1:11" ht="11.25" customHeight="1">
      <c r="A1135" s="65" t="s">
        <v>1713</v>
      </c>
      <c r="B1135" s="65" t="s">
        <v>1686</v>
      </c>
      <c r="C1135" s="65" t="s">
        <v>348</v>
      </c>
      <c r="D1135" s="65" t="s">
        <v>488</v>
      </c>
      <c r="E1135" s="65" t="s">
        <v>424</v>
      </c>
      <c r="F1135" s="65" t="s">
        <v>411</v>
      </c>
      <c r="G1135" s="65" t="s">
        <v>83</v>
      </c>
      <c r="H1135" s="65">
        <v>6</v>
      </c>
      <c r="I1135" s="65" t="s">
        <v>83</v>
      </c>
      <c r="J1135" s="466"/>
      <c r="K1135" s="390" t="s">
        <v>1707</v>
      </c>
    </row>
    <row r="1136" spans="1:11" ht="11.25" customHeight="1">
      <c r="A1136" s="65" t="s">
        <v>1714</v>
      </c>
      <c r="B1136" s="65" t="s">
        <v>1686</v>
      </c>
      <c r="C1136" s="65">
        <v>1</v>
      </c>
      <c r="D1136" s="65" t="s">
        <v>495</v>
      </c>
      <c r="E1136" s="65" t="s">
        <v>424</v>
      </c>
      <c r="F1136" s="65" t="s">
        <v>411</v>
      </c>
      <c r="G1136" s="65" t="s">
        <v>83</v>
      </c>
      <c r="H1136" s="65">
        <v>5</v>
      </c>
      <c r="I1136" s="65" t="s">
        <v>83</v>
      </c>
      <c r="J1136" s="466"/>
      <c r="K1136" s="390" t="s">
        <v>1707</v>
      </c>
    </row>
    <row r="1137" spans="1:11" ht="11.25" customHeight="1">
      <c r="A1137" s="65" t="s">
        <v>1715</v>
      </c>
      <c r="B1137" s="65" t="s">
        <v>1686</v>
      </c>
      <c r="C1137" s="65">
        <v>1</v>
      </c>
      <c r="D1137" s="65" t="s">
        <v>566</v>
      </c>
      <c r="E1137" s="65" t="s">
        <v>174</v>
      </c>
      <c r="F1137" s="65" t="s">
        <v>871</v>
      </c>
      <c r="G1137" s="65" t="s">
        <v>871</v>
      </c>
      <c r="H1137" s="65">
        <v>10</v>
      </c>
      <c r="I1137" s="65" t="s">
        <v>83</v>
      </c>
      <c r="J1137" s="466"/>
      <c r="K1137" s="390" t="s">
        <v>1707</v>
      </c>
    </row>
    <row r="1138" spans="1:11" ht="11.25" customHeight="1">
      <c r="A1138" s="445" t="s">
        <v>1716</v>
      </c>
      <c r="B1138" s="446" t="s">
        <v>322</v>
      </c>
      <c r="C1138" s="446" t="s">
        <v>323</v>
      </c>
      <c r="D1138" s="446" t="s">
        <v>324</v>
      </c>
      <c r="E1138" s="446" t="s">
        <v>185</v>
      </c>
      <c r="F1138" s="446" t="s">
        <v>325</v>
      </c>
      <c r="G1138" s="446" t="s">
        <v>261</v>
      </c>
      <c r="H1138" s="446" t="s">
        <v>326</v>
      </c>
      <c r="I1138" s="446" t="s">
        <v>254</v>
      </c>
      <c r="J1138" s="459" t="s">
        <v>327</v>
      </c>
      <c r="K1138" s="447" t="s">
        <v>408</v>
      </c>
    </row>
    <row r="1139" spans="1:11" ht="11.25" customHeight="1">
      <c r="A1139" s="65" t="s">
        <v>1717</v>
      </c>
      <c r="B1139" s="65" t="s">
        <v>1716</v>
      </c>
      <c r="C1139" s="65" t="s">
        <v>348</v>
      </c>
      <c r="D1139" s="65" t="s">
        <v>488</v>
      </c>
      <c r="E1139" s="65" t="s">
        <v>424</v>
      </c>
      <c r="F1139" s="65" t="s">
        <v>871</v>
      </c>
      <c r="G1139" s="65" t="s">
        <v>871</v>
      </c>
      <c r="H1139" s="65" t="s">
        <v>83</v>
      </c>
      <c r="I1139" s="65" t="s">
        <v>83</v>
      </c>
      <c r="J1139" s="466"/>
      <c r="K1139" s="390" t="s">
        <v>1718</v>
      </c>
    </row>
    <row r="1140" spans="1:12" s="458" customFormat="1" ht="11.25" customHeight="1">
      <c r="A1140" s="458" t="s">
        <v>1719</v>
      </c>
      <c r="B1140" s="458" t="s">
        <v>1716</v>
      </c>
      <c r="C1140" s="458" t="s">
        <v>348</v>
      </c>
      <c r="D1140" s="458" t="s">
        <v>410</v>
      </c>
      <c r="E1140" s="458" t="s">
        <v>83</v>
      </c>
      <c r="F1140" s="458" t="s">
        <v>411</v>
      </c>
      <c r="G1140" s="458" t="s">
        <v>83</v>
      </c>
      <c r="H1140" s="458" t="s">
        <v>83</v>
      </c>
      <c r="I1140" s="458" t="s">
        <v>83</v>
      </c>
      <c r="J1140" s="464"/>
      <c r="K1140" s="451" t="s">
        <v>1718</v>
      </c>
      <c r="L1140" s="457"/>
    </row>
    <row r="1141" spans="1:12" s="476" customFormat="1" ht="11.25" customHeight="1">
      <c r="A1141" s="458" t="s">
        <v>1720</v>
      </c>
      <c r="B1141" s="458" t="s">
        <v>1716</v>
      </c>
      <c r="C1141" s="458">
        <v>1</v>
      </c>
      <c r="D1141" s="458" t="s">
        <v>410</v>
      </c>
      <c r="E1141" s="458" t="s">
        <v>83</v>
      </c>
      <c r="F1141" s="458" t="s">
        <v>411</v>
      </c>
      <c r="G1141" s="458" t="s">
        <v>83</v>
      </c>
      <c r="H1141" s="458" t="s">
        <v>83</v>
      </c>
      <c r="I1141" s="458" t="s">
        <v>83</v>
      </c>
      <c r="J1141" s="464"/>
      <c r="K1141" s="451" t="s">
        <v>1718</v>
      </c>
      <c r="L1141" s="478"/>
    </row>
    <row r="1142" spans="1:12" s="458" customFormat="1" ht="11.25" customHeight="1">
      <c r="A1142" s="65" t="s">
        <v>1721</v>
      </c>
      <c r="B1142" s="65" t="s">
        <v>1716</v>
      </c>
      <c r="C1142" s="65">
        <v>1</v>
      </c>
      <c r="D1142" s="65" t="s">
        <v>495</v>
      </c>
      <c r="E1142" s="65" t="s">
        <v>424</v>
      </c>
      <c r="F1142" s="65" t="s">
        <v>411</v>
      </c>
      <c r="G1142" s="65" t="s">
        <v>83</v>
      </c>
      <c r="H1142" s="65">
        <v>4</v>
      </c>
      <c r="I1142" s="65" t="s">
        <v>83</v>
      </c>
      <c r="J1142" s="466"/>
      <c r="K1142" s="390" t="s">
        <v>1718</v>
      </c>
      <c r="L1142" s="457"/>
    </row>
    <row r="1143" spans="1:11" ht="11.25" customHeight="1">
      <c r="A1143" s="65" t="s">
        <v>1722</v>
      </c>
      <c r="B1143" s="65" t="s">
        <v>1716</v>
      </c>
      <c r="C1143" s="65">
        <v>1</v>
      </c>
      <c r="D1143" s="65" t="s">
        <v>641</v>
      </c>
      <c r="E1143" s="65" t="s">
        <v>424</v>
      </c>
      <c r="F1143" s="65" t="s">
        <v>411</v>
      </c>
      <c r="G1143" s="65" t="s">
        <v>83</v>
      </c>
      <c r="H1143" s="65">
        <v>10</v>
      </c>
      <c r="I1143" s="65" t="s">
        <v>83</v>
      </c>
      <c r="J1143" s="466"/>
      <c r="K1143" s="390" t="s">
        <v>1718</v>
      </c>
    </row>
    <row r="1144" spans="1:12" s="458" customFormat="1" ht="11.25" customHeight="1">
      <c r="A1144" s="65" t="s">
        <v>1723</v>
      </c>
      <c r="B1144" s="65" t="s">
        <v>1716</v>
      </c>
      <c r="C1144" s="65">
        <v>1</v>
      </c>
      <c r="D1144" s="65" t="s">
        <v>652</v>
      </c>
      <c r="E1144" s="65" t="s">
        <v>424</v>
      </c>
      <c r="F1144" s="65" t="s">
        <v>411</v>
      </c>
      <c r="G1144" s="65" t="s">
        <v>83</v>
      </c>
      <c r="H1144" s="65" t="s">
        <v>83</v>
      </c>
      <c r="I1144" s="65" t="s">
        <v>83</v>
      </c>
      <c r="J1144" s="466"/>
      <c r="K1144" s="390" t="s">
        <v>1718</v>
      </c>
      <c r="L1144" s="457"/>
    </row>
    <row r="1145" spans="1:11" ht="11.25" customHeight="1">
      <c r="A1145" s="65" t="s">
        <v>1724</v>
      </c>
      <c r="B1145" s="65" t="s">
        <v>1716</v>
      </c>
      <c r="C1145" s="65">
        <v>1</v>
      </c>
      <c r="D1145" s="65" t="s">
        <v>495</v>
      </c>
      <c r="E1145" s="65" t="s">
        <v>424</v>
      </c>
      <c r="F1145" s="65" t="s">
        <v>411</v>
      </c>
      <c r="G1145" s="65" t="s">
        <v>83</v>
      </c>
      <c r="H1145" s="65">
        <v>5</v>
      </c>
      <c r="I1145" s="65" t="s">
        <v>83</v>
      </c>
      <c r="J1145" s="466"/>
      <c r="K1145" s="390" t="s">
        <v>1718</v>
      </c>
    </row>
    <row r="1146" spans="1:12" s="458" customFormat="1" ht="11.25" customHeight="1">
      <c r="A1146" s="65" t="s">
        <v>1725</v>
      </c>
      <c r="B1146" s="65" t="s">
        <v>1716</v>
      </c>
      <c r="C1146" s="65">
        <v>1</v>
      </c>
      <c r="D1146" s="65" t="s">
        <v>644</v>
      </c>
      <c r="E1146" s="65" t="s">
        <v>424</v>
      </c>
      <c r="F1146" s="65" t="s">
        <v>411</v>
      </c>
      <c r="G1146" s="65" t="s">
        <v>83</v>
      </c>
      <c r="H1146" s="65">
        <v>4</v>
      </c>
      <c r="I1146" s="65" t="s">
        <v>323</v>
      </c>
      <c r="J1146" s="466"/>
      <c r="K1146" s="390" t="s">
        <v>1718</v>
      </c>
      <c r="L1146" s="457"/>
    </row>
    <row r="1147" spans="1:12" s="458" customFormat="1" ht="11.25" customHeight="1">
      <c r="A1147" s="65" t="s">
        <v>1726</v>
      </c>
      <c r="B1147" s="65" t="s">
        <v>1716</v>
      </c>
      <c r="C1147" s="65" t="s">
        <v>348</v>
      </c>
      <c r="D1147" s="65" t="s">
        <v>566</v>
      </c>
      <c r="E1147" s="65" t="s">
        <v>174</v>
      </c>
      <c r="F1147" s="65" t="s">
        <v>547</v>
      </c>
      <c r="G1147" s="65" t="s">
        <v>630</v>
      </c>
      <c r="H1147" s="65">
        <v>5</v>
      </c>
      <c r="I1147" s="65" t="s">
        <v>83</v>
      </c>
      <c r="J1147" s="466"/>
      <c r="K1147" s="390" t="s">
        <v>1718</v>
      </c>
      <c r="L1147" s="457"/>
    </row>
    <row r="1148" spans="1:11" ht="11.25" customHeight="1">
      <c r="A1148" s="458" t="s">
        <v>1727</v>
      </c>
      <c r="B1148" s="458" t="s">
        <v>1716</v>
      </c>
      <c r="C1148" s="458">
        <v>1</v>
      </c>
      <c r="D1148" s="458" t="s">
        <v>410</v>
      </c>
      <c r="E1148" s="458" t="s">
        <v>83</v>
      </c>
      <c r="F1148" s="458" t="s">
        <v>411</v>
      </c>
      <c r="G1148" s="458" t="s">
        <v>83</v>
      </c>
      <c r="H1148" s="458" t="s">
        <v>83</v>
      </c>
      <c r="I1148" s="458" t="s">
        <v>83</v>
      </c>
      <c r="J1148" s="464"/>
      <c r="K1148" s="451" t="s">
        <v>1728</v>
      </c>
    </row>
    <row r="1149" spans="1:11" ht="11.25" customHeight="1">
      <c r="A1149" s="458" t="s">
        <v>1729</v>
      </c>
      <c r="B1149" s="458" t="s">
        <v>1716</v>
      </c>
      <c r="C1149" s="458">
        <v>1</v>
      </c>
      <c r="D1149" s="458" t="s">
        <v>410</v>
      </c>
      <c r="E1149" s="458" t="s">
        <v>83</v>
      </c>
      <c r="F1149" s="458" t="s">
        <v>411</v>
      </c>
      <c r="G1149" s="458" t="s">
        <v>83</v>
      </c>
      <c r="H1149" s="458" t="s">
        <v>83</v>
      </c>
      <c r="I1149" s="458" t="s">
        <v>83</v>
      </c>
      <c r="J1149" s="464"/>
      <c r="K1149" s="451" t="s">
        <v>1728</v>
      </c>
    </row>
    <row r="1150" spans="1:11" ht="11.25" customHeight="1">
      <c r="A1150" s="65" t="s">
        <v>1730</v>
      </c>
      <c r="B1150" s="65" t="s">
        <v>1716</v>
      </c>
      <c r="C1150" s="65">
        <v>1</v>
      </c>
      <c r="D1150" s="65" t="s">
        <v>644</v>
      </c>
      <c r="E1150" s="65" t="s">
        <v>424</v>
      </c>
      <c r="F1150" s="65" t="s">
        <v>411</v>
      </c>
      <c r="G1150" s="65" t="s">
        <v>83</v>
      </c>
      <c r="H1150" s="65">
        <v>6</v>
      </c>
      <c r="I1150" s="65" t="s">
        <v>83</v>
      </c>
      <c r="J1150" s="466"/>
      <c r="K1150" s="390" t="s">
        <v>1728</v>
      </c>
    </row>
    <row r="1151" spans="1:11" ht="11.25" customHeight="1">
      <c r="A1151" s="65" t="s">
        <v>1731</v>
      </c>
      <c r="B1151" s="65" t="s">
        <v>1716</v>
      </c>
      <c r="C1151" s="65">
        <v>1</v>
      </c>
      <c r="D1151" s="65" t="s">
        <v>423</v>
      </c>
      <c r="E1151" s="65" t="s">
        <v>424</v>
      </c>
      <c r="F1151" s="65" t="s">
        <v>411</v>
      </c>
      <c r="G1151" s="65" t="s">
        <v>83</v>
      </c>
      <c r="H1151" s="65">
        <v>5</v>
      </c>
      <c r="I1151" s="65" t="s">
        <v>655</v>
      </c>
      <c r="J1151" s="466"/>
      <c r="K1151" s="390" t="s">
        <v>1728</v>
      </c>
    </row>
    <row r="1152" spans="1:12" s="476" customFormat="1" ht="11.25" customHeight="1">
      <c r="A1152" s="65" t="s">
        <v>1732</v>
      </c>
      <c r="B1152" s="65" t="s">
        <v>1716</v>
      </c>
      <c r="C1152" s="65">
        <v>1</v>
      </c>
      <c r="D1152" s="65" t="s">
        <v>423</v>
      </c>
      <c r="E1152" s="65" t="s">
        <v>424</v>
      </c>
      <c r="F1152" s="65" t="s">
        <v>411</v>
      </c>
      <c r="G1152" s="65" t="s">
        <v>83</v>
      </c>
      <c r="H1152" s="65">
        <v>6</v>
      </c>
      <c r="I1152" s="65">
        <v>3</v>
      </c>
      <c r="J1152" s="466"/>
      <c r="K1152" s="390" t="s">
        <v>1728</v>
      </c>
      <c r="L1152" s="478"/>
    </row>
    <row r="1153" spans="1:12" s="476" customFormat="1" ht="11.25" customHeight="1">
      <c r="A1153" s="65" t="s">
        <v>1733</v>
      </c>
      <c r="B1153" s="65" t="s">
        <v>1716</v>
      </c>
      <c r="C1153" s="65">
        <v>1</v>
      </c>
      <c r="D1153" s="65" t="s">
        <v>423</v>
      </c>
      <c r="E1153" s="65" t="s">
        <v>424</v>
      </c>
      <c r="F1153" s="65" t="s">
        <v>411</v>
      </c>
      <c r="G1153" s="65" t="s">
        <v>83</v>
      </c>
      <c r="H1153" s="65">
        <v>6</v>
      </c>
      <c r="I1153" s="65">
        <v>3</v>
      </c>
      <c r="J1153" s="466"/>
      <c r="K1153" s="390" t="s">
        <v>1728</v>
      </c>
      <c r="L1153" s="478"/>
    </row>
    <row r="1154" spans="1:11" ht="11.25" customHeight="1">
      <c r="A1154" s="65" t="s">
        <v>1734</v>
      </c>
      <c r="B1154" s="65" t="s">
        <v>1716</v>
      </c>
      <c r="C1154" s="65" t="s">
        <v>348</v>
      </c>
      <c r="D1154" s="65" t="s">
        <v>495</v>
      </c>
      <c r="E1154" s="65" t="s">
        <v>424</v>
      </c>
      <c r="F1154" s="65" t="s">
        <v>411</v>
      </c>
      <c r="G1154" s="65" t="s">
        <v>83</v>
      </c>
      <c r="H1154" s="65">
        <v>3</v>
      </c>
      <c r="I1154" s="65" t="s">
        <v>83</v>
      </c>
      <c r="J1154" s="466"/>
      <c r="K1154" s="390" t="s">
        <v>1728</v>
      </c>
    </row>
    <row r="1155" spans="1:12" s="476" customFormat="1" ht="11.25" customHeight="1">
      <c r="A1155" s="65" t="s">
        <v>1735</v>
      </c>
      <c r="B1155" s="65" t="s">
        <v>1716</v>
      </c>
      <c r="C1155" s="65" t="s">
        <v>348</v>
      </c>
      <c r="D1155" s="65" t="s">
        <v>423</v>
      </c>
      <c r="E1155" s="65" t="s">
        <v>424</v>
      </c>
      <c r="F1155" s="65" t="s">
        <v>411</v>
      </c>
      <c r="G1155" s="65" t="s">
        <v>83</v>
      </c>
      <c r="H1155" s="65" t="s">
        <v>83</v>
      </c>
      <c r="I1155" s="65">
        <v>3</v>
      </c>
      <c r="J1155" s="466"/>
      <c r="K1155" s="390" t="s">
        <v>1728</v>
      </c>
      <c r="L1155" s="478"/>
    </row>
    <row r="1156" spans="1:11" ht="11.25" customHeight="1">
      <c r="A1156" s="65" t="s">
        <v>1736</v>
      </c>
      <c r="B1156" s="65" t="s">
        <v>1716</v>
      </c>
      <c r="C1156" s="65" t="s">
        <v>348</v>
      </c>
      <c r="D1156" s="65" t="s">
        <v>495</v>
      </c>
      <c r="E1156" s="65" t="s">
        <v>424</v>
      </c>
      <c r="F1156" s="65" t="s">
        <v>411</v>
      </c>
      <c r="G1156" s="65" t="s">
        <v>83</v>
      </c>
      <c r="H1156" s="65">
        <v>5</v>
      </c>
      <c r="I1156" s="65" t="s">
        <v>83</v>
      </c>
      <c r="J1156" s="466"/>
      <c r="K1156" s="390" t="s">
        <v>1728</v>
      </c>
    </row>
    <row r="1157" spans="1:11" ht="11.25" customHeight="1">
      <c r="A1157" s="65" t="s">
        <v>1737</v>
      </c>
      <c r="B1157" s="65" t="s">
        <v>1716</v>
      </c>
      <c r="C1157" s="65" t="s">
        <v>348</v>
      </c>
      <c r="D1157" s="65" t="s">
        <v>495</v>
      </c>
      <c r="E1157" s="65" t="s">
        <v>424</v>
      </c>
      <c r="F1157" s="65" t="s">
        <v>411</v>
      </c>
      <c r="G1157" s="65" t="s">
        <v>83</v>
      </c>
      <c r="H1157" s="65">
        <v>5</v>
      </c>
      <c r="I1157" s="65" t="s">
        <v>83</v>
      </c>
      <c r="J1157" s="466"/>
      <c r="K1157" s="390" t="s">
        <v>1738</v>
      </c>
    </row>
    <row r="1158" spans="1:12" s="476" customFormat="1" ht="11.25" customHeight="1">
      <c r="A1158" s="65" t="s">
        <v>1739</v>
      </c>
      <c r="B1158" s="65" t="s">
        <v>1716</v>
      </c>
      <c r="C1158" s="65" t="s">
        <v>348</v>
      </c>
      <c r="D1158" s="65" t="s">
        <v>495</v>
      </c>
      <c r="E1158" s="65" t="s">
        <v>424</v>
      </c>
      <c r="F1158" s="65" t="s">
        <v>411</v>
      </c>
      <c r="G1158" s="65" t="s">
        <v>83</v>
      </c>
      <c r="H1158" s="65">
        <v>6</v>
      </c>
      <c r="I1158" s="65" t="s">
        <v>83</v>
      </c>
      <c r="J1158" s="466"/>
      <c r="K1158" s="390" t="s">
        <v>1738</v>
      </c>
      <c r="L1158" s="478"/>
    </row>
    <row r="1159" spans="1:12" s="458" customFormat="1" ht="11.25" customHeight="1">
      <c r="A1159" s="458" t="s">
        <v>1740</v>
      </c>
      <c r="B1159" s="458" t="s">
        <v>1716</v>
      </c>
      <c r="C1159" s="458" t="s">
        <v>348</v>
      </c>
      <c r="D1159" s="458" t="s">
        <v>410</v>
      </c>
      <c r="E1159" s="458" t="s">
        <v>83</v>
      </c>
      <c r="F1159" s="458" t="s">
        <v>411</v>
      </c>
      <c r="G1159" s="458" t="s">
        <v>83</v>
      </c>
      <c r="H1159" s="458" t="s">
        <v>83</v>
      </c>
      <c r="I1159" s="458" t="s">
        <v>83</v>
      </c>
      <c r="J1159" s="464"/>
      <c r="K1159" s="451" t="s">
        <v>1738</v>
      </c>
      <c r="L1159" s="457"/>
    </row>
    <row r="1160" spans="1:12" s="458" customFormat="1" ht="11.25" customHeight="1">
      <c r="A1160" s="458" t="s">
        <v>1741</v>
      </c>
      <c r="B1160" s="458" t="s">
        <v>1716</v>
      </c>
      <c r="C1160" s="458" t="s">
        <v>348</v>
      </c>
      <c r="D1160" s="458" t="s">
        <v>410</v>
      </c>
      <c r="E1160" s="458" t="s">
        <v>83</v>
      </c>
      <c r="F1160" s="458" t="s">
        <v>411</v>
      </c>
      <c r="G1160" s="458" t="s">
        <v>83</v>
      </c>
      <c r="H1160" s="458" t="s">
        <v>83</v>
      </c>
      <c r="I1160" s="458" t="s">
        <v>83</v>
      </c>
      <c r="J1160" s="464"/>
      <c r="K1160" s="451" t="s">
        <v>1738</v>
      </c>
      <c r="L1160" s="457"/>
    </row>
    <row r="1161" spans="1:11" ht="11.25" customHeight="1">
      <c r="A1161" s="65" t="s">
        <v>1742</v>
      </c>
      <c r="B1161" s="65" t="s">
        <v>1716</v>
      </c>
      <c r="C1161" s="65">
        <v>1</v>
      </c>
      <c r="D1161" s="65" t="s">
        <v>652</v>
      </c>
      <c r="E1161" s="65" t="s">
        <v>424</v>
      </c>
      <c r="F1161" s="65" t="s">
        <v>411</v>
      </c>
      <c r="G1161" s="65" t="s">
        <v>83</v>
      </c>
      <c r="H1161" s="65" t="s">
        <v>83</v>
      </c>
      <c r="I1161" s="65" t="s">
        <v>615</v>
      </c>
      <c r="J1161" s="466"/>
      <c r="K1161" s="390" t="s">
        <v>1738</v>
      </c>
    </row>
    <row r="1162" spans="1:12" s="476" customFormat="1" ht="11.25" customHeight="1">
      <c r="A1162" s="65" t="s">
        <v>1743</v>
      </c>
      <c r="B1162" s="65" t="s">
        <v>1716</v>
      </c>
      <c r="C1162" s="65">
        <v>1</v>
      </c>
      <c r="D1162" s="65" t="s">
        <v>644</v>
      </c>
      <c r="E1162" s="65" t="s">
        <v>424</v>
      </c>
      <c r="F1162" s="65" t="s">
        <v>871</v>
      </c>
      <c r="G1162" s="65" t="s">
        <v>871</v>
      </c>
      <c r="H1162" s="65">
        <v>5</v>
      </c>
      <c r="I1162" s="65" t="s">
        <v>83</v>
      </c>
      <c r="J1162" s="466"/>
      <c r="K1162" s="390" t="s">
        <v>1738</v>
      </c>
      <c r="L1162" s="478"/>
    </row>
    <row r="1163" spans="1:11" ht="11.25" customHeight="1">
      <c r="A1163" s="65" t="s">
        <v>1744</v>
      </c>
      <c r="B1163" s="65" t="s">
        <v>1716</v>
      </c>
      <c r="C1163" s="65">
        <v>1</v>
      </c>
      <c r="D1163" s="65" t="s">
        <v>644</v>
      </c>
      <c r="E1163" s="65" t="s">
        <v>424</v>
      </c>
      <c r="F1163" s="65" t="s">
        <v>871</v>
      </c>
      <c r="G1163" s="65" t="s">
        <v>871</v>
      </c>
      <c r="H1163" s="65">
        <v>5</v>
      </c>
      <c r="I1163" s="65" t="s">
        <v>83</v>
      </c>
      <c r="J1163" s="466"/>
      <c r="K1163" s="390" t="s">
        <v>1738</v>
      </c>
    </row>
    <row r="1164" spans="1:11" ht="11.25" customHeight="1">
      <c r="A1164" s="65" t="s">
        <v>1745</v>
      </c>
      <c r="B1164" s="65" t="s">
        <v>1716</v>
      </c>
      <c r="C1164" s="65" t="s">
        <v>348</v>
      </c>
      <c r="D1164" s="65" t="s">
        <v>644</v>
      </c>
      <c r="E1164" s="65" t="s">
        <v>424</v>
      </c>
      <c r="F1164" s="65" t="s">
        <v>871</v>
      </c>
      <c r="G1164" s="65" t="s">
        <v>871</v>
      </c>
      <c r="H1164" s="65">
        <v>5</v>
      </c>
      <c r="I1164" s="65" t="s">
        <v>83</v>
      </c>
      <c r="J1164" s="466"/>
      <c r="K1164" s="390" t="s">
        <v>1738</v>
      </c>
    </row>
    <row r="1165" spans="1:11" ht="11.25" customHeight="1">
      <c r="A1165" s="65" t="s">
        <v>1746</v>
      </c>
      <c r="B1165" s="65" t="s">
        <v>1716</v>
      </c>
      <c r="C1165" s="65">
        <v>1</v>
      </c>
      <c r="D1165" s="65" t="s">
        <v>566</v>
      </c>
      <c r="E1165" s="65" t="s">
        <v>174</v>
      </c>
      <c r="F1165" s="65" t="s">
        <v>871</v>
      </c>
      <c r="G1165" s="65" t="s">
        <v>871</v>
      </c>
      <c r="H1165" s="65">
        <v>8</v>
      </c>
      <c r="I1165" s="65" t="s">
        <v>323</v>
      </c>
      <c r="J1165" s="466"/>
      <c r="K1165" s="390" t="s">
        <v>1738</v>
      </c>
    </row>
    <row r="1166" spans="1:11" ht="11.25" customHeight="1">
      <c r="A1166" s="445" t="s">
        <v>1747</v>
      </c>
      <c r="B1166" s="446" t="s">
        <v>322</v>
      </c>
      <c r="C1166" s="446" t="s">
        <v>323</v>
      </c>
      <c r="D1166" s="446" t="s">
        <v>324</v>
      </c>
      <c r="E1166" s="446" t="s">
        <v>185</v>
      </c>
      <c r="F1166" s="446" t="s">
        <v>325</v>
      </c>
      <c r="G1166" s="446" t="s">
        <v>261</v>
      </c>
      <c r="H1166" s="446" t="s">
        <v>326</v>
      </c>
      <c r="I1166" s="446" t="s">
        <v>254</v>
      </c>
      <c r="J1166" s="459" t="s">
        <v>327</v>
      </c>
      <c r="K1166" s="447" t="s">
        <v>408</v>
      </c>
    </row>
    <row r="1167" spans="1:11" ht="11.25" customHeight="1">
      <c r="A1167" s="65" t="s">
        <v>1748</v>
      </c>
      <c r="B1167" s="65" t="s">
        <v>1747</v>
      </c>
      <c r="C1167" s="65" t="s">
        <v>348</v>
      </c>
      <c r="D1167" s="65" t="s">
        <v>495</v>
      </c>
      <c r="E1167" s="65" t="s">
        <v>424</v>
      </c>
      <c r="F1167" s="65" t="s">
        <v>411</v>
      </c>
      <c r="G1167" s="65" t="s">
        <v>83</v>
      </c>
      <c r="H1167" s="65" t="s">
        <v>83</v>
      </c>
      <c r="I1167" s="65" t="s">
        <v>83</v>
      </c>
      <c r="J1167" s="466"/>
      <c r="K1167" s="390" t="s">
        <v>1749</v>
      </c>
    </row>
    <row r="1168" spans="1:11" ht="11.25" customHeight="1">
      <c r="A1168" s="65" t="s">
        <v>1750</v>
      </c>
      <c r="B1168" s="65" t="s">
        <v>1747</v>
      </c>
      <c r="C1168" s="65">
        <v>1</v>
      </c>
      <c r="D1168" s="65" t="s">
        <v>488</v>
      </c>
      <c r="E1168" s="65" t="s">
        <v>424</v>
      </c>
      <c r="F1168" s="65" t="s">
        <v>411</v>
      </c>
      <c r="G1168" s="65" t="s">
        <v>83</v>
      </c>
      <c r="H1168" s="65" t="s">
        <v>83</v>
      </c>
      <c r="I1168" s="65" t="s">
        <v>83</v>
      </c>
      <c r="J1168" s="466"/>
      <c r="K1168" s="390" t="s">
        <v>1749</v>
      </c>
    </row>
    <row r="1169" spans="1:11" ht="11.25" customHeight="1">
      <c r="A1169" s="65" t="s">
        <v>1751</v>
      </c>
      <c r="B1169" s="65" t="s">
        <v>1747</v>
      </c>
      <c r="C1169" s="65">
        <v>1</v>
      </c>
      <c r="D1169" s="65" t="s">
        <v>488</v>
      </c>
      <c r="E1169" s="65" t="s">
        <v>424</v>
      </c>
      <c r="F1169" s="65" t="s">
        <v>411</v>
      </c>
      <c r="G1169" s="65" t="s">
        <v>83</v>
      </c>
      <c r="H1169" s="65" t="s">
        <v>83</v>
      </c>
      <c r="I1169" s="65" t="s">
        <v>83</v>
      </c>
      <c r="J1169" s="466"/>
      <c r="K1169" s="390" t="s">
        <v>1749</v>
      </c>
    </row>
    <row r="1170" spans="1:11" ht="11.25" customHeight="1">
      <c r="A1170" s="65" t="s">
        <v>1752</v>
      </c>
      <c r="B1170" s="65" t="s">
        <v>1747</v>
      </c>
      <c r="C1170" s="65">
        <v>1</v>
      </c>
      <c r="D1170" s="65" t="s">
        <v>488</v>
      </c>
      <c r="E1170" s="65" t="s">
        <v>424</v>
      </c>
      <c r="F1170" s="65" t="s">
        <v>411</v>
      </c>
      <c r="G1170" s="65" t="s">
        <v>83</v>
      </c>
      <c r="H1170" s="65" t="s">
        <v>83</v>
      </c>
      <c r="I1170" s="65" t="s">
        <v>83</v>
      </c>
      <c r="J1170" s="466"/>
      <c r="K1170" s="390" t="s">
        <v>1749</v>
      </c>
    </row>
    <row r="1171" spans="1:11" ht="11.25" customHeight="1">
      <c r="A1171" s="65" t="s">
        <v>1753</v>
      </c>
      <c r="B1171" s="65" t="s">
        <v>1747</v>
      </c>
      <c r="C1171" s="65" t="s">
        <v>348</v>
      </c>
      <c r="D1171" s="65" t="s">
        <v>566</v>
      </c>
      <c r="E1171" s="65" t="s">
        <v>174</v>
      </c>
      <c r="F1171" s="65" t="s">
        <v>702</v>
      </c>
      <c r="G1171" s="65" t="s">
        <v>630</v>
      </c>
      <c r="H1171" s="65">
        <v>6</v>
      </c>
      <c r="I1171" s="65" t="s">
        <v>83</v>
      </c>
      <c r="J1171" s="466"/>
      <c r="K1171" s="390" t="s">
        <v>1749</v>
      </c>
    </row>
    <row r="1172" spans="1:11" ht="11.25" customHeight="1">
      <c r="A1172" s="65" t="s">
        <v>1754</v>
      </c>
      <c r="B1172" s="65" t="s">
        <v>1747</v>
      </c>
      <c r="C1172" s="65">
        <v>1</v>
      </c>
      <c r="D1172" s="65" t="s">
        <v>588</v>
      </c>
      <c r="E1172" s="65" t="s">
        <v>424</v>
      </c>
      <c r="F1172" s="65" t="s">
        <v>411</v>
      </c>
      <c r="G1172" s="65" t="s">
        <v>83</v>
      </c>
      <c r="H1172" s="65">
        <v>8</v>
      </c>
      <c r="I1172" s="65" t="s">
        <v>83</v>
      </c>
      <c r="J1172" s="466"/>
      <c r="K1172" s="390" t="s">
        <v>1749</v>
      </c>
    </row>
    <row r="1173" spans="1:11" ht="11.25" customHeight="1">
      <c r="A1173" s="458" t="s">
        <v>1755</v>
      </c>
      <c r="B1173" s="458" t="s">
        <v>1747</v>
      </c>
      <c r="C1173" s="458" t="s">
        <v>348</v>
      </c>
      <c r="D1173" s="458" t="s">
        <v>410</v>
      </c>
      <c r="E1173" s="458" t="s">
        <v>83</v>
      </c>
      <c r="F1173" s="458" t="s">
        <v>411</v>
      </c>
      <c r="G1173" s="458" t="s">
        <v>83</v>
      </c>
      <c r="H1173" s="458" t="s">
        <v>83</v>
      </c>
      <c r="I1173" s="458" t="s">
        <v>83</v>
      </c>
      <c r="J1173" s="464"/>
      <c r="K1173" s="451" t="s">
        <v>1749</v>
      </c>
    </row>
    <row r="1174" spans="1:11" ht="11.25" customHeight="1">
      <c r="A1174" s="458" t="s">
        <v>1756</v>
      </c>
      <c r="B1174" s="458" t="s">
        <v>1747</v>
      </c>
      <c r="C1174" s="458" t="s">
        <v>348</v>
      </c>
      <c r="D1174" s="458" t="s">
        <v>410</v>
      </c>
      <c r="E1174" s="458" t="s">
        <v>83</v>
      </c>
      <c r="F1174" s="458" t="s">
        <v>411</v>
      </c>
      <c r="G1174" s="458" t="s">
        <v>83</v>
      </c>
      <c r="H1174" s="458" t="s">
        <v>83</v>
      </c>
      <c r="I1174" s="458" t="s">
        <v>83</v>
      </c>
      <c r="J1174" s="464"/>
      <c r="K1174" s="451" t="s">
        <v>1749</v>
      </c>
    </row>
    <row r="1175" spans="1:11" ht="11.25" customHeight="1">
      <c r="A1175" s="458" t="s">
        <v>1757</v>
      </c>
      <c r="B1175" s="458" t="s">
        <v>1747</v>
      </c>
      <c r="C1175" s="458">
        <v>1</v>
      </c>
      <c r="D1175" s="458" t="s">
        <v>410</v>
      </c>
      <c r="E1175" s="458" t="s">
        <v>83</v>
      </c>
      <c r="F1175" s="458" t="s">
        <v>411</v>
      </c>
      <c r="G1175" s="458" t="s">
        <v>83</v>
      </c>
      <c r="H1175" s="458" t="s">
        <v>83</v>
      </c>
      <c r="I1175" s="458" t="s">
        <v>83</v>
      </c>
      <c r="J1175" s="464"/>
      <c r="K1175" s="451" t="s">
        <v>1749</v>
      </c>
    </row>
    <row r="1176" spans="1:11" ht="11.25" customHeight="1">
      <c r="A1176" s="458" t="s">
        <v>1758</v>
      </c>
      <c r="B1176" s="458" t="s">
        <v>1747</v>
      </c>
      <c r="C1176" s="458">
        <v>1</v>
      </c>
      <c r="D1176" s="458" t="s">
        <v>410</v>
      </c>
      <c r="E1176" s="458" t="s">
        <v>83</v>
      </c>
      <c r="F1176" s="458" t="s">
        <v>411</v>
      </c>
      <c r="G1176" s="458" t="s">
        <v>83</v>
      </c>
      <c r="H1176" s="458" t="s">
        <v>83</v>
      </c>
      <c r="I1176" s="458" t="s">
        <v>83</v>
      </c>
      <c r="J1176" s="464"/>
      <c r="K1176" s="451" t="s">
        <v>1759</v>
      </c>
    </row>
    <row r="1177" spans="1:11" ht="11.25" customHeight="1">
      <c r="A1177" s="458" t="s">
        <v>1760</v>
      </c>
      <c r="B1177" s="458" t="s">
        <v>1747</v>
      </c>
      <c r="C1177" s="458">
        <v>1</v>
      </c>
      <c r="D1177" s="458" t="s">
        <v>410</v>
      </c>
      <c r="E1177" s="458" t="s">
        <v>83</v>
      </c>
      <c r="F1177" s="458" t="s">
        <v>411</v>
      </c>
      <c r="G1177" s="458" t="s">
        <v>83</v>
      </c>
      <c r="H1177" s="458" t="s">
        <v>83</v>
      </c>
      <c r="I1177" s="458" t="s">
        <v>83</v>
      </c>
      <c r="J1177" s="464"/>
      <c r="K1177" s="451" t="s">
        <v>1759</v>
      </c>
    </row>
    <row r="1178" spans="1:11" ht="11.25" customHeight="1">
      <c r="A1178" s="458" t="s">
        <v>1761</v>
      </c>
      <c r="B1178" s="458" t="s">
        <v>1747</v>
      </c>
      <c r="C1178" s="458">
        <v>1</v>
      </c>
      <c r="D1178" s="458" t="s">
        <v>410</v>
      </c>
      <c r="E1178" s="458" t="s">
        <v>83</v>
      </c>
      <c r="F1178" s="458" t="s">
        <v>411</v>
      </c>
      <c r="G1178" s="458" t="s">
        <v>83</v>
      </c>
      <c r="H1178" s="458" t="s">
        <v>83</v>
      </c>
      <c r="I1178" s="458" t="s">
        <v>83</v>
      </c>
      <c r="J1178" s="464"/>
      <c r="K1178" s="451" t="s">
        <v>1759</v>
      </c>
    </row>
    <row r="1179" spans="1:11" ht="11.25" customHeight="1">
      <c r="A1179" s="458" t="s">
        <v>1762</v>
      </c>
      <c r="B1179" s="458" t="s">
        <v>1747</v>
      </c>
      <c r="C1179" s="458">
        <v>1</v>
      </c>
      <c r="D1179" s="458" t="s">
        <v>410</v>
      </c>
      <c r="E1179" s="458" t="s">
        <v>83</v>
      </c>
      <c r="F1179" s="458" t="s">
        <v>411</v>
      </c>
      <c r="G1179" s="458" t="s">
        <v>83</v>
      </c>
      <c r="H1179" s="458" t="s">
        <v>83</v>
      </c>
      <c r="I1179" s="458" t="s">
        <v>83</v>
      </c>
      <c r="J1179" s="464"/>
      <c r="K1179" s="451" t="s">
        <v>1759</v>
      </c>
    </row>
    <row r="1180" spans="1:11" ht="11.25" customHeight="1">
      <c r="A1180" s="65" t="s">
        <v>1763</v>
      </c>
      <c r="B1180" s="65" t="s">
        <v>1747</v>
      </c>
      <c r="C1180" s="65">
        <v>1</v>
      </c>
      <c r="D1180" s="65" t="s">
        <v>644</v>
      </c>
      <c r="E1180" s="65" t="s">
        <v>424</v>
      </c>
      <c r="F1180" s="65" t="s">
        <v>411</v>
      </c>
      <c r="G1180" s="65" t="s">
        <v>83</v>
      </c>
      <c r="H1180" s="65">
        <v>6</v>
      </c>
      <c r="I1180" s="65" t="s">
        <v>83</v>
      </c>
      <c r="J1180" s="466"/>
      <c r="K1180" s="390" t="s">
        <v>1759</v>
      </c>
    </row>
    <row r="1181" spans="1:11" ht="11.25" customHeight="1">
      <c r="A1181" s="65" t="s">
        <v>1764</v>
      </c>
      <c r="B1181" s="65" t="s">
        <v>1747</v>
      </c>
      <c r="C1181" s="65" t="s">
        <v>348</v>
      </c>
      <c r="D1181" s="65" t="s">
        <v>566</v>
      </c>
      <c r="E1181" s="65" t="s">
        <v>174</v>
      </c>
      <c r="F1181" s="65" t="s">
        <v>871</v>
      </c>
      <c r="G1181" s="65" t="s">
        <v>630</v>
      </c>
      <c r="H1181" s="65">
        <v>20</v>
      </c>
      <c r="I1181" s="65" t="s">
        <v>83</v>
      </c>
      <c r="J1181" s="466"/>
      <c r="K1181" s="390" t="s">
        <v>1759</v>
      </c>
    </row>
    <row r="1182" spans="1:11" ht="11.25" customHeight="1">
      <c r="A1182" s="65" t="s">
        <v>1765</v>
      </c>
      <c r="B1182" s="65" t="s">
        <v>1747</v>
      </c>
      <c r="C1182" s="65">
        <v>1</v>
      </c>
      <c r="D1182" s="65" t="s">
        <v>644</v>
      </c>
      <c r="E1182" s="65" t="s">
        <v>424</v>
      </c>
      <c r="F1182" s="65" t="s">
        <v>411</v>
      </c>
      <c r="G1182" s="65" t="s">
        <v>83</v>
      </c>
      <c r="H1182" s="65">
        <v>7</v>
      </c>
      <c r="I1182" s="65" t="s">
        <v>83</v>
      </c>
      <c r="J1182" s="466"/>
      <c r="K1182" s="390" t="s">
        <v>1759</v>
      </c>
    </row>
    <row r="1183" spans="1:11" ht="11.25" customHeight="1">
      <c r="A1183" s="65" t="s">
        <v>1109</v>
      </c>
      <c r="B1183" s="65" t="s">
        <v>1747</v>
      </c>
      <c r="C1183" s="65" t="s">
        <v>348</v>
      </c>
      <c r="D1183" s="65" t="s">
        <v>423</v>
      </c>
      <c r="E1183" s="65" t="s">
        <v>424</v>
      </c>
      <c r="F1183" s="65" t="s">
        <v>411</v>
      </c>
      <c r="G1183" s="65" t="s">
        <v>83</v>
      </c>
      <c r="H1183" s="65">
        <v>10</v>
      </c>
      <c r="I1183" s="65" t="s">
        <v>83</v>
      </c>
      <c r="J1183" s="466"/>
      <c r="K1183" s="390" t="s">
        <v>1759</v>
      </c>
    </row>
    <row r="1184" spans="1:11" ht="11.25" customHeight="1">
      <c r="A1184" s="458" t="s">
        <v>1766</v>
      </c>
      <c r="B1184" s="458" t="s">
        <v>1747</v>
      </c>
      <c r="C1184" s="458">
        <v>1</v>
      </c>
      <c r="D1184" s="458" t="s">
        <v>410</v>
      </c>
      <c r="E1184" s="458" t="s">
        <v>83</v>
      </c>
      <c r="F1184" s="458" t="s">
        <v>411</v>
      </c>
      <c r="G1184" s="458" t="s">
        <v>83</v>
      </c>
      <c r="H1184" s="458" t="s">
        <v>83</v>
      </c>
      <c r="I1184" s="458" t="s">
        <v>83</v>
      </c>
      <c r="J1184" s="464"/>
      <c r="K1184" s="451" t="s">
        <v>1759</v>
      </c>
    </row>
    <row r="1185" spans="1:11" ht="11.25" customHeight="1">
      <c r="A1185" s="65" t="s">
        <v>1767</v>
      </c>
      <c r="B1185" s="65" t="s">
        <v>1747</v>
      </c>
      <c r="C1185" s="65">
        <v>1</v>
      </c>
      <c r="D1185" s="65" t="s">
        <v>566</v>
      </c>
      <c r="E1185" s="65" t="s">
        <v>424</v>
      </c>
      <c r="F1185" s="65" t="s">
        <v>411</v>
      </c>
      <c r="G1185" s="65" t="s">
        <v>83</v>
      </c>
      <c r="H1185" s="65">
        <v>5</v>
      </c>
      <c r="I1185" s="65" t="s">
        <v>83</v>
      </c>
      <c r="J1185" s="466"/>
      <c r="K1185" s="390" t="s">
        <v>1768</v>
      </c>
    </row>
    <row r="1186" spans="1:11" ht="11.25" customHeight="1">
      <c r="A1186" s="458" t="s">
        <v>1769</v>
      </c>
      <c r="B1186" s="458" t="s">
        <v>1747</v>
      </c>
      <c r="C1186" s="458" t="s">
        <v>348</v>
      </c>
      <c r="D1186" s="458" t="s">
        <v>410</v>
      </c>
      <c r="E1186" s="458" t="s">
        <v>83</v>
      </c>
      <c r="F1186" s="458" t="s">
        <v>411</v>
      </c>
      <c r="G1186" s="458" t="s">
        <v>83</v>
      </c>
      <c r="H1186" s="458" t="s">
        <v>83</v>
      </c>
      <c r="I1186" s="458" t="s">
        <v>83</v>
      </c>
      <c r="J1186" s="464"/>
      <c r="K1186" s="451" t="s">
        <v>1768</v>
      </c>
    </row>
    <row r="1187" spans="1:11" ht="11.25" customHeight="1">
      <c r="A1187" s="458" t="s">
        <v>1770</v>
      </c>
      <c r="B1187" s="458" t="s">
        <v>1747</v>
      </c>
      <c r="C1187" s="458" t="s">
        <v>348</v>
      </c>
      <c r="D1187" s="458" t="s">
        <v>410</v>
      </c>
      <c r="E1187" s="458" t="s">
        <v>83</v>
      </c>
      <c r="F1187" s="458" t="s">
        <v>411</v>
      </c>
      <c r="G1187" s="458" t="s">
        <v>83</v>
      </c>
      <c r="H1187" s="458" t="s">
        <v>83</v>
      </c>
      <c r="I1187" s="458" t="s">
        <v>83</v>
      </c>
      <c r="J1187" s="464"/>
      <c r="K1187" s="451" t="s">
        <v>1768</v>
      </c>
    </row>
    <row r="1188" spans="1:11" ht="11.25" customHeight="1">
      <c r="A1188" s="65" t="s">
        <v>1771</v>
      </c>
      <c r="B1188" s="65" t="s">
        <v>1747</v>
      </c>
      <c r="C1188" s="65" t="s">
        <v>348</v>
      </c>
      <c r="D1188" s="65" t="s">
        <v>488</v>
      </c>
      <c r="E1188" s="65" t="s">
        <v>424</v>
      </c>
      <c r="F1188" s="65" t="s">
        <v>411</v>
      </c>
      <c r="G1188" s="65" t="s">
        <v>83</v>
      </c>
      <c r="H1188" s="65">
        <v>6</v>
      </c>
      <c r="I1188" s="65" t="s">
        <v>615</v>
      </c>
      <c r="J1188" s="466"/>
      <c r="K1188" s="390" t="s">
        <v>1768</v>
      </c>
    </row>
    <row r="1189" spans="1:11" ht="11.25" customHeight="1">
      <c r="A1189" s="65" t="s">
        <v>1006</v>
      </c>
      <c r="B1189" s="65" t="s">
        <v>1747</v>
      </c>
      <c r="C1189" s="65">
        <v>1</v>
      </c>
      <c r="D1189" s="65" t="s">
        <v>566</v>
      </c>
      <c r="E1189" s="65" t="s">
        <v>424</v>
      </c>
      <c r="F1189" s="65" t="s">
        <v>718</v>
      </c>
      <c r="G1189" s="65" t="s">
        <v>489</v>
      </c>
      <c r="H1189" s="65">
        <v>15</v>
      </c>
      <c r="I1189" s="65" t="s">
        <v>83</v>
      </c>
      <c r="J1189" s="466"/>
      <c r="K1189" s="390" t="s">
        <v>1768</v>
      </c>
    </row>
    <row r="1190" spans="1:11" ht="11.25" customHeight="1">
      <c r="A1190" s="458" t="s">
        <v>1772</v>
      </c>
      <c r="B1190" s="458" t="s">
        <v>1747</v>
      </c>
      <c r="C1190" s="458">
        <v>1</v>
      </c>
      <c r="D1190" s="458" t="s">
        <v>410</v>
      </c>
      <c r="E1190" s="458" t="s">
        <v>83</v>
      </c>
      <c r="F1190" s="458" t="s">
        <v>411</v>
      </c>
      <c r="G1190" s="458" t="s">
        <v>83</v>
      </c>
      <c r="H1190" s="458" t="s">
        <v>83</v>
      </c>
      <c r="I1190" s="458" t="s">
        <v>83</v>
      </c>
      <c r="J1190" s="464"/>
      <c r="K1190" s="451" t="s">
        <v>1768</v>
      </c>
    </row>
    <row r="1191" spans="1:11" ht="11.25" customHeight="1">
      <c r="A1191" s="65" t="s">
        <v>1773</v>
      </c>
      <c r="B1191" s="65" t="s">
        <v>1747</v>
      </c>
      <c r="C1191" s="65">
        <v>1</v>
      </c>
      <c r="D1191" s="65" t="s">
        <v>488</v>
      </c>
      <c r="E1191" s="65" t="s">
        <v>424</v>
      </c>
      <c r="F1191" s="65" t="s">
        <v>411</v>
      </c>
      <c r="G1191" s="65" t="s">
        <v>83</v>
      </c>
      <c r="H1191" s="65" t="s">
        <v>83</v>
      </c>
      <c r="I1191" s="65" t="s">
        <v>323</v>
      </c>
      <c r="J1191" s="466"/>
      <c r="K1191" s="390" t="s">
        <v>1768</v>
      </c>
    </row>
    <row r="1192" spans="1:11" ht="11.25" customHeight="1">
      <c r="A1192" s="65" t="s">
        <v>1774</v>
      </c>
      <c r="B1192" s="65" t="s">
        <v>1747</v>
      </c>
      <c r="C1192" s="65">
        <v>1</v>
      </c>
      <c r="D1192" s="65" t="s">
        <v>488</v>
      </c>
      <c r="E1192" s="65" t="s">
        <v>424</v>
      </c>
      <c r="F1192" s="65" t="s">
        <v>411</v>
      </c>
      <c r="G1192" s="65" t="s">
        <v>83</v>
      </c>
      <c r="H1192" s="65">
        <v>4</v>
      </c>
      <c r="I1192" s="65" t="s">
        <v>615</v>
      </c>
      <c r="J1192" s="466"/>
      <c r="K1192" s="390" t="s">
        <v>1768</v>
      </c>
    </row>
    <row r="1193" spans="1:11" ht="11.25" customHeight="1">
      <c r="A1193" s="65" t="s">
        <v>1775</v>
      </c>
      <c r="B1193" s="65" t="s">
        <v>1747</v>
      </c>
      <c r="C1193" s="65" t="s">
        <v>348</v>
      </c>
      <c r="D1193" s="65" t="s">
        <v>488</v>
      </c>
      <c r="E1193" s="65" t="s">
        <v>424</v>
      </c>
      <c r="F1193" s="65" t="s">
        <v>411</v>
      </c>
      <c r="G1193" s="65" t="s">
        <v>83</v>
      </c>
      <c r="H1193" s="65">
        <v>6</v>
      </c>
      <c r="I1193" s="65" t="s">
        <v>991</v>
      </c>
      <c r="J1193" s="466"/>
      <c r="K1193" s="390" t="s">
        <v>1768</v>
      </c>
    </row>
    <row r="1194" spans="1:11" ht="11.25" customHeight="1">
      <c r="A1194" s="445" t="s">
        <v>1776</v>
      </c>
      <c r="B1194" s="446" t="s">
        <v>322</v>
      </c>
      <c r="C1194" s="446" t="s">
        <v>323</v>
      </c>
      <c r="D1194" s="446" t="s">
        <v>324</v>
      </c>
      <c r="E1194" s="446" t="s">
        <v>185</v>
      </c>
      <c r="F1194" s="446" t="s">
        <v>325</v>
      </c>
      <c r="G1194" s="446" t="s">
        <v>261</v>
      </c>
      <c r="H1194" s="446" t="s">
        <v>326</v>
      </c>
      <c r="I1194" s="446" t="s">
        <v>254</v>
      </c>
      <c r="J1194" s="459" t="s">
        <v>327</v>
      </c>
      <c r="K1194" s="447" t="s">
        <v>408</v>
      </c>
    </row>
    <row r="1195" spans="1:11" ht="11.25" customHeight="1">
      <c r="A1195" s="65" t="s">
        <v>1777</v>
      </c>
      <c r="B1195" s="65" t="s">
        <v>1776</v>
      </c>
      <c r="C1195" s="65">
        <v>1</v>
      </c>
      <c r="D1195" s="65" t="s">
        <v>566</v>
      </c>
      <c r="E1195" s="65" t="s">
        <v>174</v>
      </c>
      <c r="F1195" s="65" t="s">
        <v>987</v>
      </c>
      <c r="G1195" s="65" t="s">
        <v>572</v>
      </c>
      <c r="H1195" s="65">
        <v>5</v>
      </c>
      <c r="I1195" s="65" t="s">
        <v>83</v>
      </c>
      <c r="J1195" s="466"/>
      <c r="K1195" s="390" t="s">
        <v>1778</v>
      </c>
    </row>
    <row r="1196" spans="1:11" ht="11.25" customHeight="1">
      <c r="A1196" s="65" t="s">
        <v>1779</v>
      </c>
      <c r="B1196" s="65" t="s">
        <v>1776</v>
      </c>
      <c r="C1196" s="65">
        <v>1</v>
      </c>
      <c r="D1196" s="65" t="s">
        <v>566</v>
      </c>
      <c r="E1196" s="65" t="s">
        <v>174</v>
      </c>
      <c r="F1196" s="65" t="s">
        <v>987</v>
      </c>
      <c r="G1196" s="65" t="s">
        <v>572</v>
      </c>
      <c r="H1196" s="65">
        <v>6</v>
      </c>
      <c r="I1196" s="65" t="s">
        <v>83</v>
      </c>
      <c r="J1196" s="466"/>
      <c r="K1196" s="390" t="s">
        <v>1778</v>
      </c>
    </row>
    <row r="1197" spans="1:11" ht="11.25" customHeight="1">
      <c r="A1197" s="445" t="s">
        <v>1780</v>
      </c>
      <c r="B1197" s="446" t="s">
        <v>322</v>
      </c>
      <c r="C1197" s="446" t="s">
        <v>323</v>
      </c>
      <c r="D1197" s="446" t="s">
        <v>324</v>
      </c>
      <c r="E1197" s="446" t="s">
        <v>185</v>
      </c>
      <c r="F1197" s="446" t="s">
        <v>325</v>
      </c>
      <c r="G1197" s="446" t="s">
        <v>261</v>
      </c>
      <c r="H1197" s="446" t="s">
        <v>326</v>
      </c>
      <c r="I1197" s="446" t="s">
        <v>254</v>
      </c>
      <c r="J1197" s="459" t="s">
        <v>327</v>
      </c>
      <c r="K1197" s="447" t="s">
        <v>408</v>
      </c>
    </row>
    <row r="1198" spans="1:11" ht="11.25" customHeight="1">
      <c r="A1198" s="65" t="s">
        <v>1781</v>
      </c>
      <c r="B1198" s="65" t="s">
        <v>1780</v>
      </c>
      <c r="C1198" s="65">
        <v>1</v>
      </c>
      <c r="D1198" s="65" t="s">
        <v>566</v>
      </c>
      <c r="E1198" s="65" t="s">
        <v>174</v>
      </c>
      <c r="F1198" s="65" t="s">
        <v>987</v>
      </c>
      <c r="G1198" s="65" t="s">
        <v>572</v>
      </c>
      <c r="H1198" s="65">
        <v>6</v>
      </c>
      <c r="I1198" s="65" t="s">
        <v>83</v>
      </c>
      <c r="J1198" s="466"/>
      <c r="K1198" s="390" t="s">
        <v>1778</v>
      </c>
    </row>
    <row r="1199" spans="1:11" ht="11.25" customHeight="1">
      <c r="A1199" s="65" t="s">
        <v>1782</v>
      </c>
      <c r="B1199" s="65" t="s">
        <v>1780</v>
      </c>
      <c r="C1199" s="65">
        <v>1</v>
      </c>
      <c r="D1199" s="65" t="s">
        <v>566</v>
      </c>
      <c r="E1199" s="65" t="s">
        <v>174</v>
      </c>
      <c r="F1199" s="65" t="s">
        <v>987</v>
      </c>
      <c r="G1199" s="65" t="s">
        <v>572</v>
      </c>
      <c r="H1199" s="65">
        <v>8</v>
      </c>
      <c r="I1199" s="65" t="s">
        <v>83</v>
      </c>
      <c r="J1199" s="466"/>
      <c r="K1199" s="390" t="s">
        <v>1778</v>
      </c>
    </row>
    <row r="1200" spans="1:11" ht="11.25" customHeight="1">
      <c r="A1200" s="445" t="s">
        <v>1783</v>
      </c>
      <c r="B1200" s="446" t="s">
        <v>322</v>
      </c>
      <c r="C1200" s="446" t="s">
        <v>323</v>
      </c>
      <c r="D1200" s="446" t="s">
        <v>324</v>
      </c>
      <c r="E1200" s="446" t="s">
        <v>185</v>
      </c>
      <c r="F1200" s="446" t="s">
        <v>325</v>
      </c>
      <c r="G1200" s="446" t="s">
        <v>261</v>
      </c>
      <c r="H1200" s="446" t="s">
        <v>326</v>
      </c>
      <c r="I1200" s="446" t="s">
        <v>254</v>
      </c>
      <c r="J1200" s="459" t="s">
        <v>327</v>
      </c>
      <c r="K1200" s="447" t="s">
        <v>408</v>
      </c>
    </row>
    <row r="1201" spans="1:11" ht="11.25" customHeight="1">
      <c r="A1201" s="65" t="s">
        <v>1784</v>
      </c>
      <c r="B1201" s="65" t="s">
        <v>1783</v>
      </c>
      <c r="C1201" s="65">
        <v>1</v>
      </c>
      <c r="D1201" s="65" t="s">
        <v>566</v>
      </c>
      <c r="E1201" s="65" t="s">
        <v>174</v>
      </c>
      <c r="F1201" s="65" t="s">
        <v>987</v>
      </c>
      <c r="G1201" s="65" t="s">
        <v>572</v>
      </c>
      <c r="H1201" s="65">
        <v>6</v>
      </c>
      <c r="I1201" s="65" t="s">
        <v>83</v>
      </c>
      <c r="J1201" s="466"/>
      <c r="K1201" s="390" t="s">
        <v>1778</v>
      </c>
    </row>
    <row r="1202" spans="1:11" ht="11.25" customHeight="1">
      <c r="A1202" s="65" t="s">
        <v>1785</v>
      </c>
      <c r="B1202" s="65" t="s">
        <v>1783</v>
      </c>
      <c r="C1202" s="65">
        <v>1</v>
      </c>
      <c r="D1202" s="65" t="s">
        <v>566</v>
      </c>
      <c r="E1202" s="65" t="s">
        <v>174</v>
      </c>
      <c r="F1202" s="65" t="s">
        <v>987</v>
      </c>
      <c r="G1202" s="65" t="s">
        <v>572</v>
      </c>
      <c r="H1202" s="65">
        <v>5</v>
      </c>
      <c r="I1202" s="65" t="s">
        <v>83</v>
      </c>
      <c r="J1202" s="466"/>
      <c r="K1202" s="390" t="s">
        <v>1778</v>
      </c>
    </row>
    <row r="1203" spans="1:11" ht="11.25" customHeight="1">
      <c r="A1203" s="445" t="s">
        <v>1786</v>
      </c>
      <c r="B1203" s="446" t="s">
        <v>322</v>
      </c>
      <c r="C1203" s="446" t="s">
        <v>323</v>
      </c>
      <c r="D1203" s="446" t="s">
        <v>324</v>
      </c>
      <c r="E1203" s="446" t="s">
        <v>185</v>
      </c>
      <c r="F1203" s="446" t="s">
        <v>325</v>
      </c>
      <c r="G1203" s="446" t="s">
        <v>261</v>
      </c>
      <c r="H1203" s="446" t="s">
        <v>326</v>
      </c>
      <c r="I1203" s="446" t="s">
        <v>254</v>
      </c>
      <c r="J1203" s="459" t="s">
        <v>327</v>
      </c>
      <c r="K1203" s="447" t="s">
        <v>408</v>
      </c>
    </row>
    <row r="1204" spans="1:11" ht="11.25" customHeight="1">
      <c r="A1204" s="65" t="s">
        <v>1787</v>
      </c>
      <c r="B1204" s="65" t="s">
        <v>1786</v>
      </c>
      <c r="C1204" s="65">
        <v>1</v>
      </c>
      <c r="D1204" s="65" t="s">
        <v>566</v>
      </c>
      <c r="E1204" s="65" t="s">
        <v>174</v>
      </c>
      <c r="F1204" s="65" t="s">
        <v>987</v>
      </c>
      <c r="G1204" s="65" t="s">
        <v>572</v>
      </c>
      <c r="H1204" s="65">
        <v>5</v>
      </c>
      <c r="I1204" s="65" t="s">
        <v>83</v>
      </c>
      <c r="J1204" s="466"/>
      <c r="K1204" s="390" t="s">
        <v>1788</v>
      </c>
    </row>
    <row r="1205" spans="1:11" ht="11.25" customHeight="1">
      <c r="A1205" s="65" t="s">
        <v>1789</v>
      </c>
      <c r="B1205" s="65" t="s">
        <v>1786</v>
      </c>
      <c r="C1205" s="65">
        <v>1</v>
      </c>
      <c r="D1205" s="65" t="s">
        <v>566</v>
      </c>
      <c r="E1205" s="65" t="s">
        <v>174</v>
      </c>
      <c r="F1205" s="65" t="s">
        <v>987</v>
      </c>
      <c r="G1205" s="65" t="s">
        <v>572</v>
      </c>
      <c r="H1205" s="65">
        <v>6</v>
      </c>
      <c r="I1205" s="65" t="s">
        <v>83</v>
      </c>
      <c r="J1205" s="466"/>
      <c r="K1205" s="390" t="s">
        <v>1788</v>
      </c>
    </row>
    <row r="1206" spans="1:11" ht="11.25" customHeight="1">
      <c r="A1206" s="445" t="s">
        <v>1790</v>
      </c>
      <c r="B1206" s="446" t="s">
        <v>322</v>
      </c>
      <c r="C1206" s="446" t="s">
        <v>323</v>
      </c>
      <c r="D1206" s="446" t="s">
        <v>324</v>
      </c>
      <c r="E1206" s="446" t="s">
        <v>185</v>
      </c>
      <c r="F1206" s="446" t="s">
        <v>325</v>
      </c>
      <c r="G1206" s="446" t="s">
        <v>261</v>
      </c>
      <c r="H1206" s="446" t="s">
        <v>326</v>
      </c>
      <c r="I1206" s="446" t="s">
        <v>254</v>
      </c>
      <c r="J1206" s="459" t="s">
        <v>327</v>
      </c>
      <c r="K1206" s="447" t="s">
        <v>408</v>
      </c>
    </row>
    <row r="1207" spans="1:11" ht="11.25" customHeight="1">
      <c r="A1207" s="65" t="s">
        <v>1791</v>
      </c>
      <c r="B1207" s="65" t="s">
        <v>1790</v>
      </c>
      <c r="C1207" s="65">
        <v>1</v>
      </c>
      <c r="D1207" s="65" t="s">
        <v>566</v>
      </c>
      <c r="E1207" s="65" t="s">
        <v>174</v>
      </c>
      <c r="F1207" s="65" t="s">
        <v>987</v>
      </c>
      <c r="G1207" s="65" t="s">
        <v>572</v>
      </c>
      <c r="H1207" s="65">
        <v>6</v>
      </c>
      <c r="I1207" s="65" t="s">
        <v>83</v>
      </c>
      <c r="J1207" s="466"/>
      <c r="K1207" s="390" t="s">
        <v>1788</v>
      </c>
    </row>
    <row r="1208" spans="1:11" ht="11.25" customHeight="1">
      <c r="A1208" s="65" t="s">
        <v>1792</v>
      </c>
      <c r="B1208" s="65" t="s">
        <v>1790</v>
      </c>
      <c r="C1208" s="65">
        <v>1</v>
      </c>
      <c r="D1208" s="65" t="s">
        <v>566</v>
      </c>
      <c r="E1208" s="65" t="s">
        <v>174</v>
      </c>
      <c r="F1208" s="65" t="s">
        <v>987</v>
      </c>
      <c r="G1208" s="65" t="s">
        <v>572</v>
      </c>
      <c r="H1208" s="65">
        <v>6</v>
      </c>
      <c r="I1208" s="65" t="s">
        <v>83</v>
      </c>
      <c r="J1208" s="466"/>
      <c r="K1208" s="390" t="s">
        <v>1788</v>
      </c>
    </row>
    <row r="1209" spans="1:11" ht="11.25" customHeight="1">
      <c r="A1209" s="445" t="s">
        <v>1793</v>
      </c>
      <c r="B1209" s="446" t="s">
        <v>322</v>
      </c>
      <c r="C1209" s="446" t="s">
        <v>323</v>
      </c>
      <c r="D1209" s="446" t="s">
        <v>324</v>
      </c>
      <c r="E1209" s="446" t="s">
        <v>185</v>
      </c>
      <c r="F1209" s="446" t="s">
        <v>325</v>
      </c>
      <c r="G1209" s="446" t="s">
        <v>261</v>
      </c>
      <c r="H1209" s="446" t="s">
        <v>326</v>
      </c>
      <c r="I1209" s="446" t="s">
        <v>254</v>
      </c>
      <c r="J1209" s="459" t="s">
        <v>327</v>
      </c>
      <c r="K1209" s="447" t="s">
        <v>408</v>
      </c>
    </row>
    <row r="1210" spans="1:11" ht="11.25" customHeight="1">
      <c r="A1210" s="65" t="s">
        <v>1794</v>
      </c>
      <c r="B1210" s="65" t="s">
        <v>1793</v>
      </c>
      <c r="C1210" s="65">
        <v>1</v>
      </c>
      <c r="D1210" s="65" t="s">
        <v>566</v>
      </c>
      <c r="E1210" s="65" t="s">
        <v>174</v>
      </c>
      <c r="F1210" s="65" t="s">
        <v>987</v>
      </c>
      <c r="G1210" s="65" t="s">
        <v>572</v>
      </c>
      <c r="H1210" s="65">
        <v>6</v>
      </c>
      <c r="I1210" s="65" t="s">
        <v>83</v>
      </c>
      <c r="J1210" s="466"/>
      <c r="K1210" s="390" t="s">
        <v>1788</v>
      </c>
    </row>
    <row r="1211" spans="1:11" ht="11.25" customHeight="1">
      <c r="A1211" s="65" t="s">
        <v>1795</v>
      </c>
      <c r="B1211" s="65" t="s">
        <v>1793</v>
      </c>
      <c r="C1211" s="65">
        <v>1</v>
      </c>
      <c r="D1211" s="65" t="s">
        <v>566</v>
      </c>
      <c r="E1211" s="65" t="s">
        <v>174</v>
      </c>
      <c r="F1211" s="65" t="s">
        <v>987</v>
      </c>
      <c r="G1211" s="65" t="s">
        <v>674</v>
      </c>
      <c r="H1211" s="65">
        <v>6</v>
      </c>
      <c r="I1211" s="65" t="s">
        <v>83</v>
      </c>
      <c r="J1211" s="466"/>
      <c r="K1211" s="390" t="s">
        <v>1788</v>
      </c>
    </row>
    <row r="1212" spans="1:11" ht="11.25" customHeight="1">
      <c r="A1212" s="445" t="s">
        <v>1796</v>
      </c>
      <c r="B1212" s="446" t="s">
        <v>322</v>
      </c>
      <c r="C1212" s="446" t="s">
        <v>323</v>
      </c>
      <c r="D1212" s="446" t="s">
        <v>324</v>
      </c>
      <c r="E1212" s="446" t="s">
        <v>185</v>
      </c>
      <c r="F1212" s="446" t="s">
        <v>325</v>
      </c>
      <c r="G1212" s="446" t="s">
        <v>261</v>
      </c>
      <c r="H1212" s="446" t="s">
        <v>326</v>
      </c>
      <c r="I1212" s="446" t="s">
        <v>254</v>
      </c>
      <c r="J1212" s="459" t="s">
        <v>327</v>
      </c>
      <c r="K1212" s="447" t="s">
        <v>408</v>
      </c>
    </row>
    <row r="1213" spans="1:11" ht="11.25" customHeight="1">
      <c r="A1213" s="65" t="s">
        <v>1797</v>
      </c>
      <c r="B1213" s="65" t="s">
        <v>1796</v>
      </c>
      <c r="C1213" s="65">
        <v>1</v>
      </c>
      <c r="D1213" s="65" t="s">
        <v>566</v>
      </c>
      <c r="E1213" s="65" t="s">
        <v>174</v>
      </c>
      <c r="F1213" s="65" t="s">
        <v>987</v>
      </c>
      <c r="G1213" s="65" t="s">
        <v>572</v>
      </c>
      <c r="H1213" s="65">
        <v>6</v>
      </c>
      <c r="I1213" s="65" t="s">
        <v>83</v>
      </c>
      <c r="J1213" s="466"/>
      <c r="K1213" s="390" t="s">
        <v>1798</v>
      </c>
    </row>
    <row r="1214" spans="1:11" ht="11.25" customHeight="1">
      <c r="A1214" s="65" t="s">
        <v>1799</v>
      </c>
      <c r="B1214" s="65" t="s">
        <v>1796</v>
      </c>
      <c r="C1214" s="65">
        <v>1</v>
      </c>
      <c r="D1214" s="65" t="s">
        <v>566</v>
      </c>
      <c r="E1214" s="65" t="s">
        <v>174</v>
      </c>
      <c r="F1214" s="65" t="s">
        <v>987</v>
      </c>
      <c r="G1214" s="65" t="s">
        <v>572</v>
      </c>
      <c r="H1214" s="65">
        <v>5</v>
      </c>
      <c r="I1214" s="65" t="s">
        <v>83</v>
      </c>
      <c r="J1214" s="466"/>
      <c r="K1214" s="390" t="s">
        <v>1798</v>
      </c>
    </row>
    <row r="1215" spans="1:11" ht="11.25" customHeight="1">
      <c r="A1215" s="445" t="s">
        <v>1800</v>
      </c>
      <c r="B1215" s="446" t="s">
        <v>322</v>
      </c>
      <c r="C1215" s="446" t="s">
        <v>323</v>
      </c>
      <c r="D1215" s="446" t="s">
        <v>324</v>
      </c>
      <c r="E1215" s="446" t="s">
        <v>185</v>
      </c>
      <c r="F1215" s="446" t="s">
        <v>325</v>
      </c>
      <c r="G1215" s="446" t="s">
        <v>261</v>
      </c>
      <c r="H1215" s="446" t="s">
        <v>326</v>
      </c>
      <c r="I1215" s="446" t="s">
        <v>254</v>
      </c>
      <c r="J1215" s="459" t="s">
        <v>327</v>
      </c>
      <c r="K1215" s="447" t="s">
        <v>408</v>
      </c>
    </row>
    <row r="1216" spans="1:11" ht="11.25" customHeight="1">
      <c r="A1216" s="65" t="s">
        <v>1801</v>
      </c>
      <c r="B1216" s="65" t="s">
        <v>1800</v>
      </c>
      <c r="C1216" s="65">
        <v>1</v>
      </c>
      <c r="D1216" s="65" t="s">
        <v>566</v>
      </c>
      <c r="E1216" s="65" t="s">
        <v>174</v>
      </c>
      <c r="F1216" s="65" t="s">
        <v>987</v>
      </c>
      <c r="G1216" s="65" t="s">
        <v>572</v>
      </c>
      <c r="H1216" s="65">
        <v>6</v>
      </c>
      <c r="I1216" s="65" t="s">
        <v>83</v>
      </c>
      <c r="J1216" s="466"/>
      <c r="K1216" s="390" t="s">
        <v>1798</v>
      </c>
    </row>
    <row r="1217" spans="1:11" ht="11.25" customHeight="1">
      <c r="A1217" s="65" t="s">
        <v>1802</v>
      </c>
      <c r="B1217" s="65" t="s">
        <v>1800</v>
      </c>
      <c r="C1217" s="65">
        <v>1</v>
      </c>
      <c r="D1217" s="65" t="s">
        <v>566</v>
      </c>
      <c r="E1217" s="65" t="s">
        <v>174</v>
      </c>
      <c r="F1217" s="65" t="s">
        <v>987</v>
      </c>
      <c r="G1217" s="65" t="s">
        <v>572</v>
      </c>
      <c r="H1217" s="65">
        <v>5</v>
      </c>
      <c r="I1217" s="65" t="s">
        <v>83</v>
      </c>
      <c r="J1217" s="466"/>
      <c r="K1217" s="390" t="s">
        <v>1798</v>
      </c>
    </row>
    <row r="1218" spans="1:11" ht="11.25" customHeight="1">
      <c r="A1218" s="445" t="s">
        <v>1803</v>
      </c>
      <c r="B1218" s="446" t="s">
        <v>322</v>
      </c>
      <c r="C1218" s="446" t="s">
        <v>323</v>
      </c>
      <c r="D1218" s="446" t="s">
        <v>324</v>
      </c>
      <c r="E1218" s="446" t="s">
        <v>185</v>
      </c>
      <c r="F1218" s="446" t="s">
        <v>325</v>
      </c>
      <c r="G1218" s="446" t="s">
        <v>261</v>
      </c>
      <c r="H1218" s="446" t="s">
        <v>326</v>
      </c>
      <c r="I1218" s="446" t="s">
        <v>254</v>
      </c>
      <c r="J1218" s="459" t="s">
        <v>327</v>
      </c>
      <c r="K1218" s="447" t="s">
        <v>408</v>
      </c>
    </row>
    <row r="1219" spans="1:11" ht="11.25" customHeight="1">
      <c r="A1219" s="65" t="s">
        <v>1804</v>
      </c>
      <c r="B1219" s="65" t="s">
        <v>1803</v>
      </c>
      <c r="C1219" s="65">
        <v>1</v>
      </c>
      <c r="D1219" s="65" t="s">
        <v>566</v>
      </c>
      <c r="E1219" s="65" t="s">
        <v>174</v>
      </c>
      <c r="F1219" s="65" t="s">
        <v>987</v>
      </c>
      <c r="G1219" s="65" t="s">
        <v>572</v>
      </c>
      <c r="H1219" s="65">
        <v>7</v>
      </c>
      <c r="I1219" s="65" t="s">
        <v>83</v>
      </c>
      <c r="J1219" s="466"/>
      <c r="K1219" s="390" t="s">
        <v>1798</v>
      </c>
    </row>
    <row r="1220" spans="1:11" ht="11.25" customHeight="1">
      <c r="A1220" s="65" t="s">
        <v>1805</v>
      </c>
      <c r="B1220" s="65" t="s">
        <v>1803</v>
      </c>
      <c r="C1220" s="65">
        <v>1</v>
      </c>
      <c r="D1220" s="65" t="s">
        <v>566</v>
      </c>
      <c r="E1220" s="65" t="s">
        <v>174</v>
      </c>
      <c r="F1220" s="65" t="s">
        <v>987</v>
      </c>
      <c r="G1220" s="65" t="s">
        <v>572</v>
      </c>
      <c r="H1220" s="65">
        <v>5</v>
      </c>
      <c r="I1220" s="65" t="s">
        <v>83</v>
      </c>
      <c r="J1220" s="466"/>
      <c r="K1220" s="390" t="s">
        <v>1798</v>
      </c>
    </row>
    <row r="1221" spans="1:11" ht="11.25" customHeight="1">
      <c r="A1221" s="445" t="s">
        <v>1806</v>
      </c>
      <c r="B1221" s="446" t="s">
        <v>322</v>
      </c>
      <c r="C1221" s="446" t="s">
        <v>323</v>
      </c>
      <c r="D1221" s="446" t="s">
        <v>324</v>
      </c>
      <c r="E1221" s="446" t="s">
        <v>185</v>
      </c>
      <c r="F1221" s="446" t="s">
        <v>325</v>
      </c>
      <c r="G1221" s="446" t="s">
        <v>261</v>
      </c>
      <c r="H1221" s="446" t="s">
        <v>326</v>
      </c>
      <c r="I1221" s="446" t="s">
        <v>254</v>
      </c>
      <c r="J1221" s="459" t="s">
        <v>327</v>
      </c>
      <c r="K1221" s="447" t="s">
        <v>408</v>
      </c>
    </row>
    <row r="1222" spans="1:11" ht="11.25" customHeight="1">
      <c r="A1222" s="65" t="s">
        <v>1807</v>
      </c>
      <c r="B1222" s="65" t="s">
        <v>1806</v>
      </c>
      <c r="C1222" s="65">
        <v>1</v>
      </c>
      <c r="D1222" s="65" t="s">
        <v>566</v>
      </c>
      <c r="E1222" s="65" t="s">
        <v>174</v>
      </c>
      <c r="F1222" s="65" t="s">
        <v>987</v>
      </c>
      <c r="G1222" s="65" t="s">
        <v>630</v>
      </c>
      <c r="H1222" s="65">
        <v>5</v>
      </c>
      <c r="I1222" s="65" t="s">
        <v>83</v>
      </c>
      <c r="J1222" s="466"/>
      <c r="K1222" s="390" t="s">
        <v>1808</v>
      </c>
    </row>
    <row r="1223" spans="1:11" ht="11.25" customHeight="1">
      <c r="A1223" s="65" t="s">
        <v>1809</v>
      </c>
      <c r="B1223" s="65" t="s">
        <v>1806</v>
      </c>
      <c r="C1223" s="65">
        <v>1</v>
      </c>
      <c r="D1223" s="65" t="s">
        <v>566</v>
      </c>
      <c r="E1223" s="65" t="s">
        <v>174</v>
      </c>
      <c r="F1223" s="65" t="s">
        <v>987</v>
      </c>
      <c r="G1223" s="65" t="s">
        <v>630</v>
      </c>
      <c r="H1223" s="65">
        <v>6</v>
      </c>
      <c r="I1223" s="65" t="s">
        <v>83</v>
      </c>
      <c r="J1223" s="466"/>
      <c r="K1223" s="390" t="s">
        <v>1808</v>
      </c>
    </row>
    <row r="1224" spans="1:11" ht="11.25" customHeight="1">
      <c r="A1224" s="445" t="s">
        <v>1810</v>
      </c>
      <c r="B1224" s="446" t="s">
        <v>322</v>
      </c>
      <c r="C1224" s="446" t="s">
        <v>323</v>
      </c>
      <c r="D1224" s="446" t="s">
        <v>324</v>
      </c>
      <c r="E1224" s="446" t="s">
        <v>185</v>
      </c>
      <c r="F1224" s="446" t="s">
        <v>325</v>
      </c>
      <c r="G1224" s="446" t="s">
        <v>261</v>
      </c>
      <c r="H1224" s="446" t="s">
        <v>326</v>
      </c>
      <c r="I1224" s="446" t="s">
        <v>254</v>
      </c>
      <c r="J1224" s="459" t="s">
        <v>327</v>
      </c>
      <c r="K1224" s="447" t="s">
        <v>408</v>
      </c>
    </row>
    <row r="1225" spans="1:11" ht="11.25" customHeight="1">
      <c r="A1225" s="65" t="s">
        <v>1811</v>
      </c>
      <c r="B1225" s="65" t="s">
        <v>1810</v>
      </c>
      <c r="C1225" s="65">
        <v>1</v>
      </c>
      <c r="D1225" s="65" t="s">
        <v>566</v>
      </c>
      <c r="E1225" s="65" t="s">
        <v>174</v>
      </c>
      <c r="F1225" s="65" t="s">
        <v>987</v>
      </c>
      <c r="G1225" s="65" t="s">
        <v>630</v>
      </c>
      <c r="H1225" s="65">
        <v>6</v>
      </c>
      <c r="I1225" s="65" t="s">
        <v>83</v>
      </c>
      <c r="J1225" s="466"/>
      <c r="K1225" s="390" t="s">
        <v>1808</v>
      </c>
    </row>
    <row r="1226" spans="1:11" ht="11.25" customHeight="1">
      <c r="A1226" s="65" t="s">
        <v>1812</v>
      </c>
      <c r="B1226" s="65" t="s">
        <v>1810</v>
      </c>
      <c r="C1226" s="65">
        <v>1</v>
      </c>
      <c r="D1226" s="65" t="s">
        <v>566</v>
      </c>
      <c r="E1226" s="65" t="s">
        <v>174</v>
      </c>
      <c r="F1226" s="65" t="s">
        <v>987</v>
      </c>
      <c r="G1226" s="65" t="s">
        <v>630</v>
      </c>
      <c r="H1226" s="65">
        <v>6</v>
      </c>
      <c r="I1226" s="65" t="s">
        <v>83</v>
      </c>
      <c r="J1226" s="466"/>
      <c r="K1226" s="390" t="s">
        <v>1808</v>
      </c>
    </row>
    <row r="1227" spans="1:11" ht="11.25" customHeight="1">
      <c r="A1227" s="445" t="s">
        <v>1813</v>
      </c>
      <c r="B1227" s="446" t="s">
        <v>322</v>
      </c>
      <c r="C1227" s="446" t="s">
        <v>323</v>
      </c>
      <c r="D1227" s="446" t="s">
        <v>324</v>
      </c>
      <c r="E1227" s="446" t="s">
        <v>185</v>
      </c>
      <c r="F1227" s="446" t="s">
        <v>325</v>
      </c>
      <c r="G1227" s="446" t="s">
        <v>261</v>
      </c>
      <c r="H1227" s="446" t="s">
        <v>326</v>
      </c>
      <c r="I1227" s="446" t="s">
        <v>254</v>
      </c>
      <c r="J1227" s="459" t="s">
        <v>327</v>
      </c>
      <c r="K1227" s="447" t="s">
        <v>408</v>
      </c>
    </row>
    <row r="1228" spans="1:11" ht="11.25" customHeight="1">
      <c r="A1228" s="65" t="s">
        <v>1814</v>
      </c>
      <c r="B1228" s="65" t="s">
        <v>1813</v>
      </c>
      <c r="C1228" s="65">
        <v>1</v>
      </c>
      <c r="D1228" s="65" t="s">
        <v>566</v>
      </c>
      <c r="E1228" s="65" t="s">
        <v>174</v>
      </c>
      <c r="F1228" s="65" t="s">
        <v>987</v>
      </c>
      <c r="G1228" s="65" t="s">
        <v>630</v>
      </c>
      <c r="H1228" s="65">
        <v>6</v>
      </c>
      <c r="I1228" s="65" t="s">
        <v>83</v>
      </c>
      <c r="J1228" s="466"/>
      <c r="K1228" s="390" t="s">
        <v>1808</v>
      </c>
    </row>
    <row r="1229" spans="1:11" ht="11.25" customHeight="1">
      <c r="A1229" s="65" t="s">
        <v>1815</v>
      </c>
      <c r="B1229" s="65" t="s">
        <v>1813</v>
      </c>
      <c r="C1229" s="65">
        <v>1</v>
      </c>
      <c r="D1229" s="65" t="s">
        <v>566</v>
      </c>
      <c r="E1229" s="65" t="s">
        <v>174</v>
      </c>
      <c r="F1229" s="65" t="s">
        <v>987</v>
      </c>
      <c r="G1229" s="65" t="s">
        <v>630</v>
      </c>
      <c r="H1229" s="65">
        <v>5</v>
      </c>
      <c r="I1229" s="65" t="s">
        <v>83</v>
      </c>
      <c r="J1229" s="466"/>
      <c r="K1229" s="390" t="s">
        <v>1808</v>
      </c>
    </row>
    <row r="1230" spans="1:11" ht="11.25" customHeight="1">
      <c r="A1230" s="445" t="s">
        <v>1816</v>
      </c>
      <c r="B1230" s="446" t="s">
        <v>322</v>
      </c>
      <c r="C1230" s="446" t="s">
        <v>323</v>
      </c>
      <c r="D1230" s="446" t="s">
        <v>324</v>
      </c>
      <c r="E1230" s="446" t="s">
        <v>185</v>
      </c>
      <c r="F1230" s="446" t="s">
        <v>325</v>
      </c>
      <c r="G1230" s="446" t="s">
        <v>261</v>
      </c>
      <c r="H1230" s="446" t="s">
        <v>326</v>
      </c>
      <c r="I1230" s="446" t="s">
        <v>254</v>
      </c>
      <c r="J1230" s="459" t="s">
        <v>327</v>
      </c>
      <c r="K1230" s="447" t="s">
        <v>408</v>
      </c>
    </row>
    <row r="1231" spans="1:11" ht="11.25" customHeight="1">
      <c r="A1231" s="65" t="s">
        <v>1817</v>
      </c>
      <c r="B1231" s="65" t="s">
        <v>1816</v>
      </c>
      <c r="C1231" s="65">
        <v>1</v>
      </c>
      <c r="D1231" s="65" t="s">
        <v>566</v>
      </c>
      <c r="E1231" s="65" t="s">
        <v>1026</v>
      </c>
      <c r="F1231" s="65" t="s">
        <v>987</v>
      </c>
      <c r="G1231" s="65" t="s">
        <v>548</v>
      </c>
      <c r="H1231" s="65">
        <v>5</v>
      </c>
      <c r="I1231" s="65" t="s">
        <v>83</v>
      </c>
      <c r="J1231" s="466"/>
      <c r="K1231" s="390" t="s">
        <v>1818</v>
      </c>
    </row>
    <row r="1232" spans="1:11" ht="11.25" customHeight="1">
      <c r="A1232" s="65" t="s">
        <v>1819</v>
      </c>
      <c r="B1232" s="65" t="s">
        <v>1816</v>
      </c>
      <c r="C1232" s="65">
        <v>1</v>
      </c>
      <c r="D1232" s="65" t="s">
        <v>566</v>
      </c>
      <c r="E1232" s="65" t="s">
        <v>1026</v>
      </c>
      <c r="F1232" s="65" t="s">
        <v>987</v>
      </c>
      <c r="G1232" s="65" t="s">
        <v>572</v>
      </c>
      <c r="H1232" s="65">
        <v>5</v>
      </c>
      <c r="I1232" s="65" t="s">
        <v>83</v>
      </c>
      <c r="J1232" s="466"/>
      <c r="K1232" s="390" t="s">
        <v>1818</v>
      </c>
    </row>
    <row r="1233" spans="1:11" ht="11.25" customHeight="1">
      <c r="A1233" s="445" t="s">
        <v>1820</v>
      </c>
      <c r="B1233" s="446" t="s">
        <v>322</v>
      </c>
      <c r="C1233" s="446" t="s">
        <v>323</v>
      </c>
      <c r="D1233" s="446" t="s">
        <v>324</v>
      </c>
      <c r="E1233" s="446" t="s">
        <v>185</v>
      </c>
      <c r="F1233" s="446" t="s">
        <v>325</v>
      </c>
      <c r="G1233" s="446" t="s">
        <v>261</v>
      </c>
      <c r="H1233" s="446" t="s">
        <v>326</v>
      </c>
      <c r="I1233" s="446" t="s">
        <v>254</v>
      </c>
      <c r="J1233" s="459" t="s">
        <v>327</v>
      </c>
      <c r="K1233" s="447" t="s">
        <v>408</v>
      </c>
    </row>
    <row r="1234" spans="1:11" ht="11.25" customHeight="1">
      <c r="A1234" s="65" t="s">
        <v>1821</v>
      </c>
      <c r="B1234" s="65" t="s">
        <v>1820</v>
      </c>
      <c r="C1234" s="65">
        <v>1</v>
      </c>
      <c r="D1234" s="65" t="s">
        <v>566</v>
      </c>
      <c r="E1234" s="65" t="s">
        <v>978</v>
      </c>
      <c r="F1234" s="65" t="s">
        <v>987</v>
      </c>
      <c r="G1234" s="65" t="s">
        <v>548</v>
      </c>
      <c r="H1234" s="65">
        <v>5</v>
      </c>
      <c r="I1234" s="65" t="s">
        <v>83</v>
      </c>
      <c r="J1234" s="466"/>
      <c r="K1234" s="390" t="s">
        <v>1818</v>
      </c>
    </row>
    <row r="1235" spans="1:11" ht="11.25" customHeight="1">
      <c r="A1235" s="65" t="s">
        <v>1822</v>
      </c>
      <c r="B1235" s="65" t="s">
        <v>1820</v>
      </c>
      <c r="C1235" s="65">
        <v>1</v>
      </c>
      <c r="D1235" s="65" t="s">
        <v>566</v>
      </c>
      <c r="E1235" s="65" t="s">
        <v>978</v>
      </c>
      <c r="F1235" s="65" t="s">
        <v>987</v>
      </c>
      <c r="G1235" s="65" t="s">
        <v>548</v>
      </c>
      <c r="H1235" s="65">
        <v>5</v>
      </c>
      <c r="I1235" s="65" t="s">
        <v>83</v>
      </c>
      <c r="J1235" s="466"/>
      <c r="K1235" s="390" t="s">
        <v>1818</v>
      </c>
    </row>
    <row r="1236" spans="1:11" ht="11.25" customHeight="1">
      <c r="A1236" s="445" t="s">
        <v>1823</v>
      </c>
      <c r="B1236" s="446" t="s">
        <v>322</v>
      </c>
      <c r="C1236" s="446" t="s">
        <v>323</v>
      </c>
      <c r="D1236" s="446" t="s">
        <v>324</v>
      </c>
      <c r="E1236" s="446" t="s">
        <v>185</v>
      </c>
      <c r="F1236" s="446" t="s">
        <v>325</v>
      </c>
      <c r="G1236" s="446" t="s">
        <v>261</v>
      </c>
      <c r="H1236" s="446" t="s">
        <v>326</v>
      </c>
      <c r="I1236" s="446" t="s">
        <v>254</v>
      </c>
      <c r="J1236" s="459" t="s">
        <v>327</v>
      </c>
      <c r="K1236" s="447" t="s">
        <v>408</v>
      </c>
    </row>
    <row r="1237" spans="1:11" ht="11.25" customHeight="1">
      <c r="A1237" s="65" t="s">
        <v>1824</v>
      </c>
      <c r="B1237" s="65" t="s">
        <v>1823</v>
      </c>
      <c r="C1237" s="65">
        <v>1</v>
      </c>
      <c r="D1237" s="65" t="s">
        <v>566</v>
      </c>
      <c r="E1237" s="65" t="s">
        <v>174</v>
      </c>
      <c r="F1237" s="65" t="s">
        <v>987</v>
      </c>
      <c r="G1237" s="65" t="s">
        <v>548</v>
      </c>
      <c r="H1237" s="65">
        <v>6</v>
      </c>
      <c r="I1237" s="65" t="s">
        <v>83</v>
      </c>
      <c r="J1237" s="466"/>
      <c r="K1237" s="390" t="s">
        <v>1818</v>
      </c>
    </row>
    <row r="1238" spans="1:11" ht="11.25" customHeight="1">
      <c r="A1238" s="65" t="s">
        <v>1825</v>
      </c>
      <c r="B1238" s="65" t="s">
        <v>1823</v>
      </c>
      <c r="C1238" s="65">
        <v>1</v>
      </c>
      <c r="D1238" s="65" t="s">
        <v>566</v>
      </c>
      <c r="E1238" s="65" t="s">
        <v>174</v>
      </c>
      <c r="F1238" s="65" t="s">
        <v>987</v>
      </c>
      <c r="G1238" s="65" t="s">
        <v>572</v>
      </c>
      <c r="H1238" s="65">
        <v>6</v>
      </c>
      <c r="I1238" s="65" t="s">
        <v>83</v>
      </c>
      <c r="J1238" s="466"/>
      <c r="K1238" s="390" t="s">
        <v>1818</v>
      </c>
    </row>
    <row r="1239" spans="1:11" ht="11.25" customHeight="1">
      <c r="A1239" s="445" t="s">
        <v>1826</v>
      </c>
      <c r="B1239" s="446" t="s">
        <v>322</v>
      </c>
      <c r="C1239" s="446" t="s">
        <v>323</v>
      </c>
      <c r="D1239" s="446" t="s">
        <v>324</v>
      </c>
      <c r="E1239" s="446" t="s">
        <v>185</v>
      </c>
      <c r="F1239" s="446" t="s">
        <v>325</v>
      </c>
      <c r="G1239" s="446" t="s">
        <v>261</v>
      </c>
      <c r="H1239" s="446" t="s">
        <v>326</v>
      </c>
      <c r="I1239" s="446" t="s">
        <v>254</v>
      </c>
      <c r="J1239" s="459" t="s">
        <v>327</v>
      </c>
      <c r="K1239" s="447" t="s">
        <v>408</v>
      </c>
    </row>
    <row r="1240" spans="1:11" ht="11.25" customHeight="1">
      <c r="A1240" s="65" t="s">
        <v>1827</v>
      </c>
      <c r="B1240" s="65" t="s">
        <v>1826</v>
      </c>
      <c r="C1240" s="65">
        <v>1</v>
      </c>
      <c r="D1240" s="65" t="s">
        <v>566</v>
      </c>
      <c r="E1240" s="65" t="s">
        <v>613</v>
      </c>
      <c r="F1240" s="65" t="s">
        <v>987</v>
      </c>
      <c r="G1240" s="65" t="s">
        <v>548</v>
      </c>
      <c r="H1240" s="65">
        <v>6</v>
      </c>
      <c r="I1240" s="65" t="s">
        <v>83</v>
      </c>
      <c r="J1240" s="466"/>
      <c r="K1240" s="390" t="s">
        <v>1828</v>
      </c>
    </row>
    <row r="1241" spans="1:11" ht="11.25" customHeight="1">
      <c r="A1241" s="65" t="s">
        <v>1829</v>
      </c>
      <c r="B1241" s="65" t="s">
        <v>1826</v>
      </c>
      <c r="C1241" s="65">
        <v>1</v>
      </c>
      <c r="D1241" s="65" t="s">
        <v>566</v>
      </c>
      <c r="E1241" s="65" t="s">
        <v>613</v>
      </c>
      <c r="F1241" s="65" t="s">
        <v>987</v>
      </c>
      <c r="G1241" s="65" t="s">
        <v>548</v>
      </c>
      <c r="H1241" s="65">
        <v>6</v>
      </c>
      <c r="I1241" s="65" t="s">
        <v>83</v>
      </c>
      <c r="J1241" s="466"/>
      <c r="K1241" s="390" t="s">
        <v>1828</v>
      </c>
    </row>
    <row r="1242" spans="1:11" ht="11.25" customHeight="1">
      <c r="A1242" s="65" t="s">
        <v>1830</v>
      </c>
      <c r="B1242" s="65" t="s">
        <v>1826</v>
      </c>
      <c r="C1242" s="65">
        <v>1</v>
      </c>
      <c r="D1242" s="65" t="s">
        <v>566</v>
      </c>
      <c r="E1242" s="65" t="s">
        <v>613</v>
      </c>
      <c r="F1242" s="65" t="s">
        <v>987</v>
      </c>
      <c r="G1242" s="65" t="s">
        <v>548</v>
      </c>
      <c r="H1242" s="65">
        <v>6</v>
      </c>
      <c r="I1242" s="65" t="s">
        <v>83</v>
      </c>
      <c r="J1242" s="466"/>
      <c r="K1242" s="390" t="s">
        <v>1828</v>
      </c>
    </row>
    <row r="1243" spans="1:11" ht="11.25" customHeight="1">
      <c r="A1243" s="65" t="s">
        <v>1831</v>
      </c>
      <c r="B1243" s="65" t="s">
        <v>1826</v>
      </c>
      <c r="C1243" s="65">
        <v>1</v>
      </c>
      <c r="D1243" s="65" t="s">
        <v>566</v>
      </c>
      <c r="E1243" s="65" t="s">
        <v>613</v>
      </c>
      <c r="F1243" s="65" t="s">
        <v>987</v>
      </c>
      <c r="G1243" s="65" t="s">
        <v>548</v>
      </c>
      <c r="H1243" s="65">
        <v>6</v>
      </c>
      <c r="I1243" s="65" t="s">
        <v>83</v>
      </c>
      <c r="J1243" s="466"/>
      <c r="K1243" s="390" t="s">
        <v>1828</v>
      </c>
    </row>
    <row r="1244" spans="1:11" ht="11.25" customHeight="1">
      <c r="A1244" s="65" t="s">
        <v>1832</v>
      </c>
      <c r="B1244" s="65" t="s">
        <v>1826</v>
      </c>
      <c r="C1244" s="65">
        <v>1</v>
      </c>
      <c r="D1244" s="65" t="s">
        <v>566</v>
      </c>
      <c r="E1244" s="65" t="s">
        <v>613</v>
      </c>
      <c r="F1244" s="65" t="s">
        <v>987</v>
      </c>
      <c r="G1244" s="65" t="s">
        <v>548</v>
      </c>
      <c r="H1244" s="65">
        <v>7</v>
      </c>
      <c r="I1244" s="65" t="s">
        <v>83</v>
      </c>
      <c r="J1244" s="466"/>
      <c r="K1244" s="390" t="s">
        <v>1828</v>
      </c>
    </row>
    <row r="1245" spans="1:11" ht="11.25" customHeight="1">
      <c r="A1245" s="65" t="s">
        <v>1833</v>
      </c>
      <c r="B1245" s="65" t="s">
        <v>1826</v>
      </c>
      <c r="C1245" s="65">
        <v>1</v>
      </c>
      <c r="D1245" s="65" t="s">
        <v>566</v>
      </c>
      <c r="E1245" s="65" t="s">
        <v>613</v>
      </c>
      <c r="F1245" s="65" t="s">
        <v>987</v>
      </c>
      <c r="G1245" s="65" t="s">
        <v>548</v>
      </c>
      <c r="H1245" s="65">
        <v>7</v>
      </c>
      <c r="I1245" s="65" t="s">
        <v>83</v>
      </c>
      <c r="J1245" s="466"/>
      <c r="K1245" s="390" t="s">
        <v>1828</v>
      </c>
    </row>
    <row r="1246" spans="1:11" ht="11.25" customHeight="1">
      <c r="A1246" s="65" t="s">
        <v>1834</v>
      </c>
      <c r="B1246" s="65" t="s">
        <v>1826</v>
      </c>
      <c r="C1246" s="65">
        <v>1</v>
      </c>
      <c r="D1246" s="65" t="s">
        <v>566</v>
      </c>
      <c r="E1246" s="65" t="s">
        <v>613</v>
      </c>
      <c r="F1246" s="65" t="s">
        <v>987</v>
      </c>
      <c r="G1246" s="65" t="s">
        <v>548</v>
      </c>
      <c r="H1246" s="65">
        <v>7</v>
      </c>
      <c r="I1246" s="65" t="s">
        <v>83</v>
      </c>
      <c r="J1246" s="466"/>
      <c r="K1246" s="390" t="s">
        <v>1828</v>
      </c>
    </row>
    <row r="1247" spans="1:11" ht="11.25" customHeight="1">
      <c r="A1247" s="65" t="s">
        <v>1835</v>
      </c>
      <c r="B1247" s="65" t="s">
        <v>1826</v>
      </c>
      <c r="C1247" s="65">
        <v>1</v>
      </c>
      <c r="D1247" s="65" t="s">
        <v>566</v>
      </c>
      <c r="E1247" s="65" t="s">
        <v>613</v>
      </c>
      <c r="F1247" s="65" t="s">
        <v>987</v>
      </c>
      <c r="G1247" s="65" t="s">
        <v>548</v>
      </c>
      <c r="H1247" s="65">
        <v>7</v>
      </c>
      <c r="I1247" s="65" t="s">
        <v>83</v>
      </c>
      <c r="J1247" s="466"/>
      <c r="K1247" s="390" t="s">
        <v>1828</v>
      </c>
    </row>
    <row r="1248" spans="1:11" ht="11.25" customHeight="1">
      <c r="A1248" s="445" t="s">
        <v>1836</v>
      </c>
      <c r="B1248" s="446" t="s">
        <v>322</v>
      </c>
      <c r="C1248" s="446" t="s">
        <v>323</v>
      </c>
      <c r="D1248" s="446" t="s">
        <v>324</v>
      </c>
      <c r="E1248" s="446" t="s">
        <v>185</v>
      </c>
      <c r="F1248" s="446" t="s">
        <v>325</v>
      </c>
      <c r="G1248" s="446" t="s">
        <v>261</v>
      </c>
      <c r="H1248" s="446" t="s">
        <v>326</v>
      </c>
      <c r="I1248" s="446" t="s">
        <v>254</v>
      </c>
      <c r="J1248" s="459" t="s">
        <v>327</v>
      </c>
      <c r="K1248" s="447" t="s">
        <v>408</v>
      </c>
    </row>
    <row r="1249" spans="1:10" ht="11.25" customHeight="1">
      <c r="A1249" s="65" t="s">
        <v>1837</v>
      </c>
      <c r="B1249" s="65" t="s">
        <v>1836</v>
      </c>
      <c r="J1249" s="466"/>
    </row>
    <row r="1250" spans="1:10" ht="11.25" customHeight="1">
      <c r="A1250" s="65" t="s">
        <v>1838</v>
      </c>
      <c r="B1250" s="65" t="s">
        <v>1836</v>
      </c>
      <c r="J1250" s="466"/>
    </row>
    <row r="1251" spans="1:10" ht="11.25" customHeight="1">
      <c r="A1251" s="65" t="s">
        <v>1839</v>
      </c>
      <c r="B1251" s="65" t="s">
        <v>1836</v>
      </c>
      <c r="J1251" s="466"/>
    </row>
    <row r="1252" spans="1:10" ht="11.25" customHeight="1">
      <c r="A1252" s="65" t="s">
        <v>1840</v>
      </c>
      <c r="B1252" s="65" t="s">
        <v>1836</v>
      </c>
      <c r="J1252" s="466"/>
    </row>
    <row r="1253" spans="1:10" ht="11.25" customHeight="1">
      <c r="A1253" s="65" t="s">
        <v>1841</v>
      </c>
      <c r="B1253" s="65" t="s">
        <v>1836</v>
      </c>
      <c r="J1253" s="466"/>
    </row>
    <row r="1254" spans="1:10" ht="11.25" customHeight="1">
      <c r="A1254" s="65" t="s">
        <v>1842</v>
      </c>
      <c r="B1254" s="65" t="s">
        <v>1836</v>
      </c>
      <c r="J1254" s="466"/>
    </row>
    <row r="1255" spans="1:10" ht="11.25" customHeight="1">
      <c r="A1255" s="65" t="s">
        <v>1843</v>
      </c>
      <c r="B1255" s="65" t="s">
        <v>1836</v>
      </c>
      <c r="J1255" s="466"/>
    </row>
    <row r="1256" spans="1:10" ht="11.25" customHeight="1">
      <c r="A1256" s="65" t="s">
        <v>1844</v>
      </c>
      <c r="B1256" s="65" t="s">
        <v>1836</v>
      </c>
      <c r="J1256" s="466"/>
    </row>
    <row r="1257" spans="1:10" ht="11.25" customHeight="1">
      <c r="A1257" s="65" t="s">
        <v>1845</v>
      </c>
      <c r="B1257" s="65" t="s">
        <v>1836</v>
      </c>
      <c r="J1257" s="466"/>
    </row>
    <row r="1258" spans="1:10" ht="11.25" customHeight="1">
      <c r="A1258" s="65" t="s">
        <v>1846</v>
      </c>
      <c r="B1258" s="65" t="s">
        <v>1836</v>
      </c>
      <c r="J1258" s="466"/>
    </row>
    <row r="1259" spans="1:10" ht="11.25" customHeight="1">
      <c r="A1259" s="65" t="s">
        <v>1847</v>
      </c>
      <c r="B1259" s="65" t="s">
        <v>1836</v>
      </c>
      <c r="J1259" s="466"/>
    </row>
    <row r="1260" spans="1:10" ht="11.25" customHeight="1">
      <c r="A1260" s="65" t="s">
        <v>1848</v>
      </c>
      <c r="B1260" s="65" t="s">
        <v>1836</v>
      </c>
      <c r="J1260" s="466"/>
    </row>
    <row r="1261" spans="1:10" ht="11.25" customHeight="1">
      <c r="A1261" s="65" t="s">
        <v>1849</v>
      </c>
      <c r="B1261" s="65" t="s">
        <v>1836</v>
      </c>
      <c r="J1261" s="466"/>
    </row>
    <row r="1262" spans="1:10" ht="11.25" customHeight="1">
      <c r="A1262" s="65" t="s">
        <v>1850</v>
      </c>
      <c r="B1262" s="65" t="s">
        <v>1836</v>
      </c>
      <c r="J1262" s="466"/>
    </row>
    <row r="1263" spans="1:10" ht="11.25" customHeight="1">
      <c r="A1263" s="65" t="s">
        <v>1851</v>
      </c>
      <c r="B1263" s="65" t="s">
        <v>1836</v>
      </c>
      <c r="J1263" s="466"/>
    </row>
    <row r="1264" spans="1:10" ht="11.25" customHeight="1">
      <c r="A1264" s="65" t="s">
        <v>1852</v>
      </c>
      <c r="B1264" s="65" t="s">
        <v>1836</v>
      </c>
      <c r="J1264" s="466"/>
    </row>
    <row r="1265" spans="1:10" ht="11.25" customHeight="1">
      <c r="A1265" s="65" t="s">
        <v>1853</v>
      </c>
      <c r="B1265" s="65" t="s">
        <v>1836</v>
      </c>
      <c r="J1265" s="466"/>
    </row>
    <row r="1266" spans="1:10" ht="11.25" customHeight="1">
      <c r="A1266" s="65" t="s">
        <v>1854</v>
      </c>
      <c r="B1266" s="65" t="s">
        <v>1836</v>
      </c>
      <c r="J1266" s="466"/>
    </row>
    <row r="1267" spans="1:10" ht="11.25" customHeight="1">
      <c r="A1267" s="65" t="s">
        <v>1855</v>
      </c>
      <c r="B1267" s="65" t="s">
        <v>1836</v>
      </c>
      <c r="J1267" s="466"/>
    </row>
    <row r="1268" spans="1:10" ht="11.25" customHeight="1">
      <c r="A1268" s="65" t="s">
        <v>1856</v>
      </c>
      <c r="B1268" s="65" t="s">
        <v>1836</v>
      </c>
      <c r="J1268" s="466"/>
    </row>
    <row r="1269" spans="1:10" ht="11.25" customHeight="1">
      <c r="A1269" s="65" t="s">
        <v>1857</v>
      </c>
      <c r="B1269" s="65" t="s">
        <v>1836</v>
      </c>
      <c r="J1269" s="466"/>
    </row>
    <row r="1270" spans="1:10" ht="11.25" customHeight="1">
      <c r="A1270" s="65" t="s">
        <v>1858</v>
      </c>
      <c r="B1270" s="65" t="s">
        <v>1836</v>
      </c>
      <c r="J1270" s="466"/>
    </row>
    <row r="1271" spans="1:10" ht="11.25" customHeight="1">
      <c r="A1271" s="65" t="s">
        <v>1859</v>
      </c>
      <c r="B1271" s="65" t="s">
        <v>1836</v>
      </c>
      <c r="J1271" s="466"/>
    </row>
    <row r="1272" spans="1:10" ht="11.25" customHeight="1">
      <c r="A1272" s="65" t="s">
        <v>1860</v>
      </c>
      <c r="B1272" s="65" t="s">
        <v>1836</v>
      </c>
      <c r="J1272" s="466"/>
    </row>
    <row r="1273" spans="1:10" ht="11.25" customHeight="1">
      <c r="A1273" s="65" t="s">
        <v>1861</v>
      </c>
      <c r="B1273" s="65" t="s">
        <v>1836</v>
      </c>
      <c r="J1273" s="466"/>
    </row>
    <row r="1274" spans="1:10" ht="11.25" customHeight="1">
      <c r="A1274" s="65" t="s">
        <v>1862</v>
      </c>
      <c r="B1274" s="65" t="s">
        <v>1836</v>
      </c>
      <c r="J1274" s="466"/>
    </row>
    <row r="1275" spans="1:10" ht="11.25" customHeight="1">
      <c r="A1275" s="65" t="s">
        <v>1863</v>
      </c>
      <c r="B1275" s="65" t="s">
        <v>1836</v>
      </c>
      <c r="J1275" s="466"/>
    </row>
    <row r="1276" spans="1:10" ht="11.25" customHeight="1">
      <c r="A1276" s="65" t="s">
        <v>1864</v>
      </c>
      <c r="B1276" s="65" t="s">
        <v>1836</v>
      </c>
      <c r="J1276" s="466"/>
    </row>
    <row r="1277" spans="1:10" ht="11.25" customHeight="1">
      <c r="A1277" s="65" t="s">
        <v>1865</v>
      </c>
      <c r="B1277" s="65" t="s">
        <v>1836</v>
      </c>
      <c r="J1277" s="466"/>
    </row>
    <row r="1278" spans="1:10" ht="11.25" customHeight="1">
      <c r="A1278" s="65" t="s">
        <v>1866</v>
      </c>
      <c r="B1278" s="65" t="s">
        <v>1836</v>
      </c>
      <c r="J1278" s="466"/>
    </row>
    <row r="1279" spans="1:10" ht="11.25" customHeight="1">
      <c r="A1279" s="65" t="s">
        <v>1867</v>
      </c>
      <c r="B1279" s="65" t="s">
        <v>1836</v>
      </c>
      <c r="J1279" s="466"/>
    </row>
    <row r="1280" spans="1:10" ht="11.25" customHeight="1">
      <c r="A1280" s="65" t="s">
        <v>1868</v>
      </c>
      <c r="B1280" s="65" t="s">
        <v>1836</v>
      </c>
      <c r="J1280" s="466"/>
    </row>
    <row r="1281" spans="1:10" ht="11.25" customHeight="1">
      <c r="A1281" s="65" t="s">
        <v>1869</v>
      </c>
      <c r="B1281" s="65" t="s">
        <v>1836</v>
      </c>
      <c r="J1281" s="466"/>
    </row>
    <row r="1282" spans="1:10" ht="11.25" customHeight="1">
      <c r="A1282" s="65" t="s">
        <v>1870</v>
      </c>
      <c r="B1282" s="65" t="s">
        <v>1836</v>
      </c>
      <c r="J1282" s="466"/>
    </row>
    <row r="1283" spans="1:11" ht="11.25" customHeight="1">
      <c r="A1283" s="65" t="s">
        <v>1871</v>
      </c>
      <c r="B1283" s="65" t="s">
        <v>1836</v>
      </c>
      <c r="J1283" s="466"/>
      <c r="K1283" s="390" t="s">
        <v>1872</v>
      </c>
    </row>
    <row r="1284" spans="1:11" ht="11.25" customHeight="1">
      <c r="A1284" s="65" t="s">
        <v>1873</v>
      </c>
      <c r="B1284" s="65" t="s">
        <v>1836</v>
      </c>
      <c r="J1284" s="466"/>
      <c r="K1284" s="390" t="s">
        <v>1872</v>
      </c>
    </row>
    <row r="1285" spans="1:11" ht="11.25" customHeight="1">
      <c r="A1285" s="65" t="s">
        <v>1874</v>
      </c>
      <c r="B1285" s="65" t="s">
        <v>1836</v>
      </c>
      <c r="J1285" s="466"/>
      <c r="K1285" s="390" t="s">
        <v>1872</v>
      </c>
    </row>
    <row r="1286" spans="1:11" ht="11.25" customHeight="1">
      <c r="A1286" s="65" t="s">
        <v>1875</v>
      </c>
      <c r="B1286" s="65" t="s">
        <v>1836</v>
      </c>
      <c r="J1286" s="466"/>
      <c r="K1286" s="390" t="s">
        <v>1872</v>
      </c>
    </row>
    <row r="1287" spans="1:11" ht="11.25" customHeight="1">
      <c r="A1287" s="65" t="s">
        <v>1876</v>
      </c>
      <c r="B1287" s="65" t="s">
        <v>1836</v>
      </c>
      <c r="J1287" s="466"/>
      <c r="K1287" s="390" t="s">
        <v>1872</v>
      </c>
    </row>
    <row r="1288" spans="1:11" ht="11.25" customHeight="1">
      <c r="A1288" s="65" t="s">
        <v>1877</v>
      </c>
      <c r="B1288" s="65" t="s">
        <v>1836</v>
      </c>
      <c r="J1288" s="466"/>
      <c r="K1288" s="390" t="s">
        <v>1872</v>
      </c>
    </row>
    <row r="1289" spans="1:11" ht="11.25" customHeight="1">
      <c r="A1289" s="65" t="s">
        <v>1878</v>
      </c>
      <c r="B1289" s="65" t="s">
        <v>1836</v>
      </c>
      <c r="J1289" s="466"/>
      <c r="K1289" s="390" t="s">
        <v>1872</v>
      </c>
    </row>
    <row r="1290" spans="1:11" ht="11.25" customHeight="1">
      <c r="A1290" s="65" t="s">
        <v>1879</v>
      </c>
      <c r="B1290" s="65" t="s">
        <v>1836</v>
      </c>
      <c r="J1290" s="466"/>
      <c r="K1290" s="390" t="s">
        <v>1872</v>
      </c>
    </row>
    <row r="1291" spans="1:11" ht="11.25" customHeight="1">
      <c r="A1291" s="65" t="s">
        <v>1880</v>
      </c>
      <c r="B1291" s="65" t="s">
        <v>1836</v>
      </c>
      <c r="J1291" s="466"/>
      <c r="K1291" s="390" t="s">
        <v>1872</v>
      </c>
    </row>
    <row r="1292" spans="1:11" ht="11.25" customHeight="1">
      <c r="A1292" s="65" t="s">
        <v>1881</v>
      </c>
      <c r="B1292" s="65" t="s">
        <v>1836</v>
      </c>
      <c r="J1292" s="466"/>
      <c r="K1292" s="390" t="s">
        <v>1872</v>
      </c>
    </row>
    <row r="1293" spans="1:11" ht="11.25" customHeight="1">
      <c r="A1293" s="65" t="s">
        <v>1882</v>
      </c>
      <c r="B1293" s="65" t="s">
        <v>1836</v>
      </c>
      <c r="J1293" s="466"/>
      <c r="K1293" s="390" t="s">
        <v>1872</v>
      </c>
    </row>
    <row r="1294" spans="1:11" ht="11.25" customHeight="1">
      <c r="A1294" s="65" t="s">
        <v>1883</v>
      </c>
      <c r="B1294" s="65" t="s">
        <v>1836</v>
      </c>
      <c r="J1294" s="466"/>
      <c r="K1294" s="390" t="s">
        <v>1872</v>
      </c>
    </row>
    <row r="1295" spans="1:11" ht="11.25" customHeight="1">
      <c r="A1295" s="65" t="s">
        <v>1884</v>
      </c>
      <c r="B1295" s="65" t="s">
        <v>1836</v>
      </c>
      <c r="J1295" s="466"/>
      <c r="K1295" s="390" t="s">
        <v>1872</v>
      </c>
    </row>
    <row r="1296" spans="1:11" ht="11.25" customHeight="1">
      <c r="A1296" s="65" t="s">
        <v>1885</v>
      </c>
      <c r="B1296" s="65" t="s">
        <v>1836</v>
      </c>
      <c r="J1296" s="466"/>
      <c r="K1296" s="390" t="s">
        <v>1872</v>
      </c>
    </row>
    <row r="1297" spans="1:11" ht="11.25" customHeight="1">
      <c r="A1297" s="65" t="s">
        <v>1886</v>
      </c>
      <c r="B1297" s="65" t="s">
        <v>1836</v>
      </c>
      <c r="J1297" s="466"/>
      <c r="K1297" s="390" t="s">
        <v>1872</v>
      </c>
    </row>
    <row r="1298" spans="1:11" ht="11.25" customHeight="1">
      <c r="A1298" s="65" t="s">
        <v>1887</v>
      </c>
      <c r="B1298" s="65" t="s">
        <v>1836</v>
      </c>
      <c r="J1298" s="466"/>
      <c r="K1298" s="390" t="s">
        <v>1872</v>
      </c>
    </row>
    <row r="1299" spans="1:11" ht="11.25" customHeight="1">
      <c r="A1299" s="445" t="s">
        <v>316</v>
      </c>
      <c r="B1299" s="446" t="s">
        <v>324</v>
      </c>
      <c r="C1299" s="446" t="s">
        <v>323</v>
      </c>
      <c r="D1299" s="447" t="s">
        <v>399</v>
      </c>
      <c r="E1299" s="480" t="s">
        <v>327</v>
      </c>
      <c r="F1299" s="480"/>
      <c r="G1299" s="480"/>
      <c r="H1299" s="480"/>
      <c r="I1299" s="480"/>
      <c r="J1299" s="459" t="s">
        <v>262</v>
      </c>
      <c r="K1299" s="447" t="s">
        <v>408</v>
      </c>
    </row>
    <row r="1300" spans="1:256" ht="11.25" customHeight="1">
      <c r="A1300" s="454" t="s">
        <v>1888</v>
      </c>
      <c r="B1300" s="454" t="s">
        <v>488</v>
      </c>
      <c r="C1300" s="454">
        <v>1</v>
      </c>
      <c r="D1300" s="454" t="s">
        <v>348</v>
      </c>
      <c r="E1300" s="481" t="s">
        <v>1889</v>
      </c>
      <c r="F1300" s="481"/>
      <c r="G1300" s="481"/>
      <c r="H1300" s="481"/>
      <c r="I1300" s="481"/>
      <c r="J1300" s="455" t="s">
        <v>1890</v>
      </c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  <c r="DL1300"/>
      <c r="DM1300"/>
      <c r="DN1300"/>
      <c r="DO1300"/>
      <c r="DP1300"/>
      <c r="DQ1300"/>
      <c r="DR1300"/>
      <c r="DS1300"/>
      <c r="DT1300"/>
      <c r="DU1300"/>
      <c r="DV1300"/>
      <c r="DW1300"/>
      <c r="DX1300"/>
      <c r="DY1300"/>
      <c r="DZ1300"/>
      <c r="EA1300"/>
      <c r="EB1300"/>
      <c r="EC1300"/>
      <c r="ED1300"/>
      <c r="EE1300"/>
      <c r="EF1300"/>
      <c r="EG1300"/>
      <c r="EH1300"/>
      <c r="EI1300"/>
      <c r="EJ1300"/>
      <c r="EK1300"/>
      <c r="EL1300"/>
      <c r="EM1300"/>
      <c r="EN1300"/>
      <c r="EO1300"/>
      <c r="EP1300"/>
      <c r="EQ1300"/>
      <c r="ER1300"/>
      <c r="ES1300"/>
      <c r="ET1300"/>
      <c r="EU1300"/>
      <c r="EV1300"/>
      <c r="EW1300"/>
      <c r="EX1300"/>
      <c r="EY1300"/>
      <c r="EZ1300"/>
      <c r="FA1300"/>
      <c r="FB1300"/>
      <c r="FC1300"/>
      <c r="FD1300"/>
      <c r="FE1300"/>
      <c r="FF1300"/>
      <c r="FG1300"/>
      <c r="FH1300"/>
      <c r="FI1300"/>
      <c r="FJ1300"/>
      <c r="FK1300"/>
      <c r="FL1300"/>
      <c r="FM1300"/>
      <c r="FN1300"/>
      <c r="FO1300"/>
      <c r="FP1300"/>
      <c r="FQ1300"/>
      <c r="FR1300"/>
      <c r="FS1300"/>
      <c r="FT1300"/>
      <c r="FU1300"/>
      <c r="FV1300"/>
      <c r="FW1300"/>
      <c r="FX1300"/>
      <c r="FY1300"/>
      <c r="FZ1300"/>
      <c r="GA1300"/>
      <c r="GB1300"/>
      <c r="GC1300"/>
      <c r="GD1300"/>
      <c r="GE1300"/>
      <c r="GF1300"/>
      <c r="GG1300"/>
      <c r="GH1300"/>
      <c r="GI1300"/>
      <c r="GJ1300"/>
      <c r="GK1300"/>
      <c r="GL1300"/>
      <c r="GM1300"/>
      <c r="GN1300"/>
      <c r="GO1300"/>
      <c r="GP1300"/>
      <c r="GQ1300"/>
      <c r="GR1300"/>
      <c r="GS1300"/>
      <c r="GT1300"/>
      <c r="GU1300"/>
      <c r="GV1300"/>
      <c r="GW1300"/>
      <c r="GX1300"/>
      <c r="GY1300"/>
      <c r="GZ1300"/>
      <c r="HA1300"/>
      <c r="HB1300"/>
      <c r="HC1300"/>
      <c r="HD1300"/>
      <c r="HE1300"/>
      <c r="HF1300"/>
      <c r="HG1300"/>
      <c r="HH1300"/>
      <c r="HI1300"/>
      <c r="HJ1300"/>
      <c r="HK1300"/>
      <c r="HL1300"/>
      <c r="HM1300"/>
      <c r="HN1300"/>
      <c r="HO1300"/>
      <c r="HP1300"/>
      <c r="HQ1300"/>
      <c r="HR1300"/>
      <c r="HS1300"/>
      <c r="HT1300"/>
      <c r="HU1300"/>
      <c r="HV1300"/>
      <c r="HW1300"/>
      <c r="HX1300"/>
      <c r="HY1300"/>
      <c r="HZ1300"/>
      <c r="IA1300"/>
      <c r="IB1300"/>
      <c r="IC1300"/>
      <c r="ID1300"/>
      <c r="IE1300"/>
      <c r="IF1300"/>
      <c r="IG1300"/>
      <c r="IH1300"/>
      <c r="II1300"/>
      <c r="IJ1300"/>
      <c r="IK1300"/>
      <c r="IL1300"/>
      <c r="IM1300"/>
      <c r="IN1300"/>
      <c r="IO1300"/>
      <c r="IP1300"/>
      <c r="IQ1300"/>
      <c r="IR1300"/>
      <c r="IS1300"/>
      <c r="IT1300"/>
      <c r="IU1300"/>
      <c r="IV1300"/>
    </row>
    <row r="1301" spans="1:256" ht="11.25" customHeight="1">
      <c r="A1301" s="454" t="s">
        <v>1891</v>
      </c>
      <c r="B1301" s="454" t="s">
        <v>488</v>
      </c>
      <c r="C1301" s="454">
        <v>1</v>
      </c>
      <c r="D1301" s="454" t="s">
        <v>348</v>
      </c>
      <c r="E1301" s="481" t="s">
        <v>1892</v>
      </c>
      <c r="F1301" s="481"/>
      <c r="G1301" s="481"/>
      <c r="H1301" s="481"/>
      <c r="I1301" s="481"/>
      <c r="J1301" s="455" t="s">
        <v>1890</v>
      </c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  <c r="DL1301"/>
      <c r="DM1301"/>
      <c r="DN1301"/>
      <c r="DO1301"/>
      <c r="DP1301"/>
      <c r="DQ1301"/>
      <c r="DR1301"/>
      <c r="DS1301"/>
      <c r="DT1301"/>
      <c r="DU1301"/>
      <c r="DV1301"/>
      <c r="DW1301"/>
      <c r="DX1301"/>
      <c r="DY1301"/>
      <c r="DZ1301"/>
      <c r="EA1301"/>
      <c r="EB1301"/>
      <c r="EC1301"/>
      <c r="ED1301"/>
      <c r="EE1301"/>
      <c r="EF1301"/>
      <c r="EG1301"/>
      <c r="EH1301"/>
      <c r="EI1301"/>
      <c r="EJ1301"/>
      <c r="EK1301"/>
      <c r="EL1301"/>
      <c r="EM1301"/>
      <c r="EN1301"/>
      <c r="EO1301"/>
      <c r="EP1301"/>
      <c r="EQ1301"/>
      <c r="ER1301"/>
      <c r="ES1301"/>
      <c r="ET1301"/>
      <c r="EU1301"/>
      <c r="EV1301"/>
      <c r="EW1301"/>
      <c r="EX1301"/>
      <c r="EY1301"/>
      <c r="EZ1301"/>
      <c r="FA1301"/>
      <c r="FB1301"/>
      <c r="FC1301"/>
      <c r="FD1301"/>
      <c r="FE1301"/>
      <c r="FF1301"/>
      <c r="FG1301"/>
      <c r="FH1301"/>
      <c r="FI1301"/>
      <c r="FJ1301"/>
      <c r="FK1301"/>
      <c r="FL1301"/>
      <c r="FM1301"/>
      <c r="FN1301"/>
      <c r="FO1301"/>
      <c r="FP1301"/>
      <c r="FQ1301"/>
      <c r="FR1301"/>
      <c r="FS1301"/>
      <c r="FT1301"/>
      <c r="FU1301"/>
      <c r="FV1301"/>
      <c r="FW1301"/>
      <c r="FX1301"/>
      <c r="FY1301"/>
      <c r="FZ1301"/>
      <c r="GA1301"/>
      <c r="GB1301"/>
      <c r="GC1301"/>
      <c r="GD1301"/>
      <c r="GE1301"/>
      <c r="GF1301"/>
      <c r="GG1301"/>
      <c r="GH1301"/>
      <c r="GI1301"/>
      <c r="GJ1301"/>
      <c r="GK1301"/>
      <c r="GL1301"/>
      <c r="GM1301"/>
      <c r="GN1301"/>
      <c r="GO1301"/>
      <c r="GP1301"/>
      <c r="GQ1301"/>
      <c r="GR1301"/>
      <c r="GS1301"/>
      <c r="GT1301"/>
      <c r="GU1301"/>
      <c r="GV1301"/>
      <c r="GW1301"/>
      <c r="GX1301"/>
      <c r="GY1301"/>
      <c r="GZ1301"/>
      <c r="HA1301"/>
      <c r="HB1301"/>
      <c r="HC1301"/>
      <c r="HD1301"/>
      <c r="HE1301"/>
      <c r="HF1301"/>
      <c r="HG1301"/>
      <c r="HH1301"/>
      <c r="HI1301"/>
      <c r="HJ1301"/>
      <c r="HK1301"/>
      <c r="HL1301"/>
      <c r="HM1301"/>
      <c r="HN1301"/>
      <c r="HO1301"/>
      <c r="HP1301"/>
      <c r="HQ1301"/>
      <c r="HR1301"/>
      <c r="HS1301"/>
      <c r="HT1301"/>
      <c r="HU1301"/>
      <c r="HV1301"/>
      <c r="HW1301"/>
      <c r="HX1301"/>
      <c r="HY1301"/>
      <c r="HZ1301"/>
      <c r="IA1301"/>
      <c r="IB1301"/>
      <c r="IC1301"/>
      <c r="ID1301"/>
      <c r="IE1301"/>
      <c r="IF1301"/>
      <c r="IG1301"/>
      <c r="IH1301"/>
      <c r="II1301"/>
      <c r="IJ1301"/>
      <c r="IK1301"/>
      <c r="IL1301"/>
      <c r="IM1301"/>
      <c r="IN1301"/>
      <c r="IO1301"/>
      <c r="IP1301"/>
      <c r="IQ1301"/>
      <c r="IR1301"/>
      <c r="IS1301"/>
      <c r="IT1301"/>
      <c r="IU1301"/>
      <c r="IV1301"/>
    </row>
    <row r="1302" spans="1:256" ht="11.25" customHeight="1">
      <c r="A1302" s="454" t="s">
        <v>1893</v>
      </c>
      <c r="B1302" s="454" t="s">
        <v>488</v>
      </c>
      <c r="C1302" s="454">
        <v>1</v>
      </c>
      <c r="D1302" s="454">
        <v>1</v>
      </c>
      <c r="E1302" s="481" t="s">
        <v>1894</v>
      </c>
      <c r="F1302" s="481"/>
      <c r="G1302" s="481"/>
      <c r="H1302" s="481"/>
      <c r="I1302" s="481"/>
      <c r="J1302" s="455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  <c r="DL1302"/>
      <c r="DM1302"/>
      <c r="DN1302"/>
      <c r="DO1302"/>
      <c r="DP1302"/>
      <c r="DQ1302"/>
      <c r="DR1302"/>
      <c r="DS1302"/>
      <c r="DT1302"/>
      <c r="DU1302"/>
      <c r="DV1302"/>
      <c r="DW1302"/>
      <c r="DX1302"/>
      <c r="DY1302"/>
      <c r="DZ1302"/>
      <c r="EA1302"/>
      <c r="EB1302"/>
      <c r="EC1302"/>
      <c r="ED1302"/>
      <c r="EE1302"/>
      <c r="EF1302"/>
      <c r="EG1302"/>
      <c r="EH1302"/>
      <c r="EI1302"/>
      <c r="EJ1302"/>
      <c r="EK1302"/>
      <c r="EL1302"/>
      <c r="EM1302"/>
      <c r="EN1302"/>
      <c r="EO1302"/>
      <c r="EP1302"/>
      <c r="EQ1302"/>
      <c r="ER1302"/>
      <c r="ES1302"/>
      <c r="ET1302"/>
      <c r="EU1302"/>
      <c r="EV1302"/>
      <c r="EW1302"/>
      <c r="EX1302"/>
      <c r="EY1302"/>
      <c r="EZ1302"/>
      <c r="FA1302"/>
      <c r="FB1302"/>
      <c r="FC1302"/>
      <c r="FD1302"/>
      <c r="FE1302"/>
      <c r="FF1302"/>
      <c r="FG1302"/>
      <c r="FH1302"/>
      <c r="FI1302"/>
      <c r="FJ1302"/>
      <c r="FK1302"/>
      <c r="FL1302"/>
      <c r="FM1302"/>
      <c r="FN1302"/>
      <c r="FO1302"/>
      <c r="FP1302"/>
      <c r="FQ1302"/>
      <c r="FR1302"/>
      <c r="FS1302"/>
      <c r="FT1302"/>
      <c r="FU1302"/>
      <c r="FV1302"/>
      <c r="FW1302"/>
      <c r="FX1302"/>
      <c r="FY1302"/>
      <c r="FZ1302"/>
      <c r="GA1302"/>
      <c r="GB1302"/>
      <c r="GC1302"/>
      <c r="GD1302"/>
      <c r="GE1302"/>
      <c r="GF1302"/>
      <c r="GG1302"/>
      <c r="GH1302"/>
      <c r="GI1302"/>
      <c r="GJ1302"/>
      <c r="GK1302"/>
      <c r="GL1302"/>
      <c r="GM1302"/>
      <c r="GN1302"/>
      <c r="GO1302"/>
      <c r="GP1302"/>
      <c r="GQ1302"/>
      <c r="GR1302"/>
      <c r="GS1302"/>
      <c r="GT1302"/>
      <c r="GU1302"/>
      <c r="GV1302"/>
      <c r="GW1302"/>
      <c r="GX1302"/>
      <c r="GY1302"/>
      <c r="GZ1302"/>
      <c r="HA1302"/>
      <c r="HB1302"/>
      <c r="HC1302"/>
      <c r="HD1302"/>
      <c r="HE1302"/>
      <c r="HF1302"/>
      <c r="HG1302"/>
      <c r="HH1302"/>
      <c r="HI1302"/>
      <c r="HJ1302"/>
      <c r="HK1302"/>
      <c r="HL1302"/>
      <c r="HM1302"/>
      <c r="HN1302"/>
      <c r="HO1302"/>
      <c r="HP1302"/>
      <c r="HQ1302"/>
      <c r="HR1302"/>
      <c r="HS1302"/>
      <c r="HT1302"/>
      <c r="HU1302"/>
      <c r="HV1302"/>
      <c r="HW1302"/>
      <c r="HX1302"/>
      <c r="HY1302"/>
      <c r="HZ1302"/>
      <c r="IA1302"/>
      <c r="IB1302"/>
      <c r="IC1302"/>
      <c r="ID1302"/>
      <c r="IE1302"/>
      <c r="IF1302"/>
      <c r="IG1302"/>
      <c r="IH1302"/>
      <c r="II1302"/>
      <c r="IJ1302"/>
      <c r="IK1302"/>
      <c r="IL1302"/>
      <c r="IM1302"/>
      <c r="IN1302"/>
      <c r="IO1302"/>
      <c r="IP1302"/>
      <c r="IQ1302"/>
      <c r="IR1302"/>
      <c r="IS1302"/>
      <c r="IT1302"/>
      <c r="IU1302"/>
      <c r="IV1302"/>
    </row>
    <row r="1303" spans="1:256" ht="11.25" customHeight="1">
      <c r="A1303" s="448" t="s">
        <v>1895</v>
      </c>
      <c r="B1303" s="448" t="s">
        <v>410</v>
      </c>
      <c r="C1303" s="448">
        <v>1</v>
      </c>
      <c r="D1303" s="448">
        <v>1</v>
      </c>
      <c r="E1303" s="482" t="s">
        <v>1896</v>
      </c>
      <c r="F1303" s="482"/>
      <c r="G1303" s="482"/>
      <c r="H1303" s="482"/>
      <c r="I1303" s="482"/>
      <c r="J1303" s="449"/>
      <c r="K1303" s="451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  <c r="DL1303"/>
      <c r="DM1303"/>
      <c r="DN1303"/>
      <c r="DO1303"/>
      <c r="DP1303"/>
      <c r="DQ1303"/>
      <c r="DR1303"/>
      <c r="DS1303"/>
      <c r="DT1303"/>
      <c r="DU1303"/>
      <c r="DV1303"/>
      <c r="DW1303"/>
      <c r="DX1303"/>
      <c r="DY1303"/>
      <c r="DZ1303"/>
      <c r="EA1303"/>
      <c r="EB1303"/>
      <c r="EC1303"/>
      <c r="ED1303"/>
      <c r="EE1303"/>
      <c r="EF1303"/>
      <c r="EG1303"/>
      <c r="EH1303"/>
      <c r="EI1303"/>
      <c r="EJ1303"/>
      <c r="EK1303"/>
      <c r="EL1303"/>
      <c r="EM1303"/>
      <c r="EN1303"/>
      <c r="EO1303"/>
      <c r="EP1303"/>
      <c r="EQ1303"/>
      <c r="ER1303"/>
      <c r="ES1303"/>
      <c r="ET1303"/>
      <c r="EU1303"/>
      <c r="EV1303"/>
      <c r="EW1303"/>
      <c r="EX1303"/>
      <c r="EY1303"/>
      <c r="EZ1303"/>
      <c r="FA1303"/>
      <c r="FB1303"/>
      <c r="FC1303"/>
      <c r="FD1303"/>
      <c r="FE1303"/>
      <c r="FF1303"/>
      <c r="FG1303"/>
      <c r="FH1303"/>
      <c r="FI1303"/>
      <c r="FJ1303"/>
      <c r="FK1303"/>
      <c r="FL1303"/>
      <c r="FM1303"/>
      <c r="FN1303"/>
      <c r="FO1303"/>
      <c r="FP1303"/>
      <c r="FQ1303"/>
      <c r="FR1303"/>
      <c r="FS1303"/>
      <c r="FT1303"/>
      <c r="FU1303"/>
      <c r="FV1303"/>
      <c r="FW1303"/>
      <c r="FX1303"/>
      <c r="FY1303"/>
      <c r="FZ1303"/>
      <c r="GA1303"/>
      <c r="GB1303"/>
      <c r="GC1303"/>
      <c r="GD1303"/>
      <c r="GE1303"/>
      <c r="GF1303"/>
      <c r="GG1303"/>
      <c r="GH1303"/>
      <c r="GI1303"/>
      <c r="GJ1303"/>
      <c r="GK1303"/>
      <c r="GL1303"/>
      <c r="GM1303"/>
      <c r="GN1303"/>
      <c r="GO1303"/>
      <c r="GP1303"/>
      <c r="GQ1303"/>
      <c r="GR1303"/>
      <c r="GS1303"/>
      <c r="GT1303"/>
      <c r="GU1303"/>
      <c r="GV1303"/>
      <c r="GW1303"/>
      <c r="GX1303"/>
      <c r="GY1303"/>
      <c r="GZ1303"/>
      <c r="HA1303"/>
      <c r="HB1303"/>
      <c r="HC1303"/>
      <c r="HD1303"/>
      <c r="HE1303"/>
      <c r="HF1303"/>
      <c r="HG1303"/>
      <c r="HH1303"/>
      <c r="HI1303"/>
      <c r="HJ1303"/>
      <c r="HK1303"/>
      <c r="HL1303"/>
      <c r="HM1303"/>
      <c r="HN1303"/>
      <c r="HO1303"/>
      <c r="HP1303"/>
      <c r="HQ1303"/>
      <c r="HR1303"/>
      <c r="HS1303"/>
      <c r="HT1303"/>
      <c r="HU1303"/>
      <c r="HV1303"/>
      <c r="HW1303"/>
      <c r="HX1303"/>
      <c r="HY1303"/>
      <c r="HZ1303"/>
      <c r="IA1303"/>
      <c r="IB1303"/>
      <c r="IC1303"/>
      <c r="ID1303"/>
      <c r="IE1303"/>
      <c r="IF1303"/>
      <c r="IG1303"/>
      <c r="IH1303"/>
      <c r="II1303"/>
      <c r="IJ1303"/>
      <c r="IK1303"/>
      <c r="IL1303"/>
      <c r="IM1303"/>
      <c r="IN1303"/>
      <c r="IO1303"/>
      <c r="IP1303"/>
      <c r="IQ1303"/>
      <c r="IR1303"/>
      <c r="IS1303"/>
      <c r="IT1303"/>
      <c r="IU1303"/>
      <c r="IV1303"/>
    </row>
    <row r="1304" spans="1:256" ht="11.25" customHeight="1">
      <c r="A1304" s="448" t="s">
        <v>1897</v>
      </c>
      <c r="B1304" s="448" t="s">
        <v>566</v>
      </c>
      <c r="C1304" s="448">
        <v>1</v>
      </c>
      <c r="D1304" s="454" t="s">
        <v>348</v>
      </c>
      <c r="E1304" s="482" t="s">
        <v>1898</v>
      </c>
      <c r="F1304" s="482"/>
      <c r="G1304" s="482"/>
      <c r="H1304" s="482"/>
      <c r="I1304" s="482"/>
      <c r="J1304" s="449"/>
      <c r="K1304" s="451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  <c r="DL1304"/>
      <c r="DM1304"/>
      <c r="DN1304"/>
      <c r="DO1304"/>
      <c r="DP1304"/>
      <c r="DQ1304"/>
      <c r="DR1304"/>
      <c r="DS1304"/>
      <c r="DT1304"/>
      <c r="DU1304"/>
      <c r="DV1304"/>
      <c r="DW1304"/>
      <c r="DX1304"/>
      <c r="DY1304"/>
      <c r="DZ1304"/>
      <c r="EA1304"/>
      <c r="EB1304"/>
      <c r="EC1304"/>
      <c r="ED1304"/>
      <c r="EE1304"/>
      <c r="EF1304"/>
      <c r="EG1304"/>
      <c r="EH1304"/>
      <c r="EI1304"/>
      <c r="EJ1304"/>
      <c r="EK1304"/>
      <c r="EL1304"/>
      <c r="EM1304"/>
      <c r="EN1304"/>
      <c r="EO1304"/>
      <c r="EP1304"/>
      <c r="EQ1304"/>
      <c r="ER1304"/>
      <c r="ES1304"/>
      <c r="ET1304"/>
      <c r="EU1304"/>
      <c r="EV1304"/>
      <c r="EW1304"/>
      <c r="EX1304"/>
      <c r="EY1304"/>
      <c r="EZ1304"/>
      <c r="FA1304"/>
      <c r="FB1304"/>
      <c r="FC1304"/>
      <c r="FD1304"/>
      <c r="FE1304"/>
      <c r="FF1304"/>
      <c r="FG1304"/>
      <c r="FH1304"/>
      <c r="FI1304"/>
      <c r="FJ1304"/>
      <c r="FK1304"/>
      <c r="FL1304"/>
      <c r="FM1304"/>
      <c r="FN1304"/>
      <c r="FO1304"/>
      <c r="FP1304"/>
      <c r="FQ1304"/>
      <c r="FR1304"/>
      <c r="FS1304"/>
      <c r="FT1304"/>
      <c r="FU1304"/>
      <c r="FV1304"/>
      <c r="FW1304"/>
      <c r="FX1304"/>
      <c r="FY1304"/>
      <c r="FZ1304"/>
      <c r="GA1304"/>
      <c r="GB1304"/>
      <c r="GC1304"/>
      <c r="GD1304"/>
      <c r="GE1304"/>
      <c r="GF1304"/>
      <c r="GG1304"/>
      <c r="GH1304"/>
      <c r="GI1304"/>
      <c r="GJ1304"/>
      <c r="GK1304"/>
      <c r="GL1304"/>
      <c r="GM1304"/>
      <c r="GN1304"/>
      <c r="GO1304"/>
      <c r="GP1304"/>
      <c r="GQ1304"/>
      <c r="GR1304"/>
      <c r="GS1304"/>
      <c r="GT1304"/>
      <c r="GU1304"/>
      <c r="GV1304"/>
      <c r="GW1304"/>
      <c r="GX1304"/>
      <c r="GY1304"/>
      <c r="GZ1304"/>
      <c r="HA1304"/>
      <c r="HB1304"/>
      <c r="HC1304"/>
      <c r="HD1304"/>
      <c r="HE1304"/>
      <c r="HF1304"/>
      <c r="HG1304"/>
      <c r="HH1304"/>
      <c r="HI1304"/>
      <c r="HJ1304"/>
      <c r="HK1304"/>
      <c r="HL1304"/>
      <c r="HM1304"/>
      <c r="HN1304"/>
      <c r="HO1304"/>
      <c r="HP1304"/>
      <c r="HQ1304"/>
      <c r="HR1304"/>
      <c r="HS1304"/>
      <c r="HT1304"/>
      <c r="HU1304"/>
      <c r="HV1304"/>
      <c r="HW1304"/>
      <c r="HX1304"/>
      <c r="HY1304"/>
      <c r="HZ1304"/>
      <c r="IA1304"/>
      <c r="IB1304"/>
      <c r="IC1304"/>
      <c r="ID1304"/>
      <c r="IE1304"/>
      <c r="IF1304"/>
      <c r="IG1304"/>
      <c r="IH1304"/>
      <c r="II1304"/>
      <c r="IJ1304"/>
      <c r="IK1304"/>
      <c r="IL1304"/>
      <c r="IM1304"/>
      <c r="IN1304"/>
      <c r="IO1304"/>
      <c r="IP1304"/>
      <c r="IQ1304"/>
      <c r="IR1304"/>
      <c r="IS1304"/>
      <c r="IT1304"/>
      <c r="IU1304"/>
      <c r="IV1304"/>
    </row>
    <row r="1305" spans="1:256" ht="11.25" customHeight="1">
      <c r="A1305" s="454" t="s">
        <v>1899</v>
      </c>
      <c r="B1305" s="454" t="s">
        <v>1900</v>
      </c>
      <c r="C1305" s="454">
        <v>1</v>
      </c>
      <c r="D1305" s="454" t="s">
        <v>348</v>
      </c>
      <c r="E1305" s="481" t="s">
        <v>1901</v>
      </c>
      <c r="F1305" s="481"/>
      <c r="G1305" s="481"/>
      <c r="H1305" s="481"/>
      <c r="I1305" s="481"/>
      <c r="J1305" s="455" t="s">
        <v>1890</v>
      </c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  <c r="DL1305"/>
      <c r="DM1305"/>
      <c r="DN1305"/>
      <c r="DO1305"/>
      <c r="DP1305"/>
      <c r="DQ1305"/>
      <c r="DR1305"/>
      <c r="DS1305"/>
      <c r="DT1305"/>
      <c r="DU1305"/>
      <c r="DV1305"/>
      <c r="DW1305"/>
      <c r="DX1305"/>
      <c r="DY1305"/>
      <c r="DZ1305"/>
      <c r="EA1305"/>
      <c r="EB1305"/>
      <c r="EC1305"/>
      <c r="ED1305"/>
      <c r="EE1305"/>
      <c r="EF1305"/>
      <c r="EG1305"/>
      <c r="EH1305"/>
      <c r="EI1305"/>
      <c r="EJ1305"/>
      <c r="EK1305"/>
      <c r="EL1305"/>
      <c r="EM1305"/>
      <c r="EN1305"/>
      <c r="EO1305"/>
      <c r="EP1305"/>
      <c r="EQ1305"/>
      <c r="ER1305"/>
      <c r="ES1305"/>
      <c r="ET1305"/>
      <c r="EU1305"/>
      <c r="EV1305"/>
      <c r="EW1305"/>
      <c r="EX1305"/>
      <c r="EY1305"/>
      <c r="EZ1305"/>
      <c r="FA1305"/>
      <c r="FB1305"/>
      <c r="FC1305"/>
      <c r="FD1305"/>
      <c r="FE1305"/>
      <c r="FF1305"/>
      <c r="FG1305"/>
      <c r="FH1305"/>
      <c r="FI1305"/>
      <c r="FJ1305"/>
      <c r="FK1305"/>
      <c r="FL1305"/>
      <c r="FM1305"/>
      <c r="FN1305"/>
      <c r="FO1305"/>
      <c r="FP1305"/>
      <c r="FQ1305"/>
      <c r="FR1305"/>
      <c r="FS1305"/>
      <c r="FT1305"/>
      <c r="FU1305"/>
      <c r="FV1305"/>
      <c r="FW1305"/>
      <c r="FX1305"/>
      <c r="FY1305"/>
      <c r="FZ1305"/>
      <c r="GA1305"/>
      <c r="GB1305"/>
      <c r="GC1305"/>
      <c r="GD1305"/>
      <c r="GE1305"/>
      <c r="GF1305"/>
      <c r="GG1305"/>
      <c r="GH1305"/>
      <c r="GI1305"/>
      <c r="GJ1305"/>
      <c r="GK1305"/>
      <c r="GL1305"/>
      <c r="GM1305"/>
      <c r="GN1305"/>
      <c r="GO1305"/>
      <c r="GP1305"/>
      <c r="GQ1305"/>
      <c r="GR1305"/>
      <c r="GS1305"/>
      <c r="GT1305"/>
      <c r="GU1305"/>
      <c r="GV1305"/>
      <c r="GW1305"/>
      <c r="GX1305"/>
      <c r="GY1305"/>
      <c r="GZ1305"/>
      <c r="HA1305"/>
      <c r="HB1305"/>
      <c r="HC1305"/>
      <c r="HD1305"/>
      <c r="HE1305"/>
      <c r="HF1305"/>
      <c r="HG1305"/>
      <c r="HH1305"/>
      <c r="HI1305"/>
      <c r="HJ1305"/>
      <c r="HK1305"/>
      <c r="HL1305"/>
      <c r="HM1305"/>
      <c r="HN1305"/>
      <c r="HO1305"/>
      <c r="HP1305"/>
      <c r="HQ1305"/>
      <c r="HR1305"/>
      <c r="HS1305"/>
      <c r="HT1305"/>
      <c r="HU1305"/>
      <c r="HV1305"/>
      <c r="HW1305"/>
      <c r="HX1305"/>
      <c r="HY1305"/>
      <c r="HZ1305"/>
      <c r="IA1305"/>
      <c r="IB1305"/>
      <c r="IC1305"/>
      <c r="ID1305"/>
      <c r="IE1305"/>
      <c r="IF1305"/>
      <c r="IG1305"/>
      <c r="IH1305"/>
      <c r="II1305"/>
      <c r="IJ1305"/>
      <c r="IK1305"/>
      <c r="IL1305"/>
      <c r="IM1305"/>
      <c r="IN1305"/>
      <c r="IO1305"/>
      <c r="IP1305"/>
      <c r="IQ1305"/>
      <c r="IR1305"/>
      <c r="IS1305"/>
      <c r="IT1305"/>
      <c r="IU1305"/>
      <c r="IV1305"/>
    </row>
    <row r="1306" spans="1:12" s="451" customFormat="1" ht="11.25" customHeight="1">
      <c r="A1306" s="448" t="s">
        <v>1902</v>
      </c>
      <c r="B1306" s="448" t="s">
        <v>410</v>
      </c>
      <c r="C1306" s="448">
        <v>1</v>
      </c>
      <c r="D1306" s="454" t="s">
        <v>348</v>
      </c>
      <c r="E1306" s="482" t="s">
        <v>1903</v>
      </c>
      <c r="F1306" s="482"/>
      <c r="G1306" s="482"/>
      <c r="H1306" s="482"/>
      <c r="I1306" s="482"/>
      <c r="J1306" s="449"/>
      <c r="L1306" s="450"/>
    </row>
    <row r="1307" spans="1:256" ht="11.25" customHeight="1">
      <c r="A1307" s="454" t="s">
        <v>336</v>
      </c>
      <c r="B1307" s="454" t="s">
        <v>488</v>
      </c>
      <c r="C1307" s="454">
        <v>1</v>
      </c>
      <c r="D1307" s="454" t="s">
        <v>348</v>
      </c>
      <c r="E1307" s="481" t="s">
        <v>1904</v>
      </c>
      <c r="F1307" s="481"/>
      <c r="G1307" s="481"/>
      <c r="H1307" s="481"/>
      <c r="I1307" s="481"/>
      <c r="J1307" s="455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  <c r="DL1307"/>
      <c r="DM1307"/>
      <c r="DN1307"/>
      <c r="DO1307"/>
      <c r="DP1307"/>
      <c r="DQ1307"/>
      <c r="DR1307"/>
      <c r="DS1307"/>
      <c r="DT1307"/>
      <c r="DU1307"/>
      <c r="DV1307"/>
      <c r="DW1307"/>
      <c r="DX1307"/>
      <c r="DY1307"/>
      <c r="DZ1307"/>
      <c r="EA1307"/>
      <c r="EB1307"/>
      <c r="EC1307"/>
      <c r="ED1307"/>
      <c r="EE1307"/>
      <c r="EF1307"/>
      <c r="EG1307"/>
      <c r="EH1307"/>
      <c r="EI1307"/>
      <c r="EJ1307"/>
      <c r="EK1307"/>
      <c r="EL1307"/>
      <c r="EM1307"/>
      <c r="EN1307"/>
      <c r="EO1307"/>
      <c r="EP1307"/>
      <c r="EQ1307"/>
      <c r="ER1307"/>
      <c r="ES1307"/>
      <c r="ET1307"/>
      <c r="EU1307"/>
      <c r="EV1307"/>
      <c r="EW1307"/>
      <c r="EX1307"/>
      <c r="EY1307"/>
      <c r="EZ1307"/>
      <c r="FA1307"/>
      <c r="FB1307"/>
      <c r="FC1307"/>
      <c r="FD1307"/>
      <c r="FE1307"/>
      <c r="FF1307"/>
      <c r="FG1307"/>
      <c r="FH1307"/>
      <c r="FI1307"/>
      <c r="FJ1307"/>
      <c r="FK1307"/>
      <c r="FL1307"/>
      <c r="FM1307"/>
      <c r="FN1307"/>
      <c r="FO1307"/>
      <c r="FP1307"/>
      <c r="FQ1307"/>
      <c r="FR1307"/>
      <c r="FS1307"/>
      <c r="FT1307"/>
      <c r="FU1307"/>
      <c r="FV1307"/>
      <c r="FW1307"/>
      <c r="FX1307"/>
      <c r="FY1307"/>
      <c r="FZ1307"/>
      <c r="GA1307"/>
      <c r="GB1307"/>
      <c r="GC1307"/>
      <c r="GD1307"/>
      <c r="GE1307"/>
      <c r="GF1307"/>
      <c r="GG1307"/>
      <c r="GH1307"/>
      <c r="GI1307"/>
      <c r="GJ1307"/>
      <c r="GK1307"/>
      <c r="GL1307"/>
      <c r="GM1307"/>
      <c r="GN1307"/>
      <c r="GO1307"/>
      <c r="GP1307"/>
      <c r="GQ1307"/>
      <c r="GR1307"/>
      <c r="GS1307"/>
      <c r="GT1307"/>
      <c r="GU1307"/>
      <c r="GV1307"/>
      <c r="GW1307"/>
      <c r="GX1307"/>
      <c r="GY1307"/>
      <c r="GZ1307"/>
      <c r="HA1307"/>
      <c r="HB1307"/>
      <c r="HC1307"/>
      <c r="HD1307"/>
      <c r="HE1307"/>
      <c r="HF1307"/>
      <c r="HG1307"/>
      <c r="HH1307"/>
      <c r="HI1307"/>
      <c r="HJ1307"/>
      <c r="HK1307"/>
      <c r="HL1307"/>
      <c r="HM1307"/>
      <c r="HN1307"/>
      <c r="HO1307"/>
      <c r="HP1307"/>
      <c r="HQ1307"/>
      <c r="HR1307"/>
      <c r="HS1307"/>
      <c r="HT1307"/>
      <c r="HU1307"/>
      <c r="HV1307"/>
      <c r="HW1307"/>
      <c r="HX1307"/>
      <c r="HY1307"/>
      <c r="HZ1307"/>
      <c r="IA1307"/>
      <c r="IB1307"/>
      <c r="IC1307"/>
      <c r="ID1307"/>
      <c r="IE1307"/>
      <c r="IF1307"/>
      <c r="IG1307"/>
      <c r="IH1307"/>
      <c r="II1307"/>
      <c r="IJ1307"/>
      <c r="IK1307"/>
      <c r="IL1307"/>
      <c r="IM1307"/>
      <c r="IN1307"/>
      <c r="IO1307"/>
      <c r="IP1307"/>
      <c r="IQ1307"/>
      <c r="IR1307"/>
      <c r="IS1307"/>
      <c r="IT1307"/>
      <c r="IU1307"/>
      <c r="IV1307"/>
    </row>
    <row r="1308" spans="1:256" ht="11.25" customHeight="1">
      <c r="A1308" s="454" t="s">
        <v>1905</v>
      </c>
      <c r="B1308" s="454" t="s">
        <v>1900</v>
      </c>
      <c r="C1308" s="454">
        <v>1</v>
      </c>
      <c r="D1308" s="454" t="s">
        <v>348</v>
      </c>
      <c r="E1308" s="481" t="s">
        <v>1906</v>
      </c>
      <c r="F1308" s="481"/>
      <c r="G1308" s="481"/>
      <c r="H1308" s="481"/>
      <c r="I1308" s="481"/>
      <c r="J1308" s="455"/>
      <c r="K1308" s="390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  <c r="DL1308"/>
      <c r="DM1308"/>
      <c r="DN1308"/>
      <c r="DO1308"/>
      <c r="DP1308"/>
      <c r="DQ1308"/>
      <c r="DR1308"/>
      <c r="DS1308"/>
      <c r="DT1308"/>
      <c r="DU1308"/>
      <c r="DV1308"/>
      <c r="DW1308"/>
      <c r="DX1308"/>
      <c r="DY1308"/>
      <c r="DZ1308"/>
      <c r="EA1308"/>
      <c r="EB1308"/>
      <c r="EC1308"/>
      <c r="ED1308"/>
      <c r="EE1308"/>
      <c r="EF1308"/>
      <c r="EG1308"/>
      <c r="EH1308"/>
      <c r="EI1308"/>
      <c r="EJ1308"/>
      <c r="EK1308"/>
      <c r="EL1308"/>
      <c r="EM1308"/>
      <c r="EN1308"/>
      <c r="EO1308"/>
      <c r="EP1308"/>
      <c r="EQ1308"/>
      <c r="ER1308"/>
      <c r="ES1308"/>
      <c r="ET1308"/>
      <c r="EU1308"/>
      <c r="EV1308"/>
      <c r="EW1308"/>
      <c r="EX1308"/>
      <c r="EY1308"/>
      <c r="EZ1308"/>
      <c r="FA1308"/>
      <c r="FB1308"/>
      <c r="FC1308"/>
      <c r="FD1308"/>
      <c r="FE1308"/>
      <c r="FF1308"/>
      <c r="FG1308"/>
      <c r="FH1308"/>
      <c r="FI1308"/>
      <c r="FJ1308"/>
      <c r="FK1308"/>
      <c r="FL1308"/>
      <c r="FM1308"/>
      <c r="FN1308"/>
      <c r="FO1308"/>
      <c r="FP1308"/>
      <c r="FQ1308"/>
      <c r="FR1308"/>
      <c r="FS1308"/>
      <c r="FT1308"/>
      <c r="FU1308"/>
      <c r="FV1308"/>
      <c r="FW1308"/>
      <c r="FX1308"/>
      <c r="FY1308"/>
      <c r="FZ1308"/>
      <c r="GA1308"/>
      <c r="GB1308"/>
      <c r="GC1308"/>
      <c r="GD1308"/>
      <c r="GE1308"/>
      <c r="GF1308"/>
      <c r="GG1308"/>
      <c r="GH1308"/>
      <c r="GI1308"/>
      <c r="GJ1308"/>
      <c r="GK1308"/>
      <c r="GL1308"/>
      <c r="GM1308"/>
      <c r="GN1308"/>
      <c r="GO1308"/>
      <c r="GP1308"/>
      <c r="GQ1308"/>
      <c r="GR1308"/>
      <c r="GS1308"/>
      <c r="GT1308"/>
      <c r="GU1308"/>
      <c r="GV1308"/>
      <c r="GW1308"/>
      <c r="GX1308"/>
      <c r="GY1308"/>
      <c r="GZ1308"/>
      <c r="HA1308"/>
      <c r="HB1308"/>
      <c r="HC1308"/>
      <c r="HD1308"/>
      <c r="HE1308"/>
      <c r="HF1308"/>
      <c r="HG1308"/>
      <c r="HH1308"/>
      <c r="HI1308"/>
      <c r="HJ1308"/>
      <c r="HK1308"/>
      <c r="HL1308"/>
      <c r="HM1308"/>
      <c r="HN1308"/>
      <c r="HO1308"/>
      <c r="HP1308"/>
      <c r="HQ1308"/>
      <c r="HR1308"/>
      <c r="HS1308"/>
      <c r="HT1308"/>
      <c r="HU1308"/>
      <c r="HV1308"/>
      <c r="HW1308"/>
      <c r="HX1308"/>
      <c r="HY1308"/>
      <c r="HZ1308"/>
      <c r="IA1308"/>
      <c r="IB1308"/>
      <c r="IC1308"/>
      <c r="ID1308"/>
      <c r="IE1308"/>
      <c r="IF1308"/>
      <c r="IG1308"/>
      <c r="IH1308"/>
      <c r="II1308"/>
      <c r="IJ1308"/>
      <c r="IK1308"/>
      <c r="IL1308"/>
      <c r="IM1308"/>
      <c r="IN1308"/>
      <c r="IO1308"/>
      <c r="IP1308"/>
      <c r="IQ1308"/>
      <c r="IR1308"/>
      <c r="IS1308"/>
      <c r="IT1308"/>
      <c r="IU1308"/>
      <c r="IV1308"/>
    </row>
    <row r="1309" spans="1:256" ht="11.25" customHeight="1">
      <c r="A1309" s="454" t="s">
        <v>333</v>
      </c>
      <c r="B1309" s="454" t="s">
        <v>488</v>
      </c>
      <c r="C1309" s="454">
        <v>1</v>
      </c>
      <c r="D1309" s="454" t="s">
        <v>348</v>
      </c>
      <c r="E1309" s="481" t="s">
        <v>1907</v>
      </c>
      <c r="F1309" s="481"/>
      <c r="G1309" s="481"/>
      <c r="H1309" s="481"/>
      <c r="I1309" s="481"/>
      <c r="J1309" s="455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  <c r="DL1309"/>
      <c r="DM1309"/>
      <c r="DN1309"/>
      <c r="DO1309"/>
      <c r="DP1309"/>
      <c r="DQ1309"/>
      <c r="DR1309"/>
      <c r="DS1309"/>
      <c r="DT1309"/>
      <c r="DU1309"/>
      <c r="DV1309"/>
      <c r="DW1309"/>
      <c r="DX1309"/>
      <c r="DY1309"/>
      <c r="DZ1309"/>
      <c r="EA1309"/>
      <c r="EB1309"/>
      <c r="EC1309"/>
      <c r="ED1309"/>
      <c r="EE1309"/>
      <c r="EF1309"/>
      <c r="EG1309"/>
      <c r="EH1309"/>
      <c r="EI1309"/>
      <c r="EJ1309"/>
      <c r="EK1309"/>
      <c r="EL1309"/>
      <c r="EM1309"/>
      <c r="EN1309"/>
      <c r="EO1309"/>
      <c r="EP1309"/>
      <c r="EQ1309"/>
      <c r="ER1309"/>
      <c r="ES1309"/>
      <c r="ET1309"/>
      <c r="EU1309"/>
      <c r="EV1309"/>
      <c r="EW1309"/>
      <c r="EX1309"/>
      <c r="EY1309"/>
      <c r="EZ1309"/>
      <c r="FA1309"/>
      <c r="FB1309"/>
      <c r="FC1309"/>
      <c r="FD1309"/>
      <c r="FE1309"/>
      <c r="FF1309"/>
      <c r="FG1309"/>
      <c r="FH1309"/>
      <c r="FI1309"/>
      <c r="FJ1309"/>
      <c r="FK1309"/>
      <c r="FL1309"/>
      <c r="FM1309"/>
      <c r="FN1309"/>
      <c r="FO1309"/>
      <c r="FP1309"/>
      <c r="FQ1309"/>
      <c r="FR1309"/>
      <c r="FS1309"/>
      <c r="FT1309"/>
      <c r="FU1309"/>
      <c r="FV1309"/>
      <c r="FW1309"/>
      <c r="FX1309"/>
      <c r="FY1309"/>
      <c r="FZ1309"/>
      <c r="GA1309"/>
      <c r="GB1309"/>
      <c r="GC1309"/>
      <c r="GD1309"/>
      <c r="GE1309"/>
      <c r="GF1309"/>
      <c r="GG1309"/>
      <c r="GH1309"/>
      <c r="GI1309"/>
      <c r="GJ1309"/>
      <c r="GK1309"/>
      <c r="GL1309"/>
      <c r="GM1309"/>
      <c r="GN1309"/>
      <c r="GO1309"/>
      <c r="GP1309"/>
      <c r="GQ1309"/>
      <c r="GR1309"/>
      <c r="GS1309"/>
      <c r="GT1309"/>
      <c r="GU1309"/>
      <c r="GV1309"/>
      <c r="GW1309"/>
      <c r="GX1309"/>
      <c r="GY1309"/>
      <c r="GZ1309"/>
      <c r="HA1309"/>
      <c r="HB1309"/>
      <c r="HC1309"/>
      <c r="HD1309"/>
      <c r="HE1309"/>
      <c r="HF1309"/>
      <c r="HG1309"/>
      <c r="HH1309"/>
      <c r="HI1309"/>
      <c r="HJ1309"/>
      <c r="HK1309"/>
      <c r="HL1309"/>
      <c r="HM1309"/>
      <c r="HN1309"/>
      <c r="HO1309"/>
      <c r="HP1309"/>
      <c r="HQ1309"/>
      <c r="HR1309"/>
      <c r="HS1309"/>
      <c r="HT1309"/>
      <c r="HU1309"/>
      <c r="HV1309"/>
      <c r="HW1309"/>
      <c r="HX1309"/>
      <c r="HY1309"/>
      <c r="HZ1309"/>
      <c r="IA1309"/>
      <c r="IB1309"/>
      <c r="IC1309"/>
      <c r="ID1309"/>
      <c r="IE1309"/>
      <c r="IF1309"/>
      <c r="IG1309"/>
      <c r="IH1309"/>
      <c r="II1309"/>
      <c r="IJ1309"/>
      <c r="IK1309"/>
      <c r="IL1309"/>
      <c r="IM1309"/>
      <c r="IN1309"/>
      <c r="IO1309"/>
      <c r="IP1309"/>
      <c r="IQ1309"/>
      <c r="IR1309"/>
      <c r="IS1309"/>
      <c r="IT1309"/>
      <c r="IU1309"/>
      <c r="IV1309"/>
    </row>
    <row r="1310" spans="1:256" ht="11.25" customHeight="1">
      <c r="A1310" s="448" t="s">
        <v>1908</v>
      </c>
      <c r="B1310" s="448" t="s">
        <v>410</v>
      </c>
      <c r="C1310" s="448">
        <v>1</v>
      </c>
      <c r="D1310" s="448" t="s">
        <v>348</v>
      </c>
      <c r="E1310" s="482" t="s">
        <v>1909</v>
      </c>
      <c r="F1310" s="482"/>
      <c r="G1310" s="482"/>
      <c r="H1310" s="482"/>
      <c r="I1310" s="482"/>
      <c r="J1310" s="449" t="s">
        <v>1910</v>
      </c>
      <c r="K1310" s="463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  <c r="DL1310"/>
      <c r="DM1310"/>
      <c r="DN1310"/>
      <c r="DO1310"/>
      <c r="DP1310"/>
      <c r="DQ1310"/>
      <c r="DR1310"/>
      <c r="DS1310"/>
      <c r="DT1310"/>
      <c r="DU1310"/>
      <c r="DV1310"/>
      <c r="DW1310"/>
      <c r="DX1310"/>
      <c r="DY1310"/>
      <c r="DZ1310"/>
      <c r="EA1310"/>
      <c r="EB1310"/>
      <c r="EC1310"/>
      <c r="ED1310"/>
      <c r="EE1310"/>
      <c r="EF1310"/>
      <c r="EG1310"/>
      <c r="EH1310"/>
      <c r="EI1310"/>
      <c r="EJ1310"/>
      <c r="EK1310"/>
      <c r="EL1310"/>
      <c r="EM1310"/>
      <c r="EN1310"/>
      <c r="EO1310"/>
      <c r="EP1310"/>
      <c r="EQ1310"/>
      <c r="ER1310"/>
      <c r="ES1310"/>
      <c r="ET1310"/>
      <c r="EU1310"/>
      <c r="EV1310"/>
      <c r="EW1310"/>
      <c r="EX1310"/>
      <c r="EY1310"/>
      <c r="EZ1310"/>
      <c r="FA1310"/>
      <c r="FB1310"/>
      <c r="FC1310"/>
      <c r="FD1310"/>
      <c r="FE1310"/>
      <c r="FF1310"/>
      <c r="FG1310"/>
      <c r="FH1310"/>
      <c r="FI1310"/>
      <c r="FJ1310"/>
      <c r="FK1310"/>
      <c r="FL1310"/>
      <c r="FM1310"/>
      <c r="FN1310"/>
      <c r="FO1310"/>
      <c r="FP1310"/>
      <c r="FQ1310"/>
      <c r="FR1310"/>
      <c r="FS1310"/>
      <c r="FT1310"/>
      <c r="FU1310"/>
      <c r="FV1310"/>
      <c r="FW1310"/>
      <c r="FX1310"/>
      <c r="FY1310"/>
      <c r="FZ1310"/>
      <c r="GA1310"/>
      <c r="GB1310"/>
      <c r="GC1310"/>
      <c r="GD1310"/>
      <c r="GE1310"/>
      <c r="GF1310"/>
      <c r="GG1310"/>
      <c r="GH1310"/>
      <c r="GI1310"/>
      <c r="GJ1310"/>
      <c r="GK1310"/>
      <c r="GL1310"/>
      <c r="GM1310"/>
      <c r="GN1310"/>
      <c r="GO1310"/>
      <c r="GP1310"/>
      <c r="GQ1310"/>
      <c r="GR1310"/>
      <c r="GS1310"/>
      <c r="GT1310"/>
      <c r="GU1310"/>
      <c r="GV1310"/>
      <c r="GW1310"/>
      <c r="GX1310"/>
      <c r="GY1310"/>
      <c r="GZ1310"/>
      <c r="HA1310"/>
      <c r="HB1310"/>
      <c r="HC1310"/>
      <c r="HD1310"/>
      <c r="HE1310"/>
      <c r="HF1310"/>
      <c r="HG1310"/>
      <c r="HH1310"/>
      <c r="HI1310"/>
      <c r="HJ1310"/>
      <c r="HK1310"/>
      <c r="HL1310"/>
      <c r="HM1310"/>
      <c r="HN1310"/>
      <c r="HO1310"/>
      <c r="HP1310"/>
      <c r="HQ1310"/>
      <c r="HR1310"/>
      <c r="HS1310"/>
      <c r="HT1310"/>
      <c r="HU1310"/>
      <c r="HV1310"/>
      <c r="HW1310"/>
      <c r="HX1310"/>
      <c r="HY1310"/>
      <c r="HZ1310"/>
      <c r="IA1310"/>
      <c r="IB1310"/>
      <c r="IC1310"/>
      <c r="ID1310"/>
      <c r="IE1310"/>
      <c r="IF1310"/>
      <c r="IG1310"/>
      <c r="IH1310"/>
      <c r="II1310"/>
      <c r="IJ1310"/>
      <c r="IK1310"/>
      <c r="IL1310"/>
      <c r="IM1310"/>
      <c r="IN1310"/>
      <c r="IO1310"/>
      <c r="IP1310"/>
      <c r="IQ1310"/>
      <c r="IR1310"/>
      <c r="IS1310"/>
      <c r="IT1310"/>
      <c r="IU1310"/>
      <c r="IV1310"/>
    </row>
    <row r="1311" spans="1:256" ht="11.25" customHeight="1">
      <c r="A1311" s="448" t="s">
        <v>339</v>
      </c>
      <c r="B1311" s="448" t="s">
        <v>410</v>
      </c>
      <c r="C1311" s="448">
        <v>1</v>
      </c>
      <c r="D1311" s="448">
        <v>1</v>
      </c>
      <c r="E1311" s="482" t="s">
        <v>1911</v>
      </c>
      <c r="F1311" s="482"/>
      <c r="G1311" s="482"/>
      <c r="H1311" s="482"/>
      <c r="I1311" s="482"/>
      <c r="J1311" s="449"/>
      <c r="K1311" s="45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  <c r="DL1311"/>
      <c r="DM1311"/>
      <c r="DN1311"/>
      <c r="DO1311"/>
      <c r="DP1311"/>
      <c r="DQ1311"/>
      <c r="DR1311"/>
      <c r="DS1311"/>
      <c r="DT1311"/>
      <c r="DU1311"/>
      <c r="DV1311"/>
      <c r="DW1311"/>
      <c r="DX1311"/>
      <c r="DY1311"/>
      <c r="DZ1311"/>
      <c r="EA1311"/>
      <c r="EB1311"/>
      <c r="EC1311"/>
      <c r="ED1311"/>
      <c r="EE1311"/>
      <c r="EF1311"/>
      <c r="EG1311"/>
      <c r="EH1311"/>
      <c r="EI1311"/>
      <c r="EJ1311"/>
      <c r="EK1311"/>
      <c r="EL1311"/>
      <c r="EM1311"/>
      <c r="EN1311"/>
      <c r="EO1311"/>
      <c r="EP1311"/>
      <c r="EQ1311"/>
      <c r="ER1311"/>
      <c r="ES1311"/>
      <c r="ET1311"/>
      <c r="EU1311"/>
      <c r="EV1311"/>
      <c r="EW1311"/>
      <c r="EX1311"/>
      <c r="EY1311"/>
      <c r="EZ1311"/>
      <c r="FA1311"/>
      <c r="FB1311"/>
      <c r="FC1311"/>
      <c r="FD1311"/>
      <c r="FE1311"/>
      <c r="FF1311"/>
      <c r="FG1311"/>
      <c r="FH1311"/>
      <c r="FI1311"/>
      <c r="FJ1311"/>
      <c r="FK1311"/>
      <c r="FL1311"/>
      <c r="FM1311"/>
      <c r="FN1311"/>
      <c r="FO1311"/>
      <c r="FP1311"/>
      <c r="FQ1311"/>
      <c r="FR1311"/>
      <c r="FS1311"/>
      <c r="FT1311"/>
      <c r="FU1311"/>
      <c r="FV1311"/>
      <c r="FW1311"/>
      <c r="FX1311"/>
      <c r="FY1311"/>
      <c r="FZ1311"/>
      <c r="GA1311"/>
      <c r="GB1311"/>
      <c r="GC1311"/>
      <c r="GD1311"/>
      <c r="GE1311"/>
      <c r="GF1311"/>
      <c r="GG1311"/>
      <c r="GH1311"/>
      <c r="GI1311"/>
      <c r="GJ1311"/>
      <c r="GK1311"/>
      <c r="GL1311"/>
      <c r="GM1311"/>
      <c r="GN1311"/>
      <c r="GO1311"/>
      <c r="GP1311"/>
      <c r="GQ1311"/>
      <c r="GR1311"/>
      <c r="GS1311"/>
      <c r="GT1311"/>
      <c r="GU1311"/>
      <c r="GV1311"/>
      <c r="GW1311"/>
      <c r="GX1311"/>
      <c r="GY1311"/>
      <c r="GZ1311"/>
      <c r="HA1311"/>
      <c r="HB1311"/>
      <c r="HC1311"/>
      <c r="HD1311"/>
      <c r="HE1311"/>
      <c r="HF1311"/>
      <c r="HG1311"/>
      <c r="HH1311"/>
      <c r="HI1311"/>
      <c r="HJ1311"/>
      <c r="HK1311"/>
      <c r="HL1311"/>
      <c r="HM1311"/>
      <c r="HN1311"/>
      <c r="HO1311"/>
      <c r="HP1311"/>
      <c r="HQ1311"/>
      <c r="HR1311"/>
      <c r="HS1311"/>
      <c r="HT1311"/>
      <c r="HU1311"/>
      <c r="HV1311"/>
      <c r="HW1311"/>
      <c r="HX1311"/>
      <c r="HY1311"/>
      <c r="HZ1311"/>
      <c r="IA1311"/>
      <c r="IB1311"/>
      <c r="IC1311"/>
      <c r="ID1311"/>
      <c r="IE1311"/>
      <c r="IF1311"/>
      <c r="IG1311"/>
      <c r="IH1311"/>
      <c r="II1311"/>
      <c r="IJ1311"/>
      <c r="IK1311"/>
      <c r="IL1311"/>
      <c r="IM1311"/>
      <c r="IN1311"/>
      <c r="IO1311"/>
      <c r="IP1311"/>
      <c r="IQ1311"/>
      <c r="IR1311"/>
      <c r="IS1311"/>
      <c r="IT1311"/>
      <c r="IU1311"/>
      <c r="IV1311"/>
    </row>
    <row r="1312" spans="1:256" ht="11.25" customHeight="1">
      <c r="A1312" s="448" t="s">
        <v>1912</v>
      </c>
      <c r="B1312" s="448" t="s">
        <v>410</v>
      </c>
      <c r="C1312" s="448">
        <v>1</v>
      </c>
      <c r="D1312" s="448">
        <v>1</v>
      </c>
      <c r="E1312" s="482" t="s">
        <v>1913</v>
      </c>
      <c r="F1312" s="482"/>
      <c r="G1312" s="482"/>
      <c r="H1312" s="482"/>
      <c r="I1312" s="482"/>
      <c r="J1312" s="449"/>
      <c r="K1312" s="451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  <c r="DL1312"/>
      <c r="DM1312"/>
      <c r="DN1312"/>
      <c r="DO1312"/>
      <c r="DP1312"/>
      <c r="DQ1312"/>
      <c r="DR1312"/>
      <c r="DS1312"/>
      <c r="DT1312"/>
      <c r="DU1312"/>
      <c r="DV1312"/>
      <c r="DW1312"/>
      <c r="DX1312"/>
      <c r="DY1312"/>
      <c r="DZ1312"/>
      <c r="EA1312"/>
      <c r="EB1312"/>
      <c r="EC1312"/>
      <c r="ED1312"/>
      <c r="EE1312"/>
      <c r="EF1312"/>
      <c r="EG1312"/>
      <c r="EH1312"/>
      <c r="EI1312"/>
      <c r="EJ1312"/>
      <c r="EK1312"/>
      <c r="EL1312"/>
      <c r="EM1312"/>
      <c r="EN1312"/>
      <c r="EO1312"/>
      <c r="EP1312"/>
      <c r="EQ1312"/>
      <c r="ER1312"/>
      <c r="ES1312"/>
      <c r="ET1312"/>
      <c r="EU1312"/>
      <c r="EV1312"/>
      <c r="EW1312"/>
      <c r="EX1312"/>
      <c r="EY1312"/>
      <c r="EZ1312"/>
      <c r="FA1312"/>
      <c r="FB1312"/>
      <c r="FC1312"/>
      <c r="FD1312"/>
      <c r="FE1312"/>
      <c r="FF1312"/>
      <c r="FG1312"/>
      <c r="FH1312"/>
      <c r="FI1312"/>
      <c r="FJ1312"/>
      <c r="FK1312"/>
      <c r="FL1312"/>
      <c r="FM1312"/>
      <c r="FN1312"/>
      <c r="FO1312"/>
      <c r="FP1312"/>
      <c r="FQ1312"/>
      <c r="FR1312"/>
      <c r="FS1312"/>
      <c r="FT1312"/>
      <c r="FU1312"/>
      <c r="FV1312"/>
      <c r="FW1312"/>
      <c r="FX1312"/>
      <c r="FY1312"/>
      <c r="FZ1312"/>
      <c r="GA1312"/>
      <c r="GB1312"/>
      <c r="GC1312"/>
      <c r="GD1312"/>
      <c r="GE1312"/>
      <c r="GF1312"/>
      <c r="GG1312"/>
      <c r="GH1312"/>
      <c r="GI1312"/>
      <c r="GJ1312"/>
      <c r="GK1312"/>
      <c r="GL1312"/>
      <c r="GM1312"/>
      <c r="GN1312"/>
      <c r="GO1312"/>
      <c r="GP1312"/>
      <c r="GQ1312"/>
      <c r="GR1312"/>
      <c r="GS1312"/>
      <c r="GT1312"/>
      <c r="GU1312"/>
      <c r="GV1312"/>
      <c r="GW1312"/>
      <c r="GX1312"/>
      <c r="GY1312"/>
      <c r="GZ1312"/>
      <c r="HA1312"/>
      <c r="HB1312"/>
      <c r="HC1312"/>
      <c r="HD1312"/>
      <c r="HE1312"/>
      <c r="HF1312"/>
      <c r="HG1312"/>
      <c r="HH1312"/>
      <c r="HI1312"/>
      <c r="HJ1312"/>
      <c r="HK1312"/>
      <c r="HL1312"/>
      <c r="HM1312"/>
      <c r="HN1312"/>
      <c r="HO1312"/>
      <c r="HP1312"/>
      <c r="HQ1312"/>
      <c r="HR1312"/>
      <c r="HS1312"/>
      <c r="HT1312"/>
      <c r="HU1312"/>
      <c r="HV1312"/>
      <c r="HW1312"/>
      <c r="HX1312"/>
      <c r="HY1312"/>
      <c r="HZ1312"/>
      <c r="IA1312"/>
      <c r="IB1312"/>
      <c r="IC1312"/>
      <c r="ID1312"/>
      <c r="IE1312"/>
      <c r="IF1312"/>
      <c r="IG1312"/>
      <c r="IH1312"/>
      <c r="II1312"/>
      <c r="IJ1312"/>
      <c r="IK1312"/>
      <c r="IL1312"/>
      <c r="IM1312"/>
      <c r="IN1312"/>
      <c r="IO1312"/>
      <c r="IP1312"/>
      <c r="IQ1312"/>
      <c r="IR1312"/>
      <c r="IS1312"/>
      <c r="IT1312"/>
      <c r="IU1312"/>
      <c r="IV1312"/>
    </row>
    <row r="1313" spans="1:256" ht="11.25" customHeight="1">
      <c r="A1313" s="448" t="s">
        <v>1914</v>
      </c>
      <c r="B1313" s="448" t="s">
        <v>410</v>
      </c>
      <c r="C1313" s="448">
        <v>1</v>
      </c>
      <c r="D1313" s="448">
        <v>1</v>
      </c>
      <c r="E1313" s="482" t="s">
        <v>1915</v>
      </c>
      <c r="F1313" s="482"/>
      <c r="G1313" s="482"/>
      <c r="H1313" s="482"/>
      <c r="I1313" s="482"/>
      <c r="J1313" s="449"/>
      <c r="K1313" s="451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  <c r="DL1313"/>
      <c r="DM1313"/>
      <c r="DN1313"/>
      <c r="DO1313"/>
      <c r="DP1313"/>
      <c r="DQ1313"/>
      <c r="DR1313"/>
      <c r="DS1313"/>
      <c r="DT1313"/>
      <c r="DU1313"/>
      <c r="DV1313"/>
      <c r="DW1313"/>
      <c r="DX1313"/>
      <c r="DY1313"/>
      <c r="DZ1313"/>
      <c r="EA1313"/>
      <c r="EB1313"/>
      <c r="EC1313"/>
      <c r="ED1313"/>
      <c r="EE1313"/>
      <c r="EF1313"/>
      <c r="EG1313"/>
      <c r="EH1313"/>
      <c r="EI1313"/>
      <c r="EJ1313"/>
      <c r="EK1313"/>
      <c r="EL1313"/>
      <c r="EM1313"/>
      <c r="EN1313"/>
      <c r="EO1313"/>
      <c r="EP1313"/>
      <c r="EQ1313"/>
      <c r="ER1313"/>
      <c r="ES1313"/>
      <c r="ET1313"/>
      <c r="EU1313"/>
      <c r="EV1313"/>
      <c r="EW1313"/>
      <c r="EX1313"/>
      <c r="EY1313"/>
      <c r="EZ1313"/>
      <c r="FA1313"/>
      <c r="FB1313"/>
      <c r="FC1313"/>
      <c r="FD1313"/>
      <c r="FE1313"/>
      <c r="FF1313"/>
      <c r="FG1313"/>
      <c r="FH1313"/>
      <c r="FI1313"/>
      <c r="FJ1313"/>
      <c r="FK1313"/>
      <c r="FL1313"/>
      <c r="FM1313"/>
      <c r="FN1313"/>
      <c r="FO1313"/>
      <c r="FP1313"/>
      <c r="FQ1313"/>
      <c r="FR1313"/>
      <c r="FS1313"/>
      <c r="FT1313"/>
      <c r="FU1313"/>
      <c r="FV1313"/>
      <c r="FW1313"/>
      <c r="FX1313"/>
      <c r="FY1313"/>
      <c r="FZ1313"/>
      <c r="GA1313"/>
      <c r="GB1313"/>
      <c r="GC1313"/>
      <c r="GD1313"/>
      <c r="GE1313"/>
      <c r="GF1313"/>
      <c r="GG1313"/>
      <c r="GH1313"/>
      <c r="GI1313"/>
      <c r="GJ1313"/>
      <c r="GK1313"/>
      <c r="GL1313"/>
      <c r="GM1313"/>
      <c r="GN1313"/>
      <c r="GO1313"/>
      <c r="GP1313"/>
      <c r="GQ1313"/>
      <c r="GR1313"/>
      <c r="GS1313"/>
      <c r="GT1313"/>
      <c r="GU1313"/>
      <c r="GV1313"/>
      <c r="GW1313"/>
      <c r="GX1313"/>
      <c r="GY1313"/>
      <c r="GZ1313"/>
      <c r="HA1313"/>
      <c r="HB1313"/>
      <c r="HC1313"/>
      <c r="HD1313"/>
      <c r="HE1313"/>
      <c r="HF1313"/>
      <c r="HG1313"/>
      <c r="HH1313"/>
      <c r="HI1313"/>
      <c r="HJ1313"/>
      <c r="HK1313"/>
      <c r="HL1313"/>
      <c r="HM1313"/>
      <c r="HN1313"/>
      <c r="HO1313"/>
      <c r="HP1313"/>
      <c r="HQ1313"/>
      <c r="HR1313"/>
      <c r="HS1313"/>
      <c r="HT1313"/>
      <c r="HU1313"/>
      <c r="HV1313"/>
      <c r="HW1313"/>
      <c r="HX1313"/>
      <c r="HY1313"/>
      <c r="HZ1313"/>
      <c r="IA1313"/>
      <c r="IB1313"/>
      <c r="IC1313"/>
      <c r="ID1313"/>
      <c r="IE1313"/>
      <c r="IF1313"/>
      <c r="IG1313"/>
      <c r="IH1313"/>
      <c r="II1313"/>
      <c r="IJ1313"/>
      <c r="IK1313"/>
      <c r="IL1313"/>
      <c r="IM1313"/>
      <c r="IN1313"/>
      <c r="IO1313"/>
      <c r="IP1313"/>
      <c r="IQ1313"/>
      <c r="IR1313"/>
      <c r="IS1313"/>
      <c r="IT1313"/>
      <c r="IU1313"/>
      <c r="IV1313"/>
    </row>
    <row r="1314" spans="1:256" ht="11.25" customHeight="1">
      <c r="A1314" s="448" t="s">
        <v>1916</v>
      </c>
      <c r="B1314" s="448" t="s">
        <v>410</v>
      </c>
      <c r="C1314" s="448">
        <v>1</v>
      </c>
      <c r="D1314" s="448">
        <v>1</v>
      </c>
      <c r="E1314" s="482" t="s">
        <v>1917</v>
      </c>
      <c r="F1314" s="482"/>
      <c r="G1314" s="482"/>
      <c r="H1314" s="482"/>
      <c r="I1314" s="482"/>
      <c r="J1314" s="449"/>
      <c r="K1314" s="451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  <c r="DL1314"/>
      <c r="DM1314"/>
      <c r="DN1314"/>
      <c r="DO1314"/>
      <c r="DP1314"/>
      <c r="DQ1314"/>
      <c r="DR1314"/>
      <c r="DS1314"/>
      <c r="DT1314"/>
      <c r="DU1314"/>
      <c r="DV1314"/>
      <c r="DW1314"/>
      <c r="DX1314"/>
      <c r="DY1314"/>
      <c r="DZ1314"/>
      <c r="EA1314"/>
      <c r="EB1314"/>
      <c r="EC1314"/>
      <c r="ED1314"/>
      <c r="EE1314"/>
      <c r="EF1314"/>
      <c r="EG1314"/>
      <c r="EH1314"/>
      <c r="EI1314"/>
      <c r="EJ1314"/>
      <c r="EK1314"/>
      <c r="EL1314"/>
      <c r="EM1314"/>
      <c r="EN1314"/>
      <c r="EO1314"/>
      <c r="EP1314"/>
      <c r="EQ1314"/>
      <c r="ER1314"/>
      <c r="ES1314"/>
      <c r="ET1314"/>
      <c r="EU1314"/>
      <c r="EV1314"/>
      <c r="EW1314"/>
      <c r="EX1314"/>
      <c r="EY1314"/>
      <c r="EZ1314"/>
      <c r="FA1314"/>
      <c r="FB1314"/>
      <c r="FC1314"/>
      <c r="FD1314"/>
      <c r="FE1314"/>
      <c r="FF1314"/>
      <c r="FG1314"/>
      <c r="FH1314"/>
      <c r="FI1314"/>
      <c r="FJ1314"/>
      <c r="FK1314"/>
      <c r="FL1314"/>
      <c r="FM1314"/>
      <c r="FN1314"/>
      <c r="FO1314"/>
      <c r="FP1314"/>
      <c r="FQ1314"/>
      <c r="FR1314"/>
      <c r="FS1314"/>
      <c r="FT1314"/>
      <c r="FU1314"/>
      <c r="FV1314"/>
      <c r="FW1314"/>
      <c r="FX1314"/>
      <c r="FY1314"/>
      <c r="FZ1314"/>
      <c r="GA1314"/>
      <c r="GB1314"/>
      <c r="GC1314"/>
      <c r="GD1314"/>
      <c r="GE1314"/>
      <c r="GF1314"/>
      <c r="GG1314"/>
      <c r="GH1314"/>
      <c r="GI1314"/>
      <c r="GJ1314"/>
      <c r="GK1314"/>
      <c r="GL1314"/>
      <c r="GM1314"/>
      <c r="GN1314"/>
      <c r="GO1314"/>
      <c r="GP1314"/>
      <c r="GQ1314"/>
      <c r="GR1314"/>
      <c r="GS1314"/>
      <c r="GT1314"/>
      <c r="GU1314"/>
      <c r="GV1314"/>
      <c r="GW1314"/>
      <c r="GX1314"/>
      <c r="GY1314"/>
      <c r="GZ1314"/>
      <c r="HA1314"/>
      <c r="HB1314"/>
      <c r="HC1314"/>
      <c r="HD1314"/>
      <c r="HE1314"/>
      <c r="HF1314"/>
      <c r="HG1314"/>
      <c r="HH1314"/>
      <c r="HI1314"/>
      <c r="HJ1314"/>
      <c r="HK1314"/>
      <c r="HL1314"/>
      <c r="HM1314"/>
      <c r="HN1314"/>
      <c r="HO1314"/>
      <c r="HP1314"/>
      <c r="HQ1314"/>
      <c r="HR1314"/>
      <c r="HS1314"/>
      <c r="HT1314"/>
      <c r="HU1314"/>
      <c r="HV1314"/>
      <c r="HW1314"/>
      <c r="HX1314"/>
      <c r="HY1314"/>
      <c r="HZ1314"/>
      <c r="IA1314"/>
      <c r="IB1314"/>
      <c r="IC1314"/>
      <c r="ID1314"/>
      <c r="IE1314"/>
      <c r="IF1314"/>
      <c r="IG1314"/>
      <c r="IH1314"/>
      <c r="II1314"/>
      <c r="IJ1314"/>
      <c r="IK1314"/>
      <c r="IL1314"/>
      <c r="IM1314"/>
      <c r="IN1314"/>
      <c r="IO1314"/>
      <c r="IP1314"/>
      <c r="IQ1314"/>
      <c r="IR1314"/>
      <c r="IS1314"/>
      <c r="IT1314"/>
      <c r="IU1314"/>
      <c r="IV1314"/>
    </row>
    <row r="1315" spans="1:256" ht="11.25" customHeight="1">
      <c r="A1315" s="448" t="s">
        <v>1918</v>
      </c>
      <c r="B1315" s="448" t="s">
        <v>410</v>
      </c>
      <c r="C1315" s="448">
        <v>1</v>
      </c>
      <c r="D1315" s="448">
        <v>1</v>
      </c>
      <c r="E1315" s="482" t="s">
        <v>1919</v>
      </c>
      <c r="F1315" s="482"/>
      <c r="G1315" s="482"/>
      <c r="H1315" s="482"/>
      <c r="I1315" s="482"/>
      <c r="J1315" s="449"/>
      <c r="K1315" s="451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  <c r="DL1315"/>
      <c r="DM1315"/>
      <c r="DN1315"/>
      <c r="DO1315"/>
      <c r="DP1315"/>
      <c r="DQ1315"/>
      <c r="DR1315"/>
      <c r="DS1315"/>
      <c r="DT1315"/>
      <c r="DU1315"/>
      <c r="DV1315"/>
      <c r="DW1315"/>
      <c r="DX1315"/>
      <c r="DY1315"/>
      <c r="DZ1315"/>
      <c r="EA1315"/>
      <c r="EB1315"/>
      <c r="EC1315"/>
      <c r="ED1315"/>
      <c r="EE1315"/>
      <c r="EF1315"/>
      <c r="EG1315"/>
      <c r="EH1315"/>
      <c r="EI1315"/>
      <c r="EJ1315"/>
      <c r="EK1315"/>
      <c r="EL1315"/>
      <c r="EM1315"/>
      <c r="EN1315"/>
      <c r="EO1315"/>
      <c r="EP1315"/>
      <c r="EQ1315"/>
      <c r="ER1315"/>
      <c r="ES1315"/>
      <c r="ET1315"/>
      <c r="EU1315"/>
      <c r="EV1315"/>
      <c r="EW1315"/>
      <c r="EX1315"/>
      <c r="EY1315"/>
      <c r="EZ1315"/>
      <c r="FA1315"/>
      <c r="FB1315"/>
      <c r="FC1315"/>
      <c r="FD1315"/>
      <c r="FE1315"/>
      <c r="FF1315"/>
      <c r="FG1315"/>
      <c r="FH1315"/>
      <c r="FI1315"/>
      <c r="FJ1315"/>
      <c r="FK1315"/>
      <c r="FL1315"/>
      <c r="FM1315"/>
      <c r="FN1315"/>
      <c r="FO1315"/>
      <c r="FP1315"/>
      <c r="FQ1315"/>
      <c r="FR1315"/>
      <c r="FS1315"/>
      <c r="FT1315"/>
      <c r="FU1315"/>
      <c r="FV1315"/>
      <c r="FW1315"/>
      <c r="FX1315"/>
      <c r="FY1315"/>
      <c r="FZ1315"/>
      <c r="GA1315"/>
      <c r="GB1315"/>
      <c r="GC1315"/>
      <c r="GD1315"/>
      <c r="GE1315"/>
      <c r="GF1315"/>
      <c r="GG1315"/>
      <c r="GH1315"/>
      <c r="GI1315"/>
      <c r="GJ1315"/>
      <c r="GK1315"/>
      <c r="GL1315"/>
      <c r="GM1315"/>
      <c r="GN1315"/>
      <c r="GO1315"/>
      <c r="GP1315"/>
      <c r="GQ1315"/>
      <c r="GR1315"/>
      <c r="GS1315"/>
      <c r="GT1315"/>
      <c r="GU1315"/>
      <c r="GV1315"/>
      <c r="GW1315"/>
      <c r="GX1315"/>
      <c r="GY1315"/>
      <c r="GZ1315"/>
      <c r="HA1315"/>
      <c r="HB1315"/>
      <c r="HC1315"/>
      <c r="HD1315"/>
      <c r="HE1315"/>
      <c r="HF1315"/>
      <c r="HG1315"/>
      <c r="HH1315"/>
      <c r="HI1315"/>
      <c r="HJ1315"/>
      <c r="HK1315"/>
      <c r="HL1315"/>
      <c r="HM1315"/>
      <c r="HN1315"/>
      <c r="HO1315"/>
      <c r="HP1315"/>
      <c r="HQ1315"/>
      <c r="HR1315"/>
      <c r="HS1315"/>
      <c r="HT1315"/>
      <c r="HU1315"/>
      <c r="HV1315"/>
      <c r="HW1315"/>
      <c r="HX1315"/>
      <c r="HY1315"/>
      <c r="HZ1315"/>
      <c r="IA1315"/>
      <c r="IB1315"/>
      <c r="IC1315"/>
      <c r="ID1315"/>
      <c r="IE1315"/>
      <c r="IF1315"/>
      <c r="IG1315"/>
      <c r="IH1315"/>
      <c r="II1315"/>
      <c r="IJ1315"/>
      <c r="IK1315"/>
      <c r="IL1315"/>
      <c r="IM1315"/>
      <c r="IN1315"/>
      <c r="IO1315"/>
      <c r="IP1315"/>
      <c r="IQ1315"/>
      <c r="IR1315"/>
      <c r="IS1315"/>
      <c r="IT1315"/>
      <c r="IU1315"/>
      <c r="IV1315"/>
    </row>
    <row r="1316" spans="1:256" ht="11.25" customHeight="1">
      <c r="A1316" s="448" t="s">
        <v>1920</v>
      </c>
      <c r="B1316" s="448" t="s">
        <v>410</v>
      </c>
      <c r="C1316" s="448">
        <v>1</v>
      </c>
      <c r="D1316" s="448">
        <v>1</v>
      </c>
      <c r="E1316" s="482" t="s">
        <v>1921</v>
      </c>
      <c r="F1316" s="482"/>
      <c r="G1316" s="482"/>
      <c r="H1316" s="482"/>
      <c r="I1316" s="482"/>
      <c r="J1316" s="449"/>
      <c r="K1316" s="451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  <c r="DL1316"/>
      <c r="DM1316"/>
      <c r="DN1316"/>
      <c r="DO1316"/>
      <c r="DP1316"/>
      <c r="DQ1316"/>
      <c r="DR1316"/>
      <c r="DS1316"/>
      <c r="DT1316"/>
      <c r="DU1316"/>
      <c r="DV1316"/>
      <c r="DW1316"/>
      <c r="DX1316"/>
      <c r="DY1316"/>
      <c r="DZ1316"/>
      <c r="EA1316"/>
      <c r="EB1316"/>
      <c r="EC1316"/>
      <c r="ED1316"/>
      <c r="EE1316"/>
      <c r="EF1316"/>
      <c r="EG1316"/>
      <c r="EH1316"/>
      <c r="EI1316"/>
      <c r="EJ1316"/>
      <c r="EK1316"/>
      <c r="EL1316"/>
      <c r="EM1316"/>
      <c r="EN1316"/>
      <c r="EO1316"/>
      <c r="EP1316"/>
      <c r="EQ1316"/>
      <c r="ER1316"/>
      <c r="ES1316"/>
      <c r="ET1316"/>
      <c r="EU1316"/>
      <c r="EV1316"/>
      <c r="EW1316"/>
      <c r="EX1316"/>
      <c r="EY1316"/>
      <c r="EZ1316"/>
      <c r="FA1316"/>
      <c r="FB1316"/>
      <c r="FC1316"/>
      <c r="FD1316"/>
      <c r="FE1316"/>
      <c r="FF1316"/>
      <c r="FG1316"/>
      <c r="FH1316"/>
      <c r="FI1316"/>
      <c r="FJ1316"/>
      <c r="FK1316"/>
      <c r="FL1316"/>
      <c r="FM1316"/>
      <c r="FN1316"/>
      <c r="FO1316"/>
      <c r="FP1316"/>
      <c r="FQ1316"/>
      <c r="FR1316"/>
      <c r="FS1316"/>
      <c r="FT1316"/>
      <c r="FU1316"/>
      <c r="FV1316"/>
      <c r="FW1316"/>
      <c r="FX1316"/>
      <c r="FY1316"/>
      <c r="FZ1316"/>
      <c r="GA1316"/>
      <c r="GB1316"/>
      <c r="GC1316"/>
      <c r="GD1316"/>
      <c r="GE1316"/>
      <c r="GF1316"/>
      <c r="GG1316"/>
      <c r="GH1316"/>
      <c r="GI1316"/>
      <c r="GJ1316"/>
      <c r="GK1316"/>
      <c r="GL1316"/>
      <c r="GM1316"/>
      <c r="GN1316"/>
      <c r="GO1316"/>
      <c r="GP1316"/>
      <c r="GQ1316"/>
      <c r="GR1316"/>
      <c r="GS1316"/>
      <c r="GT1316"/>
      <c r="GU1316"/>
      <c r="GV1316"/>
      <c r="GW1316"/>
      <c r="GX1316"/>
      <c r="GY1316"/>
      <c r="GZ1316"/>
      <c r="HA1316"/>
      <c r="HB1316"/>
      <c r="HC1316"/>
      <c r="HD1316"/>
      <c r="HE1316"/>
      <c r="HF1316"/>
      <c r="HG1316"/>
      <c r="HH1316"/>
      <c r="HI1316"/>
      <c r="HJ1316"/>
      <c r="HK1316"/>
      <c r="HL1316"/>
      <c r="HM1316"/>
      <c r="HN1316"/>
      <c r="HO1316"/>
      <c r="HP1316"/>
      <c r="HQ1316"/>
      <c r="HR1316"/>
      <c r="HS1316"/>
      <c r="HT1316"/>
      <c r="HU1316"/>
      <c r="HV1316"/>
      <c r="HW1316"/>
      <c r="HX1316"/>
      <c r="HY1316"/>
      <c r="HZ1316"/>
      <c r="IA1316"/>
      <c r="IB1316"/>
      <c r="IC1316"/>
      <c r="ID1316"/>
      <c r="IE1316"/>
      <c r="IF1316"/>
      <c r="IG1316"/>
      <c r="IH1316"/>
      <c r="II1316"/>
      <c r="IJ1316"/>
      <c r="IK1316"/>
      <c r="IL1316"/>
      <c r="IM1316"/>
      <c r="IN1316"/>
      <c r="IO1316"/>
      <c r="IP1316"/>
      <c r="IQ1316"/>
      <c r="IR1316"/>
      <c r="IS1316"/>
      <c r="IT1316"/>
      <c r="IU1316"/>
      <c r="IV1316"/>
    </row>
    <row r="1317" spans="1:256" ht="11.25" customHeight="1">
      <c r="A1317" s="448" t="s">
        <v>1922</v>
      </c>
      <c r="B1317" s="448" t="s">
        <v>410</v>
      </c>
      <c r="C1317" s="448">
        <v>1</v>
      </c>
      <c r="D1317" s="448">
        <v>1</v>
      </c>
      <c r="E1317" s="482" t="s">
        <v>1923</v>
      </c>
      <c r="F1317" s="482"/>
      <c r="G1317" s="482"/>
      <c r="H1317" s="482"/>
      <c r="I1317" s="482"/>
      <c r="J1317" s="449"/>
      <c r="K1317" s="451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  <c r="DL1317"/>
      <c r="DM1317"/>
      <c r="DN1317"/>
      <c r="DO1317"/>
      <c r="DP1317"/>
      <c r="DQ1317"/>
      <c r="DR1317"/>
      <c r="DS1317"/>
      <c r="DT1317"/>
      <c r="DU1317"/>
      <c r="DV1317"/>
      <c r="DW1317"/>
      <c r="DX1317"/>
      <c r="DY1317"/>
      <c r="DZ1317"/>
      <c r="EA1317"/>
      <c r="EB1317"/>
      <c r="EC1317"/>
      <c r="ED1317"/>
      <c r="EE1317"/>
      <c r="EF1317"/>
      <c r="EG1317"/>
      <c r="EH1317"/>
      <c r="EI1317"/>
      <c r="EJ1317"/>
      <c r="EK1317"/>
      <c r="EL1317"/>
      <c r="EM1317"/>
      <c r="EN1317"/>
      <c r="EO1317"/>
      <c r="EP1317"/>
      <c r="EQ1317"/>
      <c r="ER1317"/>
      <c r="ES1317"/>
      <c r="ET1317"/>
      <c r="EU1317"/>
      <c r="EV1317"/>
      <c r="EW1317"/>
      <c r="EX1317"/>
      <c r="EY1317"/>
      <c r="EZ1317"/>
      <c r="FA1317"/>
      <c r="FB1317"/>
      <c r="FC1317"/>
      <c r="FD1317"/>
      <c r="FE1317"/>
      <c r="FF1317"/>
      <c r="FG1317"/>
      <c r="FH1317"/>
      <c r="FI1317"/>
      <c r="FJ1317"/>
      <c r="FK1317"/>
      <c r="FL1317"/>
      <c r="FM1317"/>
      <c r="FN1317"/>
      <c r="FO1317"/>
      <c r="FP1317"/>
      <c r="FQ1317"/>
      <c r="FR1317"/>
      <c r="FS1317"/>
      <c r="FT1317"/>
      <c r="FU1317"/>
      <c r="FV1317"/>
      <c r="FW1317"/>
      <c r="FX1317"/>
      <c r="FY1317"/>
      <c r="FZ1317"/>
      <c r="GA1317"/>
      <c r="GB1317"/>
      <c r="GC1317"/>
      <c r="GD1317"/>
      <c r="GE1317"/>
      <c r="GF1317"/>
      <c r="GG1317"/>
      <c r="GH1317"/>
      <c r="GI1317"/>
      <c r="GJ1317"/>
      <c r="GK1317"/>
      <c r="GL1317"/>
      <c r="GM1317"/>
      <c r="GN1317"/>
      <c r="GO1317"/>
      <c r="GP1317"/>
      <c r="GQ1317"/>
      <c r="GR1317"/>
      <c r="GS1317"/>
      <c r="GT1317"/>
      <c r="GU1317"/>
      <c r="GV1317"/>
      <c r="GW1317"/>
      <c r="GX1317"/>
      <c r="GY1317"/>
      <c r="GZ1317"/>
      <c r="HA1317"/>
      <c r="HB1317"/>
      <c r="HC1317"/>
      <c r="HD1317"/>
      <c r="HE1317"/>
      <c r="HF1317"/>
      <c r="HG1317"/>
      <c r="HH1317"/>
      <c r="HI1317"/>
      <c r="HJ1317"/>
      <c r="HK1317"/>
      <c r="HL1317"/>
      <c r="HM1317"/>
      <c r="HN1317"/>
      <c r="HO1317"/>
      <c r="HP1317"/>
      <c r="HQ1317"/>
      <c r="HR1317"/>
      <c r="HS1317"/>
      <c r="HT1317"/>
      <c r="HU1317"/>
      <c r="HV1317"/>
      <c r="HW1317"/>
      <c r="HX1317"/>
      <c r="HY1317"/>
      <c r="HZ1317"/>
      <c r="IA1317"/>
      <c r="IB1317"/>
      <c r="IC1317"/>
      <c r="ID1317"/>
      <c r="IE1317"/>
      <c r="IF1317"/>
      <c r="IG1317"/>
      <c r="IH1317"/>
      <c r="II1317"/>
      <c r="IJ1317"/>
      <c r="IK1317"/>
      <c r="IL1317"/>
      <c r="IM1317"/>
      <c r="IN1317"/>
      <c r="IO1317"/>
      <c r="IP1317"/>
      <c r="IQ1317"/>
      <c r="IR1317"/>
      <c r="IS1317"/>
      <c r="IT1317"/>
      <c r="IU1317"/>
      <c r="IV1317"/>
    </row>
    <row r="1318" spans="1:256" ht="11.25" customHeight="1">
      <c r="A1318" s="454" t="s">
        <v>1924</v>
      </c>
      <c r="B1318" s="448" t="s">
        <v>410</v>
      </c>
      <c r="C1318" s="454">
        <v>1</v>
      </c>
      <c r="D1318" s="454">
        <v>1</v>
      </c>
      <c r="E1318" s="481" t="s">
        <v>1925</v>
      </c>
      <c r="F1318" s="481"/>
      <c r="G1318" s="481"/>
      <c r="H1318" s="481"/>
      <c r="I1318" s="481"/>
      <c r="J1318" s="455"/>
      <c r="K1318" s="451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  <c r="DL1318"/>
      <c r="DM1318"/>
      <c r="DN1318"/>
      <c r="DO1318"/>
      <c r="DP1318"/>
      <c r="DQ1318"/>
      <c r="DR1318"/>
      <c r="DS1318"/>
      <c r="DT1318"/>
      <c r="DU1318"/>
      <c r="DV1318"/>
      <c r="DW1318"/>
      <c r="DX1318"/>
      <c r="DY1318"/>
      <c r="DZ1318"/>
      <c r="EA1318"/>
      <c r="EB1318"/>
      <c r="EC1318"/>
      <c r="ED1318"/>
      <c r="EE1318"/>
      <c r="EF1318"/>
      <c r="EG1318"/>
      <c r="EH1318"/>
      <c r="EI1318"/>
      <c r="EJ1318"/>
      <c r="EK1318"/>
      <c r="EL1318"/>
      <c r="EM1318"/>
      <c r="EN1318"/>
      <c r="EO1318"/>
      <c r="EP1318"/>
      <c r="EQ1318"/>
      <c r="ER1318"/>
      <c r="ES1318"/>
      <c r="ET1318"/>
      <c r="EU1318"/>
      <c r="EV1318"/>
      <c r="EW1318"/>
      <c r="EX1318"/>
      <c r="EY1318"/>
      <c r="EZ1318"/>
      <c r="FA1318"/>
      <c r="FB1318"/>
      <c r="FC1318"/>
      <c r="FD1318"/>
      <c r="FE1318"/>
      <c r="FF1318"/>
      <c r="FG1318"/>
      <c r="FH1318"/>
      <c r="FI1318"/>
      <c r="FJ1318"/>
      <c r="FK1318"/>
      <c r="FL1318"/>
      <c r="FM1318"/>
      <c r="FN1318"/>
      <c r="FO1318"/>
      <c r="FP1318"/>
      <c r="FQ1318"/>
      <c r="FR1318"/>
      <c r="FS1318"/>
      <c r="FT1318"/>
      <c r="FU1318"/>
      <c r="FV1318"/>
      <c r="FW1318"/>
      <c r="FX1318"/>
      <c r="FY1318"/>
      <c r="FZ1318"/>
      <c r="GA1318"/>
      <c r="GB1318"/>
      <c r="GC1318"/>
      <c r="GD1318"/>
      <c r="GE1318"/>
      <c r="GF1318"/>
      <c r="GG1318"/>
      <c r="GH1318"/>
      <c r="GI1318"/>
      <c r="GJ1318"/>
      <c r="GK1318"/>
      <c r="GL1318"/>
      <c r="GM1318"/>
      <c r="GN1318"/>
      <c r="GO1318"/>
      <c r="GP1318"/>
      <c r="GQ1318"/>
      <c r="GR1318"/>
      <c r="GS1318"/>
      <c r="GT1318"/>
      <c r="GU1318"/>
      <c r="GV1318"/>
      <c r="GW1318"/>
      <c r="GX1318"/>
      <c r="GY1318"/>
      <c r="GZ1318"/>
      <c r="HA1318"/>
      <c r="HB1318"/>
      <c r="HC1318"/>
      <c r="HD1318"/>
      <c r="HE1318"/>
      <c r="HF1318"/>
      <c r="HG1318"/>
      <c r="HH1318"/>
      <c r="HI1318"/>
      <c r="HJ1318"/>
      <c r="HK1318"/>
      <c r="HL1318"/>
      <c r="HM1318"/>
      <c r="HN1318"/>
      <c r="HO1318"/>
      <c r="HP1318"/>
      <c r="HQ1318"/>
      <c r="HR1318"/>
      <c r="HS1318"/>
      <c r="HT1318"/>
      <c r="HU1318"/>
      <c r="HV1318"/>
      <c r="HW1318"/>
      <c r="HX1318"/>
      <c r="HY1318"/>
      <c r="HZ1318"/>
      <c r="IA1318"/>
      <c r="IB1318"/>
      <c r="IC1318"/>
      <c r="ID1318"/>
      <c r="IE1318"/>
      <c r="IF1318"/>
      <c r="IG1318"/>
      <c r="IH1318"/>
      <c r="II1318"/>
      <c r="IJ1318"/>
      <c r="IK1318"/>
      <c r="IL1318"/>
      <c r="IM1318"/>
      <c r="IN1318"/>
      <c r="IO1318"/>
      <c r="IP1318"/>
      <c r="IQ1318"/>
      <c r="IR1318"/>
      <c r="IS1318"/>
      <c r="IT1318"/>
      <c r="IU1318"/>
      <c r="IV1318"/>
    </row>
    <row r="1319" spans="1:256" ht="11.25" customHeight="1">
      <c r="A1319" s="448" t="s">
        <v>1926</v>
      </c>
      <c r="B1319" s="448" t="s">
        <v>410</v>
      </c>
      <c r="C1319" s="454">
        <v>2</v>
      </c>
      <c r="D1319" s="454" t="s">
        <v>348</v>
      </c>
      <c r="E1319" s="481" t="s">
        <v>1927</v>
      </c>
      <c r="F1319" s="481"/>
      <c r="G1319" s="481"/>
      <c r="H1319" s="481"/>
      <c r="I1319" s="481"/>
      <c r="J1319" s="455" t="s">
        <v>1928</v>
      </c>
      <c r="K1319" s="451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  <c r="DL1319"/>
      <c r="DM1319"/>
      <c r="DN1319"/>
      <c r="DO1319"/>
      <c r="DP1319"/>
      <c r="DQ1319"/>
      <c r="DR1319"/>
      <c r="DS1319"/>
      <c r="DT1319"/>
      <c r="DU1319"/>
      <c r="DV1319"/>
      <c r="DW1319"/>
      <c r="DX1319"/>
      <c r="DY1319"/>
      <c r="DZ1319"/>
      <c r="EA1319"/>
      <c r="EB1319"/>
      <c r="EC1319"/>
      <c r="ED1319"/>
      <c r="EE1319"/>
      <c r="EF1319"/>
      <c r="EG1319"/>
      <c r="EH1319"/>
      <c r="EI1319"/>
      <c r="EJ1319"/>
      <c r="EK1319"/>
      <c r="EL1319"/>
      <c r="EM1319"/>
      <c r="EN1319"/>
      <c r="EO1319"/>
      <c r="EP1319"/>
      <c r="EQ1319"/>
      <c r="ER1319"/>
      <c r="ES1319"/>
      <c r="ET1319"/>
      <c r="EU1319"/>
      <c r="EV1319"/>
      <c r="EW1319"/>
      <c r="EX1319"/>
      <c r="EY1319"/>
      <c r="EZ1319"/>
      <c r="FA1319"/>
      <c r="FB1319"/>
      <c r="FC1319"/>
      <c r="FD1319"/>
      <c r="FE1319"/>
      <c r="FF1319"/>
      <c r="FG1319"/>
      <c r="FH1319"/>
      <c r="FI1319"/>
      <c r="FJ1319"/>
      <c r="FK1319"/>
      <c r="FL1319"/>
      <c r="FM1319"/>
      <c r="FN1319"/>
      <c r="FO1319"/>
      <c r="FP1319"/>
      <c r="FQ1319"/>
      <c r="FR1319"/>
      <c r="FS1319"/>
      <c r="FT1319"/>
      <c r="FU1319"/>
      <c r="FV1319"/>
      <c r="FW1319"/>
      <c r="FX1319"/>
      <c r="FY1319"/>
      <c r="FZ1319"/>
      <c r="GA1319"/>
      <c r="GB1319"/>
      <c r="GC1319"/>
      <c r="GD1319"/>
      <c r="GE1319"/>
      <c r="GF1319"/>
      <c r="GG1319"/>
      <c r="GH1319"/>
      <c r="GI1319"/>
      <c r="GJ1319"/>
      <c r="GK1319"/>
      <c r="GL1319"/>
      <c r="GM1319"/>
      <c r="GN1319"/>
      <c r="GO1319"/>
      <c r="GP1319"/>
      <c r="GQ1319"/>
      <c r="GR1319"/>
      <c r="GS1319"/>
      <c r="GT1319"/>
      <c r="GU1319"/>
      <c r="GV1319"/>
      <c r="GW1319"/>
      <c r="GX1319"/>
      <c r="GY1319"/>
      <c r="GZ1319"/>
      <c r="HA1319"/>
      <c r="HB1319"/>
      <c r="HC1319"/>
      <c r="HD1319"/>
      <c r="HE1319"/>
      <c r="HF1319"/>
      <c r="HG1319"/>
      <c r="HH1319"/>
      <c r="HI1319"/>
      <c r="HJ1319"/>
      <c r="HK1319"/>
      <c r="HL1319"/>
      <c r="HM1319"/>
      <c r="HN1319"/>
      <c r="HO1319"/>
      <c r="HP1319"/>
      <c r="HQ1319"/>
      <c r="HR1319"/>
      <c r="HS1319"/>
      <c r="HT1319"/>
      <c r="HU1319"/>
      <c r="HV1319"/>
      <c r="HW1319"/>
      <c r="HX1319"/>
      <c r="HY1319"/>
      <c r="HZ1319"/>
      <c r="IA1319"/>
      <c r="IB1319"/>
      <c r="IC1319"/>
      <c r="ID1319"/>
      <c r="IE1319"/>
      <c r="IF1319"/>
      <c r="IG1319"/>
      <c r="IH1319"/>
      <c r="II1319"/>
      <c r="IJ1319"/>
      <c r="IK1319"/>
      <c r="IL1319"/>
      <c r="IM1319"/>
      <c r="IN1319"/>
      <c r="IO1319"/>
      <c r="IP1319"/>
      <c r="IQ1319"/>
      <c r="IR1319"/>
      <c r="IS1319"/>
      <c r="IT1319"/>
      <c r="IU1319"/>
      <c r="IV1319"/>
    </row>
    <row r="1320" spans="1:256" ht="11.25" customHeight="1">
      <c r="A1320" s="448" t="s">
        <v>1929</v>
      </c>
      <c r="B1320" s="448" t="s">
        <v>410</v>
      </c>
      <c r="C1320" s="454">
        <v>2</v>
      </c>
      <c r="D1320" s="448">
        <v>1</v>
      </c>
      <c r="E1320" s="482" t="s">
        <v>1930</v>
      </c>
      <c r="F1320" s="482"/>
      <c r="G1320" s="482"/>
      <c r="H1320" s="482"/>
      <c r="I1320" s="482"/>
      <c r="J1320" s="449"/>
      <c r="K1320" s="451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  <c r="DL1320"/>
      <c r="DM1320"/>
      <c r="DN1320"/>
      <c r="DO1320"/>
      <c r="DP1320"/>
      <c r="DQ1320"/>
      <c r="DR1320"/>
      <c r="DS1320"/>
      <c r="DT1320"/>
      <c r="DU1320"/>
      <c r="DV1320"/>
      <c r="DW1320"/>
      <c r="DX1320"/>
      <c r="DY1320"/>
      <c r="DZ1320"/>
      <c r="EA1320"/>
      <c r="EB1320"/>
      <c r="EC1320"/>
      <c r="ED1320"/>
      <c r="EE1320"/>
      <c r="EF1320"/>
      <c r="EG1320"/>
      <c r="EH1320"/>
      <c r="EI1320"/>
      <c r="EJ1320"/>
      <c r="EK1320"/>
      <c r="EL1320"/>
      <c r="EM1320"/>
      <c r="EN1320"/>
      <c r="EO1320"/>
      <c r="EP1320"/>
      <c r="EQ1320"/>
      <c r="ER1320"/>
      <c r="ES1320"/>
      <c r="ET1320"/>
      <c r="EU1320"/>
      <c r="EV1320"/>
      <c r="EW1320"/>
      <c r="EX1320"/>
      <c r="EY1320"/>
      <c r="EZ1320"/>
      <c r="FA1320"/>
      <c r="FB1320"/>
      <c r="FC1320"/>
      <c r="FD1320"/>
      <c r="FE1320"/>
      <c r="FF1320"/>
      <c r="FG1320"/>
      <c r="FH1320"/>
      <c r="FI1320"/>
      <c r="FJ1320"/>
      <c r="FK1320"/>
      <c r="FL1320"/>
      <c r="FM1320"/>
      <c r="FN1320"/>
      <c r="FO1320"/>
      <c r="FP1320"/>
      <c r="FQ1320"/>
      <c r="FR1320"/>
      <c r="FS1320"/>
      <c r="FT1320"/>
      <c r="FU1320"/>
      <c r="FV1320"/>
      <c r="FW1320"/>
      <c r="FX1320"/>
      <c r="FY1320"/>
      <c r="FZ1320"/>
      <c r="GA1320"/>
      <c r="GB1320"/>
      <c r="GC1320"/>
      <c r="GD1320"/>
      <c r="GE1320"/>
      <c r="GF1320"/>
      <c r="GG1320"/>
      <c r="GH1320"/>
      <c r="GI1320"/>
      <c r="GJ1320"/>
      <c r="GK1320"/>
      <c r="GL1320"/>
      <c r="GM1320"/>
      <c r="GN1320"/>
      <c r="GO1320"/>
      <c r="GP1320"/>
      <c r="GQ1320"/>
      <c r="GR1320"/>
      <c r="GS1320"/>
      <c r="GT1320"/>
      <c r="GU1320"/>
      <c r="GV1320"/>
      <c r="GW1320"/>
      <c r="GX1320"/>
      <c r="GY1320"/>
      <c r="GZ1320"/>
      <c r="HA1320"/>
      <c r="HB1320"/>
      <c r="HC1320"/>
      <c r="HD1320"/>
      <c r="HE1320"/>
      <c r="HF1320"/>
      <c r="HG1320"/>
      <c r="HH1320"/>
      <c r="HI1320"/>
      <c r="HJ1320"/>
      <c r="HK1320"/>
      <c r="HL1320"/>
      <c r="HM1320"/>
      <c r="HN1320"/>
      <c r="HO1320"/>
      <c r="HP1320"/>
      <c r="HQ1320"/>
      <c r="HR1320"/>
      <c r="HS1320"/>
      <c r="HT1320"/>
      <c r="HU1320"/>
      <c r="HV1320"/>
      <c r="HW1320"/>
      <c r="HX1320"/>
      <c r="HY1320"/>
      <c r="HZ1320"/>
      <c r="IA1320"/>
      <c r="IB1320"/>
      <c r="IC1320"/>
      <c r="ID1320"/>
      <c r="IE1320"/>
      <c r="IF1320"/>
      <c r="IG1320"/>
      <c r="IH1320"/>
      <c r="II1320"/>
      <c r="IJ1320"/>
      <c r="IK1320"/>
      <c r="IL1320"/>
      <c r="IM1320"/>
      <c r="IN1320"/>
      <c r="IO1320"/>
      <c r="IP1320"/>
      <c r="IQ1320"/>
      <c r="IR1320"/>
      <c r="IS1320"/>
      <c r="IT1320"/>
      <c r="IU1320"/>
      <c r="IV1320"/>
    </row>
    <row r="1321" spans="1:256" ht="11.25" customHeight="1">
      <c r="A1321" s="448" t="s">
        <v>1931</v>
      </c>
      <c r="B1321" s="448" t="s">
        <v>410</v>
      </c>
      <c r="C1321" s="454">
        <v>2</v>
      </c>
      <c r="D1321" s="448">
        <v>1</v>
      </c>
      <c r="E1321" s="482" t="s">
        <v>1932</v>
      </c>
      <c r="F1321" s="482"/>
      <c r="G1321" s="482"/>
      <c r="H1321" s="482"/>
      <c r="I1321" s="482"/>
      <c r="J1321" s="449"/>
      <c r="K1321" s="45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  <c r="DL1321"/>
      <c r="DM1321"/>
      <c r="DN1321"/>
      <c r="DO1321"/>
      <c r="DP1321"/>
      <c r="DQ1321"/>
      <c r="DR1321"/>
      <c r="DS1321"/>
      <c r="DT1321"/>
      <c r="DU1321"/>
      <c r="DV1321"/>
      <c r="DW1321"/>
      <c r="DX1321"/>
      <c r="DY1321"/>
      <c r="DZ1321"/>
      <c r="EA1321"/>
      <c r="EB1321"/>
      <c r="EC1321"/>
      <c r="ED1321"/>
      <c r="EE1321"/>
      <c r="EF1321"/>
      <c r="EG1321"/>
      <c r="EH1321"/>
      <c r="EI1321"/>
      <c r="EJ1321"/>
      <c r="EK1321"/>
      <c r="EL1321"/>
      <c r="EM1321"/>
      <c r="EN1321"/>
      <c r="EO1321"/>
      <c r="EP1321"/>
      <c r="EQ1321"/>
      <c r="ER1321"/>
      <c r="ES1321"/>
      <c r="ET1321"/>
      <c r="EU1321"/>
      <c r="EV1321"/>
      <c r="EW1321"/>
      <c r="EX1321"/>
      <c r="EY1321"/>
      <c r="EZ1321"/>
      <c r="FA1321"/>
      <c r="FB1321"/>
      <c r="FC1321"/>
      <c r="FD1321"/>
      <c r="FE1321"/>
      <c r="FF1321"/>
      <c r="FG1321"/>
      <c r="FH1321"/>
      <c r="FI1321"/>
      <c r="FJ1321"/>
      <c r="FK1321"/>
      <c r="FL1321"/>
      <c r="FM1321"/>
      <c r="FN1321"/>
      <c r="FO1321"/>
      <c r="FP1321"/>
      <c r="FQ1321"/>
      <c r="FR1321"/>
      <c r="FS1321"/>
      <c r="FT1321"/>
      <c r="FU1321"/>
      <c r="FV1321"/>
      <c r="FW1321"/>
      <c r="FX1321"/>
      <c r="FY1321"/>
      <c r="FZ1321"/>
      <c r="GA1321"/>
      <c r="GB1321"/>
      <c r="GC1321"/>
      <c r="GD1321"/>
      <c r="GE1321"/>
      <c r="GF1321"/>
      <c r="GG1321"/>
      <c r="GH1321"/>
      <c r="GI1321"/>
      <c r="GJ1321"/>
      <c r="GK1321"/>
      <c r="GL1321"/>
      <c r="GM1321"/>
      <c r="GN1321"/>
      <c r="GO1321"/>
      <c r="GP1321"/>
      <c r="GQ1321"/>
      <c r="GR1321"/>
      <c r="GS1321"/>
      <c r="GT1321"/>
      <c r="GU1321"/>
      <c r="GV1321"/>
      <c r="GW1321"/>
      <c r="GX1321"/>
      <c r="GY1321"/>
      <c r="GZ1321"/>
      <c r="HA1321"/>
      <c r="HB1321"/>
      <c r="HC1321"/>
      <c r="HD1321"/>
      <c r="HE1321"/>
      <c r="HF1321"/>
      <c r="HG1321"/>
      <c r="HH1321"/>
      <c r="HI1321"/>
      <c r="HJ1321"/>
      <c r="HK1321"/>
      <c r="HL1321"/>
      <c r="HM1321"/>
      <c r="HN1321"/>
      <c r="HO1321"/>
      <c r="HP1321"/>
      <c r="HQ1321"/>
      <c r="HR1321"/>
      <c r="HS1321"/>
      <c r="HT1321"/>
      <c r="HU1321"/>
      <c r="HV1321"/>
      <c r="HW1321"/>
      <c r="HX1321"/>
      <c r="HY1321"/>
      <c r="HZ1321"/>
      <c r="IA1321"/>
      <c r="IB1321"/>
      <c r="IC1321"/>
      <c r="ID1321"/>
      <c r="IE1321"/>
      <c r="IF1321"/>
      <c r="IG1321"/>
      <c r="IH1321"/>
      <c r="II1321"/>
      <c r="IJ1321"/>
      <c r="IK1321"/>
      <c r="IL1321"/>
      <c r="IM1321"/>
      <c r="IN1321"/>
      <c r="IO1321"/>
      <c r="IP1321"/>
      <c r="IQ1321"/>
      <c r="IR1321"/>
      <c r="IS1321"/>
      <c r="IT1321"/>
      <c r="IU1321"/>
      <c r="IV1321"/>
    </row>
    <row r="1322" spans="1:256" ht="11.25" customHeight="1">
      <c r="A1322" s="448" t="s">
        <v>1933</v>
      </c>
      <c r="B1322" s="448" t="s">
        <v>410</v>
      </c>
      <c r="C1322" s="454">
        <v>2</v>
      </c>
      <c r="D1322" s="448">
        <v>1</v>
      </c>
      <c r="E1322" s="482" t="s">
        <v>1934</v>
      </c>
      <c r="F1322" s="482"/>
      <c r="G1322" s="482"/>
      <c r="H1322" s="482"/>
      <c r="I1322" s="482"/>
      <c r="J1322" s="449"/>
      <c r="K1322" s="451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  <c r="DL1322"/>
      <c r="DM1322"/>
      <c r="DN1322"/>
      <c r="DO1322"/>
      <c r="DP1322"/>
      <c r="DQ1322"/>
      <c r="DR1322"/>
      <c r="DS1322"/>
      <c r="DT1322"/>
      <c r="DU1322"/>
      <c r="DV1322"/>
      <c r="DW1322"/>
      <c r="DX1322"/>
      <c r="DY1322"/>
      <c r="DZ1322"/>
      <c r="EA1322"/>
      <c r="EB1322"/>
      <c r="EC1322"/>
      <c r="ED1322"/>
      <c r="EE1322"/>
      <c r="EF1322"/>
      <c r="EG1322"/>
      <c r="EH1322"/>
      <c r="EI1322"/>
      <c r="EJ1322"/>
      <c r="EK1322"/>
      <c r="EL1322"/>
      <c r="EM1322"/>
      <c r="EN1322"/>
      <c r="EO1322"/>
      <c r="EP1322"/>
      <c r="EQ1322"/>
      <c r="ER1322"/>
      <c r="ES1322"/>
      <c r="ET1322"/>
      <c r="EU1322"/>
      <c r="EV1322"/>
      <c r="EW1322"/>
      <c r="EX1322"/>
      <c r="EY1322"/>
      <c r="EZ1322"/>
      <c r="FA1322"/>
      <c r="FB1322"/>
      <c r="FC1322"/>
      <c r="FD1322"/>
      <c r="FE1322"/>
      <c r="FF1322"/>
      <c r="FG1322"/>
      <c r="FH1322"/>
      <c r="FI1322"/>
      <c r="FJ1322"/>
      <c r="FK1322"/>
      <c r="FL1322"/>
      <c r="FM1322"/>
      <c r="FN1322"/>
      <c r="FO1322"/>
      <c r="FP1322"/>
      <c r="FQ1322"/>
      <c r="FR1322"/>
      <c r="FS1322"/>
      <c r="FT1322"/>
      <c r="FU1322"/>
      <c r="FV1322"/>
      <c r="FW1322"/>
      <c r="FX1322"/>
      <c r="FY1322"/>
      <c r="FZ1322"/>
      <c r="GA1322"/>
      <c r="GB1322"/>
      <c r="GC1322"/>
      <c r="GD1322"/>
      <c r="GE1322"/>
      <c r="GF1322"/>
      <c r="GG1322"/>
      <c r="GH1322"/>
      <c r="GI1322"/>
      <c r="GJ1322"/>
      <c r="GK1322"/>
      <c r="GL1322"/>
      <c r="GM1322"/>
      <c r="GN1322"/>
      <c r="GO1322"/>
      <c r="GP1322"/>
      <c r="GQ1322"/>
      <c r="GR1322"/>
      <c r="GS1322"/>
      <c r="GT1322"/>
      <c r="GU1322"/>
      <c r="GV1322"/>
      <c r="GW1322"/>
      <c r="GX1322"/>
      <c r="GY1322"/>
      <c r="GZ1322"/>
      <c r="HA1322"/>
      <c r="HB1322"/>
      <c r="HC1322"/>
      <c r="HD1322"/>
      <c r="HE1322"/>
      <c r="HF1322"/>
      <c r="HG1322"/>
      <c r="HH1322"/>
      <c r="HI1322"/>
      <c r="HJ1322"/>
      <c r="HK1322"/>
      <c r="HL1322"/>
      <c r="HM1322"/>
      <c r="HN1322"/>
      <c r="HO1322"/>
      <c r="HP1322"/>
      <c r="HQ1322"/>
      <c r="HR1322"/>
      <c r="HS1322"/>
      <c r="HT1322"/>
      <c r="HU1322"/>
      <c r="HV1322"/>
      <c r="HW1322"/>
      <c r="HX1322"/>
      <c r="HY1322"/>
      <c r="HZ1322"/>
      <c r="IA1322"/>
      <c r="IB1322"/>
      <c r="IC1322"/>
      <c r="ID1322"/>
      <c r="IE1322"/>
      <c r="IF1322"/>
      <c r="IG1322"/>
      <c r="IH1322"/>
      <c r="II1322"/>
      <c r="IJ1322"/>
      <c r="IK1322"/>
      <c r="IL1322"/>
      <c r="IM1322"/>
      <c r="IN1322"/>
      <c r="IO1322"/>
      <c r="IP1322"/>
      <c r="IQ1322"/>
      <c r="IR1322"/>
      <c r="IS1322"/>
      <c r="IT1322"/>
      <c r="IU1322"/>
      <c r="IV1322"/>
    </row>
    <row r="1323" spans="1:256" ht="11.25" customHeight="1">
      <c r="A1323" s="448" t="s">
        <v>1935</v>
      </c>
      <c r="B1323" s="448" t="s">
        <v>410</v>
      </c>
      <c r="C1323" s="454">
        <v>2</v>
      </c>
      <c r="D1323" s="448">
        <v>1</v>
      </c>
      <c r="E1323" s="482" t="s">
        <v>1936</v>
      </c>
      <c r="F1323" s="482"/>
      <c r="G1323" s="482"/>
      <c r="H1323" s="482"/>
      <c r="I1323" s="482"/>
      <c r="J1323" s="449"/>
      <c r="K1323" s="451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  <c r="DL1323"/>
      <c r="DM1323"/>
      <c r="DN1323"/>
      <c r="DO1323"/>
      <c r="DP1323"/>
      <c r="DQ1323"/>
      <c r="DR1323"/>
      <c r="DS1323"/>
      <c r="DT1323"/>
      <c r="DU1323"/>
      <c r="DV1323"/>
      <c r="DW1323"/>
      <c r="DX1323"/>
      <c r="DY1323"/>
      <c r="DZ1323"/>
      <c r="EA1323"/>
      <c r="EB1323"/>
      <c r="EC1323"/>
      <c r="ED1323"/>
      <c r="EE1323"/>
      <c r="EF1323"/>
      <c r="EG1323"/>
      <c r="EH1323"/>
      <c r="EI1323"/>
      <c r="EJ1323"/>
      <c r="EK1323"/>
      <c r="EL1323"/>
      <c r="EM1323"/>
      <c r="EN1323"/>
      <c r="EO1323"/>
      <c r="EP1323"/>
      <c r="EQ1323"/>
      <c r="ER1323"/>
      <c r="ES1323"/>
      <c r="ET1323"/>
      <c r="EU1323"/>
      <c r="EV1323"/>
      <c r="EW1323"/>
      <c r="EX1323"/>
      <c r="EY1323"/>
      <c r="EZ1323"/>
      <c r="FA1323"/>
      <c r="FB1323"/>
      <c r="FC1323"/>
      <c r="FD1323"/>
      <c r="FE1323"/>
      <c r="FF1323"/>
      <c r="FG1323"/>
      <c r="FH1323"/>
      <c r="FI1323"/>
      <c r="FJ1323"/>
      <c r="FK1323"/>
      <c r="FL1323"/>
      <c r="FM1323"/>
      <c r="FN1323"/>
      <c r="FO1323"/>
      <c r="FP1323"/>
      <c r="FQ1323"/>
      <c r="FR1323"/>
      <c r="FS1323"/>
      <c r="FT1323"/>
      <c r="FU1323"/>
      <c r="FV1323"/>
      <c r="FW1323"/>
      <c r="FX1323"/>
      <c r="FY1323"/>
      <c r="FZ1323"/>
      <c r="GA1323"/>
      <c r="GB1323"/>
      <c r="GC1323"/>
      <c r="GD1323"/>
      <c r="GE1323"/>
      <c r="GF1323"/>
      <c r="GG1323"/>
      <c r="GH1323"/>
      <c r="GI1323"/>
      <c r="GJ1323"/>
      <c r="GK1323"/>
      <c r="GL1323"/>
      <c r="GM1323"/>
      <c r="GN1323"/>
      <c r="GO1323"/>
      <c r="GP1323"/>
      <c r="GQ1323"/>
      <c r="GR1323"/>
      <c r="GS1323"/>
      <c r="GT1323"/>
      <c r="GU1323"/>
      <c r="GV1323"/>
      <c r="GW1323"/>
      <c r="GX1323"/>
      <c r="GY1323"/>
      <c r="GZ1323"/>
      <c r="HA1323"/>
      <c r="HB1323"/>
      <c r="HC1323"/>
      <c r="HD1323"/>
      <c r="HE1323"/>
      <c r="HF1323"/>
      <c r="HG1323"/>
      <c r="HH1323"/>
      <c r="HI1323"/>
      <c r="HJ1323"/>
      <c r="HK1323"/>
      <c r="HL1323"/>
      <c r="HM1323"/>
      <c r="HN1323"/>
      <c r="HO1323"/>
      <c r="HP1323"/>
      <c r="HQ1323"/>
      <c r="HR1323"/>
      <c r="HS1323"/>
      <c r="HT1323"/>
      <c r="HU1323"/>
      <c r="HV1323"/>
      <c r="HW1323"/>
      <c r="HX1323"/>
      <c r="HY1323"/>
      <c r="HZ1323"/>
      <c r="IA1323"/>
      <c r="IB1323"/>
      <c r="IC1323"/>
      <c r="ID1323"/>
      <c r="IE1323"/>
      <c r="IF1323"/>
      <c r="IG1323"/>
      <c r="IH1323"/>
      <c r="II1323"/>
      <c r="IJ1323"/>
      <c r="IK1323"/>
      <c r="IL1323"/>
      <c r="IM1323"/>
      <c r="IN1323"/>
      <c r="IO1323"/>
      <c r="IP1323"/>
      <c r="IQ1323"/>
      <c r="IR1323"/>
      <c r="IS1323"/>
      <c r="IT1323"/>
      <c r="IU1323"/>
      <c r="IV1323"/>
    </row>
    <row r="1324" spans="1:12" s="458" customFormat="1" ht="11.25" customHeight="1">
      <c r="A1324" s="454" t="s">
        <v>1937</v>
      </c>
      <c r="B1324" s="454" t="s">
        <v>566</v>
      </c>
      <c r="C1324" s="454">
        <v>1</v>
      </c>
      <c r="D1324" s="454" t="s">
        <v>348</v>
      </c>
      <c r="E1324" s="481" t="s">
        <v>1938</v>
      </c>
      <c r="F1324" s="481"/>
      <c r="G1324" s="481"/>
      <c r="H1324" s="481"/>
      <c r="I1324" s="481"/>
      <c r="J1324" s="455" t="s">
        <v>1939</v>
      </c>
      <c r="K1324" s="451"/>
      <c r="L1324" s="457"/>
    </row>
    <row r="1325" spans="1:256" ht="11.25" customHeight="1">
      <c r="A1325" s="448" t="s">
        <v>1940</v>
      </c>
      <c r="B1325" s="454" t="s">
        <v>1900</v>
      </c>
      <c r="C1325" s="454">
        <v>1</v>
      </c>
      <c r="D1325" s="454" t="s">
        <v>348</v>
      </c>
      <c r="E1325" s="481" t="s">
        <v>1941</v>
      </c>
      <c r="F1325" s="481"/>
      <c r="G1325" s="481"/>
      <c r="H1325" s="481"/>
      <c r="I1325" s="481"/>
      <c r="J1325" s="455"/>
      <c r="K1325" s="458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  <c r="DL1325"/>
      <c r="DM1325"/>
      <c r="DN1325"/>
      <c r="DO1325"/>
      <c r="DP1325"/>
      <c r="DQ1325"/>
      <c r="DR1325"/>
      <c r="DS1325"/>
      <c r="DT1325"/>
      <c r="DU1325"/>
      <c r="DV1325"/>
      <c r="DW1325"/>
      <c r="DX1325"/>
      <c r="DY1325"/>
      <c r="DZ1325"/>
      <c r="EA1325"/>
      <c r="EB1325"/>
      <c r="EC1325"/>
      <c r="ED1325"/>
      <c r="EE1325"/>
      <c r="EF1325"/>
      <c r="EG1325"/>
      <c r="EH1325"/>
      <c r="EI1325"/>
      <c r="EJ1325"/>
      <c r="EK1325"/>
      <c r="EL1325"/>
      <c r="EM1325"/>
      <c r="EN1325"/>
      <c r="EO1325"/>
      <c r="EP1325"/>
      <c r="EQ1325"/>
      <c r="ER1325"/>
      <c r="ES1325"/>
      <c r="ET1325"/>
      <c r="EU1325"/>
      <c r="EV1325"/>
      <c r="EW1325"/>
      <c r="EX1325"/>
      <c r="EY1325"/>
      <c r="EZ1325"/>
      <c r="FA1325"/>
      <c r="FB1325"/>
      <c r="FC1325"/>
      <c r="FD1325"/>
      <c r="FE1325"/>
      <c r="FF1325"/>
      <c r="FG1325"/>
      <c r="FH1325"/>
      <c r="FI1325"/>
      <c r="FJ1325"/>
      <c r="FK1325"/>
      <c r="FL1325"/>
      <c r="FM1325"/>
      <c r="FN1325"/>
      <c r="FO1325"/>
      <c r="FP1325"/>
      <c r="FQ1325"/>
      <c r="FR1325"/>
      <c r="FS1325"/>
      <c r="FT1325"/>
      <c r="FU1325"/>
      <c r="FV1325"/>
      <c r="FW1325"/>
      <c r="FX1325"/>
      <c r="FY1325"/>
      <c r="FZ1325"/>
      <c r="GA1325"/>
      <c r="GB1325"/>
      <c r="GC1325"/>
      <c r="GD1325"/>
      <c r="GE1325"/>
      <c r="GF1325"/>
      <c r="GG1325"/>
      <c r="GH1325"/>
      <c r="GI1325"/>
      <c r="GJ1325"/>
      <c r="GK1325"/>
      <c r="GL1325"/>
      <c r="GM1325"/>
      <c r="GN1325"/>
      <c r="GO1325"/>
      <c r="GP1325"/>
      <c r="GQ1325"/>
      <c r="GR1325"/>
      <c r="GS1325"/>
      <c r="GT1325"/>
      <c r="GU1325"/>
      <c r="GV1325"/>
      <c r="GW1325"/>
      <c r="GX1325"/>
      <c r="GY1325"/>
      <c r="GZ1325"/>
      <c r="HA1325"/>
      <c r="HB1325"/>
      <c r="HC1325"/>
      <c r="HD1325"/>
      <c r="HE1325"/>
      <c r="HF1325"/>
      <c r="HG1325"/>
      <c r="HH1325"/>
      <c r="HI1325"/>
      <c r="HJ1325"/>
      <c r="HK1325"/>
      <c r="HL1325"/>
      <c r="HM1325"/>
      <c r="HN1325"/>
      <c r="HO1325"/>
      <c r="HP1325"/>
      <c r="HQ1325"/>
      <c r="HR1325"/>
      <c r="HS1325"/>
      <c r="HT1325"/>
      <c r="HU1325"/>
      <c r="HV1325"/>
      <c r="HW1325"/>
      <c r="HX1325"/>
      <c r="HY1325"/>
      <c r="HZ1325"/>
      <c r="IA1325"/>
      <c r="IB1325"/>
      <c r="IC1325"/>
      <c r="ID1325"/>
      <c r="IE1325"/>
      <c r="IF1325"/>
      <c r="IG1325"/>
      <c r="IH1325"/>
      <c r="II1325"/>
      <c r="IJ1325"/>
      <c r="IK1325"/>
      <c r="IL1325"/>
      <c r="IM1325"/>
      <c r="IN1325"/>
      <c r="IO1325"/>
      <c r="IP1325"/>
      <c r="IQ1325"/>
      <c r="IR1325"/>
      <c r="IS1325"/>
      <c r="IT1325"/>
      <c r="IU1325"/>
      <c r="IV1325"/>
    </row>
    <row r="1326" spans="1:256" ht="11.25" customHeight="1">
      <c r="A1326" s="448" t="s">
        <v>1942</v>
      </c>
      <c r="B1326" s="448" t="s">
        <v>410</v>
      </c>
      <c r="C1326" s="454">
        <v>1</v>
      </c>
      <c r="D1326" s="454">
        <v>1</v>
      </c>
      <c r="E1326" s="481" t="s">
        <v>1943</v>
      </c>
      <c r="F1326" s="481"/>
      <c r="G1326" s="481"/>
      <c r="H1326" s="481"/>
      <c r="I1326" s="481"/>
      <c r="J1326" s="455"/>
      <c r="K1326" s="451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  <c r="DL1326"/>
      <c r="DM1326"/>
      <c r="DN1326"/>
      <c r="DO1326"/>
      <c r="DP1326"/>
      <c r="DQ1326"/>
      <c r="DR1326"/>
      <c r="DS1326"/>
      <c r="DT1326"/>
      <c r="DU1326"/>
      <c r="DV1326"/>
      <c r="DW1326"/>
      <c r="DX1326"/>
      <c r="DY1326"/>
      <c r="DZ1326"/>
      <c r="EA1326"/>
      <c r="EB1326"/>
      <c r="EC1326"/>
      <c r="ED1326"/>
      <c r="EE1326"/>
      <c r="EF1326"/>
      <c r="EG1326"/>
      <c r="EH1326"/>
      <c r="EI1326"/>
      <c r="EJ1326"/>
      <c r="EK1326"/>
      <c r="EL1326"/>
      <c r="EM1326"/>
      <c r="EN1326"/>
      <c r="EO1326"/>
      <c r="EP1326"/>
      <c r="EQ1326"/>
      <c r="ER1326"/>
      <c r="ES1326"/>
      <c r="ET1326"/>
      <c r="EU1326"/>
      <c r="EV1326"/>
      <c r="EW1326"/>
      <c r="EX1326"/>
      <c r="EY1326"/>
      <c r="EZ1326"/>
      <c r="FA1326"/>
      <c r="FB1326"/>
      <c r="FC1326"/>
      <c r="FD1326"/>
      <c r="FE1326"/>
      <c r="FF1326"/>
      <c r="FG1326"/>
      <c r="FH1326"/>
      <c r="FI1326"/>
      <c r="FJ1326"/>
      <c r="FK1326"/>
      <c r="FL1326"/>
      <c r="FM1326"/>
      <c r="FN1326"/>
      <c r="FO1326"/>
      <c r="FP1326"/>
      <c r="FQ1326"/>
      <c r="FR1326"/>
      <c r="FS1326"/>
      <c r="FT1326"/>
      <c r="FU1326"/>
      <c r="FV1326"/>
      <c r="FW1326"/>
      <c r="FX1326"/>
      <c r="FY1326"/>
      <c r="FZ1326"/>
      <c r="GA1326"/>
      <c r="GB1326"/>
      <c r="GC1326"/>
      <c r="GD1326"/>
      <c r="GE1326"/>
      <c r="GF1326"/>
      <c r="GG1326"/>
      <c r="GH1326"/>
      <c r="GI1326"/>
      <c r="GJ1326"/>
      <c r="GK1326"/>
      <c r="GL1326"/>
      <c r="GM1326"/>
      <c r="GN1326"/>
      <c r="GO1326"/>
      <c r="GP1326"/>
      <c r="GQ1326"/>
      <c r="GR1326"/>
      <c r="GS1326"/>
      <c r="GT1326"/>
      <c r="GU1326"/>
      <c r="GV1326"/>
      <c r="GW1326"/>
      <c r="GX1326"/>
      <c r="GY1326"/>
      <c r="GZ1326"/>
      <c r="HA1326"/>
      <c r="HB1326"/>
      <c r="HC1326"/>
      <c r="HD1326"/>
      <c r="HE1326"/>
      <c r="HF1326"/>
      <c r="HG1326"/>
      <c r="HH1326"/>
      <c r="HI1326"/>
      <c r="HJ1326"/>
      <c r="HK1326"/>
      <c r="HL1326"/>
      <c r="HM1326"/>
      <c r="HN1326"/>
      <c r="HO1326"/>
      <c r="HP1326"/>
      <c r="HQ1326"/>
      <c r="HR1326"/>
      <c r="HS1326"/>
      <c r="HT1326"/>
      <c r="HU1326"/>
      <c r="HV1326"/>
      <c r="HW1326"/>
      <c r="HX1326"/>
      <c r="HY1326"/>
      <c r="HZ1326"/>
      <c r="IA1326"/>
      <c r="IB1326"/>
      <c r="IC1326"/>
      <c r="ID1326"/>
      <c r="IE1326"/>
      <c r="IF1326"/>
      <c r="IG1326"/>
      <c r="IH1326"/>
      <c r="II1326"/>
      <c r="IJ1326"/>
      <c r="IK1326"/>
      <c r="IL1326"/>
      <c r="IM1326"/>
      <c r="IN1326"/>
      <c r="IO1326"/>
      <c r="IP1326"/>
      <c r="IQ1326"/>
      <c r="IR1326"/>
      <c r="IS1326"/>
      <c r="IT1326"/>
      <c r="IU1326"/>
      <c r="IV1326"/>
    </row>
    <row r="1327" spans="1:256" ht="11.25" customHeight="1">
      <c r="A1327" s="448" t="s">
        <v>1944</v>
      </c>
      <c r="B1327" s="448" t="s">
        <v>410</v>
      </c>
      <c r="C1327" s="454">
        <v>1</v>
      </c>
      <c r="D1327" s="454">
        <v>1</v>
      </c>
      <c r="E1327" s="481" t="s">
        <v>1943</v>
      </c>
      <c r="F1327" s="481"/>
      <c r="G1327" s="481"/>
      <c r="H1327" s="481"/>
      <c r="I1327" s="481"/>
      <c r="J1327" s="455"/>
      <c r="K1327" s="451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  <c r="DL1327"/>
      <c r="DM1327"/>
      <c r="DN1327"/>
      <c r="DO1327"/>
      <c r="DP1327"/>
      <c r="DQ1327"/>
      <c r="DR1327"/>
      <c r="DS1327"/>
      <c r="DT1327"/>
      <c r="DU1327"/>
      <c r="DV1327"/>
      <c r="DW1327"/>
      <c r="DX1327"/>
      <c r="DY1327"/>
      <c r="DZ1327"/>
      <c r="EA1327"/>
      <c r="EB1327"/>
      <c r="EC1327"/>
      <c r="ED1327"/>
      <c r="EE1327"/>
      <c r="EF1327"/>
      <c r="EG1327"/>
      <c r="EH1327"/>
      <c r="EI1327"/>
      <c r="EJ1327"/>
      <c r="EK1327"/>
      <c r="EL1327"/>
      <c r="EM1327"/>
      <c r="EN1327"/>
      <c r="EO1327"/>
      <c r="EP1327"/>
      <c r="EQ1327"/>
      <c r="ER1327"/>
      <c r="ES1327"/>
      <c r="ET1327"/>
      <c r="EU1327"/>
      <c r="EV1327"/>
      <c r="EW1327"/>
      <c r="EX1327"/>
      <c r="EY1327"/>
      <c r="EZ1327"/>
      <c r="FA1327"/>
      <c r="FB1327"/>
      <c r="FC1327"/>
      <c r="FD1327"/>
      <c r="FE1327"/>
      <c r="FF1327"/>
      <c r="FG1327"/>
      <c r="FH1327"/>
      <c r="FI1327"/>
      <c r="FJ1327"/>
      <c r="FK1327"/>
      <c r="FL1327"/>
      <c r="FM1327"/>
      <c r="FN1327"/>
      <c r="FO1327"/>
      <c r="FP1327"/>
      <c r="FQ1327"/>
      <c r="FR1327"/>
      <c r="FS1327"/>
      <c r="FT1327"/>
      <c r="FU1327"/>
      <c r="FV1327"/>
      <c r="FW1327"/>
      <c r="FX1327"/>
      <c r="FY1327"/>
      <c r="FZ1327"/>
      <c r="GA1327"/>
      <c r="GB1327"/>
      <c r="GC1327"/>
      <c r="GD1327"/>
      <c r="GE1327"/>
      <c r="GF1327"/>
      <c r="GG1327"/>
      <c r="GH1327"/>
      <c r="GI1327"/>
      <c r="GJ1327"/>
      <c r="GK1327"/>
      <c r="GL1327"/>
      <c r="GM1327"/>
      <c r="GN1327"/>
      <c r="GO1327"/>
      <c r="GP1327"/>
      <c r="GQ1327"/>
      <c r="GR1327"/>
      <c r="GS1327"/>
      <c r="GT1327"/>
      <c r="GU1327"/>
      <c r="GV1327"/>
      <c r="GW1327"/>
      <c r="GX1327"/>
      <c r="GY1327"/>
      <c r="GZ1327"/>
      <c r="HA1327"/>
      <c r="HB1327"/>
      <c r="HC1327"/>
      <c r="HD1327"/>
      <c r="HE1327"/>
      <c r="HF1327"/>
      <c r="HG1327"/>
      <c r="HH1327"/>
      <c r="HI1327"/>
      <c r="HJ1327"/>
      <c r="HK1327"/>
      <c r="HL1327"/>
      <c r="HM1327"/>
      <c r="HN1327"/>
      <c r="HO1327"/>
      <c r="HP1327"/>
      <c r="HQ1327"/>
      <c r="HR1327"/>
      <c r="HS1327"/>
      <c r="HT1327"/>
      <c r="HU1327"/>
      <c r="HV1327"/>
      <c r="HW1327"/>
      <c r="HX1327"/>
      <c r="HY1327"/>
      <c r="HZ1327"/>
      <c r="IA1327"/>
      <c r="IB1327"/>
      <c r="IC1327"/>
      <c r="ID1327"/>
      <c r="IE1327"/>
      <c r="IF1327"/>
      <c r="IG1327"/>
      <c r="IH1327"/>
      <c r="II1327"/>
      <c r="IJ1327"/>
      <c r="IK1327"/>
      <c r="IL1327"/>
      <c r="IM1327"/>
      <c r="IN1327"/>
      <c r="IO1327"/>
      <c r="IP1327"/>
      <c r="IQ1327"/>
      <c r="IR1327"/>
      <c r="IS1327"/>
      <c r="IT1327"/>
      <c r="IU1327"/>
      <c r="IV1327"/>
    </row>
    <row r="1328" spans="1:256" ht="11.25" customHeight="1">
      <c r="A1328" s="448" t="s">
        <v>1945</v>
      </c>
      <c r="B1328" s="448" t="s">
        <v>410</v>
      </c>
      <c r="C1328" s="454">
        <v>1</v>
      </c>
      <c r="D1328" s="454">
        <v>1</v>
      </c>
      <c r="E1328" s="481" t="s">
        <v>1943</v>
      </c>
      <c r="F1328" s="481"/>
      <c r="G1328" s="481"/>
      <c r="H1328" s="481"/>
      <c r="I1328" s="481"/>
      <c r="J1328" s="455"/>
      <c r="K1328" s="451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  <c r="DL1328"/>
      <c r="DM1328"/>
      <c r="DN1328"/>
      <c r="DO1328"/>
      <c r="DP1328"/>
      <c r="DQ1328"/>
      <c r="DR1328"/>
      <c r="DS1328"/>
      <c r="DT1328"/>
      <c r="DU1328"/>
      <c r="DV1328"/>
      <c r="DW1328"/>
      <c r="DX1328"/>
      <c r="DY1328"/>
      <c r="DZ1328"/>
      <c r="EA1328"/>
      <c r="EB1328"/>
      <c r="EC1328"/>
      <c r="ED1328"/>
      <c r="EE1328"/>
      <c r="EF1328"/>
      <c r="EG1328"/>
      <c r="EH1328"/>
      <c r="EI1328"/>
      <c r="EJ1328"/>
      <c r="EK1328"/>
      <c r="EL1328"/>
      <c r="EM1328"/>
      <c r="EN1328"/>
      <c r="EO1328"/>
      <c r="EP1328"/>
      <c r="EQ1328"/>
      <c r="ER1328"/>
      <c r="ES1328"/>
      <c r="ET1328"/>
      <c r="EU1328"/>
      <c r="EV1328"/>
      <c r="EW1328"/>
      <c r="EX1328"/>
      <c r="EY1328"/>
      <c r="EZ1328"/>
      <c r="FA1328"/>
      <c r="FB1328"/>
      <c r="FC1328"/>
      <c r="FD1328"/>
      <c r="FE1328"/>
      <c r="FF1328"/>
      <c r="FG1328"/>
      <c r="FH1328"/>
      <c r="FI1328"/>
      <c r="FJ1328"/>
      <c r="FK1328"/>
      <c r="FL1328"/>
      <c r="FM1328"/>
      <c r="FN1328"/>
      <c r="FO1328"/>
      <c r="FP1328"/>
      <c r="FQ1328"/>
      <c r="FR1328"/>
      <c r="FS1328"/>
      <c r="FT1328"/>
      <c r="FU1328"/>
      <c r="FV1328"/>
      <c r="FW1328"/>
      <c r="FX1328"/>
      <c r="FY1328"/>
      <c r="FZ1328"/>
      <c r="GA1328"/>
      <c r="GB1328"/>
      <c r="GC1328"/>
      <c r="GD1328"/>
      <c r="GE1328"/>
      <c r="GF1328"/>
      <c r="GG1328"/>
      <c r="GH1328"/>
      <c r="GI1328"/>
      <c r="GJ1328"/>
      <c r="GK1328"/>
      <c r="GL1328"/>
      <c r="GM1328"/>
      <c r="GN1328"/>
      <c r="GO1328"/>
      <c r="GP1328"/>
      <c r="GQ1328"/>
      <c r="GR1328"/>
      <c r="GS1328"/>
      <c r="GT1328"/>
      <c r="GU1328"/>
      <c r="GV1328"/>
      <c r="GW1328"/>
      <c r="GX1328"/>
      <c r="GY1328"/>
      <c r="GZ1328"/>
      <c r="HA1328"/>
      <c r="HB1328"/>
      <c r="HC1328"/>
      <c r="HD1328"/>
      <c r="HE1328"/>
      <c r="HF1328"/>
      <c r="HG1328"/>
      <c r="HH1328"/>
      <c r="HI1328"/>
      <c r="HJ1328"/>
      <c r="HK1328"/>
      <c r="HL1328"/>
      <c r="HM1328"/>
      <c r="HN1328"/>
      <c r="HO1328"/>
      <c r="HP1328"/>
      <c r="HQ1328"/>
      <c r="HR1328"/>
      <c r="HS1328"/>
      <c r="HT1328"/>
      <c r="HU1328"/>
      <c r="HV1328"/>
      <c r="HW1328"/>
      <c r="HX1328"/>
      <c r="HY1328"/>
      <c r="HZ1328"/>
      <c r="IA1328"/>
      <c r="IB1328"/>
      <c r="IC1328"/>
      <c r="ID1328"/>
      <c r="IE1328"/>
      <c r="IF1328"/>
      <c r="IG1328"/>
      <c r="IH1328"/>
      <c r="II1328"/>
      <c r="IJ1328"/>
      <c r="IK1328"/>
      <c r="IL1328"/>
      <c r="IM1328"/>
      <c r="IN1328"/>
      <c r="IO1328"/>
      <c r="IP1328"/>
      <c r="IQ1328"/>
      <c r="IR1328"/>
      <c r="IS1328"/>
      <c r="IT1328"/>
      <c r="IU1328"/>
      <c r="IV1328"/>
    </row>
    <row r="1329" spans="1:256" ht="11.25" customHeight="1">
      <c r="A1329" s="448" t="s">
        <v>1946</v>
      </c>
      <c r="B1329" s="448" t="s">
        <v>410</v>
      </c>
      <c r="C1329" s="454">
        <v>1</v>
      </c>
      <c r="D1329" s="454">
        <v>1</v>
      </c>
      <c r="E1329" s="481" t="s">
        <v>1943</v>
      </c>
      <c r="F1329" s="481"/>
      <c r="G1329" s="481"/>
      <c r="H1329" s="481"/>
      <c r="I1329" s="481"/>
      <c r="J1329" s="455"/>
      <c r="K1329" s="451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  <c r="DL1329"/>
      <c r="DM1329"/>
      <c r="DN1329"/>
      <c r="DO1329"/>
      <c r="DP1329"/>
      <c r="DQ1329"/>
      <c r="DR1329"/>
      <c r="DS1329"/>
      <c r="DT1329"/>
      <c r="DU1329"/>
      <c r="DV1329"/>
      <c r="DW1329"/>
      <c r="DX1329"/>
      <c r="DY1329"/>
      <c r="DZ1329"/>
      <c r="EA1329"/>
      <c r="EB1329"/>
      <c r="EC1329"/>
      <c r="ED1329"/>
      <c r="EE1329"/>
      <c r="EF1329"/>
      <c r="EG1329"/>
      <c r="EH1329"/>
      <c r="EI1329"/>
      <c r="EJ1329"/>
      <c r="EK1329"/>
      <c r="EL1329"/>
      <c r="EM1329"/>
      <c r="EN1329"/>
      <c r="EO1329"/>
      <c r="EP1329"/>
      <c r="EQ1329"/>
      <c r="ER1329"/>
      <c r="ES1329"/>
      <c r="ET1329"/>
      <c r="EU1329"/>
      <c r="EV1329"/>
      <c r="EW1329"/>
      <c r="EX1329"/>
      <c r="EY1329"/>
      <c r="EZ1329"/>
      <c r="FA1329"/>
      <c r="FB1329"/>
      <c r="FC1329"/>
      <c r="FD1329"/>
      <c r="FE1329"/>
      <c r="FF1329"/>
      <c r="FG1329"/>
      <c r="FH1329"/>
      <c r="FI1329"/>
      <c r="FJ1329"/>
      <c r="FK1329"/>
      <c r="FL1329"/>
      <c r="FM1329"/>
      <c r="FN1329"/>
      <c r="FO1329"/>
      <c r="FP1329"/>
      <c r="FQ1329"/>
      <c r="FR1329"/>
      <c r="FS1329"/>
      <c r="FT1329"/>
      <c r="FU1329"/>
      <c r="FV1329"/>
      <c r="FW1329"/>
      <c r="FX1329"/>
      <c r="FY1329"/>
      <c r="FZ1329"/>
      <c r="GA1329"/>
      <c r="GB1329"/>
      <c r="GC1329"/>
      <c r="GD1329"/>
      <c r="GE1329"/>
      <c r="GF1329"/>
      <c r="GG1329"/>
      <c r="GH1329"/>
      <c r="GI1329"/>
      <c r="GJ1329"/>
      <c r="GK1329"/>
      <c r="GL1329"/>
      <c r="GM1329"/>
      <c r="GN1329"/>
      <c r="GO1329"/>
      <c r="GP1329"/>
      <c r="GQ1329"/>
      <c r="GR1329"/>
      <c r="GS1329"/>
      <c r="GT1329"/>
      <c r="GU1329"/>
      <c r="GV1329"/>
      <c r="GW1329"/>
      <c r="GX1329"/>
      <c r="GY1329"/>
      <c r="GZ1329"/>
      <c r="HA1329"/>
      <c r="HB1329"/>
      <c r="HC1329"/>
      <c r="HD1329"/>
      <c r="HE1329"/>
      <c r="HF1329"/>
      <c r="HG1329"/>
      <c r="HH1329"/>
      <c r="HI1329"/>
      <c r="HJ1329"/>
      <c r="HK1329"/>
      <c r="HL1329"/>
      <c r="HM1329"/>
      <c r="HN1329"/>
      <c r="HO1329"/>
      <c r="HP1329"/>
      <c r="HQ1329"/>
      <c r="HR1329"/>
      <c r="HS1329"/>
      <c r="HT1329"/>
      <c r="HU1329"/>
      <c r="HV1329"/>
      <c r="HW1329"/>
      <c r="HX1329"/>
      <c r="HY1329"/>
      <c r="HZ1329"/>
      <c r="IA1329"/>
      <c r="IB1329"/>
      <c r="IC1329"/>
      <c r="ID1329"/>
      <c r="IE1329"/>
      <c r="IF1329"/>
      <c r="IG1329"/>
      <c r="IH1329"/>
      <c r="II1329"/>
      <c r="IJ1329"/>
      <c r="IK1329"/>
      <c r="IL1329"/>
      <c r="IM1329"/>
      <c r="IN1329"/>
      <c r="IO1329"/>
      <c r="IP1329"/>
      <c r="IQ1329"/>
      <c r="IR1329"/>
      <c r="IS1329"/>
      <c r="IT1329"/>
      <c r="IU1329"/>
      <c r="IV1329"/>
    </row>
    <row r="1330" spans="1:256" ht="11.25" customHeight="1">
      <c r="A1330" s="448" t="s">
        <v>1947</v>
      </c>
      <c r="B1330" s="448" t="s">
        <v>410</v>
      </c>
      <c r="C1330" s="454">
        <v>1</v>
      </c>
      <c r="D1330" s="454">
        <v>1</v>
      </c>
      <c r="E1330" s="481" t="s">
        <v>1943</v>
      </c>
      <c r="F1330" s="481"/>
      <c r="G1330" s="481"/>
      <c r="H1330" s="481"/>
      <c r="I1330" s="481"/>
      <c r="J1330" s="455"/>
      <c r="K1330" s="451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  <c r="DL1330"/>
      <c r="DM1330"/>
      <c r="DN1330"/>
      <c r="DO1330"/>
      <c r="DP1330"/>
      <c r="DQ1330"/>
      <c r="DR1330"/>
      <c r="DS1330"/>
      <c r="DT1330"/>
      <c r="DU1330"/>
      <c r="DV1330"/>
      <c r="DW1330"/>
      <c r="DX1330"/>
      <c r="DY1330"/>
      <c r="DZ1330"/>
      <c r="EA1330"/>
      <c r="EB1330"/>
      <c r="EC1330"/>
      <c r="ED1330"/>
      <c r="EE1330"/>
      <c r="EF1330"/>
      <c r="EG1330"/>
      <c r="EH1330"/>
      <c r="EI1330"/>
      <c r="EJ1330"/>
      <c r="EK1330"/>
      <c r="EL1330"/>
      <c r="EM1330"/>
      <c r="EN1330"/>
      <c r="EO1330"/>
      <c r="EP1330"/>
      <c r="EQ1330"/>
      <c r="ER1330"/>
      <c r="ES1330"/>
      <c r="ET1330"/>
      <c r="EU1330"/>
      <c r="EV1330"/>
      <c r="EW1330"/>
      <c r="EX1330"/>
      <c r="EY1330"/>
      <c r="EZ1330"/>
      <c r="FA1330"/>
      <c r="FB1330"/>
      <c r="FC1330"/>
      <c r="FD1330"/>
      <c r="FE1330"/>
      <c r="FF1330"/>
      <c r="FG1330"/>
      <c r="FH1330"/>
      <c r="FI1330"/>
      <c r="FJ1330"/>
      <c r="FK1330"/>
      <c r="FL1330"/>
      <c r="FM1330"/>
      <c r="FN1330"/>
      <c r="FO1330"/>
      <c r="FP1330"/>
      <c r="FQ1330"/>
      <c r="FR1330"/>
      <c r="FS1330"/>
      <c r="FT1330"/>
      <c r="FU1330"/>
      <c r="FV1330"/>
      <c r="FW1330"/>
      <c r="FX1330"/>
      <c r="FY1330"/>
      <c r="FZ1330"/>
      <c r="GA1330"/>
      <c r="GB1330"/>
      <c r="GC1330"/>
      <c r="GD1330"/>
      <c r="GE1330"/>
      <c r="GF1330"/>
      <c r="GG1330"/>
      <c r="GH1330"/>
      <c r="GI1330"/>
      <c r="GJ1330"/>
      <c r="GK1330"/>
      <c r="GL1330"/>
      <c r="GM1330"/>
      <c r="GN1330"/>
      <c r="GO1330"/>
      <c r="GP1330"/>
      <c r="GQ1330"/>
      <c r="GR1330"/>
      <c r="GS1330"/>
      <c r="GT1330"/>
      <c r="GU1330"/>
      <c r="GV1330"/>
      <c r="GW1330"/>
      <c r="GX1330"/>
      <c r="GY1330"/>
      <c r="GZ1330"/>
      <c r="HA1330"/>
      <c r="HB1330"/>
      <c r="HC1330"/>
      <c r="HD1330"/>
      <c r="HE1330"/>
      <c r="HF1330"/>
      <c r="HG1330"/>
      <c r="HH1330"/>
      <c r="HI1330"/>
      <c r="HJ1330"/>
      <c r="HK1330"/>
      <c r="HL1330"/>
      <c r="HM1330"/>
      <c r="HN1330"/>
      <c r="HO1330"/>
      <c r="HP1330"/>
      <c r="HQ1330"/>
      <c r="HR1330"/>
      <c r="HS1330"/>
      <c r="HT1330"/>
      <c r="HU1330"/>
      <c r="HV1330"/>
      <c r="HW1330"/>
      <c r="HX1330"/>
      <c r="HY1330"/>
      <c r="HZ1330"/>
      <c r="IA1330"/>
      <c r="IB1330"/>
      <c r="IC1330"/>
      <c r="ID1330"/>
      <c r="IE1330"/>
      <c r="IF1330"/>
      <c r="IG1330"/>
      <c r="IH1330"/>
      <c r="II1330"/>
      <c r="IJ1330"/>
      <c r="IK1330"/>
      <c r="IL1330"/>
      <c r="IM1330"/>
      <c r="IN1330"/>
      <c r="IO1330"/>
      <c r="IP1330"/>
      <c r="IQ1330"/>
      <c r="IR1330"/>
      <c r="IS1330"/>
      <c r="IT1330"/>
      <c r="IU1330"/>
      <c r="IV1330"/>
    </row>
    <row r="1331" spans="1:256" ht="11.25" customHeight="1">
      <c r="A1331" s="448" t="s">
        <v>1948</v>
      </c>
      <c r="B1331" s="448" t="s">
        <v>410</v>
      </c>
      <c r="C1331" s="454">
        <v>1</v>
      </c>
      <c r="D1331" s="454">
        <v>1</v>
      </c>
      <c r="E1331" s="481" t="s">
        <v>1943</v>
      </c>
      <c r="F1331" s="481"/>
      <c r="G1331" s="481"/>
      <c r="H1331" s="481"/>
      <c r="I1331" s="481"/>
      <c r="J1331" s="455"/>
      <c r="K1331" s="45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  <c r="DL1331"/>
      <c r="DM1331"/>
      <c r="DN1331"/>
      <c r="DO1331"/>
      <c r="DP1331"/>
      <c r="DQ1331"/>
      <c r="DR1331"/>
      <c r="DS1331"/>
      <c r="DT1331"/>
      <c r="DU1331"/>
      <c r="DV1331"/>
      <c r="DW1331"/>
      <c r="DX1331"/>
      <c r="DY1331"/>
      <c r="DZ1331"/>
      <c r="EA1331"/>
      <c r="EB1331"/>
      <c r="EC1331"/>
      <c r="ED1331"/>
      <c r="EE1331"/>
      <c r="EF1331"/>
      <c r="EG1331"/>
      <c r="EH1331"/>
      <c r="EI1331"/>
      <c r="EJ1331"/>
      <c r="EK1331"/>
      <c r="EL1331"/>
      <c r="EM1331"/>
      <c r="EN1331"/>
      <c r="EO1331"/>
      <c r="EP1331"/>
      <c r="EQ1331"/>
      <c r="ER1331"/>
      <c r="ES1331"/>
      <c r="ET1331"/>
      <c r="EU1331"/>
      <c r="EV1331"/>
      <c r="EW1331"/>
      <c r="EX1331"/>
      <c r="EY1331"/>
      <c r="EZ1331"/>
      <c r="FA1331"/>
      <c r="FB1331"/>
      <c r="FC1331"/>
      <c r="FD1331"/>
      <c r="FE1331"/>
      <c r="FF1331"/>
      <c r="FG1331"/>
      <c r="FH1331"/>
      <c r="FI1331"/>
      <c r="FJ1331"/>
      <c r="FK1331"/>
      <c r="FL1331"/>
      <c r="FM1331"/>
      <c r="FN1331"/>
      <c r="FO1331"/>
      <c r="FP1331"/>
      <c r="FQ1331"/>
      <c r="FR1331"/>
      <c r="FS1331"/>
      <c r="FT1331"/>
      <c r="FU1331"/>
      <c r="FV1331"/>
      <c r="FW1331"/>
      <c r="FX1331"/>
      <c r="FY1331"/>
      <c r="FZ1331"/>
      <c r="GA1331"/>
      <c r="GB1331"/>
      <c r="GC1331"/>
      <c r="GD1331"/>
      <c r="GE1331"/>
      <c r="GF1331"/>
      <c r="GG1331"/>
      <c r="GH1331"/>
      <c r="GI1331"/>
      <c r="GJ1331"/>
      <c r="GK1331"/>
      <c r="GL1331"/>
      <c r="GM1331"/>
      <c r="GN1331"/>
      <c r="GO1331"/>
      <c r="GP1331"/>
      <c r="GQ1331"/>
      <c r="GR1331"/>
      <c r="GS1331"/>
      <c r="GT1331"/>
      <c r="GU1331"/>
      <c r="GV1331"/>
      <c r="GW1331"/>
      <c r="GX1331"/>
      <c r="GY1331"/>
      <c r="GZ1331"/>
      <c r="HA1331"/>
      <c r="HB1331"/>
      <c r="HC1331"/>
      <c r="HD1331"/>
      <c r="HE1331"/>
      <c r="HF1331"/>
      <c r="HG1331"/>
      <c r="HH1331"/>
      <c r="HI1331"/>
      <c r="HJ1331"/>
      <c r="HK1331"/>
      <c r="HL1331"/>
      <c r="HM1331"/>
      <c r="HN1331"/>
      <c r="HO1331"/>
      <c r="HP1331"/>
      <c r="HQ1331"/>
      <c r="HR1331"/>
      <c r="HS1331"/>
      <c r="HT1331"/>
      <c r="HU1331"/>
      <c r="HV1331"/>
      <c r="HW1331"/>
      <c r="HX1331"/>
      <c r="HY1331"/>
      <c r="HZ1331"/>
      <c r="IA1331"/>
      <c r="IB1331"/>
      <c r="IC1331"/>
      <c r="ID1331"/>
      <c r="IE1331"/>
      <c r="IF1331"/>
      <c r="IG1331"/>
      <c r="IH1331"/>
      <c r="II1331"/>
      <c r="IJ1331"/>
      <c r="IK1331"/>
      <c r="IL1331"/>
      <c r="IM1331"/>
      <c r="IN1331"/>
      <c r="IO1331"/>
      <c r="IP1331"/>
      <c r="IQ1331"/>
      <c r="IR1331"/>
      <c r="IS1331"/>
      <c r="IT1331"/>
      <c r="IU1331"/>
      <c r="IV1331"/>
    </row>
    <row r="1332" spans="1:256" ht="11.25" customHeight="1">
      <c r="A1332" s="448" t="s">
        <v>1949</v>
      </c>
      <c r="B1332" s="448" t="s">
        <v>410</v>
      </c>
      <c r="C1332" s="454">
        <v>1</v>
      </c>
      <c r="D1332" s="454">
        <v>1</v>
      </c>
      <c r="E1332" s="481" t="s">
        <v>1943</v>
      </c>
      <c r="F1332" s="481"/>
      <c r="G1332" s="481"/>
      <c r="H1332" s="481"/>
      <c r="I1332" s="481"/>
      <c r="J1332" s="455"/>
      <c r="K1332" s="451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  <c r="DL1332"/>
      <c r="DM1332"/>
      <c r="DN1332"/>
      <c r="DO1332"/>
      <c r="DP1332"/>
      <c r="DQ1332"/>
      <c r="DR1332"/>
      <c r="DS1332"/>
      <c r="DT1332"/>
      <c r="DU1332"/>
      <c r="DV1332"/>
      <c r="DW1332"/>
      <c r="DX1332"/>
      <c r="DY1332"/>
      <c r="DZ1332"/>
      <c r="EA1332"/>
      <c r="EB1332"/>
      <c r="EC1332"/>
      <c r="ED1332"/>
      <c r="EE1332"/>
      <c r="EF1332"/>
      <c r="EG1332"/>
      <c r="EH1332"/>
      <c r="EI1332"/>
      <c r="EJ1332"/>
      <c r="EK1332"/>
      <c r="EL1332"/>
      <c r="EM1332"/>
      <c r="EN1332"/>
      <c r="EO1332"/>
      <c r="EP1332"/>
      <c r="EQ1332"/>
      <c r="ER1332"/>
      <c r="ES1332"/>
      <c r="ET1332"/>
      <c r="EU1332"/>
      <c r="EV1332"/>
      <c r="EW1332"/>
      <c r="EX1332"/>
      <c r="EY1332"/>
      <c r="EZ1332"/>
      <c r="FA1332"/>
      <c r="FB1332"/>
      <c r="FC1332"/>
      <c r="FD1332"/>
      <c r="FE1332"/>
      <c r="FF1332"/>
      <c r="FG1332"/>
      <c r="FH1332"/>
      <c r="FI1332"/>
      <c r="FJ1332"/>
      <c r="FK1332"/>
      <c r="FL1332"/>
      <c r="FM1332"/>
      <c r="FN1332"/>
      <c r="FO1332"/>
      <c r="FP1332"/>
      <c r="FQ1332"/>
      <c r="FR1332"/>
      <c r="FS1332"/>
      <c r="FT1332"/>
      <c r="FU1332"/>
      <c r="FV1332"/>
      <c r="FW1332"/>
      <c r="FX1332"/>
      <c r="FY1332"/>
      <c r="FZ1332"/>
      <c r="GA1332"/>
      <c r="GB1332"/>
      <c r="GC1332"/>
      <c r="GD1332"/>
      <c r="GE1332"/>
      <c r="GF1332"/>
      <c r="GG1332"/>
      <c r="GH1332"/>
      <c r="GI1332"/>
      <c r="GJ1332"/>
      <c r="GK1332"/>
      <c r="GL1332"/>
      <c r="GM1332"/>
      <c r="GN1332"/>
      <c r="GO1332"/>
      <c r="GP1332"/>
      <c r="GQ1332"/>
      <c r="GR1332"/>
      <c r="GS1332"/>
      <c r="GT1332"/>
      <c r="GU1332"/>
      <c r="GV1332"/>
      <c r="GW1332"/>
      <c r="GX1332"/>
      <c r="GY1332"/>
      <c r="GZ1332"/>
      <c r="HA1332"/>
      <c r="HB1332"/>
      <c r="HC1332"/>
      <c r="HD1332"/>
      <c r="HE1332"/>
      <c r="HF1332"/>
      <c r="HG1332"/>
      <c r="HH1332"/>
      <c r="HI1332"/>
      <c r="HJ1332"/>
      <c r="HK1332"/>
      <c r="HL1332"/>
      <c r="HM1332"/>
      <c r="HN1332"/>
      <c r="HO1332"/>
      <c r="HP1332"/>
      <c r="HQ1332"/>
      <c r="HR1332"/>
      <c r="HS1332"/>
      <c r="HT1332"/>
      <c r="HU1332"/>
      <c r="HV1332"/>
      <c r="HW1332"/>
      <c r="HX1332"/>
      <c r="HY1332"/>
      <c r="HZ1332"/>
      <c r="IA1332"/>
      <c r="IB1332"/>
      <c r="IC1332"/>
      <c r="ID1332"/>
      <c r="IE1332"/>
      <c r="IF1332"/>
      <c r="IG1332"/>
      <c r="IH1332"/>
      <c r="II1332"/>
      <c r="IJ1332"/>
      <c r="IK1332"/>
      <c r="IL1332"/>
      <c r="IM1332"/>
      <c r="IN1332"/>
      <c r="IO1332"/>
      <c r="IP1332"/>
      <c r="IQ1332"/>
      <c r="IR1332"/>
      <c r="IS1332"/>
      <c r="IT1332"/>
      <c r="IU1332"/>
      <c r="IV1332"/>
    </row>
    <row r="1333" spans="1:256" ht="11.25" customHeight="1">
      <c r="A1333" s="448" t="s">
        <v>1950</v>
      </c>
      <c r="B1333" s="448" t="s">
        <v>410</v>
      </c>
      <c r="C1333" s="454">
        <v>1</v>
      </c>
      <c r="D1333" s="454">
        <v>1</v>
      </c>
      <c r="E1333" s="481" t="s">
        <v>1943</v>
      </c>
      <c r="F1333" s="481"/>
      <c r="G1333" s="481"/>
      <c r="H1333" s="481"/>
      <c r="I1333" s="481"/>
      <c r="J1333" s="455"/>
      <c r="K1333" s="451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  <c r="DL1333"/>
      <c r="DM1333"/>
      <c r="DN1333"/>
      <c r="DO1333"/>
      <c r="DP1333"/>
      <c r="DQ1333"/>
      <c r="DR1333"/>
      <c r="DS1333"/>
      <c r="DT1333"/>
      <c r="DU1333"/>
      <c r="DV1333"/>
      <c r="DW1333"/>
      <c r="DX1333"/>
      <c r="DY1333"/>
      <c r="DZ1333"/>
      <c r="EA1333"/>
      <c r="EB1333"/>
      <c r="EC1333"/>
      <c r="ED1333"/>
      <c r="EE1333"/>
      <c r="EF1333"/>
      <c r="EG1333"/>
      <c r="EH1333"/>
      <c r="EI1333"/>
      <c r="EJ1333"/>
      <c r="EK1333"/>
      <c r="EL1333"/>
      <c r="EM1333"/>
      <c r="EN1333"/>
      <c r="EO1333"/>
      <c r="EP1333"/>
      <c r="EQ1333"/>
      <c r="ER1333"/>
      <c r="ES1333"/>
      <c r="ET1333"/>
      <c r="EU1333"/>
      <c r="EV1333"/>
      <c r="EW1333"/>
      <c r="EX1333"/>
      <c r="EY1333"/>
      <c r="EZ1333"/>
      <c r="FA1333"/>
      <c r="FB1333"/>
      <c r="FC1333"/>
      <c r="FD1333"/>
      <c r="FE1333"/>
      <c r="FF1333"/>
      <c r="FG1333"/>
      <c r="FH1333"/>
      <c r="FI1333"/>
      <c r="FJ1333"/>
      <c r="FK1333"/>
      <c r="FL1333"/>
      <c r="FM1333"/>
      <c r="FN1333"/>
      <c r="FO1333"/>
      <c r="FP1333"/>
      <c r="FQ1333"/>
      <c r="FR1333"/>
      <c r="FS1333"/>
      <c r="FT1333"/>
      <c r="FU1333"/>
      <c r="FV1333"/>
      <c r="FW1333"/>
      <c r="FX1333"/>
      <c r="FY1333"/>
      <c r="FZ1333"/>
      <c r="GA1333"/>
      <c r="GB1333"/>
      <c r="GC1333"/>
      <c r="GD1333"/>
      <c r="GE1333"/>
      <c r="GF1333"/>
      <c r="GG1333"/>
      <c r="GH1333"/>
      <c r="GI1333"/>
      <c r="GJ1333"/>
      <c r="GK1333"/>
      <c r="GL1333"/>
      <c r="GM1333"/>
      <c r="GN1333"/>
      <c r="GO1333"/>
      <c r="GP1333"/>
      <c r="GQ1333"/>
      <c r="GR1333"/>
      <c r="GS1333"/>
      <c r="GT1333"/>
      <c r="GU1333"/>
      <c r="GV1333"/>
      <c r="GW1333"/>
      <c r="GX1333"/>
      <c r="GY1333"/>
      <c r="GZ1333"/>
      <c r="HA1333"/>
      <c r="HB1333"/>
      <c r="HC1333"/>
      <c r="HD1333"/>
      <c r="HE1333"/>
      <c r="HF1333"/>
      <c r="HG1333"/>
      <c r="HH1333"/>
      <c r="HI1333"/>
      <c r="HJ1333"/>
      <c r="HK1333"/>
      <c r="HL1333"/>
      <c r="HM1333"/>
      <c r="HN1333"/>
      <c r="HO1333"/>
      <c r="HP1333"/>
      <c r="HQ1333"/>
      <c r="HR1333"/>
      <c r="HS1333"/>
      <c r="HT1333"/>
      <c r="HU1333"/>
      <c r="HV1333"/>
      <c r="HW1333"/>
      <c r="HX1333"/>
      <c r="HY1333"/>
      <c r="HZ1333"/>
      <c r="IA1333"/>
      <c r="IB1333"/>
      <c r="IC1333"/>
      <c r="ID1333"/>
      <c r="IE1333"/>
      <c r="IF1333"/>
      <c r="IG1333"/>
      <c r="IH1333"/>
      <c r="II1333"/>
      <c r="IJ1333"/>
      <c r="IK1333"/>
      <c r="IL1333"/>
      <c r="IM1333"/>
      <c r="IN1333"/>
      <c r="IO1333"/>
      <c r="IP1333"/>
      <c r="IQ1333"/>
      <c r="IR1333"/>
      <c r="IS1333"/>
      <c r="IT1333"/>
      <c r="IU1333"/>
      <c r="IV1333"/>
    </row>
    <row r="1334" spans="1:256" ht="11.25" customHeight="1">
      <c r="A1334" s="448" t="s">
        <v>1951</v>
      </c>
      <c r="B1334" s="448" t="s">
        <v>410</v>
      </c>
      <c r="C1334" s="454">
        <v>1</v>
      </c>
      <c r="D1334" s="454">
        <v>1</v>
      </c>
      <c r="E1334" s="481" t="s">
        <v>1943</v>
      </c>
      <c r="F1334" s="481"/>
      <c r="G1334" s="481"/>
      <c r="H1334" s="481"/>
      <c r="I1334" s="481"/>
      <c r="J1334" s="455"/>
      <c r="K1334" s="451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  <c r="DL1334"/>
      <c r="DM1334"/>
      <c r="DN1334"/>
      <c r="DO1334"/>
      <c r="DP1334"/>
      <c r="DQ1334"/>
      <c r="DR1334"/>
      <c r="DS1334"/>
      <c r="DT1334"/>
      <c r="DU1334"/>
      <c r="DV1334"/>
      <c r="DW1334"/>
      <c r="DX1334"/>
      <c r="DY1334"/>
      <c r="DZ1334"/>
      <c r="EA1334"/>
      <c r="EB1334"/>
      <c r="EC1334"/>
      <c r="ED1334"/>
      <c r="EE1334"/>
      <c r="EF1334"/>
      <c r="EG1334"/>
      <c r="EH1334"/>
      <c r="EI1334"/>
      <c r="EJ1334"/>
      <c r="EK1334"/>
      <c r="EL1334"/>
      <c r="EM1334"/>
      <c r="EN1334"/>
      <c r="EO1334"/>
      <c r="EP1334"/>
      <c r="EQ1334"/>
      <c r="ER1334"/>
      <c r="ES1334"/>
      <c r="ET1334"/>
      <c r="EU1334"/>
      <c r="EV1334"/>
      <c r="EW1334"/>
      <c r="EX1334"/>
      <c r="EY1334"/>
      <c r="EZ1334"/>
      <c r="FA1334"/>
      <c r="FB1334"/>
      <c r="FC1334"/>
      <c r="FD1334"/>
      <c r="FE1334"/>
      <c r="FF1334"/>
      <c r="FG1334"/>
      <c r="FH1334"/>
      <c r="FI1334"/>
      <c r="FJ1334"/>
      <c r="FK1334"/>
      <c r="FL1334"/>
      <c r="FM1334"/>
      <c r="FN1334"/>
      <c r="FO1334"/>
      <c r="FP1334"/>
      <c r="FQ1334"/>
      <c r="FR1334"/>
      <c r="FS1334"/>
      <c r="FT1334"/>
      <c r="FU1334"/>
      <c r="FV1334"/>
      <c r="FW1334"/>
      <c r="FX1334"/>
      <c r="FY1334"/>
      <c r="FZ1334"/>
      <c r="GA1334"/>
      <c r="GB1334"/>
      <c r="GC1334"/>
      <c r="GD1334"/>
      <c r="GE1334"/>
      <c r="GF1334"/>
      <c r="GG1334"/>
      <c r="GH1334"/>
      <c r="GI1334"/>
      <c r="GJ1334"/>
      <c r="GK1334"/>
      <c r="GL1334"/>
      <c r="GM1334"/>
      <c r="GN1334"/>
      <c r="GO1334"/>
      <c r="GP1334"/>
      <c r="GQ1334"/>
      <c r="GR1334"/>
      <c r="GS1334"/>
      <c r="GT1334"/>
      <c r="GU1334"/>
      <c r="GV1334"/>
      <c r="GW1334"/>
      <c r="GX1334"/>
      <c r="GY1334"/>
      <c r="GZ1334"/>
      <c r="HA1334"/>
      <c r="HB1334"/>
      <c r="HC1334"/>
      <c r="HD1334"/>
      <c r="HE1334"/>
      <c r="HF1334"/>
      <c r="HG1334"/>
      <c r="HH1334"/>
      <c r="HI1334"/>
      <c r="HJ1334"/>
      <c r="HK1334"/>
      <c r="HL1334"/>
      <c r="HM1334"/>
      <c r="HN1334"/>
      <c r="HO1334"/>
      <c r="HP1334"/>
      <c r="HQ1334"/>
      <c r="HR1334"/>
      <c r="HS1334"/>
      <c r="HT1334"/>
      <c r="HU1334"/>
      <c r="HV1334"/>
      <c r="HW1334"/>
      <c r="HX1334"/>
      <c r="HY1334"/>
      <c r="HZ1334"/>
      <c r="IA1334"/>
      <c r="IB1334"/>
      <c r="IC1334"/>
      <c r="ID1334"/>
      <c r="IE1334"/>
      <c r="IF1334"/>
      <c r="IG1334"/>
      <c r="IH1334"/>
      <c r="II1334"/>
      <c r="IJ1334"/>
      <c r="IK1334"/>
      <c r="IL1334"/>
      <c r="IM1334"/>
      <c r="IN1334"/>
      <c r="IO1334"/>
      <c r="IP1334"/>
      <c r="IQ1334"/>
      <c r="IR1334"/>
      <c r="IS1334"/>
      <c r="IT1334"/>
      <c r="IU1334"/>
      <c r="IV1334"/>
    </row>
    <row r="1335" spans="1:256" ht="11.25" customHeight="1">
      <c r="A1335" s="448" t="s">
        <v>1952</v>
      </c>
      <c r="B1335" s="448" t="s">
        <v>410</v>
      </c>
      <c r="C1335" s="454">
        <v>1</v>
      </c>
      <c r="D1335" s="454">
        <v>1</v>
      </c>
      <c r="E1335" s="481" t="s">
        <v>1943</v>
      </c>
      <c r="F1335" s="481"/>
      <c r="G1335" s="481"/>
      <c r="H1335" s="481"/>
      <c r="I1335" s="481"/>
      <c r="J1335" s="455"/>
      <c r="K1335" s="451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  <c r="DL1335"/>
      <c r="DM1335"/>
      <c r="DN1335"/>
      <c r="DO1335"/>
      <c r="DP1335"/>
      <c r="DQ1335"/>
      <c r="DR1335"/>
      <c r="DS1335"/>
      <c r="DT1335"/>
      <c r="DU1335"/>
      <c r="DV1335"/>
      <c r="DW1335"/>
      <c r="DX1335"/>
      <c r="DY1335"/>
      <c r="DZ1335"/>
      <c r="EA1335"/>
      <c r="EB1335"/>
      <c r="EC1335"/>
      <c r="ED1335"/>
      <c r="EE1335"/>
      <c r="EF1335"/>
      <c r="EG1335"/>
      <c r="EH1335"/>
      <c r="EI1335"/>
      <c r="EJ1335"/>
      <c r="EK1335"/>
      <c r="EL1335"/>
      <c r="EM1335"/>
      <c r="EN1335"/>
      <c r="EO1335"/>
      <c r="EP1335"/>
      <c r="EQ1335"/>
      <c r="ER1335"/>
      <c r="ES1335"/>
      <c r="ET1335"/>
      <c r="EU1335"/>
      <c r="EV1335"/>
      <c r="EW1335"/>
      <c r="EX1335"/>
      <c r="EY1335"/>
      <c r="EZ1335"/>
      <c r="FA1335"/>
      <c r="FB1335"/>
      <c r="FC1335"/>
      <c r="FD1335"/>
      <c r="FE1335"/>
      <c r="FF1335"/>
      <c r="FG1335"/>
      <c r="FH1335"/>
      <c r="FI1335"/>
      <c r="FJ1335"/>
      <c r="FK1335"/>
      <c r="FL1335"/>
      <c r="FM1335"/>
      <c r="FN1335"/>
      <c r="FO1335"/>
      <c r="FP1335"/>
      <c r="FQ1335"/>
      <c r="FR1335"/>
      <c r="FS1335"/>
      <c r="FT1335"/>
      <c r="FU1335"/>
      <c r="FV1335"/>
      <c r="FW1335"/>
      <c r="FX1335"/>
      <c r="FY1335"/>
      <c r="FZ1335"/>
      <c r="GA1335"/>
      <c r="GB1335"/>
      <c r="GC1335"/>
      <c r="GD1335"/>
      <c r="GE1335"/>
      <c r="GF1335"/>
      <c r="GG1335"/>
      <c r="GH1335"/>
      <c r="GI1335"/>
      <c r="GJ1335"/>
      <c r="GK1335"/>
      <c r="GL1335"/>
      <c r="GM1335"/>
      <c r="GN1335"/>
      <c r="GO1335"/>
      <c r="GP1335"/>
      <c r="GQ1335"/>
      <c r="GR1335"/>
      <c r="GS1335"/>
      <c r="GT1335"/>
      <c r="GU1335"/>
      <c r="GV1335"/>
      <c r="GW1335"/>
      <c r="GX1335"/>
      <c r="GY1335"/>
      <c r="GZ1335"/>
      <c r="HA1335"/>
      <c r="HB1335"/>
      <c r="HC1335"/>
      <c r="HD1335"/>
      <c r="HE1335"/>
      <c r="HF1335"/>
      <c r="HG1335"/>
      <c r="HH1335"/>
      <c r="HI1335"/>
      <c r="HJ1335"/>
      <c r="HK1335"/>
      <c r="HL1335"/>
      <c r="HM1335"/>
      <c r="HN1335"/>
      <c r="HO1335"/>
      <c r="HP1335"/>
      <c r="HQ1335"/>
      <c r="HR1335"/>
      <c r="HS1335"/>
      <c r="HT1335"/>
      <c r="HU1335"/>
      <c r="HV1335"/>
      <c r="HW1335"/>
      <c r="HX1335"/>
      <c r="HY1335"/>
      <c r="HZ1335"/>
      <c r="IA1335"/>
      <c r="IB1335"/>
      <c r="IC1335"/>
      <c r="ID1335"/>
      <c r="IE1335"/>
      <c r="IF1335"/>
      <c r="IG1335"/>
      <c r="IH1335"/>
      <c r="II1335"/>
      <c r="IJ1335"/>
      <c r="IK1335"/>
      <c r="IL1335"/>
      <c r="IM1335"/>
      <c r="IN1335"/>
      <c r="IO1335"/>
      <c r="IP1335"/>
      <c r="IQ1335"/>
      <c r="IR1335"/>
      <c r="IS1335"/>
      <c r="IT1335"/>
      <c r="IU1335"/>
      <c r="IV1335"/>
    </row>
    <row r="1336" spans="1:256" ht="11.25" customHeight="1">
      <c r="A1336" s="448" t="s">
        <v>1953</v>
      </c>
      <c r="B1336" s="448" t="s">
        <v>410</v>
      </c>
      <c r="C1336" s="454">
        <v>1</v>
      </c>
      <c r="D1336" s="454">
        <v>1</v>
      </c>
      <c r="E1336" s="481" t="s">
        <v>1943</v>
      </c>
      <c r="F1336" s="481"/>
      <c r="G1336" s="481"/>
      <c r="H1336" s="481"/>
      <c r="I1336" s="481"/>
      <c r="J1336" s="455"/>
      <c r="K1336" s="451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  <c r="DL1336"/>
      <c r="DM1336"/>
      <c r="DN1336"/>
      <c r="DO1336"/>
      <c r="DP1336"/>
      <c r="DQ1336"/>
      <c r="DR1336"/>
      <c r="DS1336"/>
      <c r="DT1336"/>
      <c r="DU1336"/>
      <c r="DV1336"/>
      <c r="DW1336"/>
      <c r="DX1336"/>
      <c r="DY1336"/>
      <c r="DZ1336"/>
      <c r="EA1336"/>
      <c r="EB1336"/>
      <c r="EC1336"/>
      <c r="ED1336"/>
      <c r="EE1336"/>
      <c r="EF1336"/>
      <c r="EG1336"/>
      <c r="EH1336"/>
      <c r="EI1336"/>
      <c r="EJ1336"/>
      <c r="EK1336"/>
      <c r="EL1336"/>
      <c r="EM1336"/>
      <c r="EN1336"/>
      <c r="EO1336"/>
      <c r="EP1336"/>
      <c r="EQ1336"/>
      <c r="ER1336"/>
      <c r="ES1336"/>
      <c r="ET1336"/>
      <c r="EU1336"/>
      <c r="EV1336"/>
      <c r="EW1336"/>
      <c r="EX1336"/>
      <c r="EY1336"/>
      <c r="EZ1336"/>
      <c r="FA1336"/>
      <c r="FB1336"/>
      <c r="FC1336"/>
      <c r="FD1336"/>
      <c r="FE1336"/>
      <c r="FF1336"/>
      <c r="FG1336"/>
      <c r="FH1336"/>
      <c r="FI1336"/>
      <c r="FJ1336"/>
      <c r="FK1336"/>
      <c r="FL1336"/>
      <c r="FM1336"/>
      <c r="FN1336"/>
      <c r="FO1336"/>
      <c r="FP1336"/>
      <c r="FQ1336"/>
      <c r="FR1336"/>
      <c r="FS1336"/>
      <c r="FT1336"/>
      <c r="FU1336"/>
      <c r="FV1336"/>
      <c r="FW1336"/>
      <c r="FX1336"/>
      <c r="FY1336"/>
      <c r="FZ1336"/>
      <c r="GA1336"/>
      <c r="GB1336"/>
      <c r="GC1336"/>
      <c r="GD1336"/>
      <c r="GE1336"/>
      <c r="GF1336"/>
      <c r="GG1336"/>
      <c r="GH1336"/>
      <c r="GI1336"/>
      <c r="GJ1336"/>
      <c r="GK1336"/>
      <c r="GL1336"/>
      <c r="GM1336"/>
      <c r="GN1336"/>
      <c r="GO1336"/>
      <c r="GP1336"/>
      <c r="GQ1336"/>
      <c r="GR1336"/>
      <c r="GS1336"/>
      <c r="GT1336"/>
      <c r="GU1336"/>
      <c r="GV1336"/>
      <c r="GW1336"/>
      <c r="GX1336"/>
      <c r="GY1336"/>
      <c r="GZ1336"/>
      <c r="HA1336"/>
      <c r="HB1336"/>
      <c r="HC1336"/>
      <c r="HD1336"/>
      <c r="HE1336"/>
      <c r="HF1336"/>
      <c r="HG1336"/>
      <c r="HH1336"/>
      <c r="HI1336"/>
      <c r="HJ1336"/>
      <c r="HK1336"/>
      <c r="HL1336"/>
      <c r="HM1336"/>
      <c r="HN1336"/>
      <c r="HO1336"/>
      <c r="HP1336"/>
      <c r="HQ1336"/>
      <c r="HR1336"/>
      <c r="HS1336"/>
      <c r="HT1336"/>
      <c r="HU1336"/>
      <c r="HV1336"/>
      <c r="HW1336"/>
      <c r="HX1336"/>
      <c r="HY1336"/>
      <c r="HZ1336"/>
      <c r="IA1336"/>
      <c r="IB1336"/>
      <c r="IC1336"/>
      <c r="ID1336"/>
      <c r="IE1336"/>
      <c r="IF1336"/>
      <c r="IG1336"/>
      <c r="IH1336"/>
      <c r="II1336"/>
      <c r="IJ1336"/>
      <c r="IK1336"/>
      <c r="IL1336"/>
      <c r="IM1336"/>
      <c r="IN1336"/>
      <c r="IO1336"/>
      <c r="IP1336"/>
      <c r="IQ1336"/>
      <c r="IR1336"/>
      <c r="IS1336"/>
      <c r="IT1336"/>
      <c r="IU1336"/>
      <c r="IV1336"/>
    </row>
    <row r="1337" spans="1:256" ht="11.25" customHeight="1">
      <c r="A1337" s="448" t="s">
        <v>1954</v>
      </c>
      <c r="B1337" s="448" t="s">
        <v>410</v>
      </c>
      <c r="C1337" s="454">
        <v>1</v>
      </c>
      <c r="D1337" s="454">
        <v>1</v>
      </c>
      <c r="E1337" s="481" t="s">
        <v>1943</v>
      </c>
      <c r="F1337" s="481"/>
      <c r="G1337" s="481"/>
      <c r="H1337" s="481"/>
      <c r="I1337" s="481"/>
      <c r="J1337" s="455"/>
      <c r="K1337" s="451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  <c r="DL1337"/>
      <c r="DM1337"/>
      <c r="DN1337"/>
      <c r="DO1337"/>
      <c r="DP1337"/>
      <c r="DQ1337"/>
      <c r="DR1337"/>
      <c r="DS1337"/>
      <c r="DT1337"/>
      <c r="DU1337"/>
      <c r="DV1337"/>
      <c r="DW1337"/>
      <c r="DX1337"/>
      <c r="DY1337"/>
      <c r="DZ1337"/>
      <c r="EA1337"/>
      <c r="EB1337"/>
      <c r="EC1337"/>
      <c r="ED1337"/>
      <c r="EE1337"/>
      <c r="EF1337"/>
      <c r="EG1337"/>
      <c r="EH1337"/>
      <c r="EI1337"/>
      <c r="EJ1337"/>
      <c r="EK1337"/>
      <c r="EL1337"/>
      <c r="EM1337"/>
      <c r="EN1337"/>
      <c r="EO1337"/>
      <c r="EP1337"/>
      <c r="EQ1337"/>
      <c r="ER1337"/>
      <c r="ES1337"/>
      <c r="ET1337"/>
      <c r="EU1337"/>
      <c r="EV1337"/>
      <c r="EW1337"/>
      <c r="EX1337"/>
      <c r="EY1337"/>
      <c r="EZ1337"/>
      <c r="FA1337"/>
      <c r="FB1337"/>
      <c r="FC1337"/>
      <c r="FD1337"/>
      <c r="FE1337"/>
      <c r="FF1337"/>
      <c r="FG1337"/>
      <c r="FH1337"/>
      <c r="FI1337"/>
      <c r="FJ1337"/>
      <c r="FK1337"/>
      <c r="FL1337"/>
      <c r="FM1337"/>
      <c r="FN1337"/>
      <c r="FO1337"/>
      <c r="FP1337"/>
      <c r="FQ1337"/>
      <c r="FR1337"/>
      <c r="FS1337"/>
      <c r="FT1337"/>
      <c r="FU1337"/>
      <c r="FV1337"/>
      <c r="FW1337"/>
      <c r="FX1337"/>
      <c r="FY1337"/>
      <c r="FZ1337"/>
      <c r="GA1337"/>
      <c r="GB1337"/>
      <c r="GC1337"/>
      <c r="GD1337"/>
      <c r="GE1337"/>
      <c r="GF1337"/>
      <c r="GG1337"/>
      <c r="GH1337"/>
      <c r="GI1337"/>
      <c r="GJ1337"/>
      <c r="GK1337"/>
      <c r="GL1337"/>
      <c r="GM1337"/>
      <c r="GN1337"/>
      <c r="GO1337"/>
      <c r="GP1337"/>
      <c r="GQ1337"/>
      <c r="GR1337"/>
      <c r="GS1337"/>
      <c r="GT1337"/>
      <c r="GU1337"/>
      <c r="GV1337"/>
      <c r="GW1337"/>
      <c r="GX1337"/>
      <c r="GY1337"/>
      <c r="GZ1337"/>
      <c r="HA1337"/>
      <c r="HB1337"/>
      <c r="HC1337"/>
      <c r="HD1337"/>
      <c r="HE1337"/>
      <c r="HF1337"/>
      <c r="HG1337"/>
      <c r="HH1337"/>
      <c r="HI1337"/>
      <c r="HJ1337"/>
      <c r="HK1337"/>
      <c r="HL1337"/>
      <c r="HM1337"/>
      <c r="HN1337"/>
      <c r="HO1337"/>
      <c r="HP1337"/>
      <c r="HQ1337"/>
      <c r="HR1337"/>
      <c r="HS1337"/>
      <c r="HT1337"/>
      <c r="HU1337"/>
      <c r="HV1337"/>
      <c r="HW1337"/>
      <c r="HX1337"/>
      <c r="HY1337"/>
      <c r="HZ1337"/>
      <c r="IA1337"/>
      <c r="IB1337"/>
      <c r="IC1337"/>
      <c r="ID1337"/>
      <c r="IE1337"/>
      <c r="IF1337"/>
      <c r="IG1337"/>
      <c r="IH1337"/>
      <c r="II1337"/>
      <c r="IJ1337"/>
      <c r="IK1337"/>
      <c r="IL1337"/>
      <c r="IM1337"/>
      <c r="IN1337"/>
      <c r="IO1337"/>
      <c r="IP1337"/>
      <c r="IQ1337"/>
      <c r="IR1337"/>
      <c r="IS1337"/>
      <c r="IT1337"/>
      <c r="IU1337"/>
      <c r="IV1337"/>
    </row>
    <row r="1338" spans="1:256" ht="11.25" customHeight="1">
      <c r="A1338" s="448" t="s">
        <v>1955</v>
      </c>
      <c r="B1338" s="448" t="s">
        <v>410</v>
      </c>
      <c r="C1338" s="454">
        <v>1</v>
      </c>
      <c r="D1338" s="454">
        <v>1</v>
      </c>
      <c r="E1338" s="481" t="s">
        <v>1943</v>
      </c>
      <c r="F1338" s="481"/>
      <c r="G1338" s="481"/>
      <c r="H1338" s="481"/>
      <c r="I1338" s="481"/>
      <c r="J1338" s="455"/>
      <c r="K1338" s="451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  <c r="DL1338"/>
      <c r="DM1338"/>
      <c r="DN1338"/>
      <c r="DO1338"/>
      <c r="DP1338"/>
      <c r="DQ1338"/>
      <c r="DR1338"/>
      <c r="DS1338"/>
      <c r="DT1338"/>
      <c r="DU1338"/>
      <c r="DV1338"/>
      <c r="DW1338"/>
      <c r="DX1338"/>
      <c r="DY1338"/>
      <c r="DZ1338"/>
      <c r="EA1338"/>
      <c r="EB1338"/>
      <c r="EC1338"/>
      <c r="ED1338"/>
      <c r="EE1338"/>
      <c r="EF1338"/>
      <c r="EG1338"/>
      <c r="EH1338"/>
      <c r="EI1338"/>
      <c r="EJ1338"/>
      <c r="EK1338"/>
      <c r="EL1338"/>
      <c r="EM1338"/>
      <c r="EN1338"/>
      <c r="EO1338"/>
      <c r="EP1338"/>
      <c r="EQ1338"/>
      <c r="ER1338"/>
      <c r="ES1338"/>
      <c r="ET1338"/>
      <c r="EU1338"/>
      <c r="EV1338"/>
      <c r="EW1338"/>
      <c r="EX1338"/>
      <c r="EY1338"/>
      <c r="EZ1338"/>
      <c r="FA1338"/>
      <c r="FB1338"/>
      <c r="FC1338"/>
      <c r="FD1338"/>
      <c r="FE1338"/>
      <c r="FF1338"/>
      <c r="FG1338"/>
      <c r="FH1338"/>
      <c r="FI1338"/>
      <c r="FJ1338"/>
      <c r="FK1338"/>
      <c r="FL1338"/>
      <c r="FM1338"/>
      <c r="FN1338"/>
      <c r="FO1338"/>
      <c r="FP1338"/>
      <c r="FQ1338"/>
      <c r="FR1338"/>
      <c r="FS1338"/>
      <c r="FT1338"/>
      <c r="FU1338"/>
      <c r="FV1338"/>
      <c r="FW1338"/>
      <c r="FX1338"/>
      <c r="FY1338"/>
      <c r="FZ1338"/>
      <c r="GA1338"/>
      <c r="GB1338"/>
      <c r="GC1338"/>
      <c r="GD1338"/>
      <c r="GE1338"/>
      <c r="GF1338"/>
      <c r="GG1338"/>
      <c r="GH1338"/>
      <c r="GI1338"/>
      <c r="GJ1338"/>
      <c r="GK1338"/>
      <c r="GL1338"/>
      <c r="GM1338"/>
      <c r="GN1338"/>
      <c r="GO1338"/>
      <c r="GP1338"/>
      <c r="GQ1338"/>
      <c r="GR1338"/>
      <c r="GS1338"/>
      <c r="GT1338"/>
      <c r="GU1338"/>
      <c r="GV1338"/>
      <c r="GW1338"/>
      <c r="GX1338"/>
      <c r="GY1338"/>
      <c r="GZ1338"/>
      <c r="HA1338"/>
      <c r="HB1338"/>
      <c r="HC1338"/>
      <c r="HD1338"/>
      <c r="HE1338"/>
      <c r="HF1338"/>
      <c r="HG1338"/>
      <c r="HH1338"/>
      <c r="HI1338"/>
      <c r="HJ1338"/>
      <c r="HK1338"/>
      <c r="HL1338"/>
      <c r="HM1338"/>
      <c r="HN1338"/>
      <c r="HO1338"/>
      <c r="HP1338"/>
      <c r="HQ1338"/>
      <c r="HR1338"/>
      <c r="HS1338"/>
      <c r="HT1338"/>
      <c r="HU1338"/>
      <c r="HV1338"/>
      <c r="HW1338"/>
      <c r="HX1338"/>
      <c r="HY1338"/>
      <c r="HZ1338"/>
      <c r="IA1338"/>
      <c r="IB1338"/>
      <c r="IC1338"/>
      <c r="ID1338"/>
      <c r="IE1338"/>
      <c r="IF1338"/>
      <c r="IG1338"/>
      <c r="IH1338"/>
      <c r="II1338"/>
      <c r="IJ1338"/>
      <c r="IK1338"/>
      <c r="IL1338"/>
      <c r="IM1338"/>
      <c r="IN1338"/>
      <c r="IO1338"/>
      <c r="IP1338"/>
      <c r="IQ1338"/>
      <c r="IR1338"/>
      <c r="IS1338"/>
      <c r="IT1338"/>
      <c r="IU1338"/>
      <c r="IV1338"/>
    </row>
    <row r="1339" spans="1:12" s="458" customFormat="1" ht="11.25" customHeight="1">
      <c r="A1339" s="448" t="s">
        <v>1956</v>
      </c>
      <c r="B1339" s="454" t="s">
        <v>566</v>
      </c>
      <c r="C1339" s="454">
        <v>1</v>
      </c>
      <c r="D1339" s="454" t="s">
        <v>348</v>
      </c>
      <c r="E1339" s="481" t="s">
        <v>1957</v>
      </c>
      <c r="F1339" s="481"/>
      <c r="G1339" s="481"/>
      <c r="H1339" s="481"/>
      <c r="I1339" s="481"/>
      <c r="J1339" s="455" t="s">
        <v>1958</v>
      </c>
      <c r="K1339" s="451"/>
      <c r="L1339" s="457"/>
    </row>
    <row r="1340" spans="1:256" ht="11.25" customHeight="1">
      <c r="A1340" s="454" t="s">
        <v>1959</v>
      </c>
      <c r="B1340" s="454" t="s">
        <v>566</v>
      </c>
      <c r="C1340" s="454">
        <v>1</v>
      </c>
      <c r="D1340" s="454" t="s">
        <v>348</v>
      </c>
      <c r="E1340" s="481" t="s">
        <v>1960</v>
      </c>
      <c r="F1340" s="481"/>
      <c r="G1340" s="481"/>
      <c r="H1340" s="481"/>
      <c r="I1340" s="481"/>
      <c r="J1340" s="455"/>
      <c r="K1340" s="39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  <c r="DL1340"/>
      <c r="DM1340"/>
      <c r="DN1340"/>
      <c r="DO1340"/>
      <c r="DP1340"/>
      <c r="DQ1340"/>
      <c r="DR1340"/>
      <c r="DS1340"/>
      <c r="DT1340"/>
      <c r="DU1340"/>
      <c r="DV1340"/>
      <c r="DW1340"/>
      <c r="DX1340"/>
      <c r="DY1340"/>
      <c r="DZ1340"/>
      <c r="EA1340"/>
      <c r="EB1340"/>
      <c r="EC1340"/>
      <c r="ED1340"/>
      <c r="EE1340"/>
      <c r="EF1340"/>
      <c r="EG1340"/>
      <c r="EH1340"/>
      <c r="EI1340"/>
      <c r="EJ1340"/>
      <c r="EK1340"/>
      <c r="EL1340"/>
      <c r="EM1340"/>
      <c r="EN1340"/>
      <c r="EO1340"/>
      <c r="EP1340"/>
      <c r="EQ1340"/>
      <c r="ER1340"/>
      <c r="ES1340"/>
      <c r="ET1340"/>
      <c r="EU1340"/>
      <c r="EV1340"/>
      <c r="EW1340"/>
      <c r="EX1340"/>
      <c r="EY1340"/>
      <c r="EZ1340"/>
      <c r="FA1340"/>
      <c r="FB1340"/>
      <c r="FC1340"/>
      <c r="FD1340"/>
      <c r="FE1340"/>
      <c r="FF1340"/>
      <c r="FG1340"/>
      <c r="FH1340"/>
      <c r="FI1340"/>
      <c r="FJ1340"/>
      <c r="FK1340"/>
      <c r="FL1340"/>
      <c r="FM1340"/>
      <c r="FN1340"/>
      <c r="FO1340"/>
      <c r="FP1340"/>
      <c r="FQ1340"/>
      <c r="FR1340"/>
      <c r="FS1340"/>
      <c r="FT1340"/>
      <c r="FU1340"/>
      <c r="FV1340"/>
      <c r="FW1340"/>
      <c r="FX1340"/>
      <c r="FY1340"/>
      <c r="FZ1340"/>
      <c r="GA1340"/>
      <c r="GB1340"/>
      <c r="GC1340"/>
      <c r="GD1340"/>
      <c r="GE1340"/>
      <c r="GF1340"/>
      <c r="GG1340"/>
      <c r="GH1340"/>
      <c r="GI1340"/>
      <c r="GJ1340"/>
      <c r="GK1340"/>
      <c r="GL1340"/>
      <c r="GM1340"/>
      <c r="GN1340"/>
      <c r="GO1340"/>
      <c r="GP1340"/>
      <c r="GQ1340"/>
      <c r="GR1340"/>
      <c r="GS1340"/>
      <c r="GT1340"/>
      <c r="GU1340"/>
      <c r="GV1340"/>
      <c r="GW1340"/>
      <c r="GX1340"/>
      <c r="GY1340"/>
      <c r="GZ1340"/>
      <c r="HA1340"/>
      <c r="HB1340"/>
      <c r="HC1340"/>
      <c r="HD1340"/>
      <c r="HE1340"/>
      <c r="HF1340"/>
      <c r="HG1340"/>
      <c r="HH1340"/>
      <c r="HI1340"/>
      <c r="HJ1340"/>
      <c r="HK1340"/>
      <c r="HL1340"/>
      <c r="HM1340"/>
      <c r="HN1340"/>
      <c r="HO1340"/>
      <c r="HP1340"/>
      <c r="HQ1340"/>
      <c r="HR1340"/>
      <c r="HS1340"/>
      <c r="HT1340"/>
      <c r="HU1340"/>
      <c r="HV1340"/>
      <c r="HW1340"/>
      <c r="HX1340"/>
      <c r="HY1340"/>
      <c r="HZ1340"/>
      <c r="IA1340"/>
      <c r="IB1340"/>
      <c r="IC1340"/>
      <c r="ID1340"/>
      <c r="IE1340"/>
      <c r="IF1340"/>
      <c r="IG1340"/>
      <c r="IH1340"/>
      <c r="II1340"/>
      <c r="IJ1340"/>
      <c r="IK1340"/>
      <c r="IL1340"/>
      <c r="IM1340"/>
      <c r="IN1340"/>
      <c r="IO1340"/>
      <c r="IP1340"/>
      <c r="IQ1340"/>
      <c r="IR1340"/>
      <c r="IS1340"/>
      <c r="IT1340"/>
      <c r="IU1340"/>
      <c r="IV1340"/>
    </row>
    <row r="1341" spans="1:256" ht="11.25" customHeight="1">
      <c r="A1341" s="454" t="s">
        <v>1961</v>
      </c>
      <c r="B1341" s="454" t="s">
        <v>566</v>
      </c>
      <c r="C1341" s="454">
        <v>1</v>
      </c>
      <c r="D1341" s="454" t="s">
        <v>348</v>
      </c>
      <c r="E1341" s="481" t="s">
        <v>1962</v>
      </c>
      <c r="F1341" s="481"/>
      <c r="G1341" s="481"/>
      <c r="H1341" s="481"/>
      <c r="I1341" s="481"/>
      <c r="J1341" s="455"/>
      <c r="K1341" s="390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  <c r="DL1341"/>
      <c r="DM1341"/>
      <c r="DN1341"/>
      <c r="DO1341"/>
      <c r="DP1341"/>
      <c r="DQ1341"/>
      <c r="DR1341"/>
      <c r="DS1341"/>
      <c r="DT1341"/>
      <c r="DU1341"/>
      <c r="DV1341"/>
      <c r="DW1341"/>
      <c r="DX1341"/>
      <c r="DY1341"/>
      <c r="DZ1341"/>
      <c r="EA1341"/>
      <c r="EB1341"/>
      <c r="EC1341"/>
      <c r="ED1341"/>
      <c r="EE1341"/>
      <c r="EF1341"/>
      <c r="EG1341"/>
      <c r="EH1341"/>
      <c r="EI1341"/>
      <c r="EJ1341"/>
      <c r="EK1341"/>
      <c r="EL1341"/>
      <c r="EM1341"/>
      <c r="EN1341"/>
      <c r="EO1341"/>
      <c r="EP1341"/>
      <c r="EQ1341"/>
      <c r="ER1341"/>
      <c r="ES1341"/>
      <c r="ET1341"/>
      <c r="EU1341"/>
      <c r="EV1341"/>
      <c r="EW1341"/>
      <c r="EX1341"/>
      <c r="EY1341"/>
      <c r="EZ1341"/>
      <c r="FA1341"/>
      <c r="FB1341"/>
      <c r="FC1341"/>
      <c r="FD1341"/>
      <c r="FE1341"/>
      <c r="FF1341"/>
      <c r="FG1341"/>
      <c r="FH1341"/>
      <c r="FI1341"/>
      <c r="FJ1341"/>
      <c r="FK1341"/>
      <c r="FL1341"/>
      <c r="FM1341"/>
      <c r="FN1341"/>
      <c r="FO1341"/>
      <c r="FP1341"/>
      <c r="FQ1341"/>
      <c r="FR1341"/>
      <c r="FS1341"/>
      <c r="FT1341"/>
      <c r="FU1341"/>
      <c r="FV1341"/>
      <c r="FW1341"/>
      <c r="FX1341"/>
      <c r="FY1341"/>
      <c r="FZ1341"/>
      <c r="GA1341"/>
      <c r="GB1341"/>
      <c r="GC1341"/>
      <c r="GD1341"/>
      <c r="GE1341"/>
      <c r="GF1341"/>
      <c r="GG1341"/>
      <c r="GH1341"/>
      <c r="GI1341"/>
      <c r="GJ1341"/>
      <c r="GK1341"/>
      <c r="GL1341"/>
      <c r="GM1341"/>
      <c r="GN1341"/>
      <c r="GO1341"/>
      <c r="GP1341"/>
      <c r="GQ1341"/>
      <c r="GR1341"/>
      <c r="GS1341"/>
      <c r="GT1341"/>
      <c r="GU1341"/>
      <c r="GV1341"/>
      <c r="GW1341"/>
      <c r="GX1341"/>
      <c r="GY1341"/>
      <c r="GZ1341"/>
      <c r="HA1341"/>
      <c r="HB1341"/>
      <c r="HC1341"/>
      <c r="HD1341"/>
      <c r="HE1341"/>
      <c r="HF1341"/>
      <c r="HG1341"/>
      <c r="HH1341"/>
      <c r="HI1341"/>
      <c r="HJ1341"/>
      <c r="HK1341"/>
      <c r="HL1341"/>
      <c r="HM1341"/>
      <c r="HN1341"/>
      <c r="HO1341"/>
      <c r="HP1341"/>
      <c r="HQ1341"/>
      <c r="HR1341"/>
      <c r="HS1341"/>
      <c r="HT1341"/>
      <c r="HU1341"/>
      <c r="HV1341"/>
      <c r="HW1341"/>
      <c r="HX1341"/>
      <c r="HY1341"/>
      <c r="HZ1341"/>
      <c r="IA1341"/>
      <c r="IB1341"/>
      <c r="IC1341"/>
      <c r="ID1341"/>
      <c r="IE1341"/>
      <c r="IF1341"/>
      <c r="IG1341"/>
      <c r="IH1341"/>
      <c r="II1341"/>
      <c r="IJ1341"/>
      <c r="IK1341"/>
      <c r="IL1341"/>
      <c r="IM1341"/>
      <c r="IN1341"/>
      <c r="IO1341"/>
      <c r="IP1341"/>
      <c r="IQ1341"/>
      <c r="IR1341"/>
      <c r="IS1341"/>
      <c r="IT1341"/>
      <c r="IU1341"/>
      <c r="IV1341"/>
    </row>
    <row r="1342" spans="1:11" ht="11.25" customHeight="1">
      <c r="A1342" s="454" t="s">
        <v>1963</v>
      </c>
      <c r="B1342" s="454" t="s">
        <v>1900</v>
      </c>
      <c r="C1342" s="454">
        <v>1</v>
      </c>
      <c r="D1342" s="454" t="s">
        <v>348</v>
      </c>
      <c r="E1342" s="481" t="s">
        <v>1964</v>
      </c>
      <c r="F1342" s="481"/>
      <c r="G1342" s="481"/>
      <c r="H1342" s="481"/>
      <c r="I1342" s="481"/>
      <c r="J1342" s="455"/>
      <c r="K1342" s="390"/>
    </row>
    <row r="1343" spans="1:11" ht="11.25" customHeight="1">
      <c r="A1343" s="454" t="s">
        <v>1965</v>
      </c>
      <c r="B1343" s="448" t="s">
        <v>410</v>
      </c>
      <c r="C1343" s="454">
        <v>1</v>
      </c>
      <c r="D1343" s="454">
        <v>1</v>
      </c>
      <c r="E1343" s="481" t="s">
        <v>1966</v>
      </c>
      <c r="F1343" s="481"/>
      <c r="G1343" s="481"/>
      <c r="H1343" s="481"/>
      <c r="I1343" s="481"/>
      <c r="J1343" s="455" t="s">
        <v>1967</v>
      </c>
      <c r="K1343" s="390"/>
    </row>
    <row r="1344" spans="1:11" ht="11.25" customHeight="1">
      <c r="A1344" s="454" t="s">
        <v>1968</v>
      </c>
      <c r="B1344" s="448" t="s">
        <v>410</v>
      </c>
      <c r="C1344" s="454">
        <v>1</v>
      </c>
      <c r="D1344" s="454" t="s">
        <v>348</v>
      </c>
      <c r="E1344" s="481" t="s">
        <v>1969</v>
      </c>
      <c r="F1344" s="481"/>
      <c r="G1344" s="481"/>
      <c r="H1344" s="481"/>
      <c r="I1344" s="481"/>
      <c r="J1344" s="455"/>
      <c r="K1344" s="390"/>
    </row>
    <row r="1345" spans="1:12" s="463" customFormat="1" ht="11.25" customHeight="1">
      <c r="A1345" s="448" t="s">
        <v>1970</v>
      </c>
      <c r="B1345" s="448" t="s">
        <v>410</v>
      </c>
      <c r="C1345" s="454">
        <v>1</v>
      </c>
      <c r="D1345" s="454" t="s">
        <v>348</v>
      </c>
      <c r="E1345" s="482" t="s">
        <v>1971</v>
      </c>
      <c r="F1345" s="482"/>
      <c r="G1345" s="482"/>
      <c r="H1345" s="482"/>
      <c r="I1345" s="482"/>
      <c r="J1345" s="449"/>
      <c r="L1345" s="462"/>
    </row>
    <row r="1346" spans="1:12" s="463" customFormat="1" ht="11.25" customHeight="1">
      <c r="A1346" s="448" t="s">
        <v>1972</v>
      </c>
      <c r="B1346" s="454" t="s">
        <v>566</v>
      </c>
      <c r="C1346" s="454">
        <v>2</v>
      </c>
      <c r="D1346" s="454" t="s">
        <v>348</v>
      </c>
      <c r="E1346" s="482" t="s">
        <v>1973</v>
      </c>
      <c r="F1346" s="482"/>
      <c r="G1346" s="482"/>
      <c r="H1346" s="482"/>
      <c r="I1346" s="482"/>
      <c r="J1346" s="449"/>
      <c r="L1346" s="462"/>
    </row>
    <row r="1347" spans="1:12" s="463" customFormat="1" ht="11.25" customHeight="1">
      <c r="A1347" s="448" t="s">
        <v>1974</v>
      </c>
      <c r="B1347" s="448" t="s">
        <v>410</v>
      </c>
      <c r="C1347" s="454">
        <v>2</v>
      </c>
      <c r="D1347" s="448">
        <v>1</v>
      </c>
      <c r="E1347" s="482" t="s">
        <v>1975</v>
      </c>
      <c r="F1347" s="482"/>
      <c r="G1347" s="482"/>
      <c r="H1347" s="482"/>
      <c r="I1347" s="482"/>
      <c r="J1347" s="449" t="s">
        <v>1976</v>
      </c>
      <c r="L1347" s="462"/>
    </row>
    <row r="1348" spans="1:12" s="463" customFormat="1" ht="11.25" customHeight="1">
      <c r="A1348" s="448" t="s">
        <v>1977</v>
      </c>
      <c r="B1348" s="448" t="s">
        <v>410</v>
      </c>
      <c r="C1348" s="454">
        <v>2</v>
      </c>
      <c r="D1348" s="448">
        <v>1</v>
      </c>
      <c r="E1348" s="482" t="s">
        <v>1978</v>
      </c>
      <c r="F1348" s="482"/>
      <c r="G1348" s="482"/>
      <c r="H1348" s="482"/>
      <c r="I1348" s="482"/>
      <c r="J1348" s="449"/>
      <c r="L1348" s="462"/>
    </row>
    <row r="1349" spans="1:12" s="463" customFormat="1" ht="11.25" customHeight="1">
      <c r="A1349" s="448" t="s">
        <v>1979</v>
      </c>
      <c r="B1349" s="448" t="s">
        <v>410</v>
      </c>
      <c r="C1349" s="454">
        <v>3</v>
      </c>
      <c r="D1349" s="454" t="s">
        <v>348</v>
      </c>
      <c r="E1349" s="482" t="s">
        <v>1980</v>
      </c>
      <c r="F1349" s="482"/>
      <c r="G1349" s="482"/>
      <c r="H1349" s="482"/>
      <c r="I1349" s="482"/>
      <c r="J1349" s="449" t="s">
        <v>1981</v>
      </c>
      <c r="L1349" s="462"/>
    </row>
    <row r="1350" spans="1:12" s="463" customFormat="1" ht="11.25" customHeight="1">
      <c r="A1350" s="448" t="s">
        <v>1982</v>
      </c>
      <c r="B1350" s="448" t="s">
        <v>410</v>
      </c>
      <c r="C1350" s="448">
        <v>3</v>
      </c>
      <c r="D1350" s="448">
        <v>1</v>
      </c>
      <c r="E1350" s="482" t="s">
        <v>1983</v>
      </c>
      <c r="F1350" s="482"/>
      <c r="G1350" s="482"/>
      <c r="H1350" s="482"/>
      <c r="I1350" s="482"/>
      <c r="J1350" s="449"/>
      <c r="L1350" s="462"/>
    </row>
    <row r="1351" spans="1:12" s="463" customFormat="1" ht="11.25" customHeight="1">
      <c r="A1351" s="448" t="s">
        <v>1984</v>
      </c>
      <c r="B1351" s="448" t="s">
        <v>410</v>
      </c>
      <c r="C1351" s="454">
        <v>3</v>
      </c>
      <c r="D1351" s="454" t="s">
        <v>348</v>
      </c>
      <c r="E1351" s="482" t="s">
        <v>1985</v>
      </c>
      <c r="F1351" s="482"/>
      <c r="G1351" s="482"/>
      <c r="H1351" s="482"/>
      <c r="I1351" s="482"/>
      <c r="J1351" s="449"/>
      <c r="L1351" s="462"/>
    </row>
    <row r="1352" spans="1:12" s="463" customFormat="1" ht="11.25" customHeight="1">
      <c r="A1352" s="448" t="s">
        <v>1986</v>
      </c>
      <c r="B1352" s="448" t="s">
        <v>410</v>
      </c>
      <c r="C1352" s="454">
        <v>3</v>
      </c>
      <c r="D1352" s="454" t="s">
        <v>348</v>
      </c>
      <c r="E1352" s="482" t="s">
        <v>1985</v>
      </c>
      <c r="F1352" s="482"/>
      <c r="G1352" s="482"/>
      <c r="H1352" s="482"/>
      <c r="I1352" s="482"/>
      <c r="J1352" s="449"/>
      <c r="L1352" s="462"/>
    </row>
    <row r="1353" spans="1:12" s="463" customFormat="1" ht="11.25" customHeight="1">
      <c r="A1353" s="448" t="s">
        <v>1987</v>
      </c>
      <c r="B1353" s="448" t="s">
        <v>410</v>
      </c>
      <c r="C1353" s="454">
        <v>3</v>
      </c>
      <c r="D1353" s="454" t="s">
        <v>348</v>
      </c>
      <c r="E1353" s="482" t="s">
        <v>1985</v>
      </c>
      <c r="F1353" s="482"/>
      <c r="G1353" s="482"/>
      <c r="H1353" s="482"/>
      <c r="I1353" s="482"/>
      <c r="J1353" s="449"/>
      <c r="L1353" s="462"/>
    </row>
    <row r="1354" spans="1:11" ht="11.25" customHeight="1">
      <c r="A1354" s="454" t="s">
        <v>1988</v>
      </c>
      <c r="B1354" s="448" t="s">
        <v>410</v>
      </c>
      <c r="C1354" s="454">
        <v>3</v>
      </c>
      <c r="D1354" s="454" t="s">
        <v>348</v>
      </c>
      <c r="E1354" s="482" t="s">
        <v>1985</v>
      </c>
      <c r="F1354" s="482"/>
      <c r="G1354" s="482"/>
      <c r="H1354" s="482"/>
      <c r="I1354" s="482"/>
      <c r="J1354" s="455"/>
      <c r="K1354" s="390"/>
    </row>
    <row r="1355" spans="1:11" ht="11.25" customHeight="1">
      <c r="A1355" s="454" t="s">
        <v>1989</v>
      </c>
      <c r="B1355" s="448" t="s">
        <v>410</v>
      </c>
      <c r="C1355" s="454">
        <v>3</v>
      </c>
      <c r="D1355" s="454" t="s">
        <v>348</v>
      </c>
      <c r="E1355" s="482" t="s">
        <v>1985</v>
      </c>
      <c r="F1355" s="482"/>
      <c r="G1355" s="482"/>
      <c r="H1355" s="482"/>
      <c r="I1355" s="482"/>
      <c r="J1355" s="455"/>
      <c r="K1355" s="390"/>
    </row>
    <row r="1356" spans="1:12" s="458" customFormat="1" ht="11.25" customHeight="1">
      <c r="A1356" s="454" t="s">
        <v>1990</v>
      </c>
      <c r="B1356" s="448" t="s">
        <v>410</v>
      </c>
      <c r="C1356" s="454">
        <v>3</v>
      </c>
      <c r="D1356" s="454" t="s">
        <v>348</v>
      </c>
      <c r="E1356" s="482" t="s">
        <v>1985</v>
      </c>
      <c r="F1356" s="482"/>
      <c r="G1356" s="482"/>
      <c r="H1356" s="482"/>
      <c r="I1356" s="482"/>
      <c r="J1356" s="455"/>
      <c r="K1356" s="451"/>
      <c r="L1356" s="457"/>
    </row>
    <row r="1357" spans="1:11" ht="11.25" customHeight="1">
      <c r="A1357" s="454" t="s">
        <v>1991</v>
      </c>
      <c r="B1357" s="448" t="s">
        <v>410</v>
      </c>
      <c r="C1357" s="454">
        <v>3</v>
      </c>
      <c r="D1357" s="454" t="s">
        <v>348</v>
      </c>
      <c r="E1357" s="482" t="s">
        <v>1985</v>
      </c>
      <c r="F1357" s="482"/>
      <c r="G1357" s="482"/>
      <c r="H1357" s="482"/>
      <c r="I1357" s="482"/>
      <c r="J1357" s="455"/>
      <c r="K1357" s="390"/>
    </row>
    <row r="1358" spans="1:11" ht="11.25" customHeight="1">
      <c r="A1358" s="454" t="s">
        <v>1992</v>
      </c>
      <c r="B1358" s="454" t="s">
        <v>488</v>
      </c>
      <c r="C1358" s="454">
        <v>3</v>
      </c>
      <c r="D1358" s="454" t="s">
        <v>348</v>
      </c>
      <c r="E1358" s="481" t="s">
        <v>1993</v>
      </c>
      <c r="F1358" s="481"/>
      <c r="G1358" s="481"/>
      <c r="H1358" s="481"/>
      <c r="I1358" s="481"/>
      <c r="J1358" s="455"/>
      <c r="K1358" s="390"/>
    </row>
    <row r="1359" spans="1:12" s="458" customFormat="1" ht="11.25" customHeight="1">
      <c r="A1359" s="454" t="s">
        <v>1994</v>
      </c>
      <c r="B1359" s="454" t="s">
        <v>1900</v>
      </c>
      <c r="C1359" s="454">
        <v>5</v>
      </c>
      <c r="D1359" s="454" t="s">
        <v>348</v>
      </c>
      <c r="E1359" s="481" t="s">
        <v>1995</v>
      </c>
      <c r="F1359" s="481"/>
      <c r="G1359" s="481"/>
      <c r="H1359" s="481"/>
      <c r="I1359" s="481"/>
      <c r="J1359" s="455"/>
      <c r="K1359" s="451"/>
      <c r="L1359" s="457"/>
    </row>
    <row r="1360" spans="1:256" ht="11.25" customHeight="1">
      <c r="A1360" s="452" t="s">
        <v>1996</v>
      </c>
      <c r="B1360" s="448" t="s">
        <v>410</v>
      </c>
      <c r="C1360" s="448">
        <v>5</v>
      </c>
      <c r="D1360" s="448" t="s">
        <v>348</v>
      </c>
      <c r="E1360" s="482" t="s">
        <v>1997</v>
      </c>
      <c r="F1360" s="482"/>
      <c r="G1360" s="482"/>
      <c r="H1360" s="482"/>
      <c r="I1360" s="482"/>
      <c r="J1360" s="449"/>
      <c r="K1360" s="451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  <c r="DL1360"/>
      <c r="DM1360"/>
      <c r="DN1360"/>
      <c r="DO1360"/>
      <c r="DP1360"/>
      <c r="DQ1360"/>
      <c r="DR1360"/>
      <c r="DS1360"/>
      <c r="DT1360"/>
      <c r="DU1360"/>
      <c r="DV1360"/>
      <c r="DW1360"/>
      <c r="DX1360"/>
      <c r="DY1360"/>
      <c r="DZ1360"/>
      <c r="EA1360"/>
      <c r="EB1360"/>
      <c r="EC1360"/>
      <c r="ED1360"/>
      <c r="EE1360"/>
      <c r="EF1360"/>
      <c r="EG1360"/>
      <c r="EH1360"/>
      <c r="EI1360"/>
      <c r="EJ1360"/>
      <c r="EK1360"/>
      <c r="EL1360"/>
      <c r="EM1360"/>
      <c r="EN1360"/>
      <c r="EO1360"/>
      <c r="EP1360"/>
      <c r="EQ1360"/>
      <c r="ER1360"/>
      <c r="ES1360"/>
      <c r="ET1360"/>
      <c r="EU1360"/>
      <c r="EV1360"/>
      <c r="EW1360"/>
      <c r="EX1360"/>
      <c r="EY1360"/>
      <c r="EZ1360"/>
      <c r="FA1360"/>
      <c r="FB1360"/>
      <c r="FC1360"/>
      <c r="FD1360"/>
      <c r="FE1360"/>
      <c r="FF1360"/>
      <c r="FG1360"/>
      <c r="FH1360"/>
      <c r="FI1360"/>
      <c r="FJ1360"/>
      <c r="FK1360"/>
      <c r="FL1360"/>
      <c r="FM1360"/>
      <c r="FN1360"/>
      <c r="FO1360"/>
      <c r="FP1360"/>
      <c r="FQ1360"/>
      <c r="FR1360"/>
      <c r="FS1360"/>
      <c r="FT1360"/>
      <c r="FU1360"/>
      <c r="FV1360"/>
      <c r="FW1360"/>
      <c r="FX1360"/>
      <c r="FY1360"/>
      <c r="FZ1360"/>
      <c r="GA1360"/>
      <c r="GB1360"/>
      <c r="GC1360"/>
      <c r="GD1360"/>
      <c r="GE1360"/>
      <c r="GF1360"/>
      <c r="GG1360"/>
      <c r="GH1360"/>
      <c r="GI1360"/>
      <c r="GJ1360"/>
      <c r="GK1360"/>
      <c r="GL1360"/>
      <c r="GM1360"/>
      <c r="GN1360"/>
      <c r="GO1360"/>
      <c r="GP1360"/>
      <c r="GQ1360"/>
      <c r="GR1360"/>
      <c r="GS1360"/>
      <c r="GT1360"/>
      <c r="GU1360"/>
      <c r="GV1360"/>
      <c r="GW1360"/>
      <c r="GX1360"/>
      <c r="GY1360"/>
      <c r="GZ1360"/>
      <c r="HA1360"/>
      <c r="HB1360"/>
      <c r="HC1360"/>
      <c r="HD1360"/>
      <c r="HE1360"/>
      <c r="HF1360"/>
      <c r="HG1360"/>
      <c r="HH1360"/>
      <c r="HI1360"/>
      <c r="HJ1360"/>
      <c r="HK1360"/>
      <c r="HL1360"/>
      <c r="HM1360"/>
      <c r="HN1360"/>
      <c r="HO1360"/>
      <c r="HP1360"/>
      <c r="HQ1360"/>
      <c r="HR1360"/>
      <c r="HS1360"/>
      <c r="HT1360"/>
      <c r="HU1360"/>
      <c r="HV1360"/>
      <c r="HW1360"/>
      <c r="HX1360"/>
      <c r="HY1360"/>
      <c r="HZ1360"/>
      <c r="IA1360"/>
      <c r="IB1360"/>
      <c r="IC1360"/>
      <c r="ID1360"/>
      <c r="IE1360"/>
      <c r="IF1360"/>
      <c r="IG1360"/>
      <c r="IH1360"/>
      <c r="II1360"/>
      <c r="IJ1360"/>
      <c r="IK1360"/>
      <c r="IL1360"/>
      <c r="IM1360"/>
      <c r="IN1360"/>
      <c r="IO1360"/>
      <c r="IP1360"/>
      <c r="IQ1360"/>
      <c r="IR1360"/>
      <c r="IS1360"/>
      <c r="IT1360"/>
      <c r="IU1360"/>
      <c r="IV1360"/>
    </row>
    <row r="1361" spans="1:256" ht="11.25" customHeight="1">
      <c r="A1361" s="452" t="s">
        <v>1998</v>
      </c>
      <c r="B1361" s="448" t="s">
        <v>410</v>
      </c>
      <c r="C1361" s="448">
        <v>5</v>
      </c>
      <c r="D1361" s="448" t="s">
        <v>348</v>
      </c>
      <c r="E1361" s="482" t="s">
        <v>1999</v>
      </c>
      <c r="F1361" s="482"/>
      <c r="G1361" s="482"/>
      <c r="H1361" s="482"/>
      <c r="I1361" s="482"/>
      <c r="J1361" s="449"/>
      <c r="K1361" s="45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  <c r="DL1361"/>
      <c r="DM1361"/>
      <c r="DN1361"/>
      <c r="DO1361"/>
      <c r="DP1361"/>
      <c r="DQ1361"/>
      <c r="DR1361"/>
      <c r="DS1361"/>
      <c r="DT1361"/>
      <c r="DU1361"/>
      <c r="DV1361"/>
      <c r="DW1361"/>
      <c r="DX1361"/>
      <c r="DY1361"/>
      <c r="DZ1361"/>
      <c r="EA1361"/>
      <c r="EB1361"/>
      <c r="EC1361"/>
      <c r="ED1361"/>
      <c r="EE1361"/>
      <c r="EF1361"/>
      <c r="EG1361"/>
      <c r="EH1361"/>
      <c r="EI1361"/>
      <c r="EJ1361"/>
      <c r="EK1361"/>
      <c r="EL1361"/>
      <c r="EM1361"/>
      <c r="EN1361"/>
      <c r="EO1361"/>
      <c r="EP1361"/>
      <c r="EQ1361"/>
      <c r="ER1361"/>
      <c r="ES1361"/>
      <c r="ET1361"/>
      <c r="EU1361"/>
      <c r="EV1361"/>
      <c r="EW1361"/>
      <c r="EX1361"/>
      <c r="EY1361"/>
      <c r="EZ1361"/>
      <c r="FA1361"/>
      <c r="FB1361"/>
      <c r="FC1361"/>
      <c r="FD1361"/>
      <c r="FE1361"/>
      <c r="FF1361"/>
      <c r="FG1361"/>
      <c r="FH1361"/>
      <c r="FI1361"/>
      <c r="FJ1361"/>
      <c r="FK1361"/>
      <c r="FL1361"/>
      <c r="FM1361"/>
      <c r="FN1361"/>
      <c r="FO1361"/>
      <c r="FP1361"/>
      <c r="FQ1361"/>
      <c r="FR1361"/>
      <c r="FS1361"/>
      <c r="FT1361"/>
      <c r="FU1361"/>
      <c r="FV1361"/>
      <c r="FW1361"/>
      <c r="FX1361"/>
      <c r="FY1361"/>
      <c r="FZ1361"/>
      <c r="GA1361"/>
      <c r="GB1361"/>
      <c r="GC1361"/>
      <c r="GD1361"/>
      <c r="GE1361"/>
      <c r="GF1361"/>
      <c r="GG1361"/>
      <c r="GH1361"/>
      <c r="GI1361"/>
      <c r="GJ1361"/>
      <c r="GK1361"/>
      <c r="GL1361"/>
      <c r="GM1361"/>
      <c r="GN1361"/>
      <c r="GO1361"/>
      <c r="GP1361"/>
      <c r="GQ1361"/>
      <c r="GR1361"/>
      <c r="GS1361"/>
      <c r="GT1361"/>
      <c r="GU1361"/>
      <c r="GV1361"/>
      <c r="GW1361"/>
      <c r="GX1361"/>
      <c r="GY1361"/>
      <c r="GZ1361"/>
      <c r="HA1361"/>
      <c r="HB1361"/>
      <c r="HC1361"/>
      <c r="HD1361"/>
      <c r="HE1361"/>
      <c r="HF1361"/>
      <c r="HG1361"/>
      <c r="HH1361"/>
      <c r="HI1361"/>
      <c r="HJ1361"/>
      <c r="HK1361"/>
      <c r="HL1361"/>
      <c r="HM1361"/>
      <c r="HN1361"/>
      <c r="HO1361"/>
      <c r="HP1361"/>
      <c r="HQ1361"/>
      <c r="HR1361"/>
      <c r="HS1361"/>
      <c r="HT1361"/>
      <c r="HU1361"/>
      <c r="HV1361"/>
      <c r="HW1361"/>
      <c r="HX1361"/>
      <c r="HY1361"/>
      <c r="HZ1361"/>
      <c r="IA1361"/>
      <c r="IB1361"/>
      <c r="IC1361"/>
      <c r="ID1361"/>
      <c r="IE1361"/>
      <c r="IF1361"/>
      <c r="IG1361"/>
      <c r="IH1361"/>
      <c r="II1361"/>
      <c r="IJ1361"/>
      <c r="IK1361"/>
      <c r="IL1361"/>
      <c r="IM1361"/>
      <c r="IN1361"/>
      <c r="IO1361"/>
      <c r="IP1361"/>
      <c r="IQ1361"/>
      <c r="IR1361"/>
      <c r="IS1361"/>
      <c r="IT1361"/>
      <c r="IU1361"/>
      <c r="IV1361"/>
    </row>
    <row r="1362" spans="1:256" ht="11.25" customHeight="1">
      <c r="A1362" s="452" t="s">
        <v>2000</v>
      </c>
      <c r="B1362" s="448" t="s">
        <v>410</v>
      </c>
      <c r="C1362" s="448">
        <v>5</v>
      </c>
      <c r="D1362" s="448" t="s">
        <v>348</v>
      </c>
      <c r="E1362" s="482" t="s">
        <v>2001</v>
      </c>
      <c r="F1362" s="482"/>
      <c r="G1362" s="482"/>
      <c r="H1362" s="482"/>
      <c r="I1362" s="482"/>
      <c r="J1362" s="449"/>
      <c r="K1362" s="451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  <c r="DL1362"/>
      <c r="DM1362"/>
      <c r="DN1362"/>
      <c r="DO1362"/>
      <c r="DP1362"/>
      <c r="DQ1362"/>
      <c r="DR1362"/>
      <c r="DS1362"/>
      <c r="DT1362"/>
      <c r="DU1362"/>
      <c r="DV1362"/>
      <c r="DW1362"/>
      <c r="DX1362"/>
      <c r="DY1362"/>
      <c r="DZ1362"/>
      <c r="EA1362"/>
      <c r="EB1362"/>
      <c r="EC1362"/>
      <c r="ED1362"/>
      <c r="EE1362"/>
      <c r="EF1362"/>
      <c r="EG1362"/>
      <c r="EH1362"/>
      <c r="EI1362"/>
      <c r="EJ1362"/>
      <c r="EK1362"/>
      <c r="EL1362"/>
      <c r="EM1362"/>
      <c r="EN1362"/>
      <c r="EO1362"/>
      <c r="EP1362"/>
      <c r="EQ1362"/>
      <c r="ER1362"/>
      <c r="ES1362"/>
      <c r="ET1362"/>
      <c r="EU1362"/>
      <c r="EV1362"/>
      <c r="EW1362"/>
      <c r="EX1362"/>
      <c r="EY1362"/>
      <c r="EZ1362"/>
      <c r="FA1362"/>
      <c r="FB1362"/>
      <c r="FC1362"/>
      <c r="FD1362"/>
      <c r="FE1362"/>
      <c r="FF1362"/>
      <c r="FG1362"/>
      <c r="FH1362"/>
      <c r="FI1362"/>
      <c r="FJ1362"/>
      <c r="FK1362"/>
      <c r="FL1362"/>
      <c r="FM1362"/>
      <c r="FN1362"/>
      <c r="FO1362"/>
      <c r="FP1362"/>
      <c r="FQ1362"/>
      <c r="FR1362"/>
      <c r="FS1362"/>
      <c r="FT1362"/>
      <c r="FU1362"/>
      <c r="FV1362"/>
      <c r="FW1362"/>
      <c r="FX1362"/>
      <c r="FY1362"/>
      <c r="FZ1362"/>
      <c r="GA1362"/>
      <c r="GB1362"/>
      <c r="GC1362"/>
      <c r="GD1362"/>
      <c r="GE1362"/>
      <c r="GF1362"/>
      <c r="GG1362"/>
      <c r="GH1362"/>
      <c r="GI1362"/>
      <c r="GJ1362"/>
      <c r="GK1362"/>
      <c r="GL1362"/>
      <c r="GM1362"/>
      <c r="GN1362"/>
      <c r="GO1362"/>
      <c r="GP1362"/>
      <c r="GQ1362"/>
      <c r="GR1362"/>
      <c r="GS1362"/>
      <c r="GT1362"/>
      <c r="GU1362"/>
      <c r="GV1362"/>
      <c r="GW1362"/>
      <c r="GX1362"/>
      <c r="GY1362"/>
      <c r="GZ1362"/>
      <c r="HA1362"/>
      <c r="HB1362"/>
      <c r="HC1362"/>
      <c r="HD1362"/>
      <c r="HE1362"/>
      <c r="HF1362"/>
      <c r="HG1362"/>
      <c r="HH1362"/>
      <c r="HI1362"/>
      <c r="HJ1362"/>
      <c r="HK1362"/>
      <c r="HL1362"/>
      <c r="HM1362"/>
      <c r="HN1362"/>
      <c r="HO1362"/>
      <c r="HP1362"/>
      <c r="HQ1362"/>
      <c r="HR1362"/>
      <c r="HS1362"/>
      <c r="HT1362"/>
      <c r="HU1362"/>
      <c r="HV1362"/>
      <c r="HW1362"/>
      <c r="HX1362"/>
      <c r="HY1362"/>
      <c r="HZ1362"/>
      <c r="IA1362"/>
      <c r="IB1362"/>
      <c r="IC1362"/>
      <c r="ID1362"/>
      <c r="IE1362"/>
      <c r="IF1362"/>
      <c r="IG1362"/>
      <c r="IH1362"/>
      <c r="II1362"/>
      <c r="IJ1362"/>
      <c r="IK1362"/>
      <c r="IL1362"/>
      <c r="IM1362"/>
      <c r="IN1362"/>
      <c r="IO1362"/>
      <c r="IP1362"/>
      <c r="IQ1362"/>
      <c r="IR1362"/>
      <c r="IS1362"/>
      <c r="IT1362"/>
      <c r="IU1362"/>
      <c r="IV1362"/>
    </row>
    <row r="1363" spans="1:256" ht="11.25" customHeight="1">
      <c r="A1363" s="452" t="s">
        <v>2002</v>
      </c>
      <c r="B1363" s="448" t="s">
        <v>410</v>
      </c>
      <c r="C1363" s="448">
        <v>5</v>
      </c>
      <c r="D1363" s="448" t="s">
        <v>348</v>
      </c>
      <c r="E1363" s="482" t="s">
        <v>2003</v>
      </c>
      <c r="F1363" s="482"/>
      <c r="G1363" s="482"/>
      <c r="H1363" s="482"/>
      <c r="I1363" s="482"/>
      <c r="J1363" s="449"/>
      <c r="K1363" s="451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  <c r="DL1363"/>
      <c r="DM1363"/>
      <c r="DN1363"/>
      <c r="DO1363"/>
      <c r="DP1363"/>
      <c r="DQ1363"/>
      <c r="DR1363"/>
      <c r="DS1363"/>
      <c r="DT1363"/>
      <c r="DU1363"/>
      <c r="DV1363"/>
      <c r="DW1363"/>
      <c r="DX1363"/>
      <c r="DY1363"/>
      <c r="DZ1363"/>
      <c r="EA1363"/>
      <c r="EB1363"/>
      <c r="EC1363"/>
      <c r="ED1363"/>
      <c r="EE1363"/>
      <c r="EF1363"/>
      <c r="EG1363"/>
      <c r="EH1363"/>
      <c r="EI1363"/>
      <c r="EJ1363"/>
      <c r="EK1363"/>
      <c r="EL1363"/>
      <c r="EM1363"/>
      <c r="EN1363"/>
      <c r="EO1363"/>
      <c r="EP1363"/>
      <c r="EQ1363"/>
      <c r="ER1363"/>
      <c r="ES1363"/>
      <c r="ET1363"/>
      <c r="EU1363"/>
      <c r="EV1363"/>
      <c r="EW1363"/>
      <c r="EX1363"/>
      <c r="EY1363"/>
      <c r="EZ1363"/>
      <c r="FA1363"/>
      <c r="FB1363"/>
      <c r="FC1363"/>
      <c r="FD1363"/>
      <c r="FE1363"/>
      <c r="FF1363"/>
      <c r="FG1363"/>
      <c r="FH1363"/>
      <c r="FI1363"/>
      <c r="FJ1363"/>
      <c r="FK1363"/>
      <c r="FL1363"/>
      <c r="FM1363"/>
      <c r="FN1363"/>
      <c r="FO1363"/>
      <c r="FP1363"/>
      <c r="FQ1363"/>
      <c r="FR1363"/>
      <c r="FS1363"/>
      <c r="FT1363"/>
      <c r="FU1363"/>
      <c r="FV1363"/>
      <c r="FW1363"/>
      <c r="FX1363"/>
      <c r="FY1363"/>
      <c r="FZ1363"/>
      <c r="GA1363"/>
      <c r="GB1363"/>
      <c r="GC1363"/>
      <c r="GD1363"/>
      <c r="GE1363"/>
      <c r="GF1363"/>
      <c r="GG1363"/>
      <c r="GH1363"/>
      <c r="GI1363"/>
      <c r="GJ1363"/>
      <c r="GK1363"/>
      <c r="GL1363"/>
      <c r="GM1363"/>
      <c r="GN1363"/>
      <c r="GO1363"/>
      <c r="GP1363"/>
      <c r="GQ1363"/>
      <c r="GR1363"/>
      <c r="GS1363"/>
      <c r="GT1363"/>
      <c r="GU1363"/>
      <c r="GV1363"/>
      <c r="GW1363"/>
      <c r="GX1363"/>
      <c r="GY1363"/>
      <c r="GZ1363"/>
      <c r="HA1363"/>
      <c r="HB1363"/>
      <c r="HC1363"/>
      <c r="HD1363"/>
      <c r="HE1363"/>
      <c r="HF1363"/>
      <c r="HG1363"/>
      <c r="HH1363"/>
      <c r="HI1363"/>
      <c r="HJ1363"/>
      <c r="HK1363"/>
      <c r="HL1363"/>
      <c r="HM1363"/>
      <c r="HN1363"/>
      <c r="HO1363"/>
      <c r="HP1363"/>
      <c r="HQ1363"/>
      <c r="HR1363"/>
      <c r="HS1363"/>
      <c r="HT1363"/>
      <c r="HU1363"/>
      <c r="HV1363"/>
      <c r="HW1363"/>
      <c r="HX1363"/>
      <c r="HY1363"/>
      <c r="HZ1363"/>
      <c r="IA1363"/>
      <c r="IB1363"/>
      <c r="IC1363"/>
      <c r="ID1363"/>
      <c r="IE1363"/>
      <c r="IF1363"/>
      <c r="IG1363"/>
      <c r="IH1363"/>
      <c r="II1363"/>
      <c r="IJ1363"/>
      <c r="IK1363"/>
      <c r="IL1363"/>
      <c r="IM1363"/>
      <c r="IN1363"/>
      <c r="IO1363"/>
      <c r="IP1363"/>
      <c r="IQ1363"/>
      <c r="IR1363"/>
      <c r="IS1363"/>
      <c r="IT1363"/>
      <c r="IU1363"/>
      <c r="IV1363"/>
    </row>
    <row r="1364" spans="1:256" ht="11.25" customHeight="1">
      <c r="A1364" s="452" t="s">
        <v>2004</v>
      </c>
      <c r="B1364" s="448" t="s">
        <v>410</v>
      </c>
      <c r="C1364" s="448">
        <v>5</v>
      </c>
      <c r="D1364" s="448" t="s">
        <v>348</v>
      </c>
      <c r="E1364" s="482" t="s">
        <v>2005</v>
      </c>
      <c r="F1364" s="482"/>
      <c r="G1364" s="482"/>
      <c r="H1364" s="482"/>
      <c r="I1364" s="482"/>
      <c r="J1364" s="449"/>
      <c r="K1364" s="451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  <c r="DL1364"/>
      <c r="DM1364"/>
      <c r="DN1364"/>
      <c r="DO1364"/>
      <c r="DP1364"/>
      <c r="DQ1364"/>
      <c r="DR1364"/>
      <c r="DS1364"/>
      <c r="DT1364"/>
      <c r="DU1364"/>
      <c r="DV1364"/>
      <c r="DW1364"/>
      <c r="DX1364"/>
      <c r="DY1364"/>
      <c r="DZ1364"/>
      <c r="EA1364"/>
      <c r="EB1364"/>
      <c r="EC1364"/>
      <c r="ED1364"/>
      <c r="EE1364"/>
      <c r="EF1364"/>
      <c r="EG1364"/>
      <c r="EH1364"/>
      <c r="EI1364"/>
      <c r="EJ1364"/>
      <c r="EK1364"/>
      <c r="EL1364"/>
      <c r="EM1364"/>
      <c r="EN1364"/>
      <c r="EO1364"/>
      <c r="EP1364"/>
      <c r="EQ1364"/>
      <c r="ER1364"/>
      <c r="ES1364"/>
      <c r="ET1364"/>
      <c r="EU1364"/>
      <c r="EV1364"/>
      <c r="EW1364"/>
      <c r="EX1364"/>
      <c r="EY1364"/>
      <c r="EZ1364"/>
      <c r="FA1364"/>
      <c r="FB1364"/>
      <c r="FC1364"/>
      <c r="FD1364"/>
      <c r="FE1364"/>
      <c r="FF1364"/>
      <c r="FG1364"/>
      <c r="FH1364"/>
      <c r="FI1364"/>
      <c r="FJ1364"/>
      <c r="FK1364"/>
      <c r="FL1364"/>
      <c r="FM1364"/>
      <c r="FN1364"/>
      <c r="FO1364"/>
      <c r="FP1364"/>
      <c r="FQ1364"/>
      <c r="FR1364"/>
      <c r="FS1364"/>
      <c r="FT1364"/>
      <c r="FU1364"/>
      <c r="FV1364"/>
      <c r="FW1364"/>
      <c r="FX1364"/>
      <c r="FY1364"/>
      <c r="FZ1364"/>
      <c r="GA1364"/>
      <c r="GB1364"/>
      <c r="GC1364"/>
      <c r="GD1364"/>
      <c r="GE1364"/>
      <c r="GF1364"/>
      <c r="GG1364"/>
      <c r="GH1364"/>
      <c r="GI1364"/>
      <c r="GJ1364"/>
      <c r="GK1364"/>
      <c r="GL1364"/>
      <c r="GM1364"/>
      <c r="GN1364"/>
      <c r="GO1364"/>
      <c r="GP1364"/>
      <c r="GQ1364"/>
      <c r="GR1364"/>
      <c r="GS1364"/>
      <c r="GT1364"/>
      <c r="GU1364"/>
      <c r="GV1364"/>
      <c r="GW1364"/>
      <c r="GX1364"/>
      <c r="GY1364"/>
      <c r="GZ1364"/>
      <c r="HA1364"/>
      <c r="HB1364"/>
      <c r="HC1364"/>
      <c r="HD1364"/>
      <c r="HE1364"/>
      <c r="HF1364"/>
      <c r="HG1364"/>
      <c r="HH1364"/>
      <c r="HI1364"/>
      <c r="HJ1364"/>
      <c r="HK1364"/>
      <c r="HL1364"/>
      <c r="HM1364"/>
      <c r="HN1364"/>
      <c r="HO1364"/>
      <c r="HP1364"/>
      <c r="HQ1364"/>
      <c r="HR1364"/>
      <c r="HS1364"/>
      <c r="HT1364"/>
      <c r="HU1364"/>
      <c r="HV1364"/>
      <c r="HW1364"/>
      <c r="HX1364"/>
      <c r="HY1364"/>
      <c r="HZ1364"/>
      <c r="IA1364"/>
      <c r="IB1364"/>
      <c r="IC1364"/>
      <c r="ID1364"/>
      <c r="IE1364"/>
      <c r="IF1364"/>
      <c r="IG1364"/>
      <c r="IH1364"/>
      <c r="II1364"/>
      <c r="IJ1364"/>
      <c r="IK1364"/>
      <c r="IL1364"/>
      <c r="IM1364"/>
      <c r="IN1364"/>
      <c r="IO1364"/>
      <c r="IP1364"/>
      <c r="IQ1364"/>
      <c r="IR1364"/>
      <c r="IS1364"/>
      <c r="IT1364"/>
      <c r="IU1364"/>
      <c r="IV1364"/>
    </row>
    <row r="1365" spans="1:256" ht="11.25" customHeight="1">
      <c r="A1365" s="452" t="s">
        <v>2006</v>
      </c>
      <c r="B1365" s="448" t="s">
        <v>410</v>
      </c>
      <c r="C1365" s="448">
        <v>5</v>
      </c>
      <c r="D1365" s="448" t="s">
        <v>348</v>
      </c>
      <c r="E1365" s="482" t="s">
        <v>2007</v>
      </c>
      <c r="F1365" s="482"/>
      <c r="G1365" s="482"/>
      <c r="H1365" s="482"/>
      <c r="I1365" s="482"/>
      <c r="J1365" s="449"/>
      <c r="K1365" s="451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  <c r="DL1365"/>
      <c r="DM1365"/>
      <c r="DN1365"/>
      <c r="DO1365"/>
      <c r="DP1365"/>
      <c r="DQ1365"/>
      <c r="DR1365"/>
      <c r="DS1365"/>
      <c r="DT1365"/>
      <c r="DU1365"/>
      <c r="DV1365"/>
      <c r="DW1365"/>
      <c r="DX1365"/>
      <c r="DY1365"/>
      <c r="DZ1365"/>
      <c r="EA1365"/>
      <c r="EB1365"/>
      <c r="EC1365"/>
      <c r="ED1365"/>
      <c r="EE1365"/>
      <c r="EF1365"/>
      <c r="EG1365"/>
      <c r="EH1365"/>
      <c r="EI1365"/>
      <c r="EJ1365"/>
      <c r="EK1365"/>
      <c r="EL1365"/>
      <c r="EM1365"/>
      <c r="EN1365"/>
      <c r="EO1365"/>
      <c r="EP1365"/>
      <c r="EQ1365"/>
      <c r="ER1365"/>
      <c r="ES1365"/>
      <c r="ET1365"/>
      <c r="EU1365"/>
      <c r="EV1365"/>
      <c r="EW1365"/>
      <c r="EX1365"/>
      <c r="EY1365"/>
      <c r="EZ1365"/>
      <c r="FA1365"/>
      <c r="FB1365"/>
      <c r="FC1365"/>
      <c r="FD1365"/>
      <c r="FE1365"/>
      <c r="FF1365"/>
      <c r="FG1365"/>
      <c r="FH1365"/>
      <c r="FI1365"/>
      <c r="FJ1365"/>
      <c r="FK1365"/>
      <c r="FL1365"/>
      <c r="FM1365"/>
      <c r="FN1365"/>
      <c r="FO1365"/>
      <c r="FP1365"/>
      <c r="FQ1365"/>
      <c r="FR1365"/>
      <c r="FS1365"/>
      <c r="FT1365"/>
      <c r="FU1365"/>
      <c r="FV1365"/>
      <c r="FW1365"/>
      <c r="FX1365"/>
      <c r="FY1365"/>
      <c r="FZ1365"/>
      <c r="GA1365"/>
      <c r="GB1365"/>
      <c r="GC1365"/>
      <c r="GD1365"/>
      <c r="GE1365"/>
      <c r="GF1365"/>
      <c r="GG1365"/>
      <c r="GH1365"/>
      <c r="GI1365"/>
      <c r="GJ1365"/>
      <c r="GK1365"/>
      <c r="GL1365"/>
      <c r="GM1365"/>
      <c r="GN1365"/>
      <c r="GO1365"/>
      <c r="GP1365"/>
      <c r="GQ1365"/>
      <c r="GR1365"/>
      <c r="GS1365"/>
      <c r="GT1365"/>
      <c r="GU1365"/>
      <c r="GV1365"/>
      <c r="GW1365"/>
      <c r="GX1365"/>
      <c r="GY1365"/>
      <c r="GZ1365"/>
      <c r="HA1365"/>
      <c r="HB1365"/>
      <c r="HC1365"/>
      <c r="HD1365"/>
      <c r="HE1365"/>
      <c r="HF1365"/>
      <c r="HG1365"/>
      <c r="HH1365"/>
      <c r="HI1365"/>
      <c r="HJ1365"/>
      <c r="HK1365"/>
      <c r="HL1365"/>
      <c r="HM1365"/>
      <c r="HN1365"/>
      <c r="HO1365"/>
      <c r="HP1365"/>
      <c r="HQ1365"/>
      <c r="HR1365"/>
      <c r="HS1365"/>
      <c r="HT1365"/>
      <c r="HU1365"/>
      <c r="HV1365"/>
      <c r="HW1365"/>
      <c r="HX1365"/>
      <c r="HY1365"/>
      <c r="HZ1365"/>
      <c r="IA1365"/>
      <c r="IB1365"/>
      <c r="IC1365"/>
      <c r="ID1365"/>
      <c r="IE1365"/>
      <c r="IF1365"/>
      <c r="IG1365"/>
      <c r="IH1365"/>
      <c r="II1365"/>
      <c r="IJ1365"/>
      <c r="IK1365"/>
      <c r="IL1365"/>
      <c r="IM1365"/>
      <c r="IN1365"/>
      <c r="IO1365"/>
      <c r="IP1365"/>
      <c r="IQ1365"/>
      <c r="IR1365"/>
      <c r="IS1365"/>
      <c r="IT1365"/>
      <c r="IU1365"/>
      <c r="IV1365"/>
    </row>
    <row r="1366" spans="1:256" ht="11.25" customHeight="1">
      <c r="A1366" s="452" t="s">
        <v>2008</v>
      </c>
      <c r="B1366" s="448" t="s">
        <v>410</v>
      </c>
      <c r="C1366" s="448">
        <v>5</v>
      </c>
      <c r="D1366" s="448" t="s">
        <v>348</v>
      </c>
      <c r="E1366" s="482" t="s">
        <v>2009</v>
      </c>
      <c r="F1366" s="482"/>
      <c r="G1366" s="482"/>
      <c r="H1366" s="482"/>
      <c r="I1366" s="482"/>
      <c r="J1366" s="449"/>
      <c r="K1366" s="451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  <c r="DL1366"/>
      <c r="DM1366"/>
      <c r="DN1366"/>
      <c r="DO1366"/>
      <c r="DP1366"/>
      <c r="DQ1366"/>
      <c r="DR1366"/>
      <c r="DS1366"/>
      <c r="DT1366"/>
      <c r="DU1366"/>
      <c r="DV1366"/>
      <c r="DW1366"/>
      <c r="DX1366"/>
      <c r="DY1366"/>
      <c r="DZ1366"/>
      <c r="EA1366"/>
      <c r="EB1366"/>
      <c r="EC1366"/>
      <c r="ED1366"/>
      <c r="EE1366"/>
      <c r="EF1366"/>
      <c r="EG1366"/>
      <c r="EH1366"/>
      <c r="EI1366"/>
      <c r="EJ1366"/>
      <c r="EK1366"/>
      <c r="EL1366"/>
      <c r="EM1366"/>
      <c r="EN1366"/>
      <c r="EO1366"/>
      <c r="EP1366"/>
      <c r="EQ1366"/>
      <c r="ER1366"/>
      <c r="ES1366"/>
      <c r="ET1366"/>
      <c r="EU1366"/>
      <c r="EV1366"/>
      <c r="EW1366"/>
      <c r="EX1366"/>
      <c r="EY1366"/>
      <c r="EZ1366"/>
      <c r="FA1366"/>
      <c r="FB1366"/>
      <c r="FC1366"/>
      <c r="FD1366"/>
      <c r="FE1366"/>
      <c r="FF1366"/>
      <c r="FG1366"/>
      <c r="FH1366"/>
      <c r="FI1366"/>
      <c r="FJ1366"/>
      <c r="FK1366"/>
      <c r="FL1366"/>
      <c r="FM1366"/>
      <c r="FN1366"/>
      <c r="FO1366"/>
      <c r="FP1366"/>
      <c r="FQ1366"/>
      <c r="FR1366"/>
      <c r="FS1366"/>
      <c r="FT1366"/>
      <c r="FU1366"/>
      <c r="FV1366"/>
      <c r="FW1366"/>
      <c r="FX1366"/>
      <c r="FY1366"/>
      <c r="FZ1366"/>
      <c r="GA1366"/>
      <c r="GB1366"/>
      <c r="GC1366"/>
      <c r="GD1366"/>
      <c r="GE1366"/>
      <c r="GF1366"/>
      <c r="GG1366"/>
      <c r="GH1366"/>
      <c r="GI1366"/>
      <c r="GJ1366"/>
      <c r="GK1366"/>
      <c r="GL1366"/>
      <c r="GM1366"/>
      <c r="GN1366"/>
      <c r="GO1366"/>
      <c r="GP1366"/>
      <c r="GQ1366"/>
      <c r="GR1366"/>
      <c r="GS1366"/>
      <c r="GT1366"/>
      <c r="GU1366"/>
      <c r="GV1366"/>
      <c r="GW1366"/>
      <c r="GX1366"/>
      <c r="GY1366"/>
      <c r="GZ1366"/>
      <c r="HA1366"/>
      <c r="HB1366"/>
      <c r="HC1366"/>
      <c r="HD1366"/>
      <c r="HE1366"/>
      <c r="HF1366"/>
      <c r="HG1366"/>
      <c r="HH1366"/>
      <c r="HI1366"/>
      <c r="HJ1366"/>
      <c r="HK1366"/>
      <c r="HL1366"/>
      <c r="HM1366"/>
      <c r="HN1366"/>
      <c r="HO1366"/>
      <c r="HP1366"/>
      <c r="HQ1366"/>
      <c r="HR1366"/>
      <c r="HS1366"/>
      <c r="HT1366"/>
      <c r="HU1366"/>
      <c r="HV1366"/>
      <c r="HW1366"/>
      <c r="HX1366"/>
      <c r="HY1366"/>
      <c r="HZ1366"/>
      <c r="IA1366"/>
      <c r="IB1366"/>
      <c r="IC1366"/>
      <c r="ID1366"/>
      <c r="IE1366"/>
      <c r="IF1366"/>
      <c r="IG1366"/>
      <c r="IH1366"/>
      <c r="II1366"/>
      <c r="IJ1366"/>
      <c r="IK1366"/>
      <c r="IL1366"/>
      <c r="IM1366"/>
      <c r="IN1366"/>
      <c r="IO1366"/>
      <c r="IP1366"/>
      <c r="IQ1366"/>
      <c r="IR1366"/>
      <c r="IS1366"/>
      <c r="IT1366"/>
      <c r="IU1366"/>
      <c r="IV1366"/>
    </row>
    <row r="1367" spans="1:12" s="451" customFormat="1" ht="11.25" customHeight="1">
      <c r="A1367" s="452" t="s">
        <v>2010</v>
      </c>
      <c r="B1367" s="448" t="s">
        <v>566</v>
      </c>
      <c r="C1367" s="448">
        <v>5</v>
      </c>
      <c r="D1367" s="448" t="s">
        <v>348</v>
      </c>
      <c r="E1367" s="482" t="s">
        <v>2011</v>
      </c>
      <c r="F1367" s="482"/>
      <c r="G1367" s="482"/>
      <c r="H1367" s="482"/>
      <c r="I1367" s="482"/>
      <c r="J1367" s="449"/>
      <c r="L1367" s="450"/>
    </row>
    <row r="1368" spans="1:12" s="451" customFormat="1" ht="11.25" customHeight="1">
      <c r="A1368" s="452" t="s">
        <v>2012</v>
      </c>
      <c r="B1368" s="454" t="s">
        <v>1900</v>
      </c>
      <c r="C1368" s="448">
        <v>5</v>
      </c>
      <c r="D1368" s="448" t="s">
        <v>348</v>
      </c>
      <c r="E1368" s="482" t="s">
        <v>2013</v>
      </c>
      <c r="F1368" s="482"/>
      <c r="G1368" s="482"/>
      <c r="H1368" s="482"/>
      <c r="I1368" s="482"/>
      <c r="J1368" s="449" t="s">
        <v>2014</v>
      </c>
      <c r="L1368" s="450"/>
    </row>
    <row r="1369" spans="1:12" s="451" customFormat="1" ht="11.25" customHeight="1">
      <c r="A1369" s="452" t="s">
        <v>2015</v>
      </c>
      <c r="B1369" s="448" t="s">
        <v>410</v>
      </c>
      <c r="C1369" s="448">
        <v>5</v>
      </c>
      <c r="D1369" s="448" t="s">
        <v>348</v>
      </c>
      <c r="E1369" s="482" t="s">
        <v>2016</v>
      </c>
      <c r="F1369" s="482"/>
      <c r="G1369" s="482"/>
      <c r="H1369" s="482"/>
      <c r="I1369" s="482"/>
      <c r="J1369" s="449" t="s">
        <v>1910</v>
      </c>
      <c r="L1369" s="450"/>
    </row>
    <row r="1370" spans="1:12" s="451" customFormat="1" ht="11.25" customHeight="1">
      <c r="A1370" s="452" t="s">
        <v>2017</v>
      </c>
      <c r="B1370" s="448" t="s">
        <v>410</v>
      </c>
      <c r="C1370" s="448">
        <v>5</v>
      </c>
      <c r="D1370" s="448" t="s">
        <v>348</v>
      </c>
      <c r="E1370" s="482" t="s">
        <v>2018</v>
      </c>
      <c r="F1370" s="482"/>
      <c r="G1370" s="482"/>
      <c r="H1370" s="482"/>
      <c r="I1370" s="482"/>
      <c r="J1370" s="449" t="s">
        <v>2019</v>
      </c>
      <c r="L1370" s="450"/>
    </row>
    <row r="1371" spans="1:12" s="463" customFormat="1" ht="11.25" customHeight="1">
      <c r="A1371" s="448" t="s">
        <v>2020</v>
      </c>
      <c r="B1371" s="448" t="s">
        <v>488</v>
      </c>
      <c r="C1371" s="448">
        <v>1</v>
      </c>
      <c r="D1371" s="448" t="s">
        <v>348</v>
      </c>
      <c r="E1371" s="482" t="s">
        <v>2021</v>
      </c>
      <c r="F1371" s="482"/>
      <c r="G1371" s="482"/>
      <c r="H1371" s="482"/>
      <c r="I1371" s="482"/>
      <c r="J1371" s="449" t="s">
        <v>2022</v>
      </c>
      <c r="L1371" s="462"/>
    </row>
    <row r="1372" spans="1:11" ht="11.25" customHeight="1">
      <c r="A1372" s="454" t="s">
        <v>2023</v>
      </c>
      <c r="B1372" s="454" t="s">
        <v>566</v>
      </c>
      <c r="C1372" s="454">
        <v>1</v>
      </c>
      <c r="D1372" s="448" t="s">
        <v>348</v>
      </c>
      <c r="E1372" s="481" t="s">
        <v>2024</v>
      </c>
      <c r="F1372" s="481"/>
      <c r="G1372" s="481"/>
      <c r="H1372" s="481"/>
      <c r="I1372" s="481"/>
      <c r="J1372" s="455"/>
      <c r="K1372" s="390"/>
    </row>
    <row r="1373" spans="1:11" ht="11.25" customHeight="1">
      <c r="A1373" s="454" t="s">
        <v>2025</v>
      </c>
      <c r="B1373" s="448" t="s">
        <v>410</v>
      </c>
      <c r="C1373" s="454">
        <v>1</v>
      </c>
      <c r="D1373" s="448" t="s">
        <v>348</v>
      </c>
      <c r="E1373" s="481" t="s">
        <v>2026</v>
      </c>
      <c r="F1373" s="481"/>
      <c r="G1373" s="481"/>
      <c r="H1373" s="481"/>
      <c r="I1373" s="481"/>
      <c r="J1373" s="455"/>
      <c r="K1373" s="390"/>
    </row>
    <row r="1374" spans="1:11" ht="11.25" customHeight="1">
      <c r="A1374" s="454" t="s">
        <v>2027</v>
      </c>
      <c r="B1374" s="448" t="s">
        <v>410</v>
      </c>
      <c r="C1374" s="454">
        <v>1</v>
      </c>
      <c r="D1374" s="448" t="s">
        <v>348</v>
      </c>
      <c r="E1374" s="481" t="s">
        <v>2028</v>
      </c>
      <c r="F1374" s="481"/>
      <c r="G1374" s="481"/>
      <c r="H1374" s="481"/>
      <c r="I1374" s="481"/>
      <c r="J1374" s="455"/>
      <c r="K1374" s="390"/>
    </row>
    <row r="1375" spans="1:11" ht="11.25" customHeight="1">
      <c r="A1375" s="454" t="s">
        <v>2029</v>
      </c>
      <c r="B1375" s="448" t="s">
        <v>410</v>
      </c>
      <c r="C1375" s="454">
        <v>1</v>
      </c>
      <c r="D1375" s="448" t="s">
        <v>348</v>
      </c>
      <c r="E1375" s="481" t="s">
        <v>2030</v>
      </c>
      <c r="F1375" s="481"/>
      <c r="G1375" s="481"/>
      <c r="H1375" s="481"/>
      <c r="I1375" s="481"/>
      <c r="J1375" s="455"/>
      <c r="K1375" s="390"/>
    </row>
    <row r="1376" spans="1:11" ht="11.25" customHeight="1">
      <c r="A1376" s="454" t="s">
        <v>2031</v>
      </c>
      <c r="B1376" s="448" t="s">
        <v>410</v>
      </c>
      <c r="C1376" s="454">
        <v>1</v>
      </c>
      <c r="D1376" s="448" t="s">
        <v>348</v>
      </c>
      <c r="E1376" s="481" t="s">
        <v>2032</v>
      </c>
      <c r="F1376" s="481"/>
      <c r="G1376" s="481"/>
      <c r="H1376" s="481"/>
      <c r="I1376" s="481"/>
      <c r="J1376" s="455"/>
      <c r="K1376" s="390"/>
    </row>
    <row r="1377" spans="1:11" ht="11.25" customHeight="1">
      <c r="A1377" s="454" t="s">
        <v>2033</v>
      </c>
      <c r="B1377" s="448" t="s">
        <v>410</v>
      </c>
      <c r="C1377" s="454">
        <v>1</v>
      </c>
      <c r="D1377" s="448" t="s">
        <v>348</v>
      </c>
      <c r="E1377" s="481" t="s">
        <v>2034</v>
      </c>
      <c r="F1377" s="481"/>
      <c r="G1377" s="481"/>
      <c r="H1377" s="481"/>
      <c r="I1377" s="481"/>
      <c r="J1377" s="455"/>
      <c r="K1377" s="390"/>
    </row>
    <row r="1378" spans="1:11" ht="11.25" customHeight="1">
      <c r="A1378" s="454" t="s">
        <v>2035</v>
      </c>
      <c r="B1378" s="448" t="s">
        <v>488</v>
      </c>
      <c r="C1378" s="454">
        <v>2</v>
      </c>
      <c r="D1378" s="448" t="s">
        <v>348</v>
      </c>
      <c r="E1378" s="481" t="s">
        <v>2036</v>
      </c>
      <c r="F1378" s="481"/>
      <c r="G1378" s="481"/>
      <c r="H1378" s="481"/>
      <c r="I1378" s="481"/>
      <c r="J1378" s="455" t="s">
        <v>2037</v>
      </c>
      <c r="K1378" s="390"/>
    </row>
    <row r="1379" spans="1:11" ht="11.25" customHeight="1">
      <c r="A1379" s="454" t="s">
        <v>2038</v>
      </c>
      <c r="B1379" s="454" t="s">
        <v>1900</v>
      </c>
      <c r="C1379" s="454">
        <v>2</v>
      </c>
      <c r="D1379" s="448" t="s">
        <v>348</v>
      </c>
      <c r="E1379" s="481" t="s">
        <v>2039</v>
      </c>
      <c r="F1379" s="481"/>
      <c r="G1379" s="481"/>
      <c r="H1379" s="481"/>
      <c r="I1379" s="481"/>
      <c r="J1379" s="455"/>
      <c r="K1379" s="390"/>
    </row>
    <row r="1380" spans="1:11" ht="11.25" customHeight="1">
      <c r="A1380" s="454" t="s">
        <v>2040</v>
      </c>
      <c r="B1380" s="448" t="s">
        <v>410</v>
      </c>
      <c r="C1380" s="454">
        <v>2</v>
      </c>
      <c r="D1380" s="448" t="s">
        <v>348</v>
      </c>
      <c r="E1380" s="481" t="s">
        <v>2041</v>
      </c>
      <c r="F1380" s="481"/>
      <c r="G1380" s="481"/>
      <c r="H1380" s="481"/>
      <c r="I1380" s="481"/>
      <c r="J1380" s="455"/>
      <c r="K1380" s="390"/>
    </row>
    <row r="1381" spans="1:11" ht="11.25" customHeight="1">
      <c r="A1381" s="454" t="s">
        <v>2042</v>
      </c>
      <c r="B1381" s="448" t="s">
        <v>488</v>
      </c>
      <c r="C1381" s="454">
        <v>2</v>
      </c>
      <c r="D1381" s="448" t="s">
        <v>348</v>
      </c>
      <c r="E1381" s="481" t="s">
        <v>2043</v>
      </c>
      <c r="F1381" s="481"/>
      <c r="G1381" s="481"/>
      <c r="H1381" s="481"/>
      <c r="I1381" s="481"/>
      <c r="J1381" s="455" t="s">
        <v>1967</v>
      </c>
      <c r="K1381" s="390"/>
    </row>
    <row r="1382" spans="1:11" ht="11.25" customHeight="1">
      <c r="A1382" s="454" t="s">
        <v>2044</v>
      </c>
      <c r="B1382" s="448" t="s">
        <v>410</v>
      </c>
      <c r="C1382" s="454">
        <v>3</v>
      </c>
      <c r="D1382" s="448" t="s">
        <v>348</v>
      </c>
      <c r="E1382" s="481" t="s">
        <v>2045</v>
      </c>
      <c r="F1382" s="481"/>
      <c r="G1382" s="481"/>
      <c r="H1382" s="481"/>
      <c r="I1382" s="481"/>
      <c r="J1382" s="455"/>
      <c r="K1382" s="390"/>
    </row>
    <row r="1383" spans="1:11" ht="11.25" customHeight="1">
      <c r="A1383" s="454" t="s">
        <v>2046</v>
      </c>
      <c r="B1383" s="448" t="s">
        <v>410</v>
      </c>
      <c r="C1383" s="454">
        <v>3</v>
      </c>
      <c r="D1383" s="448" t="s">
        <v>348</v>
      </c>
      <c r="E1383" s="481" t="s">
        <v>2047</v>
      </c>
      <c r="F1383" s="481"/>
      <c r="G1383" s="481"/>
      <c r="H1383" s="481"/>
      <c r="I1383" s="481"/>
      <c r="J1383" s="455"/>
      <c r="K1383" s="390"/>
    </row>
    <row r="1384" spans="1:10" ht="11.25" customHeight="1">
      <c r="A1384" s="454" t="s">
        <v>2048</v>
      </c>
      <c r="B1384" s="448" t="s">
        <v>410</v>
      </c>
      <c r="C1384" s="454">
        <v>3</v>
      </c>
      <c r="D1384" s="448" t="s">
        <v>348</v>
      </c>
      <c r="E1384" s="481" t="s">
        <v>2049</v>
      </c>
      <c r="F1384" s="481"/>
      <c r="G1384" s="481"/>
      <c r="H1384" s="481"/>
      <c r="I1384" s="481"/>
      <c r="J1384" s="455"/>
    </row>
    <row r="1385" spans="1:10" ht="11.25" customHeight="1">
      <c r="A1385" s="454" t="s">
        <v>2050</v>
      </c>
      <c r="B1385" s="448" t="s">
        <v>410</v>
      </c>
      <c r="C1385" s="454">
        <v>3</v>
      </c>
      <c r="D1385" s="448" t="s">
        <v>348</v>
      </c>
      <c r="E1385" s="481" t="s">
        <v>2051</v>
      </c>
      <c r="F1385" s="481"/>
      <c r="G1385" s="481"/>
      <c r="H1385" s="481"/>
      <c r="I1385" s="481"/>
      <c r="J1385" s="455" t="s">
        <v>2052</v>
      </c>
    </row>
    <row r="1386" spans="1:10" ht="11.25" customHeight="1">
      <c r="A1386" s="454" t="s">
        <v>2053</v>
      </c>
      <c r="B1386" s="448" t="s">
        <v>410</v>
      </c>
      <c r="C1386" s="454">
        <v>5</v>
      </c>
      <c r="D1386" s="448" t="s">
        <v>348</v>
      </c>
      <c r="E1386" s="481" t="s">
        <v>2054</v>
      </c>
      <c r="F1386" s="481"/>
      <c r="G1386" s="481"/>
      <c r="H1386" s="481"/>
      <c r="I1386" s="481"/>
      <c r="J1386" s="455"/>
    </row>
    <row r="1387" spans="1:10" ht="11.25" customHeight="1">
      <c r="A1387" s="454" t="s">
        <v>2055</v>
      </c>
      <c r="B1387" s="448" t="s">
        <v>410</v>
      </c>
      <c r="C1387" s="454">
        <v>5</v>
      </c>
      <c r="D1387" s="448" t="s">
        <v>348</v>
      </c>
      <c r="E1387" s="481" t="s">
        <v>2056</v>
      </c>
      <c r="F1387" s="481"/>
      <c r="G1387" s="481"/>
      <c r="H1387" s="481"/>
      <c r="I1387" s="481"/>
      <c r="J1387" s="455"/>
    </row>
    <row r="1388" spans="1:10" ht="11.25" customHeight="1">
      <c r="A1388" s="454" t="s">
        <v>2057</v>
      </c>
      <c r="B1388" s="448" t="s">
        <v>410</v>
      </c>
      <c r="C1388" s="454">
        <v>5</v>
      </c>
      <c r="D1388" s="448" t="s">
        <v>348</v>
      </c>
      <c r="E1388" s="481" t="s">
        <v>2058</v>
      </c>
      <c r="F1388" s="481"/>
      <c r="G1388" s="481"/>
      <c r="H1388" s="481"/>
      <c r="I1388" s="481"/>
      <c r="J1388" s="455"/>
    </row>
    <row r="1389" spans="1:10" ht="11.25" customHeight="1">
      <c r="A1389" s="454" t="s">
        <v>2059</v>
      </c>
      <c r="B1389" s="448" t="s">
        <v>410</v>
      </c>
      <c r="C1389" s="454">
        <v>5</v>
      </c>
      <c r="D1389" s="448" t="s">
        <v>348</v>
      </c>
      <c r="E1389" s="481" t="s">
        <v>2060</v>
      </c>
      <c r="F1389" s="481"/>
      <c r="G1389" s="481"/>
      <c r="H1389" s="481"/>
      <c r="I1389" s="481"/>
      <c r="J1389" s="455" t="s">
        <v>2061</v>
      </c>
    </row>
    <row r="1390" spans="1:10" ht="11.25" customHeight="1">
      <c r="A1390" s="454" t="s">
        <v>2062</v>
      </c>
      <c r="B1390" s="448" t="s">
        <v>566</v>
      </c>
      <c r="C1390" s="454">
        <v>1</v>
      </c>
      <c r="D1390" s="448" t="s">
        <v>348</v>
      </c>
      <c r="E1390" s="481"/>
      <c r="F1390" s="481"/>
      <c r="G1390" s="481"/>
      <c r="H1390" s="481"/>
      <c r="I1390" s="481"/>
      <c r="J1390" s="455"/>
    </row>
    <row r="1391" spans="1:10" ht="11.25" customHeight="1">
      <c r="A1391" s="454" t="s">
        <v>2063</v>
      </c>
      <c r="B1391" s="448" t="s">
        <v>566</v>
      </c>
      <c r="C1391" s="454">
        <v>1</v>
      </c>
      <c r="D1391" s="448">
        <v>1</v>
      </c>
      <c r="E1391" s="481"/>
      <c r="F1391" s="481"/>
      <c r="G1391" s="481"/>
      <c r="H1391" s="481"/>
      <c r="I1391" s="481"/>
      <c r="J1391" s="455"/>
    </row>
    <row r="1392" spans="1:10" ht="11.25" customHeight="1">
      <c r="A1392" s="454" t="s">
        <v>2064</v>
      </c>
      <c r="B1392" s="448" t="s">
        <v>566</v>
      </c>
      <c r="C1392" s="454">
        <v>1</v>
      </c>
      <c r="D1392" s="448" t="s">
        <v>348</v>
      </c>
      <c r="E1392" s="481"/>
      <c r="F1392" s="481"/>
      <c r="G1392" s="481"/>
      <c r="H1392" s="481"/>
      <c r="I1392" s="481"/>
      <c r="J1392" s="455"/>
    </row>
    <row r="1393" spans="1:10" ht="11.25" customHeight="1">
      <c r="A1393" s="454" t="s">
        <v>2065</v>
      </c>
      <c r="B1393" s="448" t="s">
        <v>566</v>
      </c>
      <c r="C1393" s="454">
        <v>1</v>
      </c>
      <c r="D1393" s="448" t="s">
        <v>348</v>
      </c>
      <c r="E1393" s="481"/>
      <c r="F1393" s="481"/>
      <c r="G1393" s="481"/>
      <c r="H1393" s="481"/>
      <c r="I1393" s="481"/>
      <c r="J1393" s="455"/>
    </row>
    <row r="1394" spans="1:10" ht="11.25" customHeight="1">
      <c r="A1394" s="454" t="s">
        <v>2066</v>
      </c>
      <c r="B1394" s="448" t="s">
        <v>410</v>
      </c>
      <c r="C1394" s="454">
        <v>2</v>
      </c>
      <c r="D1394" s="448">
        <v>1</v>
      </c>
      <c r="E1394" s="481"/>
      <c r="F1394" s="481"/>
      <c r="G1394" s="481"/>
      <c r="H1394" s="481"/>
      <c r="I1394" s="481"/>
      <c r="J1394" s="455"/>
    </row>
    <row r="1395" spans="1:10" ht="11.25" customHeight="1">
      <c r="A1395" s="454" t="s">
        <v>2067</v>
      </c>
      <c r="B1395" s="448" t="s">
        <v>495</v>
      </c>
      <c r="C1395" s="454">
        <v>2</v>
      </c>
      <c r="D1395" s="448" t="s">
        <v>348</v>
      </c>
      <c r="E1395" s="481"/>
      <c r="F1395" s="481"/>
      <c r="G1395" s="481"/>
      <c r="H1395" s="481"/>
      <c r="I1395" s="481"/>
      <c r="J1395" s="455"/>
    </row>
    <row r="1396" spans="1:10" ht="11.25" customHeight="1">
      <c r="A1396" s="454" t="s">
        <v>2068</v>
      </c>
      <c r="B1396" s="448" t="s">
        <v>488</v>
      </c>
      <c r="C1396" s="454">
        <v>3</v>
      </c>
      <c r="D1396" s="448" t="s">
        <v>348</v>
      </c>
      <c r="E1396" s="481"/>
      <c r="F1396" s="481"/>
      <c r="G1396" s="481"/>
      <c r="H1396" s="481"/>
      <c r="I1396" s="481"/>
      <c r="J1396" s="455"/>
    </row>
    <row r="1397" spans="1:10" ht="11.25" customHeight="1">
      <c r="A1397" s="454" t="s">
        <v>2069</v>
      </c>
      <c r="B1397" s="448" t="s">
        <v>566</v>
      </c>
      <c r="C1397" s="454">
        <v>3</v>
      </c>
      <c r="D1397" s="448" t="s">
        <v>348</v>
      </c>
      <c r="E1397" s="481"/>
      <c r="F1397" s="481"/>
      <c r="G1397" s="481"/>
      <c r="H1397" s="481"/>
      <c r="I1397" s="481"/>
      <c r="J1397" s="455"/>
    </row>
    <row r="1398" spans="1:10" ht="11.25" customHeight="1">
      <c r="A1398" s="454" t="s">
        <v>2070</v>
      </c>
      <c r="B1398" s="448" t="s">
        <v>488</v>
      </c>
      <c r="C1398" s="454">
        <v>3</v>
      </c>
      <c r="D1398" s="448" t="s">
        <v>348</v>
      </c>
      <c r="E1398" s="481"/>
      <c r="F1398" s="481"/>
      <c r="G1398" s="481"/>
      <c r="H1398" s="481"/>
      <c r="I1398" s="481"/>
      <c r="J1398" s="455"/>
    </row>
    <row r="1399" spans="1:10" ht="11.25" customHeight="1">
      <c r="A1399" s="454" t="s">
        <v>2071</v>
      </c>
      <c r="B1399" s="448" t="s">
        <v>410</v>
      </c>
      <c r="C1399" s="454">
        <v>3</v>
      </c>
      <c r="D1399" s="448" t="s">
        <v>348</v>
      </c>
      <c r="E1399" s="481"/>
      <c r="F1399" s="481"/>
      <c r="G1399" s="481"/>
      <c r="H1399" s="481"/>
      <c r="I1399" s="481"/>
      <c r="J1399" s="455"/>
    </row>
    <row r="1400" spans="1:10" ht="11.25" customHeight="1">
      <c r="A1400" s="454" t="s">
        <v>2072</v>
      </c>
      <c r="B1400" s="448" t="s">
        <v>410</v>
      </c>
      <c r="C1400" s="454">
        <v>3</v>
      </c>
      <c r="D1400" s="448">
        <v>1</v>
      </c>
      <c r="E1400" s="481"/>
      <c r="F1400" s="481"/>
      <c r="G1400" s="481"/>
      <c r="H1400" s="481"/>
      <c r="I1400" s="481"/>
      <c r="J1400" s="455"/>
    </row>
    <row r="1401" spans="1:10" ht="11.25" customHeight="1">
      <c r="A1401" s="454" t="s">
        <v>2073</v>
      </c>
      <c r="B1401" s="448" t="s">
        <v>500</v>
      </c>
      <c r="C1401" s="454">
        <v>3</v>
      </c>
      <c r="D1401" s="448" t="s">
        <v>348</v>
      </c>
      <c r="E1401" s="481"/>
      <c r="F1401" s="481"/>
      <c r="G1401" s="481"/>
      <c r="H1401" s="481"/>
      <c r="I1401" s="481"/>
      <c r="J1401" s="455"/>
    </row>
    <row r="1402" spans="1:10" ht="11.25" customHeight="1">
      <c r="A1402" s="454" t="s">
        <v>2074</v>
      </c>
      <c r="B1402" s="448" t="s">
        <v>500</v>
      </c>
      <c r="C1402" s="454">
        <v>3</v>
      </c>
      <c r="D1402" s="448" t="s">
        <v>348</v>
      </c>
      <c r="E1402" s="481"/>
      <c r="F1402" s="481"/>
      <c r="G1402" s="481"/>
      <c r="H1402" s="481"/>
      <c r="I1402" s="481"/>
      <c r="J1402" s="455"/>
    </row>
    <row r="1403" spans="1:10" ht="11.25" customHeight="1">
      <c r="A1403" s="454" t="s">
        <v>2075</v>
      </c>
      <c r="B1403" s="448" t="s">
        <v>410</v>
      </c>
      <c r="C1403" s="454">
        <v>5</v>
      </c>
      <c r="D1403" s="448" t="s">
        <v>348</v>
      </c>
      <c r="E1403" s="481"/>
      <c r="F1403" s="481"/>
      <c r="G1403" s="481"/>
      <c r="H1403" s="481"/>
      <c r="I1403" s="481"/>
      <c r="J1403" s="455"/>
    </row>
    <row r="1404" spans="1:10" ht="11.25" customHeight="1">
      <c r="A1404" s="454" t="s">
        <v>2076</v>
      </c>
      <c r="B1404" s="448" t="s">
        <v>410</v>
      </c>
      <c r="C1404" s="454">
        <v>5</v>
      </c>
      <c r="D1404" s="448" t="s">
        <v>348</v>
      </c>
      <c r="E1404" s="481"/>
      <c r="F1404" s="481"/>
      <c r="G1404" s="481"/>
      <c r="H1404" s="481"/>
      <c r="I1404" s="481"/>
      <c r="J1404" s="455"/>
    </row>
    <row r="1405" spans="1:10" ht="11.25" customHeight="1">
      <c r="A1405" s="454" t="s">
        <v>2077</v>
      </c>
      <c r="B1405" s="448" t="s">
        <v>410</v>
      </c>
      <c r="C1405" s="454">
        <v>5</v>
      </c>
      <c r="D1405" s="448" t="s">
        <v>348</v>
      </c>
      <c r="E1405" s="481"/>
      <c r="F1405" s="481"/>
      <c r="G1405" s="481"/>
      <c r="H1405" s="481"/>
      <c r="I1405" s="481"/>
      <c r="J1405" s="455"/>
    </row>
    <row r="1406" spans="1:10" ht="11.25" customHeight="1">
      <c r="A1406" s="454" t="s">
        <v>2078</v>
      </c>
      <c r="B1406" s="448" t="s">
        <v>410</v>
      </c>
      <c r="C1406" s="454">
        <v>5</v>
      </c>
      <c r="D1406" s="448" t="s">
        <v>348</v>
      </c>
      <c r="E1406" s="481"/>
      <c r="F1406" s="481"/>
      <c r="G1406" s="481"/>
      <c r="H1406" s="481"/>
      <c r="I1406" s="481"/>
      <c r="J1406" s="455"/>
    </row>
    <row r="1407" spans="1:10" ht="11.25" customHeight="1">
      <c r="A1407" s="454" t="s">
        <v>2079</v>
      </c>
      <c r="B1407" s="448" t="s">
        <v>2080</v>
      </c>
      <c r="C1407" s="454">
        <v>5</v>
      </c>
      <c r="D1407" s="448" t="s">
        <v>348</v>
      </c>
      <c r="E1407" s="481"/>
      <c r="F1407" s="481"/>
      <c r="G1407" s="481"/>
      <c r="H1407" s="481"/>
      <c r="I1407" s="481"/>
      <c r="J1407" s="455"/>
    </row>
    <row r="1408" spans="1:10" ht="11.25" customHeight="1">
      <c r="A1408" s="454" t="s">
        <v>2081</v>
      </c>
      <c r="B1408" s="448" t="s">
        <v>2080</v>
      </c>
      <c r="C1408" s="454">
        <v>5</v>
      </c>
      <c r="D1408" s="448" t="s">
        <v>348</v>
      </c>
      <c r="E1408" s="481"/>
      <c r="F1408" s="481"/>
      <c r="G1408" s="481"/>
      <c r="H1408" s="481"/>
      <c r="I1408" s="481"/>
      <c r="J1408" s="455"/>
    </row>
    <row r="1409" spans="1:10" ht="11.25" customHeight="1">
      <c r="A1409" s="454" t="s">
        <v>2082</v>
      </c>
      <c r="B1409" s="448" t="s">
        <v>2080</v>
      </c>
      <c r="C1409" s="454">
        <v>5</v>
      </c>
      <c r="D1409" s="448">
        <v>1</v>
      </c>
      <c r="E1409" s="481"/>
      <c r="F1409" s="481"/>
      <c r="G1409" s="481"/>
      <c r="H1409" s="481"/>
      <c r="I1409" s="481"/>
      <c r="J1409" s="455"/>
    </row>
    <row r="1410" spans="1:10" ht="11.25" customHeight="1">
      <c r="A1410" s="454" t="s">
        <v>2083</v>
      </c>
      <c r="B1410" s="448" t="s">
        <v>488</v>
      </c>
      <c r="C1410" s="454">
        <v>10</v>
      </c>
      <c r="D1410" s="448" t="s">
        <v>348</v>
      </c>
      <c r="E1410" s="481"/>
      <c r="F1410" s="481"/>
      <c r="G1410" s="481"/>
      <c r="H1410" s="481"/>
      <c r="I1410" s="481"/>
      <c r="J1410" s="455"/>
    </row>
    <row r="1411" spans="1:10" ht="11.25" customHeight="1">
      <c r="A1411" s="454" t="s">
        <v>2084</v>
      </c>
      <c r="B1411" s="448" t="s">
        <v>626</v>
      </c>
      <c r="C1411" s="454">
        <v>10</v>
      </c>
      <c r="D1411" s="448" t="s">
        <v>348</v>
      </c>
      <c r="E1411" s="481"/>
      <c r="F1411" s="481"/>
      <c r="G1411" s="481"/>
      <c r="H1411" s="481"/>
      <c r="I1411" s="481"/>
      <c r="J1411" s="455"/>
    </row>
    <row r="1412" spans="1:10" ht="11.25" customHeight="1">
      <c r="A1412" s="454" t="s">
        <v>2085</v>
      </c>
      <c r="B1412" s="448" t="s">
        <v>488</v>
      </c>
      <c r="C1412" s="454">
        <v>10</v>
      </c>
      <c r="D1412" s="448" t="s">
        <v>348</v>
      </c>
      <c r="E1412" s="481"/>
      <c r="F1412" s="481"/>
      <c r="G1412" s="481"/>
      <c r="H1412" s="481"/>
      <c r="I1412" s="481"/>
      <c r="J1412" s="455"/>
    </row>
    <row r="1413" spans="1:10" ht="11.25" customHeight="1">
      <c r="A1413" s="454" t="s">
        <v>2086</v>
      </c>
      <c r="B1413" s="448" t="s">
        <v>410</v>
      </c>
      <c r="C1413" s="454">
        <v>10</v>
      </c>
      <c r="D1413" s="448" t="s">
        <v>348</v>
      </c>
      <c r="E1413" s="481"/>
      <c r="F1413" s="481"/>
      <c r="G1413" s="481"/>
      <c r="H1413" s="481"/>
      <c r="I1413" s="481"/>
      <c r="J1413" s="455"/>
    </row>
    <row r="1414" spans="1:10" ht="11.25" customHeight="1">
      <c r="A1414" s="454" t="s">
        <v>2087</v>
      </c>
      <c r="B1414" s="448" t="s">
        <v>495</v>
      </c>
      <c r="C1414" s="454">
        <v>15</v>
      </c>
      <c r="D1414" s="448" t="s">
        <v>348</v>
      </c>
      <c r="E1414" s="481"/>
      <c r="F1414" s="481"/>
      <c r="G1414" s="481"/>
      <c r="H1414" s="481"/>
      <c r="I1414" s="481"/>
      <c r="J1414" s="455"/>
    </row>
    <row r="1415" spans="1:10" ht="11.25" customHeight="1">
      <c r="A1415" s="454" t="s">
        <v>2088</v>
      </c>
      <c r="B1415" s="448" t="s">
        <v>488</v>
      </c>
      <c r="C1415" s="454">
        <v>20</v>
      </c>
      <c r="D1415" s="448" t="s">
        <v>348</v>
      </c>
      <c r="E1415" s="481"/>
      <c r="F1415" s="481"/>
      <c r="G1415" s="481"/>
      <c r="H1415" s="481"/>
      <c r="I1415" s="481"/>
      <c r="J1415" s="455"/>
    </row>
    <row r="1416" spans="1:11" ht="13.5">
      <c r="A1416" s="447" t="s">
        <v>2089</v>
      </c>
      <c r="B1416" s="483" t="s">
        <v>2090</v>
      </c>
      <c r="C1416" s="447"/>
      <c r="D1416" s="447"/>
      <c r="E1416" s="447"/>
      <c r="F1416" s="447"/>
      <c r="G1416" s="447"/>
      <c r="H1416" s="447"/>
      <c r="I1416" s="447"/>
      <c r="J1416" s="484"/>
      <c r="K1416" s="447"/>
    </row>
    <row r="1417" ht="13.5">
      <c r="A1417" s="65">
        <v>0</v>
      </c>
    </row>
  </sheetData>
  <autoFilter ref="A2:K1383"/>
  <mergeCells count="118">
    <mergeCell ref="A1:K1"/>
    <mergeCell ref="E1299:I1299"/>
    <mergeCell ref="E1300:I1300"/>
    <mergeCell ref="E1301:I1301"/>
    <mergeCell ref="E1302:I1302"/>
    <mergeCell ref="E1303:I1303"/>
    <mergeCell ref="E1304:I1304"/>
    <mergeCell ref="E1305:I1305"/>
    <mergeCell ref="E1306:I1306"/>
    <mergeCell ref="E1307:I1307"/>
    <mergeCell ref="E1308:I1308"/>
    <mergeCell ref="E1309:I1309"/>
    <mergeCell ref="E1310:I1310"/>
    <mergeCell ref="E1311:I1311"/>
    <mergeCell ref="E1312:I1312"/>
    <mergeCell ref="E1313:I1313"/>
    <mergeCell ref="E1314:I1314"/>
    <mergeCell ref="E1315:I1315"/>
    <mergeCell ref="E1316:I1316"/>
    <mergeCell ref="E1317:I1317"/>
    <mergeCell ref="E1318:I1318"/>
    <mergeCell ref="E1319:I1319"/>
    <mergeCell ref="E1320:I1320"/>
    <mergeCell ref="E1321:I1321"/>
    <mergeCell ref="E1322:I1322"/>
    <mergeCell ref="E1323:I1323"/>
    <mergeCell ref="E1324:I1324"/>
    <mergeCell ref="E1325:I1325"/>
    <mergeCell ref="E1326:I1326"/>
    <mergeCell ref="E1327:I1327"/>
    <mergeCell ref="E1328:I1328"/>
    <mergeCell ref="E1329:I1329"/>
    <mergeCell ref="E1330:I1330"/>
    <mergeCell ref="E1331:I1331"/>
    <mergeCell ref="E1332:I1332"/>
    <mergeCell ref="E1333:I1333"/>
    <mergeCell ref="E1334:I1334"/>
    <mergeCell ref="E1335:I1335"/>
    <mergeCell ref="E1336:I1336"/>
    <mergeCell ref="E1337:I1337"/>
    <mergeCell ref="E1338:I1338"/>
    <mergeCell ref="E1339:I1339"/>
    <mergeCell ref="E1340:I1340"/>
    <mergeCell ref="E1341:I1341"/>
    <mergeCell ref="E1342:I1342"/>
    <mergeCell ref="E1343:I1343"/>
    <mergeCell ref="E1344:I1344"/>
    <mergeCell ref="E1345:I1345"/>
    <mergeCell ref="E1346:I1346"/>
    <mergeCell ref="E1347:I1347"/>
    <mergeCell ref="E1348:I1348"/>
    <mergeCell ref="E1349:I1349"/>
    <mergeCell ref="E1350:I1350"/>
    <mergeCell ref="E1351:I1351"/>
    <mergeCell ref="E1352:I1352"/>
    <mergeCell ref="E1353:I1353"/>
    <mergeCell ref="E1354:I1354"/>
    <mergeCell ref="E1355:I1355"/>
    <mergeCell ref="E1356:I1356"/>
    <mergeCell ref="E1357:I1357"/>
    <mergeCell ref="E1358:I1358"/>
    <mergeCell ref="E1359:I1359"/>
    <mergeCell ref="E1360:I1360"/>
    <mergeCell ref="E1361:I1361"/>
    <mergeCell ref="E1362:I1362"/>
    <mergeCell ref="E1363:I1363"/>
    <mergeCell ref="E1364:I1364"/>
    <mergeCell ref="E1365:I1365"/>
    <mergeCell ref="E1366:I1366"/>
    <mergeCell ref="E1367:I1367"/>
    <mergeCell ref="E1368:I1368"/>
    <mergeCell ref="E1369:I1369"/>
    <mergeCell ref="E1370:I1370"/>
    <mergeCell ref="E1371:I1371"/>
    <mergeCell ref="E1372:I1372"/>
    <mergeCell ref="E1373:I1373"/>
    <mergeCell ref="E1374:I1374"/>
    <mergeCell ref="E1375:I1375"/>
    <mergeCell ref="E1376:I1376"/>
    <mergeCell ref="E1377:I1377"/>
    <mergeCell ref="E1378:I1378"/>
    <mergeCell ref="E1379:I1379"/>
    <mergeCell ref="E1380:I1380"/>
    <mergeCell ref="E1381:I1381"/>
    <mergeCell ref="E1382:I1382"/>
    <mergeCell ref="E1383:I1383"/>
    <mergeCell ref="E1384:I1384"/>
    <mergeCell ref="E1385:I1385"/>
    <mergeCell ref="E1386:I1386"/>
    <mergeCell ref="E1387:I1387"/>
    <mergeCell ref="E1388:I1388"/>
    <mergeCell ref="E1389:I1389"/>
    <mergeCell ref="E1390:I1390"/>
    <mergeCell ref="E1391:I1391"/>
    <mergeCell ref="E1392:I1392"/>
    <mergeCell ref="E1393:I1393"/>
    <mergeCell ref="E1394:I1394"/>
    <mergeCell ref="E1395:I1395"/>
    <mergeCell ref="E1396:I1396"/>
    <mergeCell ref="E1397:I1397"/>
    <mergeCell ref="E1398:I1398"/>
    <mergeCell ref="E1399:I1399"/>
    <mergeCell ref="E1400:I1400"/>
    <mergeCell ref="E1401:I1401"/>
    <mergeCell ref="E1402:I1402"/>
    <mergeCell ref="E1403:I1403"/>
    <mergeCell ref="E1404:I1404"/>
    <mergeCell ref="E1405:I1405"/>
    <mergeCell ref="E1406:I1406"/>
    <mergeCell ref="E1407:I1407"/>
    <mergeCell ref="E1408:I1408"/>
    <mergeCell ref="E1409:I1409"/>
    <mergeCell ref="E1410:I1410"/>
    <mergeCell ref="E1411:I1411"/>
    <mergeCell ref="E1412:I1412"/>
    <mergeCell ref="E1413:I1413"/>
    <mergeCell ref="E1414:I1414"/>
    <mergeCell ref="E1415:I141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824"/>
  <sheetViews>
    <sheetView workbookViewId="0" topLeftCell="A161">
      <selection activeCell="G173" sqref="G173"/>
    </sheetView>
  </sheetViews>
  <sheetFormatPr defaultColWidth="9.00390625" defaultRowHeight="13.5"/>
  <cols>
    <col min="1" max="1" width="17.00390625" style="390" customWidth="1"/>
    <col min="2" max="2" width="2.875" style="390" customWidth="1"/>
    <col min="3" max="3" width="7.125" style="390" customWidth="1"/>
    <col min="4" max="4" width="5.25390625" style="390" customWidth="1"/>
    <col min="5" max="5" width="3.50390625" style="390" customWidth="1"/>
    <col min="6" max="6" width="3.75390625" style="485" customWidth="1"/>
    <col min="7" max="7" width="4.00390625" style="485" customWidth="1"/>
    <col min="8" max="8" width="3.75390625" style="390" customWidth="1"/>
    <col min="9" max="11" width="3.625" style="390" customWidth="1"/>
    <col min="12" max="12" width="4.00390625" style="390" customWidth="1"/>
    <col min="13" max="13" width="4.00390625" style="486" customWidth="1"/>
    <col min="14" max="14" width="33.125" style="461" customWidth="1"/>
    <col min="15" max="15" width="7.625" style="487" customWidth="1"/>
    <col min="16" max="16" width="5.00390625" style="485" customWidth="1"/>
    <col min="17" max="17" width="6.875" style="390" customWidth="1"/>
    <col min="18" max="18" width="36.75390625" style="461" customWidth="1"/>
    <col min="19" max="16384" width="9.00390625" style="390" customWidth="1"/>
  </cols>
  <sheetData>
    <row r="1" spans="1:23" s="202" customFormat="1" ht="13.5">
      <c r="A1" s="442" t="s">
        <v>2091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88"/>
      <c r="S1" s="159"/>
      <c r="T1" s="159"/>
      <c r="U1" s="159"/>
      <c r="V1" s="159"/>
      <c r="W1" s="159"/>
    </row>
    <row r="2" spans="1:19" ht="13.5">
      <c r="A2" s="46" t="s">
        <v>2092</v>
      </c>
      <c r="B2" s="489" t="s">
        <v>111</v>
      </c>
      <c r="C2" s="489" t="s">
        <v>253</v>
      </c>
      <c r="D2" s="489" t="s">
        <v>254</v>
      </c>
      <c r="E2" s="489" t="s">
        <v>255</v>
      </c>
      <c r="F2" s="490" t="s">
        <v>174</v>
      </c>
      <c r="G2" s="490" t="s">
        <v>256</v>
      </c>
      <c r="H2" s="489" t="s">
        <v>233</v>
      </c>
      <c r="I2" s="489" t="s">
        <v>257</v>
      </c>
      <c r="J2" s="489" t="s">
        <v>258</v>
      </c>
      <c r="K2" s="489" t="s">
        <v>259</v>
      </c>
      <c r="L2" s="489" t="s">
        <v>260</v>
      </c>
      <c r="M2" s="491" t="s">
        <v>261</v>
      </c>
      <c r="N2" s="489" t="s">
        <v>262</v>
      </c>
      <c r="O2" s="492" t="s">
        <v>223</v>
      </c>
      <c r="P2" s="490" t="s">
        <v>2093</v>
      </c>
      <c r="Q2" s="493" t="s">
        <v>2094</v>
      </c>
      <c r="R2" s="399"/>
      <c r="S2" s="399"/>
    </row>
    <row r="3" spans="1:19" ht="13.5">
      <c r="A3" s="46"/>
      <c r="B3" s="489"/>
      <c r="C3" s="489"/>
      <c r="D3" s="489"/>
      <c r="E3" s="489"/>
      <c r="F3" s="490"/>
      <c r="G3" s="490"/>
      <c r="H3" s="489"/>
      <c r="I3" s="489"/>
      <c r="J3" s="489"/>
      <c r="K3" s="489"/>
      <c r="L3" s="489"/>
      <c r="M3" s="491"/>
      <c r="N3" s="489"/>
      <c r="O3" s="492"/>
      <c r="P3" s="490"/>
      <c r="Q3" s="493"/>
      <c r="R3" s="399"/>
      <c r="S3" s="399"/>
    </row>
    <row r="4" spans="1:19" ht="13.5">
      <c r="A4" s="213"/>
      <c r="B4" s="213"/>
      <c r="C4" s="213"/>
      <c r="D4" s="213"/>
      <c r="E4" s="213"/>
      <c r="F4" s="311"/>
      <c r="G4" s="311"/>
      <c r="H4" s="213"/>
      <c r="I4" s="213"/>
      <c r="J4" s="213"/>
      <c r="K4" s="213"/>
      <c r="L4" s="213"/>
      <c r="M4" s="494"/>
      <c r="N4" s="213"/>
      <c r="O4" s="221"/>
      <c r="P4" s="311"/>
      <c r="R4" s="399"/>
      <c r="S4" s="495"/>
    </row>
    <row r="5" spans="1:19" ht="13.5">
      <c r="A5" s="46" t="s">
        <v>158</v>
      </c>
      <c r="B5" s="489" t="s">
        <v>111</v>
      </c>
      <c r="C5" s="489" t="s">
        <v>253</v>
      </c>
      <c r="D5" s="489" t="s">
        <v>254</v>
      </c>
      <c r="E5" s="489" t="s">
        <v>255</v>
      </c>
      <c r="F5" s="490" t="s">
        <v>174</v>
      </c>
      <c r="G5" s="490" t="s">
        <v>256</v>
      </c>
      <c r="H5" s="489" t="s">
        <v>233</v>
      </c>
      <c r="I5" s="489" t="s">
        <v>257</v>
      </c>
      <c r="J5" s="489" t="s">
        <v>258</v>
      </c>
      <c r="K5" s="489" t="s">
        <v>259</v>
      </c>
      <c r="L5" s="489" t="s">
        <v>260</v>
      </c>
      <c r="M5" s="491" t="s">
        <v>261</v>
      </c>
      <c r="N5" s="489" t="s">
        <v>262</v>
      </c>
      <c r="O5" s="492" t="s">
        <v>223</v>
      </c>
      <c r="P5" s="490" t="s">
        <v>2093</v>
      </c>
      <c r="Q5" s="493" t="s">
        <v>2094</v>
      </c>
      <c r="R5" s="399" t="s">
        <v>2095</v>
      </c>
      <c r="S5" s="495"/>
    </row>
    <row r="6" spans="1:18" s="497" customFormat="1" ht="11.25" customHeight="1">
      <c r="A6" s="390" t="s">
        <v>2096</v>
      </c>
      <c r="B6" s="390">
        <v>1</v>
      </c>
      <c r="C6" s="390" t="s">
        <v>158</v>
      </c>
      <c r="D6" s="390" t="s">
        <v>2097</v>
      </c>
      <c r="E6" s="390">
        <v>0</v>
      </c>
      <c r="F6" s="485">
        <v>0</v>
      </c>
      <c r="G6" s="485">
        <v>0</v>
      </c>
      <c r="H6" s="390">
        <v>0</v>
      </c>
      <c r="I6" s="390">
        <v>0</v>
      </c>
      <c r="J6" s="390">
        <v>0</v>
      </c>
      <c r="K6" s="390">
        <v>0</v>
      </c>
      <c r="L6" s="390">
        <v>0</v>
      </c>
      <c r="M6" s="486" t="s">
        <v>572</v>
      </c>
      <c r="N6" s="461"/>
      <c r="O6" s="487">
        <v>0</v>
      </c>
      <c r="P6" s="485" t="s">
        <v>83</v>
      </c>
      <c r="Q6" s="390"/>
      <c r="R6" s="496"/>
    </row>
    <row r="7" spans="1:18" s="497" customFormat="1" ht="11.25" customHeight="1">
      <c r="A7" s="390" t="s">
        <v>2098</v>
      </c>
      <c r="B7" s="390">
        <v>1</v>
      </c>
      <c r="C7" s="390" t="s">
        <v>158</v>
      </c>
      <c r="D7" s="390" t="s">
        <v>2097</v>
      </c>
      <c r="E7" s="390">
        <v>5</v>
      </c>
      <c r="F7" s="485">
        <v>1</v>
      </c>
      <c r="G7" s="485">
        <v>4</v>
      </c>
      <c r="H7" s="390">
        <v>0</v>
      </c>
      <c r="I7" s="390">
        <v>0</v>
      </c>
      <c r="J7" s="390">
        <v>0</v>
      </c>
      <c r="K7" s="390">
        <v>0</v>
      </c>
      <c r="L7" s="390">
        <v>0</v>
      </c>
      <c r="M7" s="486" t="s">
        <v>572</v>
      </c>
      <c r="N7" s="461"/>
      <c r="O7" s="487">
        <v>10</v>
      </c>
      <c r="P7" s="485" t="s">
        <v>83</v>
      </c>
      <c r="Q7" s="390"/>
      <c r="R7" s="496"/>
    </row>
    <row r="8" spans="1:18" s="497" customFormat="1" ht="11.25" customHeight="1">
      <c r="A8" s="390" t="s">
        <v>2099</v>
      </c>
      <c r="B8" s="390">
        <v>1</v>
      </c>
      <c r="C8" s="390" t="s">
        <v>158</v>
      </c>
      <c r="D8" s="390" t="s">
        <v>2097</v>
      </c>
      <c r="E8" s="390">
        <v>5</v>
      </c>
      <c r="F8" s="485">
        <v>0</v>
      </c>
      <c r="G8" s="485">
        <v>6</v>
      </c>
      <c r="H8" s="390">
        <v>0</v>
      </c>
      <c r="I8" s="390">
        <v>0</v>
      </c>
      <c r="J8" s="390">
        <v>0</v>
      </c>
      <c r="K8" s="390">
        <v>0</v>
      </c>
      <c r="L8" s="390">
        <v>0</v>
      </c>
      <c r="M8" s="486" t="s">
        <v>572</v>
      </c>
      <c r="N8" s="461"/>
      <c r="O8" s="487">
        <v>50</v>
      </c>
      <c r="P8" s="485" t="s">
        <v>83</v>
      </c>
      <c r="Q8" s="390"/>
      <c r="R8" s="496"/>
    </row>
    <row r="9" spans="1:18" s="497" customFormat="1" ht="11.25" customHeight="1">
      <c r="A9" s="390" t="s">
        <v>2100</v>
      </c>
      <c r="B9" s="390">
        <v>2</v>
      </c>
      <c r="C9" s="390" t="s">
        <v>158</v>
      </c>
      <c r="D9" s="390" t="s">
        <v>2097</v>
      </c>
      <c r="E9" s="390">
        <v>5</v>
      </c>
      <c r="F9" s="485">
        <v>1</v>
      </c>
      <c r="G9" s="485">
        <v>5</v>
      </c>
      <c r="H9" s="390">
        <v>0</v>
      </c>
      <c r="I9" s="390">
        <v>0</v>
      </c>
      <c r="J9" s="390">
        <v>0</v>
      </c>
      <c r="K9" s="390">
        <v>0</v>
      </c>
      <c r="L9" s="390">
        <v>0</v>
      </c>
      <c r="M9" s="486" t="s">
        <v>572</v>
      </c>
      <c r="N9" s="461"/>
      <c r="O9" s="487">
        <v>70</v>
      </c>
      <c r="P9" s="485" t="s">
        <v>83</v>
      </c>
      <c r="Q9" s="390"/>
      <c r="R9" s="496"/>
    </row>
    <row r="10" spans="1:18" s="497" customFormat="1" ht="11.25" customHeight="1">
      <c r="A10" s="390" t="s">
        <v>2101</v>
      </c>
      <c r="B10" s="390">
        <v>2</v>
      </c>
      <c r="C10" s="390" t="s">
        <v>158</v>
      </c>
      <c r="D10" s="390" t="s">
        <v>2097</v>
      </c>
      <c r="E10" s="390">
        <v>5</v>
      </c>
      <c r="F10" s="485">
        <v>0</v>
      </c>
      <c r="G10" s="485">
        <v>7</v>
      </c>
      <c r="H10" s="390">
        <v>0</v>
      </c>
      <c r="I10" s="390">
        <v>0</v>
      </c>
      <c r="J10" s="390">
        <v>0</v>
      </c>
      <c r="K10" s="390">
        <v>0</v>
      </c>
      <c r="L10" s="390">
        <v>0</v>
      </c>
      <c r="M10" s="486" t="s">
        <v>572</v>
      </c>
      <c r="N10" s="461"/>
      <c r="O10" s="487">
        <v>100</v>
      </c>
      <c r="P10" s="485" t="s">
        <v>83</v>
      </c>
      <c r="Q10" s="390"/>
      <c r="R10" s="496"/>
    </row>
    <row r="11" spans="1:18" s="497" customFormat="1" ht="11.25" customHeight="1">
      <c r="A11" s="390" t="s">
        <v>2102</v>
      </c>
      <c r="B11" s="390">
        <v>3</v>
      </c>
      <c r="C11" s="390" t="s">
        <v>158</v>
      </c>
      <c r="D11" s="390" t="s">
        <v>2097</v>
      </c>
      <c r="E11" s="390">
        <v>5</v>
      </c>
      <c r="F11" s="485">
        <v>1</v>
      </c>
      <c r="G11" s="485">
        <v>6</v>
      </c>
      <c r="H11" s="390">
        <v>0</v>
      </c>
      <c r="I11" s="390">
        <v>0</v>
      </c>
      <c r="J11" s="390">
        <v>0</v>
      </c>
      <c r="K11" s="390">
        <v>0</v>
      </c>
      <c r="L11" s="390">
        <v>0</v>
      </c>
      <c r="M11" s="486" t="s">
        <v>572</v>
      </c>
      <c r="N11" s="461"/>
      <c r="O11" s="487">
        <v>200</v>
      </c>
      <c r="P11" s="485" t="s">
        <v>83</v>
      </c>
      <c r="Q11" s="390"/>
      <c r="R11" s="496"/>
    </row>
    <row r="12" spans="1:18" s="497" customFormat="1" ht="11.25" customHeight="1">
      <c r="A12" s="390" t="s">
        <v>2103</v>
      </c>
      <c r="B12" s="390">
        <v>4</v>
      </c>
      <c r="C12" s="390" t="s">
        <v>158</v>
      </c>
      <c r="D12" s="390" t="s">
        <v>2097</v>
      </c>
      <c r="E12" s="390">
        <v>6</v>
      </c>
      <c r="F12" s="485">
        <v>0</v>
      </c>
      <c r="G12" s="485">
        <v>9</v>
      </c>
      <c r="H12" s="390">
        <v>0</v>
      </c>
      <c r="I12" s="390">
        <v>0</v>
      </c>
      <c r="J12" s="390">
        <v>0</v>
      </c>
      <c r="K12" s="390">
        <v>0</v>
      </c>
      <c r="L12" s="390">
        <v>0</v>
      </c>
      <c r="M12" s="486" t="s">
        <v>572</v>
      </c>
      <c r="N12" s="461"/>
      <c r="O12" s="487">
        <v>400</v>
      </c>
      <c r="P12" s="485" t="s">
        <v>83</v>
      </c>
      <c r="Q12" s="390"/>
      <c r="R12" s="496"/>
    </row>
    <row r="13" spans="1:16" ht="11.25" customHeight="1">
      <c r="A13" s="390" t="s">
        <v>266</v>
      </c>
      <c r="B13" s="390">
        <v>5</v>
      </c>
      <c r="C13" s="390" t="s">
        <v>158</v>
      </c>
      <c r="D13" s="390" t="s">
        <v>2097</v>
      </c>
      <c r="E13" s="390">
        <v>6</v>
      </c>
      <c r="F13" s="485">
        <v>1</v>
      </c>
      <c r="G13" s="485">
        <v>8</v>
      </c>
      <c r="H13" s="390">
        <v>0</v>
      </c>
      <c r="I13" s="390">
        <v>0</v>
      </c>
      <c r="J13" s="390">
        <v>0</v>
      </c>
      <c r="K13" s="390">
        <v>0</v>
      </c>
      <c r="L13" s="390">
        <v>0</v>
      </c>
      <c r="M13" s="486" t="s">
        <v>572</v>
      </c>
      <c r="O13" s="487">
        <v>400</v>
      </c>
      <c r="P13" s="485" t="s">
        <v>83</v>
      </c>
    </row>
    <row r="14" spans="1:16" ht="11.25" customHeight="1">
      <c r="A14" s="390" t="s">
        <v>2104</v>
      </c>
      <c r="B14" s="390">
        <v>6</v>
      </c>
      <c r="C14" s="390" t="s">
        <v>158</v>
      </c>
      <c r="D14" s="390" t="s">
        <v>2097</v>
      </c>
      <c r="E14" s="390">
        <v>6</v>
      </c>
      <c r="F14" s="485">
        <v>0</v>
      </c>
      <c r="G14" s="485">
        <v>11</v>
      </c>
      <c r="H14" s="390">
        <v>0</v>
      </c>
      <c r="I14" s="390">
        <v>0</v>
      </c>
      <c r="J14" s="390">
        <v>0</v>
      </c>
      <c r="K14" s="390">
        <v>0</v>
      </c>
      <c r="L14" s="390">
        <v>0</v>
      </c>
      <c r="M14" s="486" t="s">
        <v>572</v>
      </c>
      <c r="O14" s="487">
        <v>780</v>
      </c>
      <c r="P14" s="485" t="s">
        <v>83</v>
      </c>
    </row>
    <row r="15" spans="1:16" ht="11.25" customHeight="1">
      <c r="A15" s="390" t="s">
        <v>2105</v>
      </c>
      <c r="B15" s="390">
        <v>7</v>
      </c>
      <c r="C15" s="390" t="s">
        <v>158</v>
      </c>
      <c r="D15" s="390" t="s">
        <v>2097</v>
      </c>
      <c r="E15" s="390">
        <v>7</v>
      </c>
      <c r="F15" s="485">
        <v>1</v>
      </c>
      <c r="G15" s="485">
        <v>10</v>
      </c>
      <c r="H15" s="390">
        <v>0</v>
      </c>
      <c r="I15" s="390">
        <v>0</v>
      </c>
      <c r="J15" s="390">
        <v>0</v>
      </c>
      <c r="K15" s="390">
        <v>0</v>
      </c>
      <c r="L15" s="390">
        <v>0</v>
      </c>
      <c r="M15" s="486" t="s">
        <v>572</v>
      </c>
      <c r="O15" s="487">
        <v>1100</v>
      </c>
      <c r="P15" s="485" t="s">
        <v>83</v>
      </c>
    </row>
    <row r="16" spans="1:16" ht="11.25" customHeight="1">
      <c r="A16" s="390" t="s">
        <v>2106</v>
      </c>
      <c r="B16" s="390">
        <v>8</v>
      </c>
      <c r="C16" s="390" t="s">
        <v>158</v>
      </c>
      <c r="D16" s="390" t="s">
        <v>2097</v>
      </c>
      <c r="E16" s="390">
        <v>7</v>
      </c>
      <c r="F16" s="485">
        <v>0</v>
      </c>
      <c r="G16" s="485">
        <v>13</v>
      </c>
      <c r="H16" s="390">
        <v>0</v>
      </c>
      <c r="I16" s="390">
        <v>0</v>
      </c>
      <c r="J16" s="390">
        <v>0</v>
      </c>
      <c r="K16" s="390">
        <v>0</v>
      </c>
      <c r="L16" s="390">
        <v>0</v>
      </c>
      <c r="M16" s="486" t="s">
        <v>572</v>
      </c>
      <c r="O16" s="487">
        <v>2100</v>
      </c>
      <c r="P16" s="485" t="s">
        <v>83</v>
      </c>
    </row>
    <row r="17" spans="1:16" ht="11.25" customHeight="1">
      <c r="A17" s="390" t="s">
        <v>2107</v>
      </c>
      <c r="B17" s="390">
        <v>9</v>
      </c>
      <c r="C17" s="390" t="s">
        <v>158</v>
      </c>
      <c r="D17" s="390" t="s">
        <v>2097</v>
      </c>
      <c r="E17" s="390">
        <v>7</v>
      </c>
      <c r="F17" s="485">
        <v>1</v>
      </c>
      <c r="G17" s="485">
        <v>12</v>
      </c>
      <c r="H17" s="390">
        <v>0</v>
      </c>
      <c r="I17" s="390">
        <v>0</v>
      </c>
      <c r="J17" s="390">
        <v>0</v>
      </c>
      <c r="K17" s="390">
        <v>0</v>
      </c>
      <c r="L17" s="390">
        <v>0</v>
      </c>
      <c r="M17" s="486" t="s">
        <v>572</v>
      </c>
      <c r="O17" s="487">
        <v>2500</v>
      </c>
      <c r="P17" s="485" t="s">
        <v>83</v>
      </c>
    </row>
    <row r="18" spans="1:16" ht="11.25" customHeight="1">
      <c r="A18" s="390" t="s">
        <v>2108</v>
      </c>
      <c r="B18" s="390">
        <v>10</v>
      </c>
      <c r="C18" s="390" t="s">
        <v>158</v>
      </c>
      <c r="D18" s="390" t="s">
        <v>2097</v>
      </c>
      <c r="E18" s="390">
        <v>8</v>
      </c>
      <c r="F18" s="485">
        <v>0</v>
      </c>
      <c r="G18" s="485">
        <v>15</v>
      </c>
      <c r="H18" s="390">
        <v>0</v>
      </c>
      <c r="I18" s="390">
        <v>0</v>
      </c>
      <c r="J18" s="390">
        <v>0</v>
      </c>
      <c r="K18" s="390">
        <v>0</v>
      </c>
      <c r="L18" s="390">
        <v>0</v>
      </c>
      <c r="M18" s="486" t="s">
        <v>572</v>
      </c>
      <c r="O18" s="487">
        <v>3800</v>
      </c>
      <c r="P18" s="485" t="s">
        <v>83</v>
      </c>
    </row>
    <row r="19" spans="1:16" ht="11.25" customHeight="1">
      <c r="A19" s="390" t="s">
        <v>2109</v>
      </c>
      <c r="B19" s="390">
        <v>10</v>
      </c>
      <c r="C19" s="390" t="s">
        <v>158</v>
      </c>
      <c r="D19" s="390" t="s">
        <v>2097</v>
      </c>
      <c r="E19" s="390">
        <v>8</v>
      </c>
      <c r="F19" s="485">
        <v>1</v>
      </c>
      <c r="G19" s="485">
        <v>13</v>
      </c>
      <c r="H19" s="390">
        <v>0</v>
      </c>
      <c r="I19" s="390">
        <v>0</v>
      </c>
      <c r="J19" s="390">
        <v>0</v>
      </c>
      <c r="K19" s="390">
        <v>0</v>
      </c>
      <c r="L19" s="390">
        <v>0</v>
      </c>
      <c r="M19" s="486" t="s">
        <v>572</v>
      </c>
      <c r="O19" s="487">
        <v>4200</v>
      </c>
      <c r="P19" s="485" t="s">
        <v>83</v>
      </c>
    </row>
    <row r="20" spans="1:18" s="451" customFormat="1" ht="11.25" customHeight="1">
      <c r="A20" s="451" t="s">
        <v>2110</v>
      </c>
      <c r="B20" s="451">
        <v>3</v>
      </c>
      <c r="C20" s="451" t="s">
        <v>158</v>
      </c>
      <c r="D20" s="390" t="s">
        <v>2097</v>
      </c>
      <c r="E20" s="451">
        <v>5</v>
      </c>
      <c r="F20" s="498">
        <v>0</v>
      </c>
      <c r="G20" s="498">
        <v>8</v>
      </c>
      <c r="H20" s="451">
        <v>0</v>
      </c>
      <c r="I20" s="451">
        <v>0</v>
      </c>
      <c r="J20" s="451">
        <v>0</v>
      </c>
      <c r="K20" s="451">
        <v>0</v>
      </c>
      <c r="L20" s="451">
        <v>0</v>
      </c>
      <c r="M20" s="499" t="s">
        <v>572</v>
      </c>
      <c r="N20" s="450" t="s">
        <v>2111</v>
      </c>
      <c r="O20" s="500">
        <v>8000</v>
      </c>
      <c r="P20" s="498">
        <v>12</v>
      </c>
      <c r="R20" s="450"/>
    </row>
    <row r="21" spans="1:18" s="451" customFormat="1" ht="11.25" customHeight="1">
      <c r="A21" s="451" t="s">
        <v>2112</v>
      </c>
      <c r="B21" s="451">
        <v>4</v>
      </c>
      <c r="C21" s="451" t="s">
        <v>158</v>
      </c>
      <c r="D21" s="390" t="s">
        <v>2097</v>
      </c>
      <c r="E21" s="451">
        <v>6</v>
      </c>
      <c r="F21" s="498">
        <v>1</v>
      </c>
      <c r="G21" s="498">
        <v>7</v>
      </c>
      <c r="H21" s="451">
        <v>0</v>
      </c>
      <c r="I21" s="451">
        <v>0</v>
      </c>
      <c r="J21" s="451">
        <v>0</v>
      </c>
      <c r="K21" s="451">
        <v>0</v>
      </c>
      <c r="L21" s="451">
        <v>0</v>
      </c>
      <c r="M21" s="499" t="s">
        <v>572</v>
      </c>
      <c r="N21" s="450" t="s">
        <v>2113</v>
      </c>
      <c r="O21" s="500">
        <v>2000</v>
      </c>
      <c r="P21" s="498">
        <v>12</v>
      </c>
      <c r="R21" s="450"/>
    </row>
    <row r="22" spans="1:17" ht="11.25" customHeight="1">
      <c r="A22" s="451" t="s">
        <v>2114</v>
      </c>
      <c r="B22" s="451">
        <v>6</v>
      </c>
      <c r="C22" s="451" t="s">
        <v>158</v>
      </c>
      <c r="D22" s="390" t="s">
        <v>2097</v>
      </c>
      <c r="E22" s="451">
        <v>6</v>
      </c>
      <c r="F22" s="498">
        <v>0</v>
      </c>
      <c r="G22" s="498">
        <v>11</v>
      </c>
      <c r="H22" s="451">
        <v>0</v>
      </c>
      <c r="I22" s="451">
        <v>0</v>
      </c>
      <c r="J22" s="451">
        <v>0</v>
      </c>
      <c r="K22" s="451">
        <v>0</v>
      </c>
      <c r="L22" s="451">
        <v>0</v>
      </c>
      <c r="M22" s="499" t="s">
        <v>572</v>
      </c>
      <c r="N22" s="450" t="s">
        <v>2115</v>
      </c>
      <c r="O22" s="500">
        <v>4200</v>
      </c>
      <c r="P22" s="451">
        <v>15</v>
      </c>
      <c r="Q22" s="451"/>
    </row>
    <row r="23" spans="1:17" ht="11.25" customHeight="1">
      <c r="A23" s="451" t="s">
        <v>2116</v>
      </c>
      <c r="B23" s="451">
        <v>7</v>
      </c>
      <c r="C23" s="451" t="s">
        <v>158</v>
      </c>
      <c r="D23" s="390" t="s">
        <v>2097</v>
      </c>
      <c r="E23" s="451">
        <v>7</v>
      </c>
      <c r="F23" s="498">
        <v>1</v>
      </c>
      <c r="G23" s="498">
        <v>10</v>
      </c>
      <c r="H23" s="451">
        <v>0</v>
      </c>
      <c r="I23" s="451">
        <v>0</v>
      </c>
      <c r="J23" s="451">
        <v>0</v>
      </c>
      <c r="K23" s="451">
        <v>0</v>
      </c>
      <c r="L23" s="451">
        <v>0</v>
      </c>
      <c r="M23" s="499" t="s">
        <v>572</v>
      </c>
      <c r="N23" s="450" t="s">
        <v>2117</v>
      </c>
      <c r="O23" s="500">
        <v>5500</v>
      </c>
      <c r="P23" s="451">
        <v>15</v>
      </c>
      <c r="Q23" s="451"/>
    </row>
    <row r="24" spans="1:18" s="451" customFormat="1" ht="11.25" customHeight="1">
      <c r="A24" s="451" t="s">
        <v>2118</v>
      </c>
      <c r="B24" s="451">
        <v>8</v>
      </c>
      <c r="C24" s="451" t="s">
        <v>158</v>
      </c>
      <c r="D24" s="390" t="s">
        <v>2097</v>
      </c>
      <c r="E24" s="451">
        <v>7</v>
      </c>
      <c r="F24" s="498">
        <v>1</v>
      </c>
      <c r="G24" s="498">
        <v>11</v>
      </c>
      <c r="H24" s="451">
        <v>0</v>
      </c>
      <c r="I24" s="451">
        <v>0</v>
      </c>
      <c r="J24" s="451">
        <v>0</v>
      </c>
      <c r="K24" s="451">
        <v>0</v>
      </c>
      <c r="L24" s="451">
        <v>0</v>
      </c>
      <c r="M24" s="499" t="s">
        <v>572</v>
      </c>
      <c r="N24" s="450" t="s">
        <v>2119</v>
      </c>
      <c r="O24" s="500">
        <v>8000</v>
      </c>
      <c r="P24" s="498">
        <v>16</v>
      </c>
      <c r="R24" s="450"/>
    </row>
    <row r="25" spans="1:17" ht="11.25" customHeight="1">
      <c r="A25" s="451" t="s">
        <v>2120</v>
      </c>
      <c r="B25" s="451">
        <v>9</v>
      </c>
      <c r="C25" s="451" t="s">
        <v>158</v>
      </c>
      <c r="D25" s="390" t="s">
        <v>2097</v>
      </c>
      <c r="E25" s="451">
        <v>7</v>
      </c>
      <c r="F25" s="498">
        <v>0</v>
      </c>
      <c r="G25" s="498">
        <v>15</v>
      </c>
      <c r="H25" s="451">
        <v>0</v>
      </c>
      <c r="I25" s="451">
        <v>0</v>
      </c>
      <c r="J25" s="451">
        <v>0</v>
      </c>
      <c r="K25" s="451">
        <v>0</v>
      </c>
      <c r="L25" s="451">
        <v>0</v>
      </c>
      <c r="M25" s="499" t="s">
        <v>572</v>
      </c>
      <c r="N25" s="501" t="s">
        <v>2121</v>
      </c>
      <c r="O25" s="500">
        <v>14000</v>
      </c>
      <c r="P25" s="498">
        <v>16</v>
      </c>
      <c r="Q25" s="451"/>
    </row>
    <row r="26" spans="1:17" ht="13.5">
      <c r="A26" s="451" t="s">
        <v>2122</v>
      </c>
      <c r="B26" s="451">
        <v>3</v>
      </c>
      <c r="C26" s="451" t="s">
        <v>158</v>
      </c>
      <c r="D26" s="390" t="s">
        <v>2097</v>
      </c>
      <c r="E26" s="451">
        <v>5</v>
      </c>
      <c r="F26" s="498">
        <v>0</v>
      </c>
      <c r="G26" s="498">
        <v>7</v>
      </c>
      <c r="H26" s="451">
        <v>0</v>
      </c>
      <c r="I26" s="451">
        <v>0</v>
      </c>
      <c r="J26" s="451">
        <v>0</v>
      </c>
      <c r="K26" s="451">
        <v>0</v>
      </c>
      <c r="L26" s="451">
        <v>0</v>
      </c>
      <c r="M26" s="499" t="s">
        <v>572</v>
      </c>
      <c r="N26" s="450"/>
      <c r="O26" s="500">
        <v>2900</v>
      </c>
      <c r="P26" s="498">
        <v>16</v>
      </c>
      <c r="Q26" s="451"/>
    </row>
    <row r="27" spans="1:17" ht="13.5">
      <c r="A27" s="451"/>
      <c r="B27" s="451"/>
      <c r="C27" s="451"/>
      <c r="E27" s="451"/>
      <c r="F27" s="498"/>
      <c r="G27" s="498"/>
      <c r="H27" s="451"/>
      <c r="I27" s="451"/>
      <c r="J27" s="451"/>
      <c r="K27" s="451"/>
      <c r="M27" s="499"/>
      <c r="N27" s="450"/>
      <c r="O27" s="500"/>
      <c r="P27" s="498"/>
      <c r="Q27" s="451"/>
    </row>
    <row r="28" spans="1:16" ht="13.5">
      <c r="A28" s="451"/>
      <c r="B28" s="451"/>
      <c r="C28" s="451"/>
      <c r="E28" s="451"/>
      <c r="F28" s="498"/>
      <c r="G28" s="498"/>
      <c r="H28" s="451"/>
      <c r="I28" s="451"/>
      <c r="J28" s="451"/>
      <c r="K28" s="451"/>
      <c r="M28" s="499"/>
      <c r="N28" s="450"/>
      <c r="O28" s="500"/>
      <c r="P28" s="451"/>
    </row>
    <row r="29" spans="1:16" ht="13.5">
      <c r="A29" s="451"/>
      <c r="B29" s="451"/>
      <c r="C29" s="451"/>
      <c r="E29" s="451"/>
      <c r="F29" s="498"/>
      <c r="G29" s="498"/>
      <c r="H29" s="451"/>
      <c r="I29" s="451"/>
      <c r="J29" s="451"/>
      <c r="K29" s="451"/>
      <c r="M29" s="499"/>
      <c r="N29" s="450"/>
      <c r="O29" s="500"/>
      <c r="P29" s="451"/>
    </row>
    <row r="32" spans="1:16" ht="13.5">
      <c r="A32" s="451"/>
      <c r="B32" s="451"/>
      <c r="C32" s="451"/>
      <c r="E32" s="451"/>
      <c r="F32" s="498"/>
      <c r="G32" s="498"/>
      <c r="H32" s="451"/>
      <c r="I32" s="451"/>
      <c r="J32" s="451"/>
      <c r="K32" s="451"/>
      <c r="M32" s="499"/>
      <c r="N32" s="450"/>
      <c r="O32" s="500"/>
      <c r="P32" s="498"/>
    </row>
    <row r="33" spans="1:16" ht="13.5">
      <c r="A33" s="451"/>
      <c r="B33" s="451"/>
      <c r="C33" s="451"/>
      <c r="E33" s="451"/>
      <c r="F33" s="498"/>
      <c r="G33" s="498"/>
      <c r="H33" s="451"/>
      <c r="I33" s="451"/>
      <c r="J33" s="451"/>
      <c r="K33" s="451"/>
      <c r="M33" s="499"/>
      <c r="N33" s="450"/>
      <c r="O33" s="500"/>
      <c r="P33" s="451"/>
    </row>
    <row r="35" spans="1:16" ht="13.5">
      <c r="A35" s="451"/>
      <c r="B35" s="451"/>
      <c r="C35" s="451"/>
      <c r="E35" s="451"/>
      <c r="F35" s="498"/>
      <c r="G35" s="498"/>
      <c r="H35" s="451"/>
      <c r="I35" s="451"/>
      <c r="J35" s="451"/>
      <c r="K35" s="451"/>
      <c r="M35" s="499"/>
      <c r="N35" s="450"/>
      <c r="O35" s="500"/>
      <c r="P35" s="451"/>
    </row>
    <row r="37" spans="1:19" ht="13.5">
      <c r="A37" s="46" t="s">
        <v>268</v>
      </c>
      <c r="B37" s="489" t="s">
        <v>111</v>
      </c>
      <c r="C37" s="489" t="s">
        <v>253</v>
      </c>
      <c r="D37" s="489" t="s">
        <v>254</v>
      </c>
      <c r="E37" s="489" t="s">
        <v>255</v>
      </c>
      <c r="F37" s="490" t="s">
        <v>174</v>
      </c>
      <c r="G37" s="490" t="s">
        <v>256</v>
      </c>
      <c r="H37" s="489" t="s">
        <v>233</v>
      </c>
      <c r="I37" s="489" t="s">
        <v>257</v>
      </c>
      <c r="J37" s="489" t="s">
        <v>258</v>
      </c>
      <c r="K37" s="489" t="s">
        <v>259</v>
      </c>
      <c r="L37" s="489" t="s">
        <v>260</v>
      </c>
      <c r="M37" s="491" t="s">
        <v>261</v>
      </c>
      <c r="N37" s="489" t="s">
        <v>262</v>
      </c>
      <c r="O37" s="492" t="s">
        <v>223</v>
      </c>
      <c r="P37" s="490" t="s">
        <v>2093</v>
      </c>
      <c r="Q37" s="493" t="s">
        <v>2094</v>
      </c>
      <c r="R37" s="399" t="s">
        <v>2095</v>
      </c>
      <c r="S37" s="213"/>
    </row>
    <row r="38" spans="1:16" ht="11.25" customHeight="1">
      <c r="A38" s="448" t="s">
        <v>2123</v>
      </c>
      <c r="B38" s="448">
        <v>1</v>
      </c>
      <c r="C38" s="448" t="s">
        <v>268</v>
      </c>
      <c r="D38" s="448" t="s">
        <v>2124</v>
      </c>
      <c r="E38" s="448">
        <v>1</v>
      </c>
      <c r="F38" s="502">
        <v>0</v>
      </c>
      <c r="G38" s="502">
        <v>3</v>
      </c>
      <c r="H38" s="448">
        <v>0</v>
      </c>
      <c r="I38" s="448">
        <v>0</v>
      </c>
      <c r="J38" s="448">
        <v>0</v>
      </c>
      <c r="K38" s="448">
        <v>0</v>
      </c>
      <c r="L38" s="448">
        <v>0</v>
      </c>
      <c r="M38" s="503" t="s">
        <v>572</v>
      </c>
      <c r="N38" s="504" t="s">
        <v>2125</v>
      </c>
      <c r="O38" s="505">
        <v>10</v>
      </c>
      <c r="P38" s="502" t="s">
        <v>83</v>
      </c>
    </row>
    <row r="39" spans="1:16" ht="11.25" customHeight="1">
      <c r="A39" s="448" t="s">
        <v>2126</v>
      </c>
      <c r="B39" s="448">
        <v>1</v>
      </c>
      <c r="C39" s="448" t="s">
        <v>268</v>
      </c>
      <c r="D39" s="448" t="s">
        <v>2124</v>
      </c>
      <c r="E39" s="448">
        <v>1</v>
      </c>
      <c r="F39" s="502">
        <v>0</v>
      </c>
      <c r="G39" s="502">
        <v>4</v>
      </c>
      <c r="H39" s="448">
        <v>0</v>
      </c>
      <c r="I39" s="448">
        <v>0</v>
      </c>
      <c r="J39" s="448">
        <v>0</v>
      </c>
      <c r="K39" s="448">
        <v>0</v>
      </c>
      <c r="L39" s="448">
        <v>0</v>
      </c>
      <c r="M39" s="503" t="s">
        <v>572</v>
      </c>
      <c r="N39" s="504"/>
      <c r="O39" s="505">
        <v>20</v>
      </c>
      <c r="P39" s="502" t="s">
        <v>83</v>
      </c>
    </row>
    <row r="40" spans="1:16" ht="11.25" customHeight="1">
      <c r="A40" s="448" t="s">
        <v>2127</v>
      </c>
      <c r="B40" s="448">
        <v>1</v>
      </c>
      <c r="C40" s="448" t="s">
        <v>268</v>
      </c>
      <c r="D40" s="448" t="s">
        <v>2124</v>
      </c>
      <c r="E40" s="448">
        <v>2</v>
      </c>
      <c r="F40" s="502">
        <v>0</v>
      </c>
      <c r="G40" s="502">
        <v>4</v>
      </c>
      <c r="H40" s="448">
        <v>0</v>
      </c>
      <c r="I40" s="448">
        <v>0</v>
      </c>
      <c r="J40" s="448">
        <v>0</v>
      </c>
      <c r="K40" s="448">
        <v>0</v>
      </c>
      <c r="L40" s="448">
        <v>0</v>
      </c>
      <c r="M40" s="503" t="s">
        <v>572</v>
      </c>
      <c r="N40" s="504" t="s">
        <v>2128</v>
      </c>
      <c r="O40" s="505">
        <v>50</v>
      </c>
      <c r="P40" s="502" t="s">
        <v>83</v>
      </c>
    </row>
    <row r="41" spans="1:16" ht="11.25" customHeight="1">
      <c r="A41" s="448" t="s">
        <v>2129</v>
      </c>
      <c r="B41" s="448">
        <v>2</v>
      </c>
      <c r="C41" s="448" t="s">
        <v>268</v>
      </c>
      <c r="D41" s="448" t="s">
        <v>2124</v>
      </c>
      <c r="E41" s="448">
        <v>1</v>
      </c>
      <c r="F41" s="502">
        <v>0</v>
      </c>
      <c r="G41" s="502">
        <v>4</v>
      </c>
      <c r="H41" s="448">
        <v>0</v>
      </c>
      <c r="I41" s="448">
        <v>0</v>
      </c>
      <c r="J41" s="448">
        <v>0</v>
      </c>
      <c r="K41" s="448">
        <v>0</v>
      </c>
      <c r="L41" s="448">
        <v>0</v>
      </c>
      <c r="M41" s="503" t="s">
        <v>572</v>
      </c>
      <c r="N41" s="504" t="s">
        <v>2125</v>
      </c>
      <c r="O41" s="505">
        <v>50</v>
      </c>
      <c r="P41" s="502" t="s">
        <v>83</v>
      </c>
    </row>
    <row r="42" spans="1:18" s="451" customFormat="1" ht="11.25" customHeight="1">
      <c r="A42" s="448" t="s">
        <v>2130</v>
      </c>
      <c r="B42" s="448">
        <v>2</v>
      </c>
      <c r="C42" s="448" t="s">
        <v>268</v>
      </c>
      <c r="D42" s="448" t="s">
        <v>2124</v>
      </c>
      <c r="E42" s="448">
        <v>1</v>
      </c>
      <c r="F42" s="502">
        <v>0</v>
      </c>
      <c r="G42" s="502">
        <v>5</v>
      </c>
      <c r="H42" s="448">
        <v>0</v>
      </c>
      <c r="I42" s="448">
        <v>0</v>
      </c>
      <c r="J42" s="448">
        <v>0</v>
      </c>
      <c r="K42" s="448">
        <v>0</v>
      </c>
      <c r="L42" s="448">
        <v>0</v>
      </c>
      <c r="M42" s="503" t="s">
        <v>572</v>
      </c>
      <c r="N42" s="467"/>
      <c r="O42" s="505">
        <v>150</v>
      </c>
      <c r="P42" s="502" t="s">
        <v>83</v>
      </c>
      <c r="R42" s="450"/>
    </row>
    <row r="43" spans="1:18" s="451" customFormat="1" ht="11.25" customHeight="1">
      <c r="A43" s="448" t="s">
        <v>2131</v>
      </c>
      <c r="B43" s="448">
        <v>3</v>
      </c>
      <c r="C43" s="448" t="s">
        <v>268</v>
      </c>
      <c r="D43" s="448" t="s">
        <v>2124</v>
      </c>
      <c r="E43" s="448">
        <v>2</v>
      </c>
      <c r="F43" s="502">
        <v>0</v>
      </c>
      <c r="G43" s="502">
        <v>6</v>
      </c>
      <c r="H43" s="448">
        <v>0</v>
      </c>
      <c r="I43" s="448">
        <v>0</v>
      </c>
      <c r="J43" s="448">
        <v>0</v>
      </c>
      <c r="K43" s="448">
        <v>0</v>
      </c>
      <c r="L43" s="448">
        <v>0</v>
      </c>
      <c r="M43" s="503" t="s">
        <v>572</v>
      </c>
      <c r="N43" s="467"/>
      <c r="O43" s="505">
        <v>250</v>
      </c>
      <c r="P43" s="502" t="s">
        <v>83</v>
      </c>
      <c r="R43" s="450"/>
    </row>
    <row r="44" spans="1:16" ht="11.25" customHeight="1">
      <c r="A44" s="448" t="s">
        <v>2132</v>
      </c>
      <c r="B44" s="448">
        <v>4</v>
      </c>
      <c r="C44" s="448" t="s">
        <v>268</v>
      </c>
      <c r="D44" s="448" t="s">
        <v>2124</v>
      </c>
      <c r="E44" s="448">
        <v>2</v>
      </c>
      <c r="F44" s="502">
        <v>0</v>
      </c>
      <c r="G44" s="502">
        <v>5</v>
      </c>
      <c r="H44" s="448">
        <v>0</v>
      </c>
      <c r="I44" s="448">
        <v>0</v>
      </c>
      <c r="J44" s="448">
        <v>0</v>
      </c>
      <c r="K44" s="448">
        <v>0</v>
      </c>
      <c r="L44" s="448">
        <v>0</v>
      </c>
      <c r="M44" s="503" t="s">
        <v>572</v>
      </c>
      <c r="N44" s="504" t="s">
        <v>2125</v>
      </c>
      <c r="O44" s="505">
        <v>300</v>
      </c>
      <c r="P44" s="502" t="s">
        <v>83</v>
      </c>
    </row>
    <row r="45" spans="1:16" ht="11.25" customHeight="1">
      <c r="A45" s="448" t="s">
        <v>2133</v>
      </c>
      <c r="B45" s="448">
        <v>4</v>
      </c>
      <c r="C45" s="448" t="s">
        <v>268</v>
      </c>
      <c r="D45" s="448" t="s">
        <v>2124</v>
      </c>
      <c r="E45" s="448">
        <v>3</v>
      </c>
      <c r="F45" s="502">
        <v>0</v>
      </c>
      <c r="G45" s="502">
        <v>6</v>
      </c>
      <c r="H45" s="448">
        <v>0</v>
      </c>
      <c r="I45" s="448">
        <v>0</v>
      </c>
      <c r="J45" s="448">
        <v>0</v>
      </c>
      <c r="K45" s="448">
        <v>0</v>
      </c>
      <c r="L45" s="448">
        <v>0</v>
      </c>
      <c r="M45" s="503" t="s">
        <v>572</v>
      </c>
      <c r="N45" s="504" t="s">
        <v>2128</v>
      </c>
      <c r="O45" s="505">
        <v>300</v>
      </c>
      <c r="P45" s="502" t="s">
        <v>83</v>
      </c>
    </row>
    <row r="46" spans="1:16" ht="11.25" customHeight="1">
      <c r="A46" s="448" t="s">
        <v>2134</v>
      </c>
      <c r="B46" s="448">
        <v>5</v>
      </c>
      <c r="C46" s="448" t="s">
        <v>268</v>
      </c>
      <c r="D46" s="448" t="s">
        <v>2124</v>
      </c>
      <c r="E46" s="448">
        <v>3</v>
      </c>
      <c r="F46" s="502">
        <v>0</v>
      </c>
      <c r="G46" s="502">
        <v>7</v>
      </c>
      <c r="H46" s="448">
        <v>0</v>
      </c>
      <c r="I46" s="448">
        <v>1</v>
      </c>
      <c r="J46" s="448">
        <v>0</v>
      </c>
      <c r="K46" s="448">
        <v>0</v>
      </c>
      <c r="L46" s="448">
        <v>0</v>
      </c>
      <c r="M46" s="503" t="s">
        <v>572</v>
      </c>
      <c r="N46" s="504"/>
      <c r="O46" s="505">
        <v>300</v>
      </c>
      <c r="P46" s="502" t="s">
        <v>83</v>
      </c>
    </row>
    <row r="47" spans="1:18" s="451" customFormat="1" ht="11.25" customHeight="1">
      <c r="A47" s="448" t="s">
        <v>2135</v>
      </c>
      <c r="B47" s="448">
        <v>6</v>
      </c>
      <c r="C47" s="448" t="s">
        <v>268</v>
      </c>
      <c r="D47" s="448" t="s">
        <v>2124</v>
      </c>
      <c r="E47" s="448">
        <v>3</v>
      </c>
      <c r="F47" s="502">
        <v>0</v>
      </c>
      <c r="G47" s="502">
        <v>6</v>
      </c>
      <c r="H47" s="448">
        <v>0</v>
      </c>
      <c r="I47" s="448">
        <v>0</v>
      </c>
      <c r="J47" s="448">
        <v>0</v>
      </c>
      <c r="K47" s="448">
        <v>0</v>
      </c>
      <c r="L47" s="448">
        <v>0</v>
      </c>
      <c r="M47" s="503" t="s">
        <v>572</v>
      </c>
      <c r="N47" s="504" t="s">
        <v>2125</v>
      </c>
      <c r="O47" s="505">
        <v>300</v>
      </c>
      <c r="P47" s="502" t="s">
        <v>83</v>
      </c>
      <c r="R47" s="450"/>
    </row>
    <row r="48" spans="1:17" ht="11.25" customHeight="1">
      <c r="A48" s="448" t="s">
        <v>2136</v>
      </c>
      <c r="B48" s="448">
        <v>7</v>
      </c>
      <c r="C48" s="448" t="s">
        <v>268</v>
      </c>
      <c r="D48" s="448" t="s">
        <v>2124</v>
      </c>
      <c r="E48" s="448">
        <v>4</v>
      </c>
      <c r="F48" s="502">
        <v>0</v>
      </c>
      <c r="G48" s="502">
        <v>8</v>
      </c>
      <c r="H48" s="448">
        <v>0</v>
      </c>
      <c r="I48" s="448">
        <v>0</v>
      </c>
      <c r="J48" s="448">
        <v>0</v>
      </c>
      <c r="K48" s="448">
        <v>0</v>
      </c>
      <c r="L48" s="448">
        <v>0</v>
      </c>
      <c r="M48" s="503" t="s">
        <v>572</v>
      </c>
      <c r="N48" s="504"/>
      <c r="O48" s="505">
        <v>300</v>
      </c>
      <c r="P48" s="502" t="s">
        <v>83</v>
      </c>
      <c r="Q48" s="451"/>
    </row>
    <row r="49" spans="1:18" s="451" customFormat="1" ht="11.25" customHeight="1">
      <c r="A49" s="448" t="s">
        <v>2137</v>
      </c>
      <c r="B49" s="448">
        <v>8</v>
      </c>
      <c r="C49" s="448" t="s">
        <v>268</v>
      </c>
      <c r="D49" s="448" t="s">
        <v>2124</v>
      </c>
      <c r="E49" s="448">
        <v>4</v>
      </c>
      <c r="F49" s="502">
        <v>0</v>
      </c>
      <c r="G49" s="502">
        <v>7</v>
      </c>
      <c r="H49" s="448">
        <v>0</v>
      </c>
      <c r="I49" s="448">
        <v>0</v>
      </c>
      <c r="J49" s="448">
        <v>0</v>
      </c>
      <c r="K49" s="448">
        <v>0</v>
      </c>
      <c r="L49" s="448">
        <v>0</v>
      </c>
      <c r="M49" s="503" t="s">
        <v>572</v>
      </c>
      <c r="N49" s="504" t="s">
        <v>2125</v>
      </c>
      <c r="O49" s="505">
        <v>300</v>
      </c>
      <c r="P49" s="502" t="s">
        <v>83</v>
      </c>
      <c r="R49" s="450"/>
    </row>
    <row r="50" spans="1:16" ht="11.25" customHeight="1">
      <c r="A50" s="448" t="s">
        <v>2138</v>
      </c>
      <c r="B50" s="448">
        <v>9</v>
      </c>
      <c r="C50" s="448" t="s">
        <v>268</v>
      </c>
      <c r="D50" s="448" t="s">
        <v>2124</v>
      </c>
      <c r="E50" s="448">
        <v>5</v>
      </c>
      <c r="F50" s="502">
        <v>0</v>
      </c>
      <c r="G50" s="502">
        <v>9</v>
      </c>
      <c r="H50" s="448">
        <v>0</v>
      </c>
      <c r="I50" s="448">
        <v>0</v>
      </c>
      <c r="J50" s="448">
        <v>0</v>
      </c>
      <c r="K50" s="448">
        <v>0</v>
      </c>
      <c r="L50" s="448">
        <v>0</v>
      </c>
      <c r="M50" s="503" t="s">
        <v>572</v>
      </c>
      <c r="N50" s="504"/>
      <c r="O50" s="505">
        <v>300</v>
      </c>
      <c r="P50" s="502" t="s">
        <v>83</v>
      </c>
    </row>
    <row r="51" spans="1:16" ht="11.25" customHeight="1">
      <c r="A51" s="448" t="s">
        <v>2139</v>
      </c>
      <c r="B51" s="448">
        <v>10</v>
      </c>
      <c r="C51" s="448" t="s">
        <v>268</v>
      </c>
      <c r="D51" s="448" t="s">
        <v>2124</v>
      </c>
      <c r="E51" s="448">
        <v>5</v>
      </c>
      <c r="F51" s="502">
        <v>0</v>
      </c>
      <c r="G51" s="502">
        <v>8</v>
      </c>
      <c r="H51" s="448">
        <v>0</v>
      </c>
      <c r="I51" s="448">
        <v>0</v>
      </c>
      <c r="J51" s="448">
        <v>0</v>
      </c>
      <c r="K51" s="448">
        <v>0</v>
      </c>
      <c r="L51" s="448">
        <v>0</v>
      </c>
      <c r="M51" s="503" t="s">
        <v>572</v>
      </c>
      <c r="N51" s="504" t="s">
        <v>2125</v>
      </c>
      <c r="O51" s="505">
        <v>300</v>
      </c>
      <c r="P51" s="502" t="s">
        <v>83</v>
      </c>
    </row>
    <row r="52" spans="1:16" ht="11.25" customHeight="1">
      <c r="A52" s="448" t="s">
        <v>2140</v>
      </c>
      <c r="B52" s="448">
        <v>10</v>
      </c>
      <c r="C52" s="448" t="s">
        <v>268</v>
      </c>
      <c r="D52" s="448" t="s">
        <v>2124</v>
      </c>
      <c r="E52" s="448">
        <v>5</v>
      </c>
      <c r="F52" s="502">
        <v>0</v>
      </c>
      <c r="G52" s="502">
        <v>9</v>
      </c>
      <c r="H52" s="448">
        <v>0</v>
      </c>
      <c r="I52" s="448">
        <v>1</v>
      </c>
      <c r="J52" s="448">
        <v>0</v>
      </c>
      <c r="K52" s="448">
        <v>0</v>
      </c>
      <c r="L52" s="448">
        <v>0</v>
      </c>
      <c r="M52" s="503" t="s">
        <v>572</v>
      </c>
      <c r="N52" s="504"/>
      <c r="O52" s="505">
        <v>300</v>
      </c>
      <c r="P52" s="502" t="s">
        <v>83</v>
      </c>
    </row>
    <row r="53" spans="1:17" ht="11.25" customHeight="1">
      <c r="A53" s="451" t="s">
        <v>2141</v>
      </c>
      <c r="B53" s="451">
        <v>2</v>
      </c>
      <c r="C53" s="451" t="s">
        <v>268</v>
      </c>
      <c r="D53" s="451" t="s">
        <v>2124</v>
      </c>
      <c r="E53" s="451">
        <v>1</v>
      </c>
      <c r="F53" s="498">
        <v>0</v>
      </c>
      <c r="G53" s="498">
        <v>4</v>
      </c>
      <c r="H53" s="451">
        <v>0</v>
      </c>
      <c r="I53" s="451">
        <v>0</v>
      </c>
      <c r="J53" s="451">
        <v>0</v>
      </c>
      <c r="K53" s="451">
        <v>0</v>
      </c>
      <c r="L53" s="451">
        <v>0</v>
      </c>
      <c r="M53" s="499" t="s">
        <v>572</v>
      </c>
      <c r="N53" s="450"/>
      <c r="O53" s="500">
        <v>2200</v>
      </c>
      <c r="P53" s="498">
        <v>11</v>
      </c>
      <c r="Q53" s="451"/>
    </row>
    <row r="54" spans="1:16" ht="11.25" customHeight="1">
      <c r="A54" s="451" t="s">
        <v>2142</v>
      </c>
      <c r="B54" s="451">
        <v>2</v>
      </c>
      <c r="C54" s="451" t="s">
        <v>268</v>
      </c>
      <c r="D54" s="451" t="s">
        <v>2124</v>
      </c>
      <c r="E54" s="451">
        <v>1</v>
      </c>
      <c r="F54" s="498">
        <v>0</v>
      </c>
      <c r="G54" s="498">
        <v>7</v>
      </c>
      <c r="H54" s="451">
        <v>0</v>
      </c>
      <c r="I54" s="451">
        <v>0</v>
      </c>
      <c r="J54" s="451">
        <v>0</v>
      </c>
      <c r="K54" s="451">
        <v>0</v>
      </c>
      <c r="L54" s="451">
        <v>0</v>
      </c>
      <c r="M54" s="499" t="s">
        <v>572</v>
      </c>
      <c r="N54" s="450"/>
      <c r="O54" s="500">
        <v>2200</v>
      </c>
      <c r="P54" s="498">
        <v>11</v>
      </c>
    </row>
    <row r="55" spans="1:16" ht="11.25" customHeight="1">
      <c r="A55" s="451" t="s">
        <v>2143</v>
      </c>
      <c r="B55" s="451">
        <v>4</v>
      </c>
      <c r="C55" s="451" t="s">
        <v>268</v>
      </c>
      <c r="D55" s="451" t="s">
        <v>2124</v>
      </c>
      <c r="E55" s="451">
        <v>6</v>
      </c>
      <c r="F55" s="498">
        <v>-2</v>
      </c>
      <c r="G55" s="498">
        <v>7</v>
      </c>
      <c r="H55" s="451">
        <v>0</v>
      </c>
      <c r="I55" s="451">
        <v>0</v>
      </c>
      <c r="J55" s="451">
        <v>0</v>
      </c>
      <c r="K55" s="451">
        <v>-1</v>
      </c>
      <c r="L55" s="451">
        <v>0</v>
      </c>
      <c r="M55" s="499" t="s">
        <v>572</v>
      </c>
      <c r="N55" s="450" t="s">
        <v>2144</v>
      </c>
      <c r="O55" s="500">
        <v>3500</v>
      </c>
      <c r="P55" s="498">
        <v>12</v>
      </c>
    </row>
    <row r="56" spans="1:18" s="451" customFormat="1" ht="11.25" customHeight="1">
      <c r="A56" s="451" t="s">
        <v>2145</v>
      </c>
      <c r="B56" s="451">
        <v>5</v>
      </c>
      <c r="C56" s="451" t="s">
        <v>268</v>
      </c>
      <c r="D56" s="451" t="s">
        <v>2124</v>
      </c>
      <c r="E56" s="451">
        <v>3</v>
      </c>
      <c r="F56" s="498">
        <v>0</v>
      </c>
      <c r="G56" s="498">
        <v>2</v>
      </c>
      <c r="H56" s="451">
        <v>2</v>
      </c>
      <c r="I56" s="451">
        <v>0</v>
      </c>
      <c r="J56" s="451">
        <v>0</v>
      </c>
      <c r="K56" s="451">
        <v>0</v>
      </c>
      <c r="L56" s="451">
        <v>0</v>
      </c>
      <c r="M56" s="499" t="s">
        <v>572</v>
      </c>
      <c r="N56" s="450"/>
      <c r="O56" s="500">
        <v>2000</v>
      </c>
      <c r="P56" s="498">
        <v>14</v>
      </c>
      <c r="R56" s="450"/>
    </row>
    <row r="57" spans="1:17" ht="11.25" customHeight="1">
      <c r="A57" s="451" t="s">
        <v>2146</v>
      </c>
      <c r="B57" s="451">
        <v>6</v>
      </c>
      <c r="C57" s="451" t="s">
        <v>268</v>
      </c>
      <c r="D57" s="451" t="s">
        <v>2124</v>
      </c>
      <c r="E57" s="451">
        <v>3</v>
      </c>
      <c r="F57" s="498">
        <v>0</v>
      </c>
      <c r="G57" s="498">
        <v>6</v>
      </c>
      <c r="H57" s="451">
        <v>0</v>
      </c>
      <c r="I57" s="451">
        <v>0</v>
      </c>
      <c r="J57" s="451">
        <v>0</v>
      </c>
      <c r="K57" s="451">
        <v>0</v>
      </c>
      <c r="L57" s="451">
        <v>0</v>
      </c>
      <c r="M57" s="499" t="s">
        <v>572</v>
      </c>
      <c r="N57" s="450" t="s">
        <v>2147</v>
      </c>
      <c r="O57" s="500">
        <v>2500</v>
      </c>
      <c r="P57" s="498">
        <v>15</v>
      </c>
      <c r="Q57" s="451"/>
    </row>
    <row r="58" spans="1:16" ht="11.25" customHeight="1">
      <c r="A58" s="451" t="s">
        <v>2148</v>
      </c>
      <c r="B58" s="451">
        <v>7</v>
      </c>
      <c r="C58" s="451" t="s">
        <v>268</v>
      </c>
      <c r="D58" s="451" t="s">
        <v>2124</v>
      </c>
      <c r="E58" s="451">
        <v>4</v>
      </c>
      <c r="F58" s="498">
        <v>0</v>
      </c>
      <c r="G58" s="498">
        <v>7</v>
      </c>
      <c r="H58" s="451">
        <v>0</v>
      </c>
      <c r="I58" s="451">
        <v>3</v>
      </c>
      <c r="J58" s="451">
        <v>0</v>
      </c>
      <c r="K58" s="451">
        <v>0</v>
      </c>
      <c r="L58" s="451">
        <v>0</v>
      </c>
      <c r="M58" s="499" t="s">
        <v>572</v>
      </c>
      <c r="N58" s="450"/>
      <c r="O58" s="500">
        <v>6000</v>
      </c>
      <c r="P58" s="498">
        <v>15</v>
      </c>
    </row>
    <row r="59" spans="1:16" ht="11.25" customHeight="1">
      <c r="A59" s="451" t="s">
        <v>2149</v>
      </c>
      <c r="B59" s="451">
        <v>9</v>
      </c>
      <c r="C59" s="451" t="s">
        <v>268</v>
      </c>
      <c r="D59" s="451" t="s">
        <v>2124</v>
      </c>
      <c r="E59" s="451">
        <v>5</v>
      </c>
      <c r="F59" s="498">
        <v>-1</v>
      </c>
      <c r="G59" s="498">
        <v>10</v>
      </c>
      <c r="H59" s="451">
        <v>0</v>
      </c>
      <c r="I59" s="451">
        <v>0</v>
      </c>
      <c r="J59" s="451">
        <v>0</v>
      </c>
      <c r="K59" s="451">
        <v>0</v>
      </c>
      <c r="L59" s="451">
        <v>0</v>
      </c>
      <c r="M59" s="499" t="s">
        <v>572</v>
      </c>
      <c r="N59" s="450" t="s">
        <v>2150</v>
      </c>
      <c r="O59" s="500">
        <v>9500</v>
      </c>
      <c r="P59" s="498">
        <v>16</v>
      </c>
    </row>
    <row r="60" spans="1:16" ht="11.25" customHeight="1">
      <c r="A60" s="451" t="s">
        <v>2151</v>
      </c>
      <c r="B60" s="451">
        <v>3</v>
      </c>
      <c r="C60" s="451" t="s">
        <v>268</v>
      </c>
      <c r="D60" s="451" t="s">
        <v>2124</v>
      </c>
      <c r="E60" s="451">
        <v>2</v>
      </c>
      <c r="F60" s="498">
        <v>0</v>
      </c>
      <c r="G60" s="498">
        <v>5</v>
      </c>
      <c r="H60" s="451">
        <v>0</v>
      </c>
      <c r="I60" s="451">
        <v>0</v>
      </c>
      <c r="J60" s="451">
        <v>0</v>
      </c>
      <c r="K60" s="451">
        <v>0</v>
      </c>
      <c r="L60" s="451">
        <v>0</v>
      </c>
      <c r="M60" s="499" t="s">
        <v>572</v>
      </c>
      <c r="N60" s="450"/>
      <c r="O60" s="500">
        <v>100</v>
      </c>
      <c r="P60" s="498">
        <v>8</v>
      </c>
    </row>
    <row r="61" spans="1:16" ht="11.25" customHeight="1">
      <c r="A61" s="451"/>
      <c r="B61" s="451"/>
      <c r="C61" s="451"/>
      <c r="D61" s="451"/>
      <c r="E61" s="451"/>
      <c r="F61" s="498"/>
      <c r="G61" s="498"/>
      <c r="H61" s="451"/>
      <c r="I61" s="451"/>
      <c r="J61" s="451"/>
      <c r="K61" s="451"/>
      <c r="M61" s="499"/>
      <c r="N61" s="450"/>
      <c r="O61" s="500"/>
      <c r="P61" s="498"/>
    </row>
    <row r="62" spans="6:18" s="451" customFormat="1" ht="11.25" customHeight="1">
      <c r="F62" s="498"/>
      <c r="G62" s="498"/>
      <c r="L62" s="390"/>
      <c r="M62" s="499"/>
      <c r="N62" s="450"/>
      <c r="O62" s="500"/>
      <c r="R62" s="450"/>
    </row>
    <row r="63" spans="1:18" s="451" customFormat="1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R63" s="450"/>
    </row>
    <row r="64" spans="1:18" s="451" customFormat="1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R64" s="450"/>
    </row>
    <row r="65" spans="1:16" ht="11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1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8" s="451" customFormat="1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R68" s="450"/>
    </row>
    <row r="69" spans="1:19" s="451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R69" s="450"/>
      <c r="S69" s="450"/>
    </row>
    <row r="70" spans="6:19" s="451" customFormat="1" ht="11.25" customHeight="1">
      <c r="F70" s="498"/>
      <c r="G70" s="498"/>
      <c r="L70" s="390"/>
      <c r="M70" s="499"/>
      <c r="N70" s="450"/>
      <c r="O70" s="500"/>
      <c r="P70" s="498"/>
      <c r="R70" s="450"/>
      <c r="S70" s="450"/>
    </row>
    <row r="71" spans="6:19" s="451" customFormat="1" ht="11.25" customHeight="1">
      <c r="F71" s="498"/>
      <c r="G71" s="498"/>
      <c r="L71" s="390"/>
      <c r="M71" s="499"/>
      <c r="N71" s="450"/>
      <c r="O71" s="500"/>
      <c r="P71" s="498"/>
      <c r="R71" s="450"/>
      <c r="S71" s="450"/>
    </row>
    <row r="72" spans="6:19" s="451" customFormat="1" ht="11.25" customHeight="1">
      <c r="F72" s="498"/>
      <c r="G72" s="498"/>
      <c r="L72" s="390"/>
      <c r="M72" s="499"/>
      <c r="N72" s="450"/>
      <c r="O72" s="500"/>
      <c r="P72" s="498"/>
      <c r="R72" s="450"/>
      <c r="S72" s="450"/>
    </row>
    <row r="73" spans="6:19" s="451" customFormat="1" ht="11.25" customHeight="1">
      <c r="F73" s="498"/>
      <c r="G73" s="498"/>
      <c r="L73" s="390"/>
      <c r="M73" s="499"/>
      <c r="N73" s="450"/>
      <c r="O73" s="500"/>
      <c r="P73" s="498"/>
      <c r="R73" s="450"/>
      <c r="S73" s="450"/>
    </row>
    <row r="74" spans="6:19" s="451" customFormat="1" ht="11.25" customHeight="1">
      <c r="F74" s="498"/>
      <c r="G74" s="498"/>
      <c r="L74" s="390"/>
      <c r="M74" s="499"/>
      <c r="N74" s="450"/>
      <c r="O74" s="500"/>
      <c r="P74" s="498"/>
      <c r="R74" s="450"/>
      <c r="S74" s="450"/>
    </row>
    <row r="75" spans="6:19" s="451" customFormat="1" ht="11.25" customHeight="1">
      <c r="F75" s="498"/>
      <c r="G75" s="498"/>
      <c r="L75" s="390"/>
      <c r="M75" s="499"/>
      <c r="N75" s="450"/>
      <c r="O75" s="500"/>
      <c r="P75" s="498"/>
      <c r="R75" s="450"/>
      <c r="S75" s="450"/>
    </row>
    <row r="76" spans="1:19" s="451" customFormat="1" ht="11.25" customHeight="1">
      <c r="A76" s="390"/>
      <c r="B76" s="390"/>
      <c r="C76" s="390"/>
      <c r="D76" s="390"/>
      <c r="E76" s="390"/>
      <c r="F76" s="485"/>
      <c r="G76" s="485"/>
      <c r="H76" s="390"/>
      <c r="I76" s="390"/>
      <c r="J76" s="390"/>
      <c r="K76" s="390"/>
      <c r="L76" s="390"/>
      <c r="M76" s="486"/>
      <c r="N76" s="461"/>
      <c r="O76" s="487"/>
      <c r="P76" s="485"/>
      <c r="Q76" s="390"/>
      <c r="R76" s="450"/>
      <c r="S76" s="450"/>
    </row>
    <row r="77" spans="1:17" ht="11.25" customHeight="1">
      <c r="A77" s="451"/>
      <c r="B77" s="451"/>
      <c r="C77" s="451"/>
      <c r="D77" s="451"/>
      <c r="E77" s="451"/>
      <c r="F77" s="498"/>
      <c r="G77" s="498"/>
      <c r="H77" s="451"/>
      <c r="I77" s="451"/>
      <c r="J77" s="451"/>
      <c r="K77" s="451"/>
      <c r="M77" s="499"/>
      <c r="N77" s="450"/>
      <c r="O77" s="500"/>
      <c r="P77" s="498"/>
      <c r="Q77" s="451"/>
    </row>
    <row r="78" ht="11.25" customHeight="1"/>
    <row r="79" spans="1:17" ht="11.25" customHeight="1">
      <c r="A79" s="451"/>
      <c r="B79" s="451"/>
      <c r="C79" s="451"/>
      <c r="D79" s="451"/>
      <c r="E79" s="451"/>
      <c r="F79" s="498"/>
      <c r="G79" s="498"/>
      <c r="H79" s="451"/>
      <c r="I79" s="451"/>
      <c r="J79" s="451"/>
      <c r="K79" s="451"/>
      <c r="M79" s="499"/>
      <c r="N79" s="450"/>
      <c r="O79" s="500"/>
      <c r="P79" s="498"/>
      <c r="Q79" s="451"/>
    </row>
    <row r="80" ht="11.25" customHeight="1"/>
    <row r="81" spans="1:19" ht="13.5">
      <c r="A81" s="46" t="s">
        <v>273</v>
      </c>
      <c r="B81" s="489" t="s">
        <v>111</v>
      </c>
      <c r="C81" s="489" t="s">
        <v>253</v>
      </c>
      <c r="D81" s="489" t="s">
        <v>254</v>
      </c>
      <c r="E81" s="489" t="s">
        <v>255</v>
      </c>
      <c r="F81" s="490" t="s">
        <v>174</v>
      </c>
      <c r="G81" s="490" t="s">
        <v>256</v>
      </c>
      <c r="H81" s="489" t="s">
        <v>233</v>
      </c>
      <c r="I81" s="489" t="s">
        <v>257</v>
      </c>
      <c r="J81" s="489" t="s">
        <v>258</v>
      </c>
      <c r="K81" s="489" t="s">
        <v>259</v>
      </c>
      <c r="L81" s="489" t="s">
        <v>260</v>
      </c>
      <c r="M81" s="491" t="s">
        <v>261</v>
      </c>
      <c r="N81" s="489" t="s">
        <v>262</v>
      </c>
      <c r="O81" s="492" t="s">
        <v>223</v>
      </c>
      <c r="P81" s="490" t="s">
        <v>2093</v>
      </c>
      <c r="Q81" s="493" t="s">
        <v>2094</v>
      </c>
      <c r="R81" s="399" t="s">
        <v>2095</v>
      </c>
      <c r="S81" s="213"/>
    </row>
    <row r="82" spans="1:16" ht="11.25" customHeight="1">
      <c r="A82" s="390" t="s">
        <v>2152</v>
      </c>
      <c r="B82" s="390">
        <v>1</v>
      </c>
      <c r="C82" s="390" t="s">
        <v>273</v>
      </c>
      <c r="D82" s="390" t="s">
        <v>2124</v>
      </c>
      <c r="E82" s="390">
        <v>2</v>
      </c>
      <c r="F82" s="485">
        <v>0</v>
      </c>
      <c r="G82" s="485">
        <v>5</v>
      </c>
      <c r="H82" s="390">
        <v>0</v>
      </c>
      <c r="I82" s="390">
        <v>0</v>
      </c>
      <c r="J82" s="390">
        <v>0</v>
      </c>
      <c r="K82" s="390">
        <v>-1</v>
      </c>
      <c r="L82" s="390">
        <v>0</v>
      </c>
      <c r="M82" s="486" t="s">
        <v>572</v>
      </c>
      <c r="O82" s="487">
        <v>100</v>
      </c>
      <c r="P82" s="485" t="s">
        <v>83</v>
      </c>
    </row>
    <row r="83" spans="1:16" ht="11.25" customHeight="1">
      <c r="A83" s="390" t="s">
        <v>2153</v>
      </c>
      <c r="B83" s="390">
        <v>1</v>
      </c>
      <c r="C83" s="390" t="s">
        <v>273</v>
      </c>
      <c r="D83" s="390" t="s">
        <v>2124</v>
      </c>
      <c r="E83" s="390">
        <v>6</v>
      </c>
      <c r="F83" s="485">
        <v>-1</v>
      </c>
      <c r="G83" s="485">
        <v>7</v>
      </c>
      <c r="H83" s="390">
        <v>0</v>
      </c>
      <c r="I83" s="390">
        <v>0</v>
      </c>
      <c r="J83" s="390">
        <v>0</v>
      </c>
      <c r="K83" s="390">
        <v>-1</v>
      </c>
      <c r="L83" s="390">
        <v>0</v>
      </c>
      <c r="M83" s="486" t="s">
        <v>572</v>
      </c>
      <c r="O83" s="487">
        <v>150</v>
      </c>
      <c r="P83" s="485" t="s">
        <v>83</v>
      </c>
    </row>
    <row r="84" spans="1:16" ht="11.25" customHeight="1">
      <c r="A84" s="390" t="s">
        <v>2154</v>
      </c>
      <c r="B84" s="390">
        <v>1</v>
      </c>
      <c r="C84" s="390" t="s">
        <v>273</v>
      </c>
      <c r="D84" s="390" t="s">
        <v>2124</v>
      </c>
      <c r="E84" s="390">
        <v>8</v>
      </c>
      <c r="F84" s="485">
        <v>-2</v>
      </c>
      <c r="G84" s="485">
        <v>8</v>
      </c>
      <c r="H84" s="390">
        <v>0</v>
      </c>
      <c r="I84" s="390">
        <v>0</v>
      </c>
      <c r="J84" s="390">
        <v>0</v>
      </c>
      <c r="K84" s="390">
        <v>-1</v>
      </c>
      <c r="L84" s="390">
        <v>0</v>
      </c>
      <c r="M84" s="486" t="s">
        <v>572</v>
      </c>
      <c r="O84" s="487">
        <v>260</v>
      </c>
      <c r="P84" s="485" t="s">
        <v>83</v>
      </c>
    </row>
    <row r="85" spans="1:16" ht="11.25" customHeight="1">
      <c r="A85" s="390" t="s">
        <v>2155</v>
      </c>
      <c r="B85" s="390">
        <v>1</v>
      </c>
      <c r="C85" s="390" t="s">
        <v>273</v>
      </c>
      <c r="D85" s="390" t="s">
        <v>2156</v>
      </c>
      <c r="E85" s="390">
        <v>8</v>
      </c>
      <c r="F85" s="485">
        <v>-2</v>
      </c>
      <c r="G85" s="485">
        <v>8</v>
      </c>
      <c r="H85" s="390">
        <v>0</v>
      </c>
      <c r="I85" s="390">
        <v>0</v>
      </c>
      <c r="J85" s="390">
        <v>0</v>
      </c>
      <c r="K85" s="390">
        <v>-1</v>
      </c>
      <c r="L85" s="390">
        <v>0</v>
      </c>
      <c r="M85" s="486" t="s">
        <v>572</v>
      </c>
      <c r="O85" s="487">
        <v>260</v>
      </c>
      <c r="P85" s="485" t="s">
        <v>83</v>
      </c>
    </row>
    <row r="86" spans="1:18" s="451" customFormat="1" ht="11.25" customHeight="1">
      <c r="A86" s="390" t="s">
        <v>2157</v>
      </c>
      <c r="B86" s="390">
        <v>1</v>
      </c>
      <c r="C86" s="390" t="s">
        <v>273</v>
      </c>
      <c r="D86" s="390" t="s">
        <v>2124</v>
      </c>
      <c r="E86" s="390">
        <v>5</v>
      </c>
      <c r="F86" s="485">
        <v>0</v>
      </c>
      <c r="G86" s="485">
        <v>5</v>
      </c>
      <c r="H86" s="390">
        <v>0</v>
      </c>
      <c r="I86" s="390">
        <v>0</v>
      </c>
      <c r="J86" s="390">
        <v>0</v>
      </c>
      <c r="K86" s="390">
        <v>0</v>
      </c>
      <c r="L86" s="390">
        <v>0</v>
      </c>
      <c r="M86" s="486" t="s">
        <v>572</v>
      </c>
      <c r="N86" s="461" t="s">
        <v>2158</v>
      </c>
      <c r="O86" s="487">
        <v>100</v>
      </c>
      <c r="P86" s="485" t="s">
        <v>83</v>
      </c>
      <c r="Q86" s="390"/>
      <c r="R86" s="450"/>
    </row>
    <row r="87" spans="1:16" ht="11.25" customHeight="1">
      <c r="A87" s="390" t="s">
        <v>2159</v>
      </c>
      <c r="B87" s="390">
        <v>2</v>
      </c>
      <c r="C87" s="390" t="s">
        <v>273</v>
      </c>
      <c r="D87" s="390" t="s">
        <v>2124</v>
      </c>
      <c r="E87" s="390">
        <v>6</v>
      </c>
      <c r="F87" s="485">
        <v>0</v>
      </c>
      <c r="G87" s="485">
        <v>6</v>
      </c>
      <c r="H87" s="390">
        <v>0</v>
      </c>
      <c r="I87" s="390">
        <v>0</v>
      </c>
      <c r="J87" s="390">
        <v>0</v>
      </c>
      <c r="K87" s="390">
        <v>-1</v>
      </c>
      <c r="L87" s="390">
        <v>0</v>
      </c>
      <c r="M87" s="486" t="s">
        <v>572</v>
      </c>
      <c r="O87" s="487">
        <v>120</v>
      </c>
      <c r="P87" s="485" t="s">
        <v>83</v>
      </c>
    </row>
    <row r="88" spans="1:16" ht="11.25" customHeight="1">
      <c r="A88" s="390" t="s">
        <v>2160</v>
      </c>
      <c r="B88" s="390">
        <v>2</v>
      </c>
      <c r="C88" s="390" t="s">
        <v>273</v>
      </c>
      <c r="D88" s="390" t="s">
        <v>2124</v>
      </c>
      <c r="E88" s="390">
        <v>6</v>
      </c>
      <c r="F88" s="485">
        <v>-1</v>
      </c>
      <c r="G88" s="485">
        <v>8</v>
      </c>
      <c r="H88" s="390">
        <v>0</v>
      </c>
      <c r="I88" s="390">
        <v>0</v>
      </c>
      <c r="J88" s="390">
        <v>0</v>
      </c>
      <c r="K88" s="390">
        <v>-1</v>
      </c>
      <c r="L88" s="390">
        <v>0</v>
      </c>
      <c r="M88" s="486" t="s">
        <v>572</v>
      </c>
      <c r="O88" s="487">
        <v>240</v>
      </c>
      <c r="P88" s="485" t="s">
        <v>83</v>
      </c>
    </row>
    <row r="89" spans="1:16" ht="11.25" customHeight="1">
      <c r="A89" s="390" t="s">
        <v>2161</v>
      </c>
      <c r="B89" s="390">
        <v>3</v>
      </c>
      <c r="C89" s="390" t="s">
        <v>273</v>
      </c>
      <c r="D89" s="390" t="s">
        <v>2124</v>
      </c>
      <c r="E89" s="390">
        <v>6</v>
      </c>
      <c r="F89" s="485">
        <v>-1</v>
      </c>
      <c r="G89" s="485">
        <v>9</v>
      </c>
      <c r="H89" s="390">
        <v>0</v>
      </c>
      <c r="I89" s="390">
        <v>0</v>
      </c>
      <c r="J89" s="390">
        <v>0</v>
      </c>
      <c r="K89" s="390">
        <v>-1</v>
      </c>
      <c r="L89" s="390">
        <v>0</v>
      </c>
      <c r="M89" s="486" t="s">
        <v>572</v>
      </c>
      <c r="O89" s="487">
        <v>300</v>
      </c>
      <c r="P89" s="485" t="s">
        <v>83</v>
      </c>
    </row>
    <row r="90" spans="1:18" s="451" customFormat="1" ht="11.25" customHeight="1">
      <c r="A90" s="390" t="s">
        <v>2162</v>
      </c>
      <c r="B90" s="390">
        <v>4</v>
      </c>
      <c r="C90" s="390" t="s">
        <v>273</v>
      </c>
      <c r="D90" s="390" t="s">
        <v>2124</v>
      </c>
      <c r="E90" s="390">
        <v>7</v>
      </c>
      <c r="F90" s="485">
        <v>0</v>
      </c>
      <c r="G90" s="485">
        <v>8</v>
      </c>
      <c r="H90" s="390">
        <v>0</v>
      </c>
      <c r="I90" s="390">
        <v>0</v>
      </c>
      <c r="J90" s="390">
        <v>0</v>
      </c>
      <c r="K90" s="390">
        <v>-1</v>
      </c>
      <c r="L90" s="390">
        <v>0</v>
      </c>
      <c r="M90" s="486" t="s">
        <v>572</v>
      </c>
      <c r="N90" s="461"/>
      <c r="O90" s="487">
        <v>400</v>
      </c>
      <c r="P90" s="485" t="s">
        <v>83</v>
      </c>
      <c r="Q90" s="390"/>
      <c r="R90" s="450"/>
    </row>
    <row r="91" spans="1:16" ht="11.25" customHeight="1">
      <c r="A91" s="390" t="s">
        <v>2163</v>
      </c>
      <c r="B91" s="390">
        <v>4</v>
      </c>
      <c r="C91" s="390" t="s">
        <v>273</v>
      </c>
      <c r="D91" s="390" t="s">
        <v>2124</v>
      </c>
      <c r="E91" s="390">
        <v>7</v>
      </c>
      <c r="F91" s="485">
        <v>-1</v>
      </c>
      <c r="G91" s="485">
        <v>10</v>
      </c>
      <c r="H91" s="390">
        <v>0</v>
      </c>
      <c r="I91" s="390">
        <v>0</v>
      </c>
      <c r="J91" s="390">
        <v>0</v>
      </c>
      <c r="K91" s="390">
        <v>-1</v>
      </c>
      <c r="L91" s="390">
        <v>0</v>
      </c>
      <c r="M91" s="486" t="s">
        <v>572</v>
      </c>
      <c r="O91" s="487">
        <v>500</v>
      </c>
      <c r="P91" s="485" t="s">
        <v>83</v>
      </c>
    </row>
    <row r="92" spans="1:16" ht="11.25" customHeight="1">
      <c r="A92" s="390" t="s">
        <v>2164</v>
      </c>
      <c r="B92" s="390">
        <v>4</v>
      </c>
      <c r="C92" s="390" t="s">
        <v>273</v>
      </c>
      <c r="D92" s="390" t="s">
        <v>2124</v>
      </c>
      <c r="E92" s="390">
        <v>9</v>
      </c>
      <c r="F92" s="485">
        <v>-2</v>
      </c>
      <c r="G92" s="485">
        <v>11</v>
      </c>
      <c r="H92" s="390">
        <v>0</v>
      </c>
      <c r="I92" s="390">
        <v>0</v>
      </c>
      <c r="J92" s="390">
        <v>0</v>
      </c>
      <c r="K92" s="390">
        <v>-1</v>
      </c>
      <c r="L92" s="390">
        <v>0</v>
      </c>
      <c r="M92" s="486" t="s">
        <v>572</v>
      </c>
      <c r="N92" s="461" t="s">
        <v>2165</v>
      </c>
      <c r="O92" s="487">
        <v>620</v>
      </c>
      <c r="P92" s="485" t="s">
        <v>83</v>
      </c>
    </row>
    <row r="93" spans="1:16" ht="11.25" customHeight="1">
      <c r="A93" s="390" t="s">
        <v>2166</v>
      </c>
      <c r="B93" s="390">
        <v>4</v>
      </c>
      <c r="C93" s="390" t="s">
        <v>278</v>
      </c>
      <c r="D93" s="390" t="s">
        <v>2156</v>
      </c>
      <c r="E93" s="390">
        <v>9</v>
      </c>
      <c r="F93" s="485">
        <v>-2</v>
      </c>
      <c r="G93" s="485">
        <v>11</v>
      </c>
      <c r="H93" s="390">
        <v>0</v>
      </c>
      <c r="I93" s="390">
        <v>0</v>
      </c>
      <c r="J93" s="390">
        <v>0</v>
      </c>
      <c r="K93" s="390">
        <v>-1</v>
      </c>
      <c r="L93" s="390">
        <v>0</v>
      </c>
      <c r="M93" s="486" t="s">
        <v>572</v>
      </c>
      <c r="N93" s="461" t="s">
        <v>2165</v>
      </c>
      <c r="O93" s="487">
        <v>620</v>
      </c>
      <c r="P93" s="485" t="s">
        <v>83</v>
      </c>
    </row>
    <row r="94" spans="1:18" s="451" customFormat="1" ht="11.25" customHeight="1">
      <c r="A94" s="390" t="s">
        <v>2167</v>
      </c>
      <c r="B94" s="390">
        <v>5</v>
      </c>
      <c r="C94" s="390" t="s">
        <v>273</v>
      </c>
      <c r="D94" s="390" t="s">
        <v>2124</v>
      </c>
      <c r="E94" s="390">
        <v>7</v>
      </c>
      <c r="F94" s="485">
        <v>0</v>
      </c>
      <c r="G94" s="485">
        <v>9</v>
      </c>
      <c r="H94" s="390">
        <v>0</v>
      </c>
      <c r="I94" s="390">
        <v>0</v>
      </c>
      <c r="J94" s="390">
        <v>0</v>
      </c>
      <c r="K94" s="390">
        <v>-1</v>
      </c>
      <c r="L94" s="390">
        <v>0</v>
      </c>
      <c r="M94" s="486" t="s">
        <v>572</v>
      </c>
      <c r="N94" s="461"/>
      <c r="O94" s="487">
        <v>480</v>
      </c>
      <c r="P94" s="485" t="s">
        <v>83</v>
      </c>
      <c r="Q94" s="390"/>
      <c r="R94" s="450"/>
    </row>
    <row r="95" spans="1:16" ht="11.25" customHeight="1">
      <c r="A95" s="390" t="s">
        <v>2168</v>
      </c>
      <c r="B95" s="390">
        <v>5</v>
      </c>
      <c r="C95" s="390" t="s">
        <v>273</v>
      </c>
      <c r="D95" s="390" t="s">
        <v>2124</v>
      </c>
      <c r="E95" s="390">
        <v>7</v>
      </c>
      <c r="F95" s="485">
        <v>-1</v>
      </c>
      <c r="G95" s="485">
        <v>11</v>
      </c>
      <c r="H95" s="390">
        <v>0</v>
      </c>
      <c r="I95" s="390">
        <v>0</v>
      </c>
      <c r="J95" s="390">
        <v>0</v>
      </c>
      <c r="K95" s="390">
        <v>-1</v>
      </c>
      <c r="L95" s="390">
        <v>0</v>
      </c>
      <c r="M95" s="486" t="s">
        <v>572</v>
      </c>
      <c r="O95" s="487">
        <v>680</v>
      </c>
      <c r="P95" s="485" t="s">
        <v>83</v>
      </c>
    </row>
    <row r="96" spans="1:16" ht="11.25" customHeight="1">
      <c r="A96" s="390" t="s">
        <v>2169</v>
      </c>
      <c r="B96" s="390">
        <v>6</v>
      </c>
      <c r="C96" s="390" t="s">
        <v>273</v>
      </c>
      <c r="D96" s="390" t="s">
        <v>2124</v>
      </c>
      <c r="E96" s="390">
        <v>9</v>
      </c>
      <c r="F96" s="485">
        <v>-2</v>
      </c>
      <c r="G96" s="485">
        <v>12</v>
      </c>
      <c r="H96" s="390">
        <v>0</v>
      </c>
      <c r="I96" s="390">
        <v>0</v>
      </c>
      <c r="J96" s="390">
        <v>0</v>
      </c>
      <c r="K96" s="390">
        <v>-1</v>
      </c>
      <c r="L96" s="390">
        <v>0</v>
      </c>
      <c r="M96" s="486" t="s">
        <v>572</v>
      </c>
      <c r="N96" s="461" t="s">
        <v>2165</v>
      </c>
      <c r="O96" s="487">
        <v>800</v>
      </c>
      <c r="P96" s="485" t="s">
        <v>83</v>
      </c>
    </row>
    <row r="97" spans="1:16" ht="11.25" customHeight="1">
      <c r="A97" s="390" t="s">
        <v>2170</v>
      </c>
      <c r="B97" s="390">
        <v>6</v>
      </c>
      <c r="C97" s="390" t="s">
        <v>278</v>
      </c>
      <c r="D97" s="390" t="s">
        <v>2156</v>
      </c>
      <c r="E97" s="390">
        <v>9</v>
      </c>
      <c r="F97" s="485">
        <v>-2</v>
      </c>
      <c r="G97" s="485">
        <v>12</v>
      </c>
      <c r="H97" s="390">
        <v>0</v>
      </c>
      <c r="I97" s="390">
        <v>0</v>
      </c>
      <c r="J97" s="390">
        <v>0</v>
      </c>
      <c r="K97" s="390">
        <v>-1</v>
      </c>
      <c r="L97" s="390">
        <v>0</v>
      </c>
      <c r="M97" s="486" t="s">
        <v>572</v>
      </c>
      <c r="N97" s="461" t="s">
        <v>2165</v>
      </c>
      <c r="O97" s="487">
        <v>800</v>
      </c>
      <c r="P97" s="485" t="s">
        <v>83</v>
      </c>
    </row>
    <row r="98" spans="1:16" ht="11.25" customHeight="1">
      <c r="A98" s="390" t="s">
        <v>2171</v>
      </c>
      <c r="B98" s="390">
        <v>7</v>
      </c>
      <c r="C98" s="390" t="s">
        <v>273</v>
      </c>
      <c r="D98" s="390" t="s">
        <v>2124</v>
      </c>
      <c r="E98" s="390">
        <v>8</v>
      </c>
      <c r="F98" s="485">
        <v>0</v>
      </c>
      <c r="G98" s="485">
        <v>10</v>
      </c>
      <c r="H98" s="390">
        <v>0</v>
      </c>
      <c r="I98" s="390">
        <v>0</v>
      </c>
      <c r="J98" s="390">
        <v>0</v>
      </c>
      <c r="K98" s="390">
        <v>-1</v>
      </c>
      <c r="L98" s="390">
        <v>0</v>
      </c>
      <c r="M98" s="486" t="s">
        <v>572</v>
      </c>
      <c r="O98" s="487">
        <v>880</v>
      </c>
      <c r="P98" s="485" t="s">
        <v>83</v>
      </c>
    </row>
    <row r="99" spans="1:16" ht="11.25" customHeight="1">
      <c r="A99" s="390" t="s">
        <v>2172</v>
      </c>
      <c r="B99" s="390">
        <v>7</v>
      </c>
      <c r="C99" s="390" t="s">
        <v>273</v>
      </c>
      <c r="D99" s="390" t="s">
        <v>2124</v>
      </c>
      <c r="E99" s="390">
        <v>8</v>
      </c>
      <c r="F99" s="485">
        <v>-1</v>
      </c>
      <c r="G99" s="485">
        <v>12</v>
      </c>
      <c r="H99" s="390">
        <v>0</v>
      </c>
      <c r="I99" s="390">
        <v>0</v>
      </c>
      <c r="J99" s="390">
        <v>0</v>
      </c>
      <c r="K99" s="390">
        <v>-1</v>
      </c>
      <c r="L99" s="390">
        <v>0</v>
      </c>
      <c r="M99" s="486" t="s">
        <v>572</v>
      </c>
      <c r="O99" s="487">
        <v>980</v>
      </c>
      <c r="P99" s="485" t="s">
        <v>83</v>
      </c>
    </row>
    <row r="100" spans="1:16" ht="11.25" customHeight="1">
      <c r="A100" s="390" t="s">
        <v>2173</v>
      </c>
      <c r="B100" s="390">
        <v>8</v>
      </c>
      <c r="C100" s="390" t="s">
        <v>273</v>
      </c>
      <c r="D100" s="390" t="s">
        <v>2124</v>
      </c>
      <c r="E100" s="390">
        <v>9</v>
      </c>
      <c r="F100" s="485">
        <v>0</v>
      </c>
      <c r="G100" s="485">
        <v>10</v>
      </c>
      <c r="H100" s="390">
        <v>0</v>
      </c>
      <c r="I100" s="390">
        <v>0</v>
      </c>
      <c r="J100" s="390">
        <v>0</v>
      </c>
      <c r="K100" s="390">
        <v>0</v>
      </c>
      <c r="L100" s="390">
        <v>0</v>
      </c>
      <c r="M100" s="486" t="s">
        <v>572</v>
      </c>
      <c r="O100" s="487">
        <v>1100</v>
      </c>
      <c r="P100" s="485" t="s">
        <v>83</v>
      </c>
    </row>
    <row r="101" spans="1:16" ht="11.25" customHeight="1">
      <c r="A101" s="390" t="s">
        <v>2174</v>
      </c>
      <c r="B101" s="390">
        <v>9</v>
      </c>
      <c r="C101" s="390" t="s">
        <v>273</v>
      </c>
      <c r="D101" s="390" t="s">
        <v>2124</v>
      </c>
      <c r="E101" s="390">
        <v>8</v>
      </c>
      <c r="F101" s="485">
        <v>-1</v>
      </c>
      <c r="G101" s="485">
        <v>13</v>
      </c>
      <c r="H101" s="390">
        <v>0</v>
      </c>
      <c r="I101" s="390">
        <v>0</v>
      </c>
      <c r="J101" s="390">
        <v>0</v>
      </c>
      <c r="K101" s="390">
        <v>-1</v>
      </c>
      <c r="L101" s="390">
        <v>0</v>
      </c>
      <c r="M101" s="486" t="s">
        <v>572</v>
      </c>
      <c r="O101" s="487">
        <v>1300</v>
      </c>
      <c r="P101" s="485" t="s">
        <v>83</v>
      </c>
    </row>
    <row r="102" spans="1:17" ht="11.25" customHeight="1">
      <c r="A102" s="390" t="s">
        <v>2175</v>
      </c>
      <c r="B102" s="390">
        <v>10</v>
      </c>
      <c r="C102" s="390" t="s">
        <v>273</v>
      </c>
      <c r="D102" s="390" t="s">
        <v>2124</v>
      </c>
      <c r="E102" s="390">
        <v>9</v>
      </c>
      <c r="F102" s="485">
        <v>0</v>
      </c>
      <c r="G102" s="485">
        <v>12</v>
      </c>
      <c r="H102" s="390">
        <v>0</v>
      </c>
      <c r="I102" s="390">
        <v>0</v>
      </c>
      <c r="J102" s="390">
        <v>0</v>
      </c>
      <c r="K102" s="390">
        <v>-1</v>
      </c>
      <c r="L102" s="390">
        <v>0</v>
      </c>
      <c r="M102" s="486" t="s">
        <v>572</v>
      </c>
      <c r="O102" s="487">
        <v>3800</v>
      </c>
      <c r="P102" s="485" t="s">
        <v>83</v>
      </c>
      <c r="Q102"/>
    </row>
    <row r="103" spans="1:17" ht="11.25" customHeight="1">
      <c r="A103" s="390" t="s">
        <v>2176</v>
      </c>
      <c r="B103" s="390">
        <v>10</v>
      </c>
      <c r="C103" s="390" t="s">
        <v>273</v>
      </c>
      <c r="D103" s="390" t="s">
        <v>2124</v>
      </c>
      <c r="E103" s="390">
        <v>9</v>
      </c>
      <c r="F103" s="485">
        <v>-1</v>
      </c>
      <c r="G103" s="485">
        <v>14</v>
      </c>
      <c r="H103" s="390">
        <v>0</v>
      </c>
      <c r="I103" s="390">
        <v>0</v>
      </c>
      <c r="J103" s="390">
        <v>0</v>
      </c>
      <c r="K103" s="390">
        <v>-1</v>
      </c>
      <c r="L103" s="390">
        <v>0</v>
      </c>
      <c r="M103" s="486" t="s">
        <v>572</v>
      </c>
      <c r="O103" s="487">
        <v>4700</v>
      </c>
      <c r="P103" s="485" t="s">
        <v>83</v>
      </c>
      <c r="Q103"/>
    </row>
    <row r="104" spans="1:16" ht="11.25" customHeight="1">
      <c r="A104" s="390" t="s">
        <v>2177</v>
      </c>
      <c r="B104" s="390">
        <v>10</v>
      </c>
      <c r="C104" s="390" t="s">
        <v>273</v>
      </c>
      <c r="D104" s="390" t="s">
        <v>2124</v>
      </c>
      <c r="E104" s="390">
        <v>11</v>
      </c>
      <c r="F104" s="485">
        <v>-2</v>
      </c>
      <c r="G104" s="485">
        <v>15</v>
      </c>
      <c r="H104" s="390">
        <v>0</v>
      </c>
      <c r="I104" s="390">
        <v>0</v>
      </c>
      <c r="J104" s="390">
        <v>0</v>
      </c>
      <c r="K104" s="390">
        <v>-1</v>
      </c>
      <c r="L104" s="390">
        <v>0</v>
      </c>
      <c r="M104" s="486" t="s">
        <v>572</v>
      </c>
      <c r="N104" s="461" t="s">
        <v>2165</v>
      </c>
      <c r="O104" s="487">
        <v>5800</v>
      </c>
      <c r="P104" s="485" t="s">
        <v>83</v>
      </c>
    </row>
    <row r="105" spans="1:16" ht="11.25" customHeight="1">
      <c r="A105" s="390" t="s">
        <v>2178</v>
      </c>
      <c r="B105" s="390">
        <v>10</v>
      </c>
      <c r="C105" s="390" t="s">
        <v>278</v>
      </c>
      <c r="D105" s="390" t="s">
        <v>2156</v>
      </c>
      <c r="E105" s="390">
        <v>11</v>
      </c>
      <c r="F105" s="485">
        <v>-2</v>
      </c>
      <c r="G105" s="485">
        <v>15</v>
      </c>
      <c r="H105" s="390">
        <v>0</v>
      </c>
      <c r="I105" s="390">
        <v>0</v>
      </c>
      <c r="J105" s="390">
        <v>0</v>
      </c>
      <c r="K105" s="390">
        <v>-1</v>
      </c>
      <c r="L105" s="390">
        <v>0</v>
      </c>
      <c r="M105" s="486" t="s">
        <v>572</v>
      </c>
      <c r="N105" s="461" t="s">
        <v>2165</v>
      </c>
      <c r="O105" s="487">
        <v>5800</v>
      </c>
      <c r="P105" s="485" t="s">
        <v>83</v>
      </c>
    </row>
    <row r="106" spans="1:17" ht="11.25" customHeight="1">
      <c r="A106" s="451" t="s">
        <v>2179</v>
      </c>
      <c r="B106" s="451">
        <v>1</v>
      </c>
      <c r="C106" s="451" t="s">
        <v>273</v>
      </c>
      <c r="D106" s="451" t="s">
        <v>2124</v>
      </c>
      <c r="E106" s="451">
        <v>6</v>
      </c>
      <c r="F106" s="498">
        <v>-1</v>
      </c>
      <c r="G106" s="498">
        <v>7</v>
      </c>
      <c r="H106" s="451">
        <v>0</v>
      </c>
      <c r="I106" s="451">
        <v>0</v>
      </c>
      <c r="J106" s="451">
        <v>0</v>
      </c>
      <c r="K106" s="451">
        <v>-1</v>
      </c>
      <c r="L106" s="451">
        <v>0</v>
      </c>
      <c r="M106" s="499" t="s">
        <v>572</v>
      </c>
      <c r="N106" s="450" t="s">
        <v>2180</v>
      </c>
      <c r="O106" s="500">
        <v>1500</v>
      </c>
      <c r="P106" s="498">
        <v>11</v>
      </c>
      <c r="Q106" s="451"/>
    </row>
    <row r="107" spans="1:17" ht="11.25" customHeight="1">
      <c r="A107" s="451" t="s">
        <v>2181</v>
      </c>
      <c r="B107" s="451">
        <v>1</v>
      </c>
      <c r="C107" s="451" t="s">
        <v>273</v>
      </c>
      <c r="D107" s="451" t="s">
        <v>2124</v>
      </c>
      <c r="E107" s="451">
        <v>5</v>
      </c>
      <c r="F107" s="498">
        <v>0</v>
      </c>
      <c r="G107" s="498">
        <v>5</v>
      </c>
      <c r="H107" s="451">
        <v>0</v>
      </c>
      <c r="I107" s="451">
        <v>0</v>
      </c>
      <c r="J107" s="451">
        <v>0</v>
      </c>
      <c r="K107" s="451">
        <v>-1</v>
      </c>
      <c r="L107" s="451">
        <v>0</v>
      </c>
      <c r="M107" s="499" t="s">
        <v>572</v>
      </c>
      <c r="N107" s="450" t="s">
        <v>2182</v>
      </c>
      <c r="O107" s="500">
        <v>700</v>
      </c>
      <c r="P107" s="498">
        <v>12</v>
      </c>
      <c r="Q107" s="451"/>
    </row>
    <row r="108" spans="1:17" ht="11.25" customHeight="1">
      <c r="A108" s="451" t="s">
        <v>2183</v>
      </c>
      <c r="B108" s="451">
        <v>2</v>
      </c>
      <c r="C108" s="451" t="s">
        <v>273</v>
      </c>
      <c r="D108" s="451" t="s">
        <v>2124</v>
      </c>
      <c r="E108" s="451">
        <v>6</v>
      </c>
      <c r="F108" s="498">
        <v>0</v>
      </c>
      <c r="G108" s="498">
        <v>11</v>
      </c>
      <c r="H108" s="451">
        <v>0</v>
      </c>
      <c r="I108" s="451">
        <v>0</v>
      </c>
      <c r="J108" s="451">
        <v>0</v>
      </c>
      <c r="K108" s="451">
        <v>-1</v>
      </c>
      <c r="L108" s="451">
        <v>0</v>
      </c>
      <c r="M108" s="499" t="s">
        <v>572</v>
      </c>
      <c r="N108" s="450" t="s">
        <v>2184</v>
      </c>
      <c r="O108" s="500">
        <v>2500</v>
      </c>
      <c r="P108" s="498">
        <v>13</v>
      </c>
      <c r="Q108" s="451"/>
    </row>
    <row r="109" spans="1:16" ht="11.25" customHeight="1">
      <c r="A109" s="451" t="s">
        <v>2185</v>
      </c>
      <c r="B109" s="451">
        <v>3</v>
      </c>
      <c r="C109" s="451" t="s">
        <v>273</v>
      </c>
      <c r="D109" s="451" t="s">
        <v>2124</v>
      </c>
      <c r="E109" s="451">
        <v>6</v>
      </c>
      <c r="F109" s="498">
        <v>-1</v>
      </c>
      <c r="G109" s="498">
        <v>9</v>
      </c>
      <c r="H109" s="451">
        <v>0</v>
      </c>
      <c r="I109" s="451">
        <v>0</v>
      </c>
      <c r="J109" s="451">
        <v>0</v>
      </c>
      <c r="K109" s="451">
        <v>-1</v>
      </c>
      <c r="L109" s="451">
        <v>0</v>
      </c>
      <c r="M109" s="499" t="s">
        <v>572</v>
      </c>
      <c r="N109" s="450" t="s">
        <v>2186</v>
      </c>
      <c r="O109" s="500">
        <v>3400</v>
      </c>
      <c r="P109" s="498">
        <v>12</v>
      </c>
    </row>
    <row r="110" spans="1:16" ht="11.25" customHeight="1">
      <c r="A110" s="451" t="s">
        <v>2187</v>
      </c>
      <c r="B110" s="451">
        <v>4</v>
      </c>
      <c r="C110" s="451" t="s">
        <v>273</v>
      </c>
      <c r="D110" s="451" t="s">
        <v>2124</v>
      </c>
      <c r="E110" s="451">
        <v>7</v>
      </c>
      <c r="F110" s="498">
        <v>0</v>
      </c>
      <c r="G110" s="498">
        <v>7</v>
      </c>
      <c r="H110" s="451">
        <v>0</v>
      </c>
      <c r="I110" s="451">
        <v>0</v>
      </c>
      <c r="J110" s="451">
        <v>0</v>
      </c>
      <c r="K110" s="451">
        <v>0</v>
      </c>
      <c r="L110" s="451">
        <v>0</v>
      </c>
      <c r="M110" s="499" t="s">
        <v>572</v>
      </c>
      <c r="N110" s="450" t="s">
        <v>2188</v>
      </c>
      <c r="O110" s="500">
        <v>4300</v>
      </c>
      <c r="P110" s="498">
        <v>14</v>
      </c>
    </row>
    <row r="111" spans="1:16" ht="11.25" customHeight="1">
      <c r="A111" s="451" t="s">
        <v>2189</v>
      </c>
      <c r="B111" s="451">
        <v>5</v>
      </c>
      <c r="C111" s="451" t="s">
        <v>273</v>
      </c>
      <c r="D111" s="451" t="s">
        <v>2124</v>
      </c>
      <c r="E111" s="451">
        <v>7</v>
      </c>
      <c r="F111" s="498">
        <v>0</v>
      </c>
      <c r="G111" s="498">
        <v>12</v>
      </c>
      <c r="H111" s="451">
        <v>0</v>
      </c>
      <c r="I111" s="451">
        <v>0</v>
      </c>
      <c r="J111" s="451">
        <v>0</v>
      </c>
      <c r="K111" s="451">
        <v>-2</v>
      </c>
      <c r="L111" s="451">
        <v>0</v>
      </c>
      <c r="M111" s="499" t="s">
        <v>572</v>
      </c>
      <c r="N111" s="450" t="s">
        <v>2190</v>
      </c>
      <c r="O111" s="500">
        <v>4200</v>
      </c>
      <c r="P111" s="498">
        <v>14</v>
      </c>
    </row>
    <row r="112" spans="1:17" ht="11.25" customHeight="1">
      <c r="A112" s="451" t="s">
        <v>2191</v>
      </c>
      <c r="B112" s="451">
        <v>7</v>
      </c>
      <c r="C112" s="451" t="s">
        <v>273</v>
      </c>
      <c r="D112" s="451" t="s">
        <v>2124</v>
      </c>
      <c r="E112" s="451">
        <v>8</v>
      </c>
      <c r="F112" s="498">
        <v>1</v>
      </c>
      <c r="G112" s="498">
        <v>10</v>
      </c>
      <c r="H112" s="451">
        <v>0</v>
      </c>
      <c r="I112" s="451">
        <v>0</v>
      </c>
      <c r="J112" s="451">
        <v>0</v>
      </c>
      <c r="K112" s="451">
        <v>-1</v>
      </c>
      <c r="L112" s="451">
        <v>0</v>
      </c>
      <c r="M112" s="499" t="s">
        <v>572</v>
      </c>
      <c r="N112" s="450" t="s">
        <v>2192</v>
      </c>
      <c r="O112" s="500">
        <v>6600</v>
      </c>
      <c r="P112" s="498">
        <v>15</v>
      </c>
      <c r="Q112" s="451"/>
    </row>
    <row r="113" spans="1:17" s="470" customFormat="1" ht="11.25" customHeight="1">
      <c r="A113" s="451" t="s">
        <v>2193</v>
      </c>
      <c r="B113" s="451">
        <v>8</v>
      </c>
      <c r="C113" s="451" t="s">
        <v>273</v>
      </c>
      <c r="D113" s="451" t="s">
        <v>2124</v>
      </c>
      <c r="E113" s="451">
        <v>10</v>
      </c>
      <c r="F113" s="498">
        <v>-1</v>
      </c>
      <c r="G113" s="498">
        <v>13</v>
      </c>
      <c r="H113" s="451">
        <v>0</v>
      </c>
      <c r="I113" s="451">
        <v>0</v>
      </c>
      <c r="J113" s="451">
        <v>0</v>
      </c>
      <c r="K113" s="451">
        <v>-1</v>
      </c>
      <c r="L113" s="451">
        <v>0</v>
      </c>
      <c r="M113" s="499" t="s">
        <v>572</v>
      </c>
      <c r="N113" s="450" t="s">
        <v>2194</v>
      </c>
      <c r="O113" s="500">
        <v>10000</v>
      </c>
      <c r="P113" s="498">
        <v>16</v>
      </c>
      <c r="Q113" s="390"/>
    </row>
    <row r="114" spans="1:17" s="470" customFormat="1" ht="11.25" customHeight="1">
      <c r="A114" s="451" t="s">
        <v>2195</v>
      </c>
      <c r="B114" s="451">
        <v>9</v>
      </c>
      <c r="C114" s="451" t="s">
        <v>273</v>
      </c>
      <c r="D114" s="451" t="s">
        <v>2124</v>
      </c>
      <c r="E114" s="451">
        <v>8</v>
      </c>
      <c r="F114" s="498">
        <v>-1</v>
      </c>
      <c r="G114" s="498">
        <v>13</v>
      </c>
      <c r="H114" s="451">
        <v>0</v>
      </c>
      <c r="I114" s="451">
        <v>0</v>
      </c>
      <c r="J114" s="451">
        <v>0</v>
      </c>
      <c r="K114" s="451">
        <v>-1</v>
      </c>
      <c r="L114" s="451">
        <v>0</v>
      </c>
      <c r="M114" s="499" t="s">
        <v>572</v>
      </c>
      <c r="N114" s="450" t="s">
        <v>2196</v>
      </c>
      <c r="O114" s="500">
        <v>20000</v>
      </c>
      <c r="P114" s="498">
        <v>16</v>
      </c>
      <c r="Q114" s="390"/>
    </row>
    <row r="115" spans="1:16" ht="13.5">
      <c r="A115" s="451" t="s">
        <v>2197</v>
      </c>
      <c r="B115" s="451">
        <v>3</v>
      </c>
      <c r="C115" s="451" t="s">
        <v>273</v>
      </c>
      <c r="D115" s="451" t="s">
        <v>2124</v>
      </c>
      <c r="E115" s="451">
        <v>6</v>
      </c>
      <c r="F115" s="498">
        <v>-1</v>
      </c>
      <c r="G115" s="498">
        <v>9</v>
      </c>
      <c r="H115" s="451">
        <v>0</v>
      </c>
      <c r="I115" s="451">
        <v>0</v>
      </c>
      <c r="J115" s="451">
        <v>0</v>
      </c>
      <c r="K115" s="451">
        <v>-1</v>
      </c>
      <c r="L115" s="451">
        <v>0</v>
      </c>
      <c r="M115" s="499" t="s">
        <v>572</v>
      </c>
      <c r="N115" s="450"/>
      <c r="O115" s="500">
        <v>3500</v>
      </c>
      <c r="P115" s="498">
        <v>12</v>
      </c>
    </row>
    <row r="116" spans="6:18" s="451" customFormat="1" ht="11.25">
      <c r="F116" s="498"/>
      <c r="G116" s="498"/>
      <c r="L116" s="390"/>
      <c r="M116" s="499"/>
      <c r="N116" s="450"/>
      <c r="O116" s="500"/>
      <c r="P116" s="498"/>
      <c r="R116" s="450"/>
    </row>
    <row r="117" spans="6:18" s="451" customFormat="1" ht="11.25">
      <c r="F117" s="498"/>
      <c r="G117" s="498"/>
      <c r="L117" s="390"/>
      <c r="M117" s="499"/>
      <c r="N117" s="450"/>
      <c r="O117" s="500"/>
      <c r="P117" s="498"/>
      <c r="R117" s="450"/>
    </row>
    <row r="118" spans="6:18" s="451" customFormat="1" ht="11.25">
      <c r="F118" s="498"/>
      <c r="G118" s="498"/>
      <c r="L118" s="390"/>
      <c r="M118" s="499"/>
      <c r="N118" s="450"/>
      <c r="O118" s="500"/>
      <c r="P118" s="498"/>
      <c r="R118" s="450"/>
    </row>
    <row r="119" spans="6:18" s="451" customFormat="1" ht="11.25">
      <c r="F119" s="498"/>
      <c r="G119" s="498"/>
      <c r="L119" s="390"/>
      <c r="M119" s="499"/>
      <c r="N119" s="450"/>
      <c r="O119" s="500"/>
      <c r="P119" s="498"/>
      <c r="R119" s="450"/>
    </row>
    <row r="120" spans="6:18" s="451" customFormat="1" ht="11.25">
      <c r="F120" s="498"/>
      <c r="G120" s="498"/>
      <c r="L120" s="390"/>
      <c r="M120" s="499"/>
      <c r="N120" s="450"/>
      <c r="O120" s="500"/>
      <c r="P120" s="498"/>
      <c r="R120" s="450"/>
    </row>
    <row r="121" spans="1:16" ht="13.5">
      <c r="A121" s="451"/>
      <c r="B121" s="451"/>
      <c r="C121" s="451"/>
      <c r="D121" s="451"/>
      <c r="E121" s="451"/>
      <c r="F121" s="498"/>
      <c r="G121" s="498"/>
      <c r="H121" s="451"/>
      <c r="I121" s="451"/>
      <c r="J121" s="451"/>
      <c r="K121" s="451"/>
      <c r="M121" s="499"/>
      <c r="N121" s="450"/>
      <c r="O121" s="500"/>
      <c r="P121" s="498"/>
    </row>
    <row r="122" spans="6:18" s="451" customFormat="1" ht="11.25">
      <c r="F122" s="498"/>
      <c r="G122" s="498"/>
      <c r="L122" s="390"/>
      <c r="M122" s="499"/>
      <c r="N122" s="450"/>
      <c r="O122" s="500"/>
      <c r="P122" s="498"/>
      <c r="R122" s="450"/>
    </row>
    <row r="123" spans="6:18" s="451" customFormat="1" ht="11.25">
      <c r="F123" s="498"/>
      <c r="G123" s="498"/>
      <c r="L123" s="390"/>
      <c r="M123" s="499"/>
      <c r="N123" s="450"/>
      <c r="O123" s="500"/>
      <c r="P123" s="498"/>
      <c r="R123" s="450"/>
    </row>
    <row r="124" spans="6:18" s="451" customFormat="1" ht="11.25">
      <c r="F124" s="498"/>
      <c r="G124" s="498"/>
      <c r="L124" s="390"/>
      <c r="M124" s="499"/>
      <c r="N124" s="450"/>
      <c r="O124" s="500"/>
      <c r="P124" s="498"/>
      <c r="R124" s="450"/>
    </row>
    <row r="125" spans="6:18" s="451" customFormat="1" ht="11.25">
      <c r="F125" s="498"/>
      <c r="G125" s="498"/>
      <c r="L125" s="390"/>
      <c r="M125" s="499"/>
      <c r="N125" s="450"/>
      <c r="O125" s="500"/>
      <c r="P125" s="498"/>
      <c r="R125" s="450"/>
    </row>
    <row r="126" spans="6:18" s="451" customFormat="1" ht="11.25">
      <c r="F126" s="498"/>
      <c r="G126" s="498"/>
      <c r="L126" s="390"/>
      <c r="M126" s="499"/>
      <c r="N126" s="450"/>
      <c r="O126" s="500"/>
      <c r="P126" s="498"/>
      <c r="R126" s="450"/>
    </row>
    <row r="127" spans="1:16" ht="13.5">
      <c r="A127" s="451"/>
      <c r="B127" s="451"/>
      <c r="C127" s="451"/>
      <c r="D127" s="451"/>
      <c r="E127" s="451"/>
      <c r="F127" s="498"/>
      <c r="G127" s="498"/>
      <c r="H127" s="451"/>
      <c r="I127" s="451"/>
      <c r="J127" s="451"/>
      <c r="K127" s="451"/>
      <c r="M127" s="499"/>
      <c r="N127" s="450"/>
      <c r="O127" s="500"/>
      <c r="P127" s="498"/>
    </row>
    <row r="128" spans="1:16" ht="13.5">
      <c r="A128" s="451"/>
      <c r="B128" s="451"/>
      <c r="C128" s="451"/>
      <c r="D128" s="451"/>
      <c r="E128" s="451"/>
      <c r="F128" s="498"/>
      <c r="G128" s="498"/>
      <c r="H128" s="451"/>
      <c r="I128" s="451"/>
      <c r="J128" s="451"/>
      <c r="K128" s="451"/>
      <c r="M128" s="499"/>
      <c r="N128" s="450"/>
      <c r="O128" s="500"/>
      <c r="P128" s="498"/>
    </row>
    <row r="129" spans="1:16" ht="13.5">
      <c r="A129" s="451"/>
      <c r="B129" s="451"/>
      <c r="C129" s="451"/>
      <c r="D129" s="451"/>
      <c r="E129" s="451"/>
      <c r="F129" s="498"/>
      <c r="G129" s="498"/>
      <c r="H129" s="451"/>
      <c r="I129" s="451"/>
      <c r="J129" s="451"/>
      <c r="K129" s="451"/>
      <c r="M129" s="499"/>
      <c r="N129" s="450"/>
      <c r="O129" s="500"/>
      <c r="P129" s="498"/>
    </row>
    <row r="130" spans="1:16" ht="13.5">
      <c r="A130" s="451"/>
      <c r="B130" s="451"/>
      <c r="C130" s="451"/>
      <c r="D130" s="451"/>
      <c r="E130" s="451"/>
      <c r="F130" s="498"/>
      <c r="G130" s="498"/>
      <c r="H130" s="451"/>
      <c r="I130" s="451"/>
      <c r="J130" s="451"/>
      <c r="K130" s="451"/>
      <c r="M130" s="499"/>
      <c r="N130" s="450"/>
      <c r="O130" s="500"/>
      <c r="P130" s="498"/>
    </row>
    <row r="131" spans="1:16" ht="13.5">
      <c r="A131" s="451"/>
      <c r="B131" s="451"/>
      <c r="C131" s="451"/>
      <c r="D131" s="451"/>
      <c r="E131" s="451"/>
      <c r="F131" s="498"/>
      <c r="G131" s="498"/>
      <c r="H131" s="451"/>
      <c r="I131" s="451"/>
      <c r="J131" s="451"/>
      <c r="K131" s="451"/>
      <c r="M131" s="499"/>
      <c r="N131" s="450"/>
      <c r="O131" s="500"/>
      <c r="P131" s="498"/>
    </row>
    <row r="132" spans="1:16" ht="13.5">
      <c r="A132" s="451"/>
      <c r="B132" s="451"/>
      <c r="C132" s="451"/>
      <c r="D132" s="451"/>
      <c r="E132" s="451"/>
      <c r="F132" s="498"/>
      <c r="G132" s="498"/>
      <c r="H132" s="451"/>
      <c r="I132" s="451"/>
      <c r="J132" s="451"/>
      <c r="K132" s="451"/>
      <c r="M132" s="499"/>
      <c r="N132" s="450"/>
      <c r="O132" s="500"/>
      <c r="P132" s="498"/>
    </row>
    <row r="133" spans="1:256" ht="13.5">
      <c r="A133" s="451"/>
      <c r="B133" s="451"/>
      <c r="C133" s="451"/>
      <c r="D133" s="451"/>
      <c r="E133" s="451"/>
      <c r="F133" s="498"/>
      <c r="G133" s="498"/>
      <c r="H133" s="451"/>
      <c r="I133" s="451"/>
      <c r="J133" s="451"/>
      <c r="K133" s="451"/>
      <c r="M133" s="499"/>
      <c r="N133" s="450"/>
      <c r="O133" s="500"/>
      <c r="P133" s="498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3.5">
      <c r="A134" s="451"/>
      <c r="B134" s="451"/>
      <c r="C134" s="451"/>
      <c r="D134" s="451"/>
      <c r="E134" s="451"/>
      <c r="F134" s="498"/>
      <c r="G134" s="498"/>
      <c r="H134" s="451"/>
      <c r="I134" s="451"/>
      <c r="J134" s="451"/>
      <c r="K134" s="451"/>
      <c r="M134" s="499"/>
      <c r="N134" s="450"/>
      <c r="O134" s="500"/>
      <c r="P134" s="498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19" ht="13.5">
      <c r="A135" s="46" t="s">
        <v>278</v>
      </c>
      <c r="B135" s="489" t="s">
        <v>111</v>
      </c>
      <c r="C135" s="489" t="s">
        <v>253</v>
      </c>
      <c r="D135" s="489" t="s">
        <v>254</v>
      </c>
      <c r="E135" s="489" t="s">
        <v>255</v>
      </c>
      <c r="F135" s="490" t="s">
        <v>174</v>
      </c>
      <c r="G135" s="490" t="s">
        <v>256</v>
      </c>
      <c r="H135" s="489" t="s">
        <v>233</v>
      </c>
      <c r="I135" s="489" t="s">
        <v>257</v>
      </c>
      <c r="J135" s="489" t="s">
        <v>258</v>
      </c>
      <c r="K135" s="489" t="s">
        <v>259</v>
      </c>
      <c r="L135" s="489" t="s">
        <v>260</v>
      </c>
      <c r="M135" s="491" t="s">
        <v>261</v>
      </c>
      <c r="N135" s="489" t="s">
        <v>262</v>
      </c>
      <c r="O135" s="492" t="s">
        <v>223</v>
      </c>
      <c r="P135" s="490" t="s">
        <v>2093</v>
      </c>
      <c r="Q135" s="493" t="s">
        <v>2094</v>
      </c>
      <c r="R135" s="399" t="s">
        <v>2095</v>
      </c>
      <c r="S135" s="213"/>
    </row>
    <row r="136" spans="1:16" ht="11.25" customHeight="1">
      <c r="A136" s="390" t="s">
        <v>2198</v>
      </c>
      <c r="B136" s="390">
        <v>1</v>
      </c>
      <c r="C136" s="390" t="s">
        <v>278</v>
      </c>
      <c r="D136" s="390" t="s">
        <v>2156</v>
      </c>
      <c r="E136" s="390">
        <v>10</v>
      </c>
      <c r="F136" s="485">
        <v>-1</v>
      </c>
      <c r="G136" s="485">
        <v>10</v>
      </c>
      <c r="H136" s="390">
        <v>0</v>
      </c>
      <c r="I136" s="390">
        <v>0</v>
      </c>
      <c r="J136" s="390">
        <v>0</v>
      </c>
      <c r="K136" s="390">
        <v>-2</v>
      </c>
      <c r="L136" s="390">
        <v>0</v>
      </c>
      <c r="M136" s="486" t="s">
        <v>572</v>
      </c>
      <c r="O136" s="487">
        <v>250</v>
      </c>
      <c r="P136" s="485" t="s">
        <v>83</v>
      </c>
    </row>
    <row r="137" spans="1:16" ht="11.25" customHeight="1">
      <c r="A137" s="390" t="s">
        <v>2199</v>
      </c>
      <c r="B137" s="390">
        <v>1</v>
      </c>
      <c r="C137" s="390" t="s">
        <v>278</v>
      </c>
      <c r="D137" s="390" t="s">
        <v>2156</v>
      </c>
      <c r="E137" s="390">
        <v>10</v>
      </c>
      <c r="F137" s="485">
        <v>-1</v>
      </c>
      <c r="G137" s="485">
        <v>11</v>
      </c>
      <c r="H137" s="390">
        <v>0</v>
      </c>
      <c r="I137" s="390">
        <v>0</v>
      </c>
      <c r="J137" s="390">
        <v>0</v>
      </c>
      <c r="K137" s="390">
        <v>-3</v>
      </c>
      <c r="L137" s="390">
        <v>0</v>
      </c>
      <c r="M137" s="486" t="s">
        <v>572</v>
      </c>
      <c r="O137" s="487">
        <v>300</v>
      </c>
      <c r="P137" s="485" t="s">
        <v>83</v>
      </c>
    </row>
    <row r="138" spans="1:16" ht="11.25" customHeight="1">
      <c r="A138" s="390" t="s">
        <v>2200</v>
      </c>
      <c r="B138" s="390">
        <v>2</v>
      </c>
      <c r="C138" s="390" t="s">
        <v>278</v>
      </c>
      <c r="D138" s="390" t="s">
        <v>2156</v>
      </c>
      <c r="E138" s="390">
        <v>11</v>
      </c>
      <c r="F138" s="485">
        <v>-1</v>
      </c>
      <c r="G138" s="485">
        <v>11</v>
      </c>
      <c r="H138" s="390">
        <v>0</v>
      </c>
      <c r="I138" s="390">
        <v>0</v>
      </c>
      <c r="J138" s="390">
        <v>0</v>
      </c>
      <c r="K138" s="390">
        <v>-2</v>
      </c>
      <c r="L138" s="390">
        <v>0</v>
      </c>
      <c r="M138" s="486" t="s">
        <v>572</v>
      </c>
      <c r="O138" s="487">
        <v>380</v>
      </c>
      <c r="P138" s="485" t="s">
        <v>83</v>
      </c>
    </row>
    <row r="139" spans="1:16" ht="11.25" customHeight="1">
      <c r="A139" s="390" t="s">
        <v>2201</v>
      </c>
      <c r="B139" s="390">
        <v>2</v>
      </c>
      <c r="C139" s="390" t="s">
        <v>278</v>
      </c>
      <c r="D139" s="390" t="s">
        <v>2156</v>
      </c>
      <c r="E139" s="390">
        <v>11</v>
      </c>
      <c r="F139" s="485">
        <v>-1</v>
      </c>
      <c r="G139" s="485">
        <v>12</v>
      </c>
      <c r="H139" s="390">
        <v>0</v>
      </c>
      <c r="I139" s="390">
        <v>0</v>
      </c>
      <c r="J139" s="390">
        <v>0</v>
      </c>
      <c r="K139" s="390">
        <v>-3</v>
      </c>
      <c r="L139" s="390">
        <v>0</v>
      </c>
      <c r="M139" s="486" t="s">
        <v>572</v>
      </c>
      <c r="O139" s="487">
        <v>420</v>
      </c>
      <c r="P139" s="485" t="s">
        <v>83</v>
      </c>
    </row>
    <row r="140" spans="1:16" ht="11.25" customHeight="1">
      <c r="A140" s="390" t="s">
        <v>2202</v>
      </c>
      <c r="B140" s="390">
        <v>3</v>
      </c>
      <c r="C140" s="390" t="s">
        <v>278</v>
      </c>
      <c r="D140" s="390" t="s">
        <v>2156</v>
      </c>
      <c r="E140" s="390">
        <v>12</v>
      </c>
      <c r="F140" s="485">
        <v>-1</v>
      </c>
      <c r="G140" s="485">
        <v>12</v>
      </c>
      <c r="H140" s="390">
        <v>0</v>
      </c>
      <c r="I140" s="390">
        <v>0</v>
      </c>
      <c r="J140" s="390">
        <v>0</v>
      </c>
      <c r="K140" s="390">
        <v>-2</v>
      </c>
      <c r="L140" s="390">
        <v>0</v>
      </c>
      <c r="M140" s="486" t="s">
        <v>572</v>
      </c>
      <c r="O140" s="487">
        <v>600</v>
      </c>
      <c r="P140" s="485" t="s">
        <v>83</v>
      </c>
    </row>
    <row r="141" spans="1:16" ht="11.25" customHeight="1">
      <c r="A141" s="390" t="s">
        <v>2203</v>
      </c>
      <c r="B141" s="390">
        <v>3</v>
      </c>
      <c r="C141" s="390" t="s">
        <v>278</v>
      </c>
      <c r="D141" s="390" t="s">
        <v>2156</v>
      </c>
      <c r="E141" s="390">
        <v>12</v>
      </c>
      <c r="F141" s="485">
        <v>-1</v>
      </c>
      <c r="G141" s="485">
        <v>13</v>
      </c>
      <c r="H141" s="390">
        <v>0</v>
      </c>
      <c r="I141" s="390">
        <v>0</v>
      </c>
      <c r="J141" s="390">
        <v>0</v>
      </c>
      <c r="K141" s="390">
        <v>-3</v>
      </c>
      <c r="L141" s="390">
        <v>0</v>
      </c>
      <c r="M141" s="486" t="s">
        <v>572</v>
      </c>
      <c r="O141" s="487">
        <v>680</v>
      </c>
      <c r="P141" s="485" t="s">
        <v>83</v>
      </c>
    </row>
    <row r="142" spans="1:18" s="451" customFormat="1" ht="11.25" customHeight="1">
      <c r="A142" s="390" t="s">
        <v>2204</v>
      </c>
      <c r="B142" s="390">
        <v>4</v>
      </c>
      <c r="C142" s="390" t="s">
        <v>278</v>
      </c>
      <c r="D142" s="390" t="s">
        <v>2156</v>
      </c>
      <c r="E142" s="390">
        <v>13</v>
      </c>
      <c r="F142" s="485">
        <v>-1</v>
      </c>
      <c r="G142" s="485">
        <v>13</v>
      </c>
      <c r="H142" s="390">
        <v>0</v>
      </c>
      <c r="I142" s="390">
        <v>0</v>
      </c>
      <c r="J142" s="390">
        <v>0</v>
      </c>
      <c r="K142" s="390">
        <v>-2</v>
      </c>
      <c r="L142" s="390">
        <v>0</v>
      </c>
      <c r="M142" s="486" t="s">
        <v>572</v>
      </c>
      <c r="N142" s="461"/>
      <c r="O142" s="487">
        <v>800</v>
      </c>
      <c r="P142" s="485" t="s">
        <v>83</v>
      </c>
      <c r="Q142" s="390"/>
      <c r="R142" s="450"/>
    </row>
    <row r="143" spans="1:16" ht="11.25" customHeight="1">
      <c r="A143" s="390" t="s">
        <v>2205</v>
      </c>
      <c r="B143" s="390">
        <v>5</v>
      </c>
      <c r="C143" s="390" t="s">
        <v>278</v>
      </c>
      <c r="D143" s="390" t="s">
        <v>2156</v>
      </c>
      <c r="E143" s="390">
        <v>12</v>
      </c>
      <c r="F143" s="485">
        <v>-1</v>
      </c>
      <c r="G143" s="485">
        <v>15</v>
      </c>
      <c r="H143" s="390">
        <v>0</v>
      </c>
      <c r="I143" s="390">
        <v>0</v>
      </c>
      <c r="J143" s="390">
        <v>0</v>
      </c>
      <c r="K143" s="390">
        <v>-3</v>
      </c>
      <c r="L143" s="390">
        <v>0</v>
      </c>
      <c r="M143" s="486" t="s">
        <v>572</v>
      </c>
      <c r="O143" s="487">
        <v>1000</v>
      </c>
      <c r="P143" s="485" t="s">
        <v>83</v>
      </c>
    </row>
    <row r="144" spans="1:18" s="451" customFormat="1" ht="11.25" customHeight="1">
      <c r="A144" s="390" t="s">
        <v>2206</v>
      </c>
      <c r="B144" s="390">
        <v>6</v>
      </c>
      <c r="C144" s="390" t="s">
        <v>278</v>
      </c>
      <c r="D144" s="390" t="s">
        <v>2156</v>
      </c>
      <c r="E144" s="390">
        <v>12</v>
      </c>
      <c r="F144" s="485">
        <v>-1</v>
      </c>
      <c r="G144" s="485">
        <v>15</v>
      </c>
      <c r="H144" s="390">
        <v>0</v>
      </c>
      <c r="I144" s="390">
        <v>0</v>
      </c>
      <c r="J144" s="390">
        <v>0</v>
      </c>
      <c r="K144" s="390">
        <v>-2</v>
      </c>
      <c r="L144" s="390">
        <v>0</v>
      </c>
      <c r="M144" s="486" t="s">
        <v>572</v>
      </c>
      <c r="N144" s="461"/>
      <c r="O144" s="487">
        <v>1300</v>
      </c>
      <c r="P144" s="485" t="s">
        <v>83</v>
      </c>
      <c r="Q144" s="390"/>
      <c r="R144" s="450"/>
    </row>
    <row r="145" spans="1:16" ht="11.25" customHeight="1">
      <c r="A145" s="390" t="s">
        <v>2207</v>
      </c>
      <c r="B145" s="390">
        <v>7</v>
      </c>
      <c r="C145" s="390" t="s">
        <v>278</v>
      </c>
      <c r="D145" s="390" t="s">
        <v>2156</v>
      </c>
      <c r="E145" s="390">
        <v>13</v>
      </c>
      <c r="F145" s="485">
        <v>-1</v>
      </c>
      <c r="G145" s="485">
        <v>17</v>
      </c>
      <c r="H145" s="390">
        <v>0</v>
      </c>
      <c r="I145" s="390">
        <v>0</v>
      </c>
      <c r="J145" s="390">
        <v>0</v>
      </c>
      <c r="K145" s="390">
        <v>-2</v>
      </c>
      <c r="L145" s="390">
        <v>0</v>
      </c>
      <c r="M145" s="486" t="s">
        <v>572</v>
      </c>
      <c r="O145" s="487">
        <v>1980</v>
      </c>
      <c r="P145" s="485" t="s">
        <v>83</v>
      </c>
    </row>
    <row r="146" spans="1:16" ht="11.25" customHeight="1">
      <c r="A146" s="390" t="s">
        <v>2208</v>
      </c>
      <c r="B146" s="390">
        <v>8</v>
      </c>
      <c r="C146" s="390" t="s">
        <v>278</v>
      </c>
      <c r="D146" s="390" t="s">
        <v>2156</v>
      </c>
      <c r="E146" s="390">
        <v>13</v>
      </c>
      <c r="F146" s="485">
        <v>-2</v>
      </c>
      <c r="G146" s="485">
        <v>19</v>
      </c>
      <c r="H146" s="390">
        <v>0</v>
      </c>
      <c r="I146" s="390">
        <v>0</v>
      </c>
      <c r="J146" s="390">
        <v>0</v>
      </c>
      <c r="K146" s="390">
        <v>-3</v>
      </c>
      <c r="L146" s="390">
        <v>0</v>
      </c>
      <c r="M146" s="486" t="s">
        <v>572</v>
      </c>
      <c r="O146" s="487">
        <v>2800</v>
      </c>
      <c r="P146" s="485" t="s">
        <v>83</v>
      </c>
    </row>
    <row r="147" spans="1:18" s="451" customFormat="1" ht="11.25" customHeight="1">
      <c r="A147" s="390" t="s">
        <v>2209</v>
      </c>
      <c r="B147" s="390">
        <v>9</v>
      </c>
      <c r="C147" s="390" t="s">
        <v>278</v>
      </c>
      <c r="D147" s="390" t="s">
        <v>2156</v>
      </c>
      <c r="E147" s="390">
        <v>14</v>
      </c>
      <c r="F147" s="485">
        <v>-1</v>
      </c>
      <c r="G147" s="485">
        <v>19</v>
      </c>
      <c r="H147" s="390">
        <v>0</v>
      </c>
      <c r="I147" s="390">
        <v>0</v>
      </c>
      <c r="J147" s="390">
        <v>0</v>
      </c>
      <c r="K147" s="390">
        <v>-3</v>
      </c>
      <c r="L147" s="390">
        <v>0</v>
      </c>
      <c r="M147" s="486" t="s">
        <v>572</v>
      </c>
      <c r="N147" s="461"/>
      <c r="O147" s="487">
        <v>3600</v>
      </c>
      <c r="P147" s="485" t="s">
        <v>83</v>
      </c>
      <c r="Q147" s="390"/>
      <c r="R147" s="450"/>
    </row>
    <row r="148" spans="1:16" ht="11.25" customHeight="1">
      <c r="A148" s="390" t="s">
        <v>2210</v>
      </c>
      <c r="B148" s="390">
        <v>10</v>
      </c>
      <c r="C148" s="390" t="s">
        <v>278</v>
      </c>
      <c r="D148" s="390" t="s">
        <v>2156</v>
      </c>
      <c r="E148" s="390">
        <v>15</v>
      </c>
      <c r="F148" s="485">
        <v>-1</v>
      </c>
      <c r="G148" s="485">
        <v>19</v>
      </c>
      <c r="H148" s="390">
        <v>0</v>
      </c>
      <c r="I148" s="390">
        <v>0</v>
      </c>
      <c r="J148" s="390">
        <v>0</v>
      </c>
      <c r="K148" s="390">
        <v>-1</v>
      </c>
      <c r="L148" s="390">
        <v>0</v>
      </c>
      <c r="M148" s="486" t="s">
        <v>572</v>
      </c>
      <c r="O148" s="487">
        <v>5300</v>
      </c>
      <c r="P148" s="485" t="s">
        <v>83</v>
      </c>
    </row>
    <row r="149" spans="1:16" ht="11.25" customHeight="1">
      <c r="A149" s="390" t="s">
        <v>2211</v>
      </c>
      <c r="B149" s="390">
        <v>10</v>
      </c>
      <c r="C149" s="390" t="s">
        <v>278</v>
      </c>
      <c r="D149" s="390" t="s">
        <v>2156</v>
      </c>
      <c r="E149" s="390">
        <v>14</v>
      </c>
      <c r="F149" s="485">
        <v>-1</v>
      </c>
      <c r="G149" s="485">
        <v>20</v>
      </c>
      <c r="H149" s="390">
        <v>0</v>
      </c>
      <c r="I149" s="390">
        <v>0</v>
      </c>
      <c r="J149" s="390">
        <v>0</v>
      </c>
      <c r="K149" s="390">
        <v>-3</v>
      </c>
      <c r="L149" s="390">
        <v>0</v>
      </c>
      <c r="M149" s="486" t="s">
        <v>572</v>
      </c>
      <c r="O149" s="487">
        <v>6100</v>
      </c>
      <c r="P149" s="485" t="s">
        <v>83</v>
      </c>
    </row>
    <row r="150" spans="1:17" ht="11.25" customHeight="1">
      <c r="A150" s="451" t="s">
        <v>2212</v>
      </c>
      <c r="B150" s="451">
        <v>2</v>
      </c>
      <c r="C150" s="451" t="s">
        <v>278</v>
      </c>
      <c r="D150" s="451" t="s">
        <v>2156</v>
      </c>
      <c r="E150" s="451">
        <v>10</v>
      </c>
      <c r="F150" s="498">
        <v>-1</v>
      </c>
      <c r="G150" s="498">
        <v>11</v>
      </c>
      <c r="H150" s="451">
        <v>0</v>
      </c>
      <c r="I150" s="451">
        <v>0</v>
      </c>
      <c r="J150" s="451">
        <v>0</v>
      </c>
      <c r="K150" s="451">
        <v>-2</v>
      </c>
      <c r="L150" s="451">
        <v>0</v>
      </c>
      <c r="M150" s="499" t="s">
        <v>572</v>
      </c>
      <c r="N150" s="450" t="s">
        <v>2213</v>
      </c>
      <c r="O150" s="500">
        <v>3200</v>
      </c>
      <c r="P150" s="498">
        <v>11</v>
      </c>
      <c r="Q150" s="451"/>
    </row>
    <row r="151" spans="1:17" ht="11.25" customHeight="1">
      <c r="A151" s="451" t="s">
        <v>2214</v>
      </c>
      <c r="B151" s="451">
        <v>4</v>
      </c>
      <c r="C151" s="451" t="s">
        <v>278</v>
      </c>
      <c r="D151" s="451" t="s">
        <v>2156</v>
      </c>
      <c r="E151" s="451">
        <v>11</v>
      </c>
      <c r="F151" s="498">
        <v>-1</v>
      </c>
      <c r="G151" s="498">
        <v>14</v>
      </c>
      <c r="H151" s="451">
        <v>0</v>
      </c>
      <c r="I151" s="451">
        <v>3</v>
      </c>
      <c r="J151" s="451">
        <v>2</v>
      </c>
      <c r="K151" s="451">
        <v>-3</v>
      </c>
      <c r="L151" s="451">
        <v>0</v>
      </c>
      <c r="M151" s="499" t="s">
        <v>572</v>
      </c>
      <c r="N151" s="450"/>
      <c r="O151" s="500">
        <v>5000</v>
      </c>
      <c r="P151" s="498">
        <v>12</v>
      </c>
      <c r="Q151" s="451"/>
    </row>
    <row r="152" spans="1:17" ht="11.25" customHeight="1">
      <c r="A152" s="451" t="s">
        <v>2215</v>
      </c>
      <c r="B152" s="451">
        <v>5</v>
      </c>
      <c r="C152" s="451" t="s">
        <v>278</v>
      </c>
      <c r="D152" s="451" t="s">
        <v>2156</v>
      </c>
      <c r="E152" s="451">
        <v>16</v>
      </c>
      <c r="F152" s="498">
        <v>0</v>
      </c>
      <c r="G152" s="498">
        <v>15</v>
      </c>
      <c r="H152" s="451">
        <v>0</v>
      </c>
      <c r="I152" s="451">
        <v>0</v>
      </c>
      <c r="J152" s="451">
        <v>0</v>
      </c>
      <c r="K152" s="451">
        <v>-3</v>
      </c>
      <c r="L152" s="451">
        <v>0</v>
      </c>
      <c r="M152" s="499" t="s">
        <v>572</v>
      </c>
      <c r="N152" s="450" t="s">
        <v>2216</v>
      </c>
      <c r="O152" s="500">
        <v>2000</v>
      </c>
      <c r="P152" s="498">
        <v>14</v>
      </c>
      <c r="Q152" s="451"/>
    </row>
    <row r="153" spans="1:17" ht="11.25" customHeight="1">
      <c r="A153" s="451" t="s">
        <v>2217</v>
      </c>
      <c r="B153" s="451">
        <v>6</v>
      </c>
      <c r="C153" s="451" t="s">
        <v>278</v>
      </c>
      <c r="D153" s="451" t="s">
        <v>2156</v>
      </c>
      <c r="E153" s="451">
        <v>19</v>
      </c>
      <c r="F153" s="498">
        <v>-2</v>
      </c>
      <c r="G153" s="498">
        <v>19</v>
      </c>
      <c r="H153" s="451">
        <v>0</v>
      </c>
      <c r="I153" s="451">
        <v>0</v>
      </c>
      <c r="J153" s="451">
        <v>0</v>
      </c>
      <c r="K153" s="451">
        <v>-3</v>
      </c>
      <c r="L153" s="451">
        <v>0</v>
      </c>
      <c r="M153" s="499" t="s">
        <v>572</v>
      </c>
      <c r="N153" s="450" t="s">
        <v>2218</v>
      </c>
      <c r="O153" s="500">
        <v>9800</v>
      </c>
      <c r="P153" s="498">
        <v>15</v>
      </c>
      <c r="Q153" s="451"/>
    </row>
    <row r="154" spans="1:17" ht="11.25" customHeight="1">
      <c r="A154" s="451" t="s">
        <v>2219</v>
      </c>
      <c r="B154" s="451">
        <v>8</v>
      </c>
      <c r="C154" s="451" t="s">
        <v>278</v>
      </c>
      <c r="D154" s="451" t="s">
        <v>2156</v>
      </c>
      <c r="E154" s="451">
        <v>13</v>
      </c>
      <c r="F154" s="498">
        <v>-3</v>
      </c>
      <c r="G154" s="498">
        <v>21</v>
      </c>
      <c r="H154" s="451">
        <v>0</v>
      </c>
      <c r="I154" s="451">
        <v>0</v>
      </c>
      <c r="J154" s="451">
        <v>0</v>
      </c>
      <c r="K154" s="451">
        <v>-3</v>
      </c>
      <c r="L154" s="451">
        <v>0</v>
      </c>
      <c r="M154" s="499" t="s">
        <v>572</v>
      </c>
      <c r="N154" s="450" t="s">
        <v>2220</v>
      </c>
      <c r="O154" s="500">
        <v>12600</v>
      </c>
      <c r="P154" s="498">
        <v>16</v>
      </c>
      <c r="Q154" s="451"/>
    </row>
    <row r="155" spans="1:17" ht="11.25" customHeight="1">
      <c r="A155" s="451" t="s">
        <v>2221</v>
      </c>
      <c r="B155" s="451">
        <v>9</v>
      </c>
      <c r="C155" s="451" t="s">
        <v>278</v>
      </c>
      <c r="D155" s="451" t="s">
        <v>2156</v>
      </c>
      <c r="E155" s="451">
        <v>16</v>
      </c>
      <c r="F155" s="498">
        <v>-2</v>
      </c>
      <c r="G155" s="498">
        <v>22</v>
      </c>
      <c r="H155" s="451">
        <v>0</v>
      </c>
      <c r="I155" s="451">
        <v>0</v>
      </c>
      <c r="J155" s="451">
        <v>0</v>
      </c>
      <c r="K155" s="451">
        <v>-3</v>
      </c>
      <c r="L155" s="451">
        <v>0</v>
      </c>
      <c r="M155" s="499" t="s">
        <v>572</v>
      </c>
      <c r="N155" s="450" t="s">
        <v>2222</v>
      </c>
      <c r="O155" s="500">
        <v>15000</v>
      </c>
      <c r="P155" s="498">
        <v>16</v>
      </c>
      <c r="Q155" s="451"/>
    </row>
    <row r="156" spans="1:17" ht="13.5">
      <c r="A156" s="451" t="s">
        <v>2223</v>
      </c>
      <c r="B156" s="451">
        <v>1</v>
      </c>
      <c r="C156" s="451" t="s">
        <v>278</v>
      </c>
      <c r="D156" s="451" t="s">
        <v>2156</v>
      </c>
      <c r="E156" s="451">
        <v>10</v>
      </c>
      <c r="F156" s="498">
        <v>2</v>
      </c>
      <c r="G156" s="498">
        <v>40</v>
      </c>
      <c r="H156" s="451">
        <v>0</v>
      </c>
      <c r="I156" s="451">
        <v>0</v>
      </c>
      <c r="J156" s="451">
        <v>0</v>
      </c>
      <c r="K156" s="451">
        <v>0</v>
      </c>
      <c r="L156" s="451">
        <v>0</v>
      </c>
      <c r="M156" s="499" t="s">
        <v>572</v>
      </c>
      <c r="N156" s="450"/>
      <c r="O156" s="500">
        <v>10000</v>
      </c>
      <c r="P156" s="498">
        <v>10</v>
      </c>
      <c r="Q156" s="451"/>
    </row>
    <row r="157" spans="1:17" ht="13.5">
      <c r="A157" s="451"/>
      <c r="B157" s="451"/>
      <c r="C157" s="451"/>
      <c r="D157" s="451"/>
      <c r="E157" s="451"/>
      <c r="F157" s="498"/>
      <c r="G157" s="498"/>
      <c r="H157" s="451"/>
      <c r="I157" s="451"/>
      <c r="J157" s="451"/>
      <c r="K157" s="451"/>
      <c r="M157" s="499"/>
      <c r="N157" s="450"/>
      <c r="O157" s="500"/>
      <c r="P157" s="498"/>
      <c r="Q157" s="451"/>
    </row>
    <row r="158" spans="1:17" ht="13.5">
      <c r="A158" s="451"/>
      <c r="B158" s="451"/>
      <c r="C158" s="451"/>
      <c r="D158" s="451"/>
      <c r="E158" s="451"/>
      <c r="F158" s="498"/>
      <c r="G158" s="498"/>
      <c r="H158" s="451"/>
      <c r="I158" s="451"/>
      <c r="J158" s="451"/>
      <c r="K158" s="451"/>
      <c r="M158" s="499"/>
      <c r="N158" s="450"/>
      <c r="O158" s="500"/>
      <c r="P158" s="498"/>
      <c r="Q158" s="451"/>
    </row>
    <row r="159" spans="6:18" s="451" customFormat="1" ht="11.25">
      <c r="F159" s="498"/>
      <c r="G159" s="498"/>
      <c r="L159" s="390"/>
      <c r="M159" s="499"/>
      <c r="N159" s="450"/>
      <c r="O159" s="500"/>
      <c r="P159" s="498"/>
      <c r="R159" s="450"/>
    </row>
    <row r="160" spans="1:17" ht="13.5">
      <c r="A160" s="451"/>
      <c r="B160" s="451"/>
      <c r="C160" s="451"/>
      <c r="D160" s="451"/>
      <c r="E160" s="451"/>
      <c r="F160" s="498"/>
      <c r="G160" s="498"/>
      <c r="H160" s="451"/>
      <c r="I160" s="451"/>
      <c r="J160" s="451"/>
      <c r="K160" s="451"/>
      <c r="M160" s="499"/>
      <c r="N160" s="450"/>
      <c r="O160" s="500"/>
      <c r="P160" s="498"/>
      <c r="Q160" s="451"/>
    </row>
    <row r="161" spans="1:17" ht="13.5">
      <c r="A161" s="451"/>
      <c r="B161" s="451"/>
      <c r="C161" s="451"/>
      <c r="D161" s="451"/>
      <c r="E161" s="451"/>
      <c r="F161" s="498"/>
      <c r="G161" s="498"/>
      <c r="H161" s="451"/>
      <c r="I161" s="451"/>
      <c r="J161" s="451"/>
      <c r="K161" s="451"/>
      <c r="M161" s="499"/>
      <c r="N161" s="450"/>
      <c r="O161" s="500"/>
      <c r="P161" s="498"/>
      <c r="Q161" s="451"/>
    </row>
    <row r="162" spans="1:17" ht="13.5">
      <c r="A162" s="451"/>
      <c r="B162" s="451"/>
      <c r="C162" s="451"/>
      <c r="D162" s="451"/>
      <c r="E162" s="451"/>
      <c r="F162" s="498"/>
      <c r="G162" s="498"/>
      <c r="H162" s="451"/>
      <c r="I162" s="451"/>
      <c r="J162" s="451"/>
      <c r="K162" s="451"/>
      <c r="M162" s="499"/>
      <c r="N162" s="450"/>
      <c r="O162" s="500"/>
      <c r="P162" s="498"/>
      <c r="Q162" s="451"/>
    </row>
    <row r="163" spans="1:17" ht="13.5">
      <c r="A163" s="451"/>
      <c r="B163" s="451"/>
      <c r="C163" s="451"/>
      <c r="D163" s="451"/>
      <c r="E163" s="451"/>
      <c r="F163" s="498"/>
      <c r="G163" s="498"/>
      <c r="H163" s="451"/>
      <c r="I163" s="451"/>
      <c r="J163" s="451"/>
      <c r="K163" s="451"/>
      <c r="M163" s="499"/>
      <c r="N163" s="450"/>
      <c r="O163" s="500"/>
      <c r="P163" s="498"/>
      <c r="Q163" s="451"/>
    </row>
    <row r="164" spans="1:256" ht="13.5">
      <c r="A164" s="451"/>
      <c r="B164" s="451"/>
      <c r="C164" s="451"/>
      <c r="D164" s="451"/>
      <c r="E164" s="451"/>
      <c r="F164" s="498"/>
      <c r="G164" s="498"/>
      <c r="H164" s="451"/>
      <c r="I164" s="451"/>
      <c r="J164" s="451"/>
      <c r="K164" s="451"/>
      <c r="M164" s="499"/>
      <c r="N164" s="450"/>
      <c r="O164" s="500"/>
      <c r="P164" s="498"/>
      <c r="Q164" s="451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17" ht="13.5">
      <c r="A165" s="451"/>
      <c r="B165" s="451"/>
      <c r="C165" s="451"/>
      <c r="D165" s="451"/>
      <c r="E165" s="451"/>
      <c r="F165" s="498"/>
      <c r="G165" s="498"/>
      <c r="H165" s="451"/>
      <c r="I165" s="451"/>
      <c r="J165" s="451"/>
      <c r="K165" s="451"/>
      <c r="M165" s="499"/>
      <c r="N165" s="450"/>
      <c r="O165" s="500"/>
      <c r="P165" s="498"/>
      <c r="Q165" s="451"/>
    </row>
    <row r="166" spans="1:256" ht="13.5">
      <c r="A166" s="451"/>
      <c r="B166" s="451"/>
      <c r="C166" s="451"/>
      <c r="D166" s="451"/>
      <c r="E166" s="451"/>
      <c r="F166" s="498"/>
      <c r="G166" s="498"/>
      <c r="H166" s="451"/>
      <c r="I166" s="451"/>
      <c r="J166" s="451"/>
      <c r="K166" s="451"/>
      <c r="M166" s="499"/>
      <c r="N166" s="450"/>
      <c r="O166" s="500"/>
      <c r="P166" s="498"/>
      <c r="Q166" s="451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3.5">
      <c r="A167" s="451"/>
      <c r="B167" s="451"/>
      <c r="C167" s="451"/>
      <c r="D167" s="451"/>
      <c r="E167" s="451"/>
      <c r="F167" s="498"/>
      <c r="G167" s="498"/>
      <c r="H167" s="451"/>
      <c r="I167" s="451"/>
      <c r="J167" s="451"/>
      <c r="K167" s="451"/>
      <c r="M167" s="499"/>
      <c r="N167" s="450"/>
      <c r="O167" s="500"/>
      <c r="P167" s="498"/>
      <c r="Q167" s="451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17" ht="13.5">
      <c r="A168" s="451"/>
      <c r="B168" s="451"/>
      <c r="C168" s="451"/>
      <c r="D168" s="451"/>
      <c r="E168" s="451"/>
      <c r="F168" s="498"/>
      <c r="G168" s="498"/>
      <c r="H168" s="451"/>
      <c r="I168" s="451"/>
      <c r="J168" s="451"/>
      <c r="K168" s="451"/>
      <c r="M168" s="499"/>
      <c r="N168" s="450"/>
      <c r="O168" s="500"/>
      <c r="P168" s="498"/>
      <c r="Q168" s="451"/>
    </row>
    <row r="169" spans="1:17" ht="13.5">
      <c r="A169" s="451"/>
      <c r="B169" s="451"/>
      <c r="C169" s="451"/>
      <c r="D169" s="451"/>
      <c r="E169" s="451"/>
      <c r="F169" s="498"/>
      <c r="G169" s="498"/>
      <c r="H169" s="451"/>
      <c r="I169" s="451"/>
      <c r="J169" s="451"/>
      <c r="K169" s="451"/>
      <c r="M169" s="499"/>
      <c r="N169" s="450"/>
      <c r="O169" s="500"/>
      <c r="P169" s="498"/>
      <c r="Q169" s="451"/>
    </row>
    <row r="170" spans="1:17" ht="13.5">
      <c r="A170" s="451"/>
      <c r="B170" s="451"/>
      <c r="C170" s="451"/>
      <c r="D170" s="451"/>
      <c r="E170" s="451"/>
      <c r="F170" s="498"/>
      <c r="G170" s="498"/>
      <c r="H170" s="451"/>
      <c r="I170" s="451"/>
      <c r="J170" s="451"/>
      <c r="K170" s="451"/>
      <c r="M170" s="499"/>
      <c r="N170" s="450"/>
      <c r="O170" s="500"/>
      <c r="P170" s="498"/>
      <c r="Q170" s="451"/>
    </row>
    <row r="171" spans="6:18" s="451" customFormat="1" ht="11.25">
      <c r="F171" s="498"/>
      <c r="G171" s="498"/>
      <c r="L171" s="390"/>
      <c r="M171" s="499"/>
      <c r="N171" s="450"/>
      <c r="O171" s="500"/>
      <c r="P171" s="498"/>
      <c r="R171" s="450"/>
    </row>
    <row r="172" spans="1:19" ht="13.5">
      <c r="A172" s="46" t="s">
        <v>283</v>
      </c>
      <c r="B172" s="489" t="s">
        <v>111</v>
      </c>
      <c r="C172" s="489" t="s">
        <v>253</v>
      </c>
      <c r="D172" s="489" t="s">
        <v>254</v>
      </c>
      <c r="E172" s="489" t="s">
        <v>255</v>
      </c>
      <c r="F172" s="490" t="s">
        <v>174</v>
      </c>
      <c r="G172" s="490" t="s">
        <v>256</v>
      </c>
      <c r="H172" s="489" t="s">
        <v>233</v>
      </c>
      <c r="I172" s="489" t="s">
        <v>257</v>
      </c>
      <c r="J172" s="489" t="s">
        <v>258</v>
      </c>
      <c r="K172" s="489" t="s">
        <v>259</v>
      </c>
      <c r="L172" s="489" t="s">
        <v>260</v>
      </c>
      <c r="M172" s="491" t="s">
        <v>261</v>
      </c>
      <c r="N172" s="489" t="s">
        <v>262</v>
      </c>
      <c r="O172" s="492" t="s">
        <v>223</v>
      </c>
      <c r="P172" s="490" t="s">
        <v>2093</v>
      </c>
      <c r="Q172" s="493" t="s">
        <v>2094</v>
      </c>
      <c r="R172" s="399" t="s">
        <v>2095</v>
      </c>
      <c r="S172" s="213"/>
    </row>
    <row r="173" spans="1:18" ht="13.5">
      <c r="A173" s="390" t="s">
        <v>2224</v>
      </c>
      <c r="B173" s="390">
        <v>1</v>
      </c>
      <c r="C173" s="390" t="s">
        <v>283</v>
      </c>
      <c r="D173" s="390" t="str">
        <f>IF(COUNTIF(AR_SHEET_スキル,"トゥーハンドアタック")&gt;0,"両手","片手")</f>
        <v>片手</v>
      </c>
      <c r="E173" s="390">
        <v>7</v>
      </c>
      <c r="F173" s="485">
        <v>-1</v>
      </c>
      <c r="G173" s="485">
        <f>7+IF(ISERROR(VLOOKUP("トゥーハンドアタック",AR_スキルSL,7,0))=TRUE,"0",VLOOKUP("トゥーハンドアタック",AR_スキルSL,7,0)*2)+COUNTIF(AR_SHEET_スキル,"レイディアントエッジ")*5</f>
        <v>7</v>
      </c>
      <c r="H173" s="390">
        <v>0</v>
      </c>
      <c r="I173" s="390">
        <v>0</v>
      </c>
      <c r="J173" s="390">
        <v>0</v>
      </c>
      <c r="K173" s="390">
        <v>0</v>
      </c>
      <c r="L173" s="390">
        <v>0</v>
      </c>
      <c r="M173" s="486" t="s">
        <v>572</v>
      </c>
      <c r="N173" s="506"/>
      <c r="O173" s="487">
        <v>0</v>
      </c>
      <c r="P173" s="485" t="s">
        <v>83</v>
      </c>
      <c r="R173" s="461" t="s">
        <v>2225</v>
      </c>
    </row>
    <row r="174" spans="1:18" ht="13.5">
      <c r="A174" s="390" t="s">
        <v>2226</v>
      </c>
      <c r="B174" s="390">
        <v>1</v>
      </c>
      <c r="C174" s="390" t="s">
        <v>283</v>
      </c>
      <c r="D174" s="390" t="str">
        <f>IF(COUNTIF(AR_SHEET_スキル,"トゥーハンドアタック")&gt;0,"両手","片手")</f>
        <v>片手</v>
      </c>
      <c r="E174" s="390">
        <v>9</v>
      </c>
      <c r="F174" s="485">
        <v>-1</v>
      </c>
      <c r="G174" s="485">
        <f>9+IF(ISERROR(VLOOKUP("トゥーハンドアタック",AR_スキルSL,7,0))=TRUE,"0",VLOOKUP("トゥーハンドアタック",AR_スキルSL,7,0)*2)+COUNTIF(AR_SHEET_スキル,"レイディアントエッジ")*5</f>
        <v>9</v>
      </c>
      <c r="H174" s="390">
        <v>0</v>
      </c>
      <c r="I174" s="390">
        <v>0</v>
      </c>
      <c r="J174" s="390">
        <v>0</v>
      </c>
      <c r="K174" s="390">
        <v>0</v>
      </c>
      <c r="L174" s="390">
        <v>0</v>
      </c>
      <c r="M174" s="486" t="s">
        <v>572</v>
      </c>
      <c r="N174" s="506"/>
      <c r="O174" s="487">
        <v>0</v>
      </c>
      <c r="P174" s="485" t="s">
        <v>83</v>
      </c>
      <c r="R174" s="461" t="s">
        <v>2225</v>
      </c>
    </row>
    <row r="175" spans="1:18" ht="13.5">
      <c r="A175" s="390" t="s">
        <v>2227</v>
      </c>
      <c r="B175" s="390">
        <v>3</v>
      </c>
      <c r="C175" s="390" t="s">
        <v>283</v>
      </c>
      <c r="D175" s="390" t="str">
        <f>IF(COUNTIF(AR_SHEET_スキル,"トゥーハンドアタック")&gt;0,"両手","片手")</f>
        <v>片手</v>
      </c>
      <c r="E175" s="390">
        <v>8</v>
      </c>
      <c r="F175" s="485">
        <v>-1</v>
      </c>
      <c r="G175" s="485">
        <f>10+IF(ISERROR(VLOOKUP("トゥーハンドアタック",AR_スキルSL,7,0))=TRUE,"0",VLOOKUP("トゥーハンドアタック",AR_スキルSL,7,0)*2)+COUNTIF(AR_SHEET_スキル,"レイディアントエッジ")*5</f>
        <v>10</v>
      </c>
      <c r="H175" s="390">
        <v>0</v>
      </c>
      <c r="I175" s="390">
        <v>0</v>
      </c>
      <c r="J175" s="390">
        <v>0</v>
      </c>
      <c r="K175" s="390">
        <v>0</v>
      </c>
      <c r="L175" s="390">
        <v>0</v>
      </c>
      <c r="M175" s="486" t="s">
        <v>572</v>
      </c>
      <c r="N175" s="506"/>
      <c r="O175" s="487">
        <v>0</v>
      </c>
      <c r="P175" s="485" t="s">
        <v>83</v>
      </c>
      <c r="R175" s="461" t="s">
        <v>2225</v>
      </c>
    </row>
    <row r="176" spans="1:18" ht="13.5">
      <c r="A176" s="390" t="s">
        <v>2228</v>
      </c>
      <c r="B176" s="390">
        <v>4</v>
      </c>
      <c r="C176" s="390" t="s">
        <v>283</v>
      </c>
      <c r="D176" s="390" t="str">
        <f>IF(COUNTIF(AR_SHEET_スキル,"トゥーハンドアタック")&gt;0,"両手","片手")</f>
        <v>片手</v>
      </c>
      <c r="E176" s="390">
        <v>9</v>
      </c>
      <c r="F176" s="485">
        <v>-1</v>
      </c>
      <c r="G176" s="485">
        <f>12+IF(ISERROR(VLOOKUP("トゥーハンドアタック",AR_スキルSL,7,0))=TRUE,"0",VLOOKUP("トゥーハンドアタック",AR_スキルSL,7,0)*2)+COUNTIF(AR_SHEET_スキル,"レイディアントエッジ")*5</f>
        <v>12</v>
      </c>
      <c r="H176" s="390">
        <v>0</v>
      </c>
      <c r="I176" s="390">
        <v>0</v>
      </c>
      <c r="J176" s="390">
        <v>0</v>
      </c>
      <c r="K176" s="390">
        <v>0</v>
      </c>
      <c r="L176" s="390">
        <v>0</v>
      </c>
      <c r="M176" s="486" t="s">
        <v>572</v>
      </c>
      <c r="N176" s="506"/>
      <c r="O176" s="487">
        <v>0</v>
      </c>
      <c r="P176" s="485" t="s">
        <v>83</v>
      </c>
      <c r="R176" s="461" t="s">
        <v>2225</v>
      </c>
    </row>
    <row r="177" spans="1:18" ht="13.5">
      <c r="A177" s="390" t="s">
        <v>2229</v>
      </c>
      <c r="B177" s="390">
        <v>6</v>
      </c>
      <c r="C177" s="390" t="s">
        <v>283</v>
      </c>
      <c r="D177" s="390" t="str">
        <f>IF(COUNTIF(AR_SHEET_スキル,"トゥーハンドアタック")&gt;0,"両手","片手")</f>
        <v>片手</v>
      </c>
      <c r="E177" s="390">
        <v>8</v>
      </c>
      <c r="F177" s="485">
        <v>-2</v>
      </c>
      <c r="G177" s="485">
        <f>14+IF(ISERROR(VLOOKUP("トゥーハンドアタック",AR_スキルSL,7,0))=TRUE,"0",VLOOKUP("トゥーハンドアタック",AR_スキルSL,7,0)*2)+COUNTIF(AR_SHEET_スキル,"レイディアントエッジ")*5</f>
        <v>14</v>
      </c>
      <c r="H177" s="390">
        <v>0</v>
      </c>
      <c r="I177" s="390">
        <v>0</v>
      </c>
      <c r="J177" s="390">
        <v>0</v>
      </c>
      <c r="K177" s="390">
        <v>0</v>
      </c>
      <c r="L177" s="390">
        <v>0</v>
      </c>
      <c r="M177" s="486" t="s">
        <v>572</v>
      </c>
      <c r="N177" s="506"/>
      <c r="O177" s="487">
        <v>0</v>
      </c>
      <c r="P177" s="485" t="s">
        <v>83</v>
      </c>
      <c r="R177" s="461" t="s">
        <v>2225</v>
      </c>
    </row>
    <row r="178" spans="1:18" ht="13.5">
      <c r="A178" s="390" t="s">
        <v>2230</v>
      </c>
      <c r="B178" s="390">
        <v>7</v>
      </c>
      <c r="C178" s="390" t="s">
        <v>283</v>
      </c>
      <c r="D178" s="390" t="str">
        <f>IF(COUNTIF(AR_SHEET_スキル,"トゥーハンドアタック")&gt;0,"両手","片手")</f>
        <v>片手</v>
      </c>
      <c r="E178" s="390">
        <v>8</v>
      </c>
      <c r="F178" s="485">
        <v>-1</v>
      </c>
      <c r="G178" s="485">
        <f>13+IF(ISERROR(VLOOKUP("トゥーハンドアタック",AR_スキルSL,7,0))=TRUE,"0",VLOOKUP("トゥーハンドアタック",AR_スキルSL,7,0)*2)+COUNTIF(AR_SHEET_スキル,"レイディアントエッジ")*5</f>
        <v>13</v>
      </c>
      <c r="H178" s="390">
        <v>0</v>
      </c>
      <c r="I178" s="390">
        <v>0</v>
      </c>
      <c r="J178" s="390">
        <v>0</v>
      </c>
      <c r="K178" s="390">
        <v>0</v>
      </c>
      <c r="L178" s="390">
        <v>0</v>
      </c>
      <c r="M178" s="486" t="s">
        <v>572</v>
      </c>
      <c r="N178" s="506"/>
      <c r="O178" s="487">
        <v>0</v>
      </c>
      <c r="P178" s="485" t="s">
        <v>83</v>
      </c>
      <c r="R178" s="461" t="s">
        <v>2225</v>
      </c>
    </row>
    <row r="179" spans="1:18" ht="13.5">
      <c r="A179" s="390" t="s">
        <v>2231</v>
      </c>
      <c r="B179" s="390">
        <v>9</v>
      </c>
      <c r="C179" s="390" t="s">
        <v>283</v>
      </c>
      <c r="D179" s="390" t="str">
        <f>IF(COUNTIF(AR_SHEET_スキル,"トゥーハンドアタック")&gt;0,"両手","片手")</f>
        <v>片手</v>
      </c>
      <c r="E179" s="390">
        <v>9</v>
      </c>
      <c r="F179" s="485">
        <v>-2</v>
      </c>
      <c r="G179" s="485">
        <f>17+IF(ISERROR(VLOOKUP("トゥーハンドアタック",AR_スキルSL,7,0))=TRUE,"0",VLOOKUP("トゥーハンドアタック",AR_スキルSL,7,0)*2)+COUNTIF(AR_SHEET_スキル,"レイディアントエッジ")*5</f>
        <v>17</v>
      </c>
      <c r="H179" s="390">
        <v>0</v>
      </c>
      <c r="I179" s="390">
        <v>0</v>
      </c>
      <c r="J179" s="390">
        <v>0</v>
      </c>
      <c r="K179" s="390">
        <v>0</v>
      </c>
      <c r="L179" s="390">
        <v>0</v>
      </c>
      <c r="M179" s="486" t="s">
        <v>572</v>
      </c>
      <c r="N179" s="506"/>
      <c r="O179" s="487">
        <v>0</v>
      </c>
      <c r="P179" s="485" t="s">
        <v>83</v>
      </c>
      <c r="R179" s="461" t="s">
        <v>2225</v>
      </c>
    </row>
    <row r="180" spans="1:18" ht="13.5">
      <c r="A180" s="390" t="s">
        <v>2232</v>
      </c>
      <c r="B180" s="390">
        <v>10</v>
      </c>
      <c r="C180" s="390" t="s">
        <v>283</v>
      </c>
      <c r="D180" s="390" t="str">
        <f>IF(COUNTIF(AR_SHEET_スキル,"トゥーハンドアタック")&gt;0,"両手","片手")</f>
        <v>片手</v>
      </c>
      <c r="E180" s="390">
        <v>10</v>
      </c>
      <c r="F180" s="485">
        <v>-1</v>
      </c>
      <c r="G180" s="485">
        <f>16+IF(ISERROR(VLOOKUP("トゥーハンドアタック",AR_スキルSL,7,0))=TRUE,"0",VLOOKUP("トゥーハンドアタック",AR_スキルSL,7,0)*2)+COUNTIF(AR_SHEET_スキル,"レイディアントエッジ")*5</f>
        <v>16</v>
      </c>
      <c r="H180" s="390">
        <v>0</v>
      </c>
      <c r="I180" s="390">
        <v>0</v>
      </c>
      <c r="J180" s="390">
        <v>0</v>
      </c>
      <c r="K180" s="390">
        <v>0</v>
      </c>
      <c r="L180" s="390">
        <v>0</v>
      </c>
      <c r="M180" s="486" t="s">
        <v>572</v>
      </c>
      <c r="N180" s="506"/>
      <c r="O180" s="487">
        <v>0</v>
      </c>
      <c r="P180" s="485" t="s">
        <v>83</v>
      </c>
      <c r="R180" s="461" t="s">
        <v>2225</v>
      </c>
    </row>
    <row r="181" spans="14:16" ht="13.5">
      <c r="N181" s="506"/>
      <c r="P181" s="485" t="s">
        <v>83</v>
      </c>
    </row>
    <row r="182" spans="14:16" ht="13.5">
      <c r="N182" s="506"/>
      <c r="P182" s="485" t="s">
        <v>83</v>
      </c>
    </row>
    <row r="183" spans="14:16" ht="13.5">
      <c r="N183" s="506"/>
      <c r="P183" s="485" t="s">
        <v>83</v>
      </c>
    </row>
    <row r="184" spans="14:16" ht="13.5">
      <c r="N184" s="506"/>
      <c r="P184" s="485" t="s">
        <v>83</v>
      </c>
    </row>
    <row r="185" spans="14:16" ht="13.5">
      <c r="N185" s="506"/>
      <c r="P185" s="485" t="s">
        <v>83</v>
      </c>
    </row>
    <row r="186" spans="14:16" ht="13.5">
      <c r="N186" s="506"/>
      <c r="P186" s="485" t="s">
        <v>83</v>
      </c>
    </row>
    <row r="187" spans="1:19" ht="13.5">
      <c r="A187" s="46" t="s">
        <v>289</v>
      </c>
      <c r="B187" s="489" t="s">
        <v>111</v>
      </c>
      <c r="C187" s="489" t="s">
        <v>253</v>
      </c>
      <c r="D187" s="489" t="s">
        <v>254</v>
      </c>
      <c r="E187" s="489" t="s">
        <v>255</v>
      </c>
      <c r="F187" s="490" t="s">
        <v>174</v>
      </c>
      <c r="G187" s="490" t="s">
        <v>256</v>
      </c>
      <c r="H187" s="489" t="s">
        <v>233</v>
      </c>
      <c r="I187" s="489" t="s">
        <v>257</v>
      </c>
      <c r="J187" s="489" t="s">
        <v>258</v>
      </c>
      <c r="K187" s="489" t="s">
        <v>259</v>
      </c>
      <c r="L187" s="489" t="s">
        <v>260</v>
      </c>
      <c r="M187" s="491" t="s">
        <v>261</v>
      </c>
      <c r="N187" s="489" t="s">
        <v>262</v>
      </c>
      <c r="O187" s="492" t="s">
        <v>223</v>
      </c>
      <c r="P187" s="490" t="s">
        <v>2093</v>
      </c>
      <c r="Q187" s="493" t="s">
        <v>2094</v>
      </c>
      <c r="R187" s="399" t="s">
        <v>2095</v>
      </c>
      <c r="S187" s="213"/>
    </row>
    <row r="188" spans="1:16" ht="11.25" customHeight="1">
      <c r="A188" s="390" t="s">
        <v>2233</v>
      </c>
      <c r="B188" s="390">
        <v>1</v>
      </c>
      <c r="C188" s="390" t="s">
        <v>289</v>
      </c>
      <c r="D188" s="390" t="s">
        <v>2124</v>
      </c>
      <c r="E188" s="390">
        <v>3</v>
      </c>
      <c r="F188" s="485">
        <v>-2</v>
      </c>
      <c r="G188" s="485">
        <v>5</v>
      </c>
      <c r="H188" s="390">
        <v>0</v>
      </c>
      <c r="I188" s="390">
        <v>0</v>
      </c>
      <c r="J188" s="390">
        <v>0</v>
      </c>
      <c r="K188" s="390">
        <v>0</v>
      </c>
      <c r="L188" s="390">
        <v>0</v>
      </c>
      <c r="M188" s="486" t="s">
        <v>572</v>
      </c>
      <c r="O188" s="487">
        <v>30</v>
      </c>
      <c r="P188" s="485" t="s">
        <v>83</v>
      </c>
    </row>
    <row r="189" spans="1:16" ht="11.25" customHeight="1">
      <c r="A189" s="390" t="s">
        <v>2234</v>
      </c>
      <c r="B189" s="390">
        <v>2</v>
      </c>
      <c r="C189" s="390" t="s">
        <v>289</v>
      </c>
      <c r="D189" s="390" t="s">
        <v>2124</v>
      </c>
      <c r="E189" s="390">
        <v>3</v>
      </c>
      <c r="F189" s="485">
        <v>-2</v>
      </c>
      <c r="G189" s="485">
        <v>6</v>
      </c>
      <c r="H189" s="390">
        <v>0</v>
      </c>
      <c r="I189" s="390">
        <v>0</v>
      </c>
      <c r="J189" s="390">
        <v>0</v>
      </c>
      <c r="K189" s="390">
        <v>0</v>
      </c>
      <c r="L189" s="390">
        <v>0</v>
      </c>
      <c r="M189" s="486" t="s">
        <v>572</v>
      </c>
      <c r="O189" s="487">
        <v>80</v>
      </c>
      <c r="P189" s="485" t="s">
        <v>83</v>
      </c>
    </row>
    <row r="190" spans="1:16" ht="11.25" customHeight="1">
      <c r="A190" s="390" t="s">
        <v>2235</v>
      </c>
      <c r="B190" s="390">
        <v>3</v>
      </c>
      <c r="C190" s="390" t="s">
        <v>289</v>
      </c>
      <c r="D190" s="390" t="s">
        <v>2124</v>
      </c>
      <c r="E190" s="390">
        <v>4</v>
      </c>
      <c r="F190" s="485">
        <v>-2</v>
      </c>
      <c r="G190" s="485">
        <v>7</v>
      </c>
      <c r="H190" s="390">
        <v>0</v>
      </c>
      <c r="I190" s="390">
        <v>0</v>
      </c>
      <c r="J190" s="390">
        <v>0</v>
      </c>
      <c r="K190" s="390">
        <v>0</v>
      </c>
      <c r="L190" s="390">
        <v>0</v>
      </c>
      <c r="M190" s="486" t="s">
        <v>572</v>
      </c>
      <c r="O190" s="487">
        <v>130</v>
      </c>
      <c r="P190" s="485" t="s">
        <v>83</v>
      </c>
    </row>
    <row r="191" spans="1:16" ht="11.25" customHeight="1">
      <c r="A191" s="390" t="s">
        <v>2236</v>
      </c>
      <c r="B191" s="390">
        <v>4</v>
      </c>
      <c r="C191" s="390" t="s">
        <v>289</v>
      </c>
      <c r="D191" s="390" t="s">
        <v>2124</v>
      </c>
      <c r="E191" s="390">
        <v>4</v>
      </c>
      <c r="F191" s="485">
        <v>-2</v>
      </c>
      <c r="G191" s="485">
        <v>8</v>
      </c>
      <c r="H191" s="390">
        <v>0</v>
      </c>
      <c r="I191" s="390">
        <v>0</v>
      </c>
      <c r="J191" s="390">
        <v>0</v>
      </c>
      <c r="K191" s="390">
        <v>0</v>
      </c>
      <c r="L191" s="390">
        <v>0</v>
      </c>
      <c r="M191" s="486" t="s">
        <v>572</v>
      </c>
      <c r="O191" s="487">
        <v>390</v>
      </c>
      <c r="P191" s="485" t="s">
        <v>83</v>
      </c>
    </row>
    <row r="192" spans="1:16" ht="11.25" customHeight="1">
      <c r="A192" s="390" t="s">
        <v>2237</v>
      </c>
      <c r="B192" s="390">
        <v>5</v>
      </c>
      <c r="C192" s="390" t="s">
        <v>2238</v>
      </c>
      <c r="D192" s="390" t="s">
        <v>2124</v>
      </c>
      <c r="E192" s="390">
        <v>5</v>
      </c>
      <c r="F192" s="485">
        <v>-3</v>
      </c>
      <c r="G192" s="485">
        <v>7</v>
      </c>
      <c r="H192" s="390">
        <v>0</v>
      </c>
      <c r="I192" s="390">
        <v>0</v>
      </c>
      <c r="J192" s="390">
        <v>0</v>
      </c>
      <c r="K192" s="390">
        <v>0</v>
      </c>
      <c r="L192" s="390">
        <v>0</v>
      </c>
      <c r="M192" s="486" t="s">
        <v>572</v>
      </c>
      <c r="O192" s="487">
        <v>900</v>
      </c>
      <c r="P192" s="485" t="s">
        <v>83</v>
      </c>
    </row>
    <row r="193" spans="1:18" s="451" customFormat="1" ht="11.25" customHeight="1">
      <c r="A193" s="390" t="s">
        <v>2239</v>
      </c>
      <c r="B193" s="390">
        <v>6</v>
      </c>
      <c r="C193" s="390" t="s">
        <v>289</v>
      </c>
      <c r="D193" s="390" t="s">
        <v>2124</v>
      </c>
      <c r="E193" s="390">
        <v>6</v>
      </c>
      <c r="F193" s="485">
        <v>-2</v>
      </c>
      <c r="G193" s="485">
        <v>10</v>
      </c>
      <c r="H193" s="390">
        <v>0</v>
      </c>
      <c r="I193" s="390">
        <v>0</v>
      </c>
      <c r="J193" s="390">
        <v>0</v>
      </c>
      <c r="K193" s="390">
        <v>0</v>
      </c>
      <c r="L193" s="390">
        <v>0</v>
      </c>
      <c r="M193" s="486" t="s">
        <v>572</v>
      </c>
      <c r="N193" s="461"/>
      <c r="O193" s="487">
        <v>820</v>
      </c>
      <c r="P193" s="485" t="s">
        <v>83</v>
      </c>
      <c r="Q193" s="390"/>
      <c r="R193" s="450"/>
    </row>
    <row r="194" spans="1:18" s="451" customFormat="1" ht="11.25" customHeight="1">
      <c r="A194" s="390" t="s">
        <v>2240</v>
      </c>
      <c r="B194" s="390">
        <v>7</v>
      </c>
      <c r="C194" s="390" t="s">
        <v>2241</v>
      </c>
      <c r="D194" s="390" t="s">
        <v>2124</v>
      </c>
      <c r="E194" s="390">
        <v>7</v>
      </c>
      <c r="F194" s="485">
        <v>-3</v>
      </c>
      <c r="G194" s="485">
        <v>9</v>
      </c>
      <c r="H194" s="390">
        <v>0</v>
      </c>
      <c r="I194" s="390">
        <v>0</v>
      </c>
      <c r="J194" s="390">
        <v>0</v>
      </c>
      <c r="K194" s="390">
        <v>0</v>
      </c>
      <c r="L194" s="390">
        <v>0</v>
      </c>
      <c r="M194" s="486" t="s">
        <v>572</v>
      </c>
      <c r="N194" s="461"/>
      <c r="O194" s="487">
        <v>1200</v>
      </c>
      <c r="P194" s="485" t="s">
        <v>83</v>
      </c>
      <c r="Q194" s="390"/>
      <c r="R194" s="450"/>
    </row>
    <row r="195" spans="1:16" ht="11.25" customHeight="1">
      <c r="A195" s="390" t="s">
        <v>2242</v>
      </c>
      <c r="B195" s="390">
        <v>8</v>
      </c>
      <c r="C195" s="390" t="s">
        <v>289</v>
      </c>
      <c r="D195" s="390" t="s">
        <v>2124</v>
      </c>
      <c r="E195" s="390">
        <v>8</v>
      </c>
      <c r="F195" s="485">
        <v>-2</v>
      </c>
      <c r="G195" s="485">
        <v>12</v>
      </c>
      <c r="H195" s="390">
        <v>0</v>
      </c>
      <c r="I195" s="390">
        <v>0</v>
      </c>
      <c r="J195" s="390">
        <v>0</v>
      </c>
      <c r="K195" s="390">
        <v>0</v>
      </c>
      <c r="L195" s="390">
        <v>0</v>
      </c>
      <c r="M195" s="486" t="s">
        <v>572</v>
      </c>
      <c r="O195" s="487">
        <v>1800</v>
      </c>
      <c r="P195" s="485" t="s">
        <v>83</v>
      </c>
    </row>
    <row r="196" spans="1:16" ht="11.25" customHeight="1">
      <c r="A196" s="390" t="s">
        <v>2243</v>
      </c>
      <c r="B196" s="390">
        <v>9</v>
      </c>
      <c r="C196" s="390" t="s">
        <v>2238</v>
      </c>
      <c r="D196" s="390" t="s">
        <v>2124</v>
      </c>
      <c r="E196" s="390">
        <v>9</v>
      </c>
      <c r="F196" s="485">
        <v>-3</v>
      </c>
      <c r="G196" s="485">
        <v>11</v>
      </c>
      <c r="H196" s="390">
        <v>0</v>
      </c>
      <c r="I196" s="390">
        <v>0</v>
      </c>
      <c r="J196" s="390">
        <v>0</v>
      </c>
      <c r="K196" s="390">
        <v>0</v>
      </c>
      <c r="L196" s="390">
        <v>0</v>
      </c>
      <c r="M196" s="486" t="s">
        <v>572</v>
      </c>
      <c r="O196" s="487">
        <v>2700</v>
      </c>
      <c r="P196" s="485" t="s">
        <v>83</v>
      </c>
    </row>
    <row r="197" spans="1:16" ht="11.25" customHeight="1">
      <c r="A197" s="390" t="s">
        <v>2244</v>
      </c>
      <c r="B197" s="390">
        <v>10</v>
      </c>
      <c r="C197" s="390" t="s">
        <v>289</v>
      </c>
      <c r="D197" s="390" t="s">
        <v>2124</v>
      </c>
      <c r="E197" s="390">
        <v>10</v>
      </c>
      <c r="F197" s="485">
        <v>-2</v>
      </c>
      <c r="G197" s="485">
        <v>14</v>
      </c>
      <c r="H197" s="390">
        <v>0</v>
      </c>
      <c r="I197" s="390">
        <v>0</v>
      </c>
      <c r="J197" s="390">
        <v>0</v>
      </c>
      <c r="K197" s="390">
        <v>0</v>
      </c>
      <c r="L197" s="390">
        <v>0</v>
      </c>
      <c r="M197" s="486" t="s">
        <v>572</v>
      </c>
      <c r="O197" s="487">
        <v>3000</v>
      </c>
      <c r="P197" s="485" t="s">
        <v>83</v>
      </c>
    </row>
    <row r="198" spans="1:17" ht="11.25" customHeight="1">
      <c r="A198" s="451" t="s">
        <v>2245</v>
      </c>
      <c r="B198" s="451">
        <v>2</v>
      </c>
      <c r="C198" s="451" t="s">
        <v>289</v>
      </c>
      <c r="D198" s="451" t="s">
        <v>2124</v>
      </c>
      <c r="E198" s="451">
        <v>3</v>
      </c>
      <c r="F198" s="498">
        <v>-2</v>
      </c>
      <c r="G198" s="498">
        <v>6</v>
      </c>
      <c r="H198" s="451">
        <v>0</v>
      </c>
      <c r="I198" s="451">
        <v>0</v>
      </c>
      <c r="J198" s="451">
        <v>0</v>
      </c>
      <c r="K198" s="451">
        <v>0</v>
      </c>
      <c r="L198" s="390">
        <v>0</v>
      </c>
      <c r="M198" s="499" t="s">
        <v>572</v>
      </c>
      <c r="N198" s="450"/>
      <c r="O198" s="500">
        <v>1200</v>
      </c>
      <c r="P198" s="498">
        <v>10</v>
      </c>
      <c r="Q198" s="451"/>
    </row>
    <row r="199" spans="1:17" ht="11.25" customHeight="1">
      <c r="A199" s="451" t="s">
        <v>2246</v>
      </c>
      <c r="B199" s="451">
        <v>4</v>
      </c>
      <c r="C199" s="451" t="s">
        <v>289</v>
      </c>
      <c r="D199" s="451" t="s">
        <v>2124</v>
      </c>
      <c r="E199" s="451">
        <v>4</v>
      </c>
      <c r="F199" s="498">
        <v>-2</v>
      </c>
      <c r="G199" s="498">
        <v>7</v>
      </c>
      <c r="H199" s="451">
        <v>0</v>
      </c>
      <c r="I199" s="451">
        <v>0</v>
      </c>
      <c r="J199" s="451">
        <v>0</v>
      </c>
      <c r="K199" s="451">
        <v>0</v>
      </c>
      <c r="L199" s="390">
        <v>0</v>
      </c>
      <c r="M199" s="499" t="s">
        <v>572</v>
      </c>
      <c r="N199" s="450"/>
      <c r="O199" s="500">
        <v>2500</v>
      </c>
      <c r="P199" s="498">
        <v>12</v>
      </c>
      <c r="Q199" s="451"/>
    </row>
    <row r="200" spans="1:17" ht="11.25" customHeight="1">
      <c r="A200" s="451" t="s">
        <v>2247</v>
      </c>
      <c r="B200" s="451">
        <v>5</v>
      </c>
      <c r="C200" s="451" t="s">
        <v>2248</v>
      </c>
      <c r="D200" s="451" t="s">
        <v>2124</v>
      </c>
      <c r="E200" s="451">
        <v>5</v>
      </c>
      <c r="F200" s="498">
        <v>-3</v>
      </c>
      <c r="G200" s="498">
        <v>10</v>
      </c>
      <c r="H200" s="451">
        <v>0</v>
      </c>
      <c r="I200" s="451">
        <v>0</v>
      </c>
      <c r="J200" s="451">
        <v>0</v>
      </c>
      <c r="K200" s="451">
        <v>0</v>
      </c>
      <c r="L200" s="390">
        <v>0</v>
      </c>
      <c r="M200" s="499" t="s">
        <v>572</v>
      </c>
      <c r="N200" s="450" t="s">
        <v>2249</v>
      </c>
      <c r="O200" s="500">
        <v>4500</v>
      </c>
      <c r="P200" s="498">
        <v>14</v>
      </c>
      <c r="Q200" s="451"/>
    </row>
    <row r="201" spans="1:18" s="451" customFormat="1" ht="11.25" customHeight="1">
      <c r="A201" s="451" t="s">
        <v>2250</v>
      </c>
      <c r="B201" s="451">
        <v>6</v>
      </c>
      <c r="C201" s="451" t="s">
        <v>289</v>
      </c>
      <c r="D201" s="451" t="s">
        <v>2124</v>
      </c>
      <c r="E201" s="451">
        <v>5</v>
      </c>
      <c r="F201" s="498">
        <v>-2</v>
      </c>
      <c r="G201" s="498">
        <v>11</v>
      </c>
      <c r="H201" s="451">
        <v>0</v>
      </c>
      <c r="I201" s="451">
        <v>0</v>
      </c>
      <c r="J201" s="451">
        <v>0</v>
      </c>
      <c r="K201" s="451">
        <v>-2</v>
      </c>
      <c r="L201" s="390">
        <v>0</v>
      </c>
      <c r="M201" s="499" t="s">
        <v>572</v>
      </c>
      <c r="N201" s="450"/>
      <c r="O201" s="500">
        <v>6600</v>
      </c>
      <c r="P201" s="498">
        <v>15</v>
      </c>
      <c r="R201" s="450"/>
    </row>
    <row r="202" spans="1:18" s="451" customFormat="1" ht="11.25" customHeight="1">
      <c r="A202" s="451" t="s">
        <v>2251</v>
      </c>
      <c r="B202" s="451">
        <v>8</v>
      </c>
      <c r="C202" s="451" t="s">
        <v>289</v>
      </c>
      <c r="D202" s="451" t="s">
        <v>2124</v>
      </c>
      <c r="E202" s="451">
        <v>8</v>
      </c>
      <c r="F202" s="498">
        <v>-1</v>
      </c>
      <c r="G202" s="498">
        <v>11</v>
      </c>
      <c r="H202" s="451">
        <v>0</v>
      </c>
      <c r="I202" s="451">
        <v>0</v>
      </c>
      <c r="J202" s="451">
        <v>0</v>
      </c>
      <c r="K202" s="451">
        <v>0</v>
      </c>
      <c r="L202" s="390">
        <v>0</v>
      </c>
      <c r="M202" s="499" t="s">
        <v>572</v>
      </c>
      <c r="N202" s="450"/>
      <c r="O202" s="500">
        <v>8000</v>
      </c>
      <c r="P202" s="498">
        <v>16</v>
      </c>
      <c r="R202" s="450"/>
    </row>
    <row r="203" spans="1:17" ht="11.25" customHeight="1">
      <c r="A203" s="451" t="s">
        <v>2252</v>
      </c>
      <c r="B203" s="451">
        <v>9</v>
      </c>
      <c r="C203" s="451" t="s">
        <v>289</v>
      </c>
      <c r="D203" s="451" t="s">
        <v>2124</v>
      </c>
      <c r="E203" s="451">
        <v>7</v>
      </c>
      <c r="F203" s="498">
        <v>-2</v>
      </c>
      <c r="G203" s="498">
        <v>14</v>
      </c>
      <c r="H203" s="451">
        <v>0</v>
      </c>
      <c r="I203" s="451">
        <v>0</v>
      </c>
      <c r="J203" s="451">
        <v>0</v>
      </c>
      <c r="K203" s="451">
        <v>0</v>
      </c>
      <c r="L203" s="390">
        <v>0</v>
      </c>
      <c r="M203" s="499" t="s">
        <v>572</v>
      </c>
      <c r="N203" s="450"/>
      <c r="O203" s="500">
        <v>14300</v>
      </c>
      <c r="P203" s="498">
        <v>16</v>
      </c>
      <c r="Q203" s="451"/>
    </row>
    <row r="204" spans="1:256" ht="13.5">
      <c r="A204" s="451"/>
      <c r="B204" s="451"/>
      <c r="C204" s="451"/>
      <c r="D204" s="451"/>
      <c r="E204" s="451"/>
      <c r="F204" s="498"/>
      <c r="G204" s="498"/>
      <c r="H204" s="451"/>
      <c r="I204" s="451"/>
      <c r="J204" s="451"/>
      <c r="K204" s="451"/>
      <c r="M204" s="499"/>
      <c r="N204" s="450"/>
      <c r="O204" s="500"/>
      <c r="P204" s="498"/>
      <c r="Q204" s="451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17" ht="13.5">
      <c r="A205" s="451"/>
      <c r="B205" s="451"/>
      <c r="C205" s="451"/>
      <c r="D205" s="451"/>
      <c r="E205" s="451"/>
      <c r="F205" s="498"/>
      <c r="G205" s="498"/>
      <c r="H205" s="451"/>
      <c r="I205" s="451"/>
      <c r="J205" s="451"/>
      <c r="K205" s="451"/>
      <c r="M205" s="499"/>
      <c r="N205" s="450"/>
      <c r="O205" s="500"/>
      <c r="P205" s="498"/>
      <c r="Q205" s="451"/>
    </row>
    <row r="206" spans="1:17" ht="13.5">
      <c r="A206" s="451"/>
      <c r="B206" s="451"/>
      <c r="C206" s="451"/>
      <c r="D206" s="451"/>
      <c r="E206" s="451"/>
      <c r="F206" s="498"/>
      <c r="G206" s="498"/>
      <c r="H206" s="451"/>
      <c r="I206" s="451"/>
      <c r="J206" s="451"/>
      <c r="K206" s="451"/>
      <c r="M206" s="499"/>
      <c r="N206" s="450"/>
      <c r="O206" s="500"/>
      <c r="P206" s="498"/>
      <c r="Q206" s="451"/>
    </row>
    <row r="207" spans="1:17" ht="13.5">
      <c r="A207" s="451"/>
      <c r="B207" s="451"/>
      <c r="C207" s="451"/>
      <c r="D207" s="451"/>
      <c r="E207" s="451"/>
      <c r="F207" s="498"/>
      <c r="G207" s="498"/>
      <c r="H207" s="451"/>
      <c r="I207" s="451"/>
      <c r="J207" s="451"/>
      <c r="K207" s="451"/>
      <c r="M207" s="499"/>
      <c r="N207" s="450"/>
      <c r="O207" s="500"/>
      <c r="P207" s="498"/>
      <c r="Q207" s="451"/>
    </row>
    <row r="208" spans="1:17" ht="13.5">
      <c r="A208" s="451"/>
      <c r="B208" s="451"/>
      <c r="C208" s="451"/>
      <c r="D208" s="451"/>
      <c r="E208" s="451"/>
      <c r="F208" s="498"/>
      <c r="G208" s="498"/>
      <c r="H208" s="451"/>
      <c r="I208" s="451"/>
      <c r="J208" s="451"/>
      <c r="K208" s="451"/>
      <c r="M208" s="499"/>
      <c r="N208" s="450"/>
      <c r="O208" s="500"/>
      <c r="P208" s="498"/>
      <c r="Q208" s="451"/>
    </row>
    <row r="209" spans="6:18" s="451" customFormat="1" ht="11.25">
      <c r="F209" s="498"/>
      <c r="G209" s="498"/>
      <c r="L209" s="390"/>
      <c r="M209" s="499"/>
      <c r="N209" s="450"/>
      <c r="O209" s="500"/>
      <c r="P209" s="498"/>
      <c r="R209" s="450"/>
    </row>
    <row r="210" spans="6:18" s="451" customFormat="1" ht="11.25">
      <c r="F210" s="498"/>
      <c r="G210" s="498"/>
      <c r="L210" s="390"/>
      <c r="M210" s="499"/>
      <c r="N210" s="450"/>
      <c r="O210" s="500"/>
      <c r="P210" s="498"/>
      <c r="R210" s="450"/>
    </row>
    <row r="211" spans="1:17" ht="13.5">
      <c r="A211" s="451"/>
      <c r="B211" s="451"/>
      <c r="C211" s="451"/>
      <c r="D211" s="451"/>
      <c r="E211" s="451"/>
      <c r="F211" s="498"/>
      <c r="G211" s="498"/>
      <c r="H211" s="451"/>
      <c r="I211" s="451"/>
      <c r="J211" s="451"/>
      <c r="K211" s="451"/>
      <c r="M211" s="499"/>
      <c r="N211" s="450"/>
      <c r="O211" s="500"/>
      <c r="P211" s="498"/>
      <c r="Q211" s="451"/>
    </row>
    <row r="212" spans="1:256" ht="13.5">
      <c r="A212" s="451"/>
      <c r="B212" s="451"/>
      <c r="C212" s="451"/>
      <c r="D212" s="451"/>
      <c r="E212" s="451"/>
      <c r="F212" s="498"/>
      <c r="G212" s="498"/>
      <c r="H212" s="451"/>
      <c r="I212" s="451"/>
      <c r="J212" s="451"/>
      <c r="K212" s="451"/>
      <c r="M212" s="499"/>
      <c r="N212" s="450"/>
      <c r="O212" s="500"/>
      <c r="P212" s="498"/>
      <c r="Q212" s="451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19" ht="13.5">
      <c r="A213" s="46" t="s">
        <v>296</v>
      </c>
      <c r="B213" s="489" t="s">
        <v>111</v>
      </c>
      <c r="C213" s="489" t="s">
        <v>253</v>
      </c>
      <c r="D213" s="489" t="s">
        <v>254</v>
      </c>
      <c r="E213" s="489" t="s">
        <v>255</v>
      </c>
      <c r="F213" s="490" t="s">
        <v>174</v>
      </c>
      <c r="G213" s="490" t="s">
        <v>256</v>
      </c>
      <c r="H213" s="489" t="s">
        <v>233</v>
      </c>
      <c r="I213" s="489" t="s">
        <v>257</v>
      </c>
      <c r="J213" s="489" t="s">
        <v>258</v>
      </c>
      <c r="K213" s="489" t="s">
        <v>259</v>
      </c>
      <c r="L213" s="489" t="s">
        <v>260</v>
      </c>
      <c r="M213" s="491" t="s">
        <v>261</v>
      </c>
      <c r="N213" s="489" t="s">
        <v>262</v>
      </c>
      <c r="O213" s="492" t="s">
        <v>223</v>
      </c>
      <c r="P213" s="490" t="s">
        <v>2093</v>
      </c>
      <c r="Q213" s="493" t="s">
        <v>2094</v>
      </c>
      <c r="R213" s="399" t="s">
        <v>2095</v>
      </c>
      <c r="S213" s="213"/>
    </row>
    <row r="214" spans="1:16" ht="11.25" customHeight="1">
      <c r="A214" s="390" t="s">
        <v>2253</v>
      </c>
      <c r="B214" s="390">
        <v>1</v>
      </c>
      <c r="C214" s="390" t="s">
        <v>296</v>
      </c>
      <c r="D214" s="390" t="s">
        <v>2124</v>
      </c>
      <c r="E214" s="390">
        <v>8</v>
      </c>
      <c r="F214" s="485">
        <v>-2</v>
      </c>
      <c r="G214" s="485">
        <v>8</v>
      </c>
      <c r="H214" s="390">
        <v>0</v>
      </c>
      <c r="I214" s="390">
        <v>0</v>
      </c>
      <c r="J214" s="390">
        <v>0</v>
      </c>
      <c r="K214" s="390">
        <v>-1</v>
      </c>
      <c r="L214" s="390">
        <v>0</v>
      </c>
      <c r="M214" s="486" t="s">
        <v>572</v>
      </c>
      <c r="N214" s="461" t="s">
        <v>2125</v>
      </c>
      <c r="O214" s="487">
        <v>100</v>
      </c>
      <c r="P214" s="485" t="s">
        <v>83</v>
      </c>
    </row>
    <row r="215" spans="1:16" ht="11.25" customHeight="1">
      <c r="A215" s="390" t="s">
        <v>2254</v>
      </c>
      <c r="B215" s="390">
        <v>1</v>
      </c>
      <c r="C215" s="390" t="s">
        <v>296</v>
      </c>
      <c r="D215" s="390" t="s">
        <v>2156</v>
      </c>
      <c r="E215" s="390">
        <v>10</v>
      </c>
      <c r="F215" s="485">
        <v>-2</v>
      </c>
      <c r="G215" s="485">
        <v>11</v>
      </c>
      <c r="H215" s="390">
        <v>0</v>
      </c>
      <c r="I215" s="390">
        <v>0</v>
      </c>
      <c r="J215" s="390">
        <v>0</v>
      </c>
      <c r="K215" s="390">
        <v>-2</v>
      </c>
      <c r="L215" s="390">
        <v>0</v>
      </c>
      <c r="M215" s="486" t="s">
        <v>572</v>
      </c>
      <c r="O215" s="487">
        <v>160</v>
      </c>
      <c r="P215" s="485" t="s">
        <v>83</v>
      </c>
    </row>
    <row r="216" spans="1:16" ht="11.25" customHeight="1">
      <c r="A216" s="390" t="s">
        <v>2255</v>
      </c>
      <c r="B216" s="390">
        <v>1</v>
      </c>
      <c r="C216" s="390" t="s">
        <v>296</v>
      </c>
      <c r="D216" s="390" t="s">
        <v>2156</v>
      </c>
      <c r="E216" s="390">
        <v>10</v>
      </c>
      <c r="F216" s="485">
        <v>-3</v>
      </c>
      <c r="G216" s="485">
        <v>13</v>
      </c>
      <c r="H216" s="390">
        <v>0</v>
      </c>
      <c r="I216" s="390">
        <v>0</v>
      </c>
      <c r="J216" s="390">
        <v>0</v>
      </c>
      <c r="K216" s="390">
        <v>-2</v>
      </c>
      <c r="L216" s="390">
        <v>0</v>
      </c>
      <c r="M216" s="486" t="s">
        <v>572</v>
      </c>
      <c r="O216" s="487">
        <v>220</v>
      </c>
      <c r="P216" s="485" t="s">
        <v>83</v>
      </c>
    </row>
    <row r="217" spans="1:16" ht="11.25" customHeight="1">
      <c r="A217" s="390" t="s">
        <v>2256</v>
      </c>
      <c r="B217" s="390">
        <v>2</v>
      </c>
      <c r="C217" s="390" t="s">
        <v>296</v>
      </c>
      <c r="D217" s="390" t="s">
        <v>2124</v>
      </c>
      <c r="E217" s="390">
        <v>9</v>
      </c>
      <c r="F217" s="485">
        <v>-2</v>
      </c>
      <c r="G217" s="485">
        <v>9</v>
      </c>
      <c r="H217" s="390">
        <v>0</v>
      </c>
      <c r="I217" s="390">
        <v>0</v>
      </c>
      <c r="J217" s="390">
        <v>0</v>
      </c>
      <c r="K217" s="390">
        <v>-1</v>
      </c>
      <c r="L217" s="390">
        <v>0</v>
      </c>
      <c r="M217" s="486" t="s">
        <v>572</v>
      </c>
      <c r="O217" s="487">
        <v>130</v>
      </c>
      <c r="P217" s="485" t="s">
        <v>83</v>
      </c>
    </row>
    <row r="218" spans="1:18" s="451" customFormat="1" ht="11.25" customHeight="1">
      <c r="A218" s="390" t="s">
        <v>2257</v>
      </c>
      <c r="B218" s="390">
        <v>2</v>
      </c>
      <c r="C218" s="390" t="s">
        <v>296</v>
      </c>
      <c r="D218" s="390" t="s">
        <v>2156</v>
      </c>
      <c r="E218" s="390">
        <v>10</v>
      </c>
      <c r="F218" s="485">
        <v>-2</v>
      </c>
      <c r="G218" s="485">
        <v>12</v>
      </c>
      <c r="H218" s="390">
        <v>0</v>
      </c>
      <c r="I218" s="390">
        <v>0</v>
      </c>
      <c r="J218" s="390">
        <v>0</v>
      </c>
      <c r="K218" s="390">
        <v>-2</v>
      </c>
      <c r="L218" s="390">
        <v>0</v>
      </c>
      <c r="M218" s="486" t="s">
        <v>572</v>
      </c>
      <c r="N218" s="461"/>
      <c r="O218" s="487">
        <v>330</v>
      </c>
      <c r="P218" s="485" t="s">
        <v>83</v>
      </c>
      <c r="Q218" s="390"/>
      <c r="R218" s="450"/>
    </row>
    <row r="219" spans="1:18" s="451" customFormat="1" ht="11.25" customHeight="1">
      <c r="A219" s="390" t="s">
        <v>2258</v>
      </c>
      <c r="B219" s="390">
        <v>3</v>
      </c>
      <c r="C219" s="390" t="s">
        <v>296</v>
      </c>
      <c r="D219" s="390" t="s">
        <v>2124</v>
      </c>
      <c r="E219" s="390">
        <v>10</v>
      </c>
      <c r="F219" s="485">
        <v>-2</v>
      </c>
      <c r="G219" s="485">
        <v>10</v>
      </c>
      <c r="H219" s="390">
        <v>0</v>
      </c>
      <c r="I219" s="390">
        <v>0</v>
      </c>
      <c r="J219" s="390">
        <v>0</v>
      </c>
      <c r="K219" s="390">
        <v>-1</v>
      </c>
      <c r="L219" s="390">
        <v>0</v>
      </c>
      <c r="M219" s="486" t="s">
        <v>572</v>
      </c>
      <c r="N219" s="461"/>
      <c r="O219" s="487">
        <v>350</v>
      </c>
      <c r="P219" s="485" t="s">
        <v>83</v>
      </c>
      <c r="Q219" s="390"/>
      <c r="R219" s="450"/>
    </row>
    <row r="220" spans="1:16" ht="11.25" customHeight="1">
      <c r="A220" s="390" t="s">
        <v>2259</v>
      </c>
      <c r="B220" s="390">
        <v>3</v>
      </c>
      <c r="C220" s="390" t="s">
        <v>296</v>
      </c>
      <c r="D220" s="390" t="s">
        <v>2156</v>
      </c>
      <c r="E220" s="390">
        <v>11</v>
      </c>
      <c r="F220" s="485">
        <v>-2</v>
      </c>
      <c r="G220" s="485">
        <v>13</v>
      </c>
      <c r="H220" s="390">
        <v>0</v>
      </c>
      <c r="I220" s="390">
        <v>0</v>
      </c>
      <c r="J220" s="390">
        <v>0</v>
      </c>
      <c r="K220" s="390">
        <v>-2</v>
      </c>
      <c r="L220" s="390">
        <v>0</v>
      </c>
      <c r="M220" s="486" t="s">
        <v>572</v>
      </c>
      <c r="O220" s="487">
        <v>670</v>
      </c>
      <c r="P220" s="485" t="s">
        <v>83</v>
      </c>
    </row>
    <row r="221" spans="1:16" ht="11.25" customHeight="1">
      <c r="A221" s="390" t="s">
        <v>2260</v>
      </c>
      <c r="B221" s="390">
        <v>4</v>
      </c>
      <c r="C221" s="390" t="s">
        <v>296</v>
      </c>
      <c r="D221" s="390" t="s">
        <v>2124</v>
      </c>
      <c r="E221" s="390">
        <v>11</v>
      </c>
      <c r="F221" s="485">
        <v>-2</v>
      </c>
      <c r="G221" s="485">
        <v>11</v>
      </c>
      <c r="H221" s="390">
        <v>0</v>
      </c>
      <c r="I221" s="390">
        <v>0</v>
      </c>
      <c r="J221" s="390">
        <v>0</v>
      </c>
      <c r="K221" s="390">
        <v>-1</v>
      </c>
      <c r="L221" s="390">
        <v>0</v>
      </c>
      <c r="M221" s="486" t="s">
        <v>572</v>
      </c>
      <c r="N221" s="461" t="s">
        <v>2125</v>
      </c>
      <c r="O221" s="487">
        <v>480</v>
      </c>
      <c r="P221" s="485" t="s">
        <v>83</v>
      </c>
    </row>
    <row r="222" spans="1:16" ht="11.25" customHeight="1">
      <c r="A222" s="390" t="s">
        <v>2261</v>
      </c>
      <c r="B222" s="390">
        <v>4</v>
      </c>
      <c r="C222" s="390" t="s">
        <v>296</v>
      </c>
      <c r="D222" s="390" t="s">
        <v>2156</v>
      </c>
      <c r="E222" s="390">
        <v>11</v>
      </c>
      <c r="F222" s="485">
        <v>-3</v>
      </c>
      <c r="G222" s="485">
        <v>16</v>
      </c>
      <c r="H222" s="390">
        <v>0</v>
      </c>
      <c r="I222" s="390">
        <v>0</v>
      </c>
      <c r="J222" s="390">
        <v>0</v>
      </c>
      <c r="K222" s="390">
        <v>-2</v>
      </c>
      <c r="L222" s="390">
        <v>0</v>
      </c>
      <c r="M222" s="486" t="s">
        <v>572</v>
      </c>
      <c r="O222" s="487">
        <v>760</v>
      </c>
      <c r="P222" s="485" t="s">
        <v>83</v>
      </c>
    </row>
    <row r="223" spans="1:18" s="451" customFormat="1" ht="11.25" customHeight="1">
      <c r="A223" s="390" t="s">
        <v>2262</v>
      </c>
      <c r="B223" s="390">
        <v>5</v>
      </c>
      <c r="C223" s="390" t="s">
        <v>296</v>
      </c>
      <c r="D223" s="390" t="s">
        <v>2156</v>
      </c>
      <c r="E223" s="390">
        <v>12</v>
      </c>
      <c r="F223" s="485">
        <v>-2</v>
      </c>
      <c r="G223" s="485">
        <v>15</v>
      </c>
      <c r="H223" s="390">
        <v>0</v>
      </c>
      <c r="I223" s="390">
        <v>0</v>
      </c>
      <c r="J223" s="390">
        <v>0</v>
      </c>
      <c r="K223" s="390">
        <v>-2</v>
      </c>
      <c r="L223" s="390">
        <v>0</v>
      </c>
      <c r="M223" s="486" t="s">
        <v>572</v>
      </c>
      <c r="N223" s="461"/>
      <c r="O223" s="487">
        <v>1000</v>
      </c>
      <c r="P223" s="485" t="s">
        <v>83</v>
      </c>
      <c r="Q223" s="390"/>
      <c r="R223" s="450"/>
    </row>
    <row r="224" spans="1:16" ht="11.25" customHeight="1">
      <c r="A224" s="390" t="s">
        <v>2263</v>
      </c>
      <c r="B224" s="390">
        <v>6</v>
      </c>
      <c r="C224" s="390" t="s">
        <v>296</v>
      </c>
      <c r="D224" s="390" t="s">
        <v>2124</v>
      </c>
      <c r="E224" s="390">
        <v>10</v>
      </c>
      <c r="F224" s="485">
        <v>-2</v>
      </c>
      <c r="G224" s="485">
        <v>12</v>
      </c>
      <c r="H224" s="390">
        <v>0</v>
      </c>
      <c r="I224" s="390">
        <v>0</v>
      </c>
      <c r="J224" s="390">
        <v>0</v>
      </c>
      <c r="K224" s="390">
        <v>-1</v>
      </c>
      <c r="L224" s="390">
        <v>0</v>
      </c>
      <c r="M224" s="486" t="s">
        <v>572</v>
      </c>
      <c r="O224" s="487">
        <v>760</v>
      </c>
      <c r="P224" s="485" t="s">
        <v>83</v>
      </c>
    </row>
    <row r="225" spans="1:16" ht="11.25" customHeight="1">
      <c r="A225" s="390" t="s">
        <v>2264</v>
      </c>
      <c r="B225" s="390">
        <v>7</v>
      </c>
      <c r="C225" s="390" t="s">
        <v>296</v>
      </c>
      <c r="D225" s="390" t="s">
        <v>2156</v>
      </c>
      <c r="E225" s="390">
        <v>13</v>
      </c>
      <c r="F225" s="485">
        <v>-2</v>
      </c>
      <c r="G225" s="485">
        <v>17</v>
      </c>
      <c r="H225" s="390">
        <v>0</v>
      </c>
      <c r="I225" s="390">
        <v>0</v>
      </c>
      <c r="J225" s="390">
        <v>0</v>
      </c>
      <c r="K225" s="390">
        <v>-2</v>
      </c>
      <c r="L225" s="390">
        <v>0</v>
      </c>
      <c r="M225" s="486" t="s">
        <v>572</v>
      </c>
      <c r="O225" s="487">
        <v>2200</v>
      </c>
      <c r="P225" s="485" t="s">
        <v>83</v>
      </c>
    </row>
    <row r="226" spans="1:16" ht="11.25" customHeight="1">
      <c r="A226" s="390" t="s">
        <v>2265</v>
      </c>
      <c r="B226" s="390">
        <v>8</v>
      </c>
      <c r="C226" s="390" t="s">
        <v>296</v>
      </c>
      <c r="D226" s="390" t="s">
        <v>2124</v>
      </c>
      <c r="E226" s="390">
        <v>11</v>
      </c>
      <c r="F226" s="485">
        <v>-2</v>
      </c>
      <c r="G226" s="485">
        <v>13</v>
      </c>
      <c r="H226" s="390">
        <v>0</v>
      </c>
      <c r="I226" s="390">
        <v>0</v>
      </c>
      <c r="J226" s="390">
        <v>0</v>
      </c>
      <c r="K226" s="390">
        <v>-1</v>
      </c>
      <c r="L226" s="390">
        <v>0</v>
      </c>
      <c r="M226" s="486" t="s">
        <v>572</v>
      </c>
      <c r="O226" s="487">
        <v>1500</v>
      </c>
      <c r="P226" s="485" t="s">
        <v>83</v>
      </c>
    </row>
    <row r="227" spans="1:16" ht="11.25" customHeight="1">
      <c r="A227" s="390" t="s">
        <v>2266</v>
      </c>
      <c r="B227" s="390">
        <v>9</v>
      </c>
      <c r="C227" s="390" t="s">
        <v>296</v>
      </c>
      <c r="D227" s="390" t="s">
        <v>2156</v>
      </c>
      <c r="E227" s="390">
        <v>14</v>
      </c>
      <c r="F227" s="485">
        <v>-2</v>
      </c>
      <c r="G227" s="485">
        <v>19</v>
      </c>
      <c r="H227" s="390">
        <v>0</v>
      </c>
      <c r="I227" s="390">
        <v>0</v>
      </c>
      <c r="J227" s="390">
        <v>0</v>
      </c>
      <c r="K227" s="390">
        <v>-2</v>
      </c>
      <c r="L227" s="390">
        <v>0</v>
      </c>
      <c r="M227" s="486" t="s">
        <v>572</v>
      </c>
      <c r="O227" s="487">
        <v>4800</v>
      </c>
      <c r="P227" s="485" t="s">
        <v>83</v>
      </c>
    </row>
    <row r="228" spans="1:17" s="470" customFormat="1" ht="11.25" customHeight="1">
      <c r="A228" s="390" t="s">
        <v>2267</v>
      </c>
      <c r="B228" s="390">
        <v>10</v>
      </c>
      <c r="C228" s="390" t="s">
        <v>296</v>
      </c>
      <c r="D228" s="390" t="s">
        <v>2124</v>
      </c>
      <c r="E228" s="390">
        <v>12</v>
      </c>
      <c r="F228" s="485">
        <v>-2</v>
      </c>
      <c r="G228" s="485">
        <v>15</v>
      </c>
      <c r="H228" s="390">
        <v>0</v>
      </c>
      <c r="I228" s="390">
        <v>0</v>
      </c>
      <c r="J228" s="390">
        <v>0</v>
      </c>
      <c r="K228" s="390">
        <v>-1</v>
      </c>
      <c r="L228" s="390">
        <v>0</v>
      </c>
      <c r="M228" s="486" t="s">
        <v>572</v>
      </c>
      <c r="N228" s="461"/>
      <c r="O228" s="487">
        <v>4000</v>
      </c>
      <c r="P228" s="485" t="s">
        <v>83</v>
      </c>
      <c r="Q228" s="390"/>
    </row>
    <row r="229" spans="1:17" s="470" customFormat="1" ht="11.25" customHeight="1">
      <c r="A229" s="390" t="s">
        <v>2268</v>
      </c>
      <c r="B229" s="390">
        <v>10</v>
      </c>
      <c r="C229" s="390" t="s">
        <v>296</v>
      </c>
      <c r="D229" s="390" t="s">
        <v>2156</v>
      </c>
      <c r="E229" s="390">
        <v>14</v>
      </c>
      <c r="F229" s="485">
        <v>-2</v>
      </c>
      <c r="G229" s="485">
        <v>20</v>
      </c>
      <c r="H229" s="390">
        <v>0</v>
      </c>
      <c r="I229" s="390">
        <v>0</v>
      </c>
      <c r="J229" s="390">
        <v>0</v>
      </c>
      <c r="K229" s="390">
        <v>-2</v>
      </c>
      <c r="L229" s="390">
        <v>0</v>
      </c>
      <c r="M229" s="486" t="s">
        <v>572</v>
      </c>
      <c r="N229" s="461"/>
      <c r="O229" s="487">
        <v>6200</v>
      </c>
      <c r="P229" s="485" t="s">
        <v>83</v>
      </c>
      <c r="Q229" s="390"/>
    </row>
    <row r="230" spans="1:17" s="470" customFormat="1" ht="11.25" customHeight="1">
      <c r="A230" s="390" t="s">
        <v>2269</v>
      </c>
      <c r="B230" s="390">
        <v>10</v>
      </c>
      <c r="C230" s="390" t="s">
        <v>296</v>
      </c>
      <c r="D230" s="390" t="s">
        <v>2156</v>
      </c>
      <c r="E230" s="390">
        <v>14</v>
      </c>
      <c r="F230" s="485">
        <v>-3</v>
      </c>
      <c r="G230" s="485">
        <v>22</v>
      </c>
      <c r="H230" s="390">
        <v>0</v>
      </c>
      <c r="I230" s="390">
        <v>0</v>
      </c>
      <c r="J230" s="390">
        <v>0</v>
      </c>
      <c r="K230" s="390">
        <v>-2</v>
      </c>
      <c r="L230" s="390">
        <v>0</v>
      </c>
      <c r="M230" s="486" t="s">
        <v>572</v>
      </c>
      <c r="N230" s="461"/>
      <c r="O230" s="487">
        <v>7800</v>
      </c>
      <c r="P230" s="485" t="s">
        <v>83</v>
      </c>
      <c r="Q230" s="390"/>
    </row>
    <row r="231" spans="1:17" ht="11.25" customHeight="1">
      <c r="A231" s="451" t="s">
        <v>2270</v>
      </c>
      <c r="B231" s="451">
        <v>2</v>
      </c>
      <c r="C231" s="451" t="s">
        <v>296</v>
      </c>
      <c r="D231" s="451" t="s">
        <v>2124</v>
      </c>
      <c r="E231" s="451">
        <v>8</v>
      </c>
      <c r="F231" s="498">
        <v>-2</v>
      </c>
      <c r="G231" s="498">
        <v>8</v>
      </c>
      <c r="H231" s="451">
        <v>0</v>
      </c>
      <c r="I231" s="451">
        <v>0</v>
      </c>
      <c r="J231" s="451">
        <v>0</v>
      </c>
      <c r="K231" s="451">
        <v>-1</v>
      </c>
      <c r="L231" s="390">
        <v>0</v>
      </c>
      <c r="M231" s="499" t="s">
        <v>572</v>
      </c>
      <c r="N231" s="450" t="s">
        <v>2271</v>
      </c>
      <c r="O231" s="500">
        <v>1800</v>
      </c>
      <c r="P231" s="498">
        <v>11</v>
      </c>
      <c r="Q231" s="451"/>
    </row>
    <row r="232" spans="1:16" ht="11.25" customHeight="1">
      <c r="A232" s="451" t="s">
        <v>2272</v>
      </c>
      <c r="B232" s="451">
        <v>3</v>
      </c>
      <c r="C232" s="451" t="s">
        <v>296</v>
      </c>
      <c r="D232" s="451" t="s">
        <v>2156</v>
      </c>
      <c r="E232" s="451">
        <v>13</v>
      </c>
      <c r="F232" s="498">
        <v>-2</v>
      </c>
      <c r="G232" s="498">
        <v>16</v>
      </c>
      <c r="H232" s="451">
        <v>0</v>
      </c>
      <c r="I232" s="451">
        <v>0</v>
      </c>
      <c r="J232" s="451">
        <v>0</v>
      </c>
      <c r="K232" s="451">
        <v>-2</v>
      </c>
      <c r="L232" s="390">
        <v>0</v>
      </c>
      <c r="M232" s="499" t="s">
        <v>572</v>
      </c>
      <c r="N232" s="450" t="s">
        <v>2273</v>
      </c>
      <c r="O232" s="500">
        <v>2500</v>
      </c>
      <c r="P232" s="498">
        <v>12</v>
      </c>
    </row>
    <row r="233" spans="1:17" ht="11.25" customHeight="1">
      <c r="A233" s="451" t="s">
        <v>2274</v>
      </c>
      <c r="B233" s="451">
        <v>5</v>
      </c>
      <c r="C233" s="451" t="s">
        <v>296</v>
      </c>
      <c r="D233" s="451" t="s">
        <v>2124</v>
      </c>
      <c r="E233" s="451">
        <v>10</v>
      </c>
      <c r="F233" s="498">
        <v>-2</v>
      </c>
      <c r="G233" s="498">
        <v>12</v>
      </c>
      <c r="H233" s="451">
        <v>0</v>
      </c>
      <c r="I233" s="451">
        <v>0</v>
      </c>
      <c r="J233" s="451">
        <v>0</v>
      </c>
      <c r="K233" s="451">
        <v>-1</v>
      </c>
      <c r="L233" s="390">
        <v>0</v>
      </c>
      <c r="M233" s="499" t="s">
        <v>572</v>
      </c>
      <c r="N233" s="450" t="s">
        <v>2275</v>
      </c>
      <c r="O233" s="500">
        <v>1700</v>
      </c>
      <c r="P233" s="498">
        <v>14</v>
      </c>
      <c r="Q233" s="451"/>
    </row>
    <row r="234" spans="1:18" s="451" customFormat="1" ht="11.25" customHeight="1">
      <c r="A234" s="451" t="s">
        <v>2276</v>
      </c>
      <c r="B234" s="451">
        <v>6</v>
      </c>
      <c r="C234" s="451" t="s">
        <v>296</v>
      </c>
      <c r="D234" s="451" t="s">
        <v>2156</v>
      </c>
      <c r="E234" s="451">
        <v>16</v>
      </c>
      <c r="F234" s="498">
        <v>-2</v>
      </c>
      <c r="G234" s="498">
        <v>18</v>
      </c>
      <c r="H234" s="451">
        <v>0</v>
      </c>
      <c r="I234" s="451">
        <v>0</v>
      </c>
      <c r="J234" s="451">
        <v>0</v>
      </c>
      <c r="K234" s="451">
        <v>-2</v>
      </c>
      <c r="L234" s="390">
        <v>0</v>
      </c>
      <c r="M234" s="499" t="s">
        <v>572</v>
      </c>
      <c r="N234" s="450" t="s">
        <v>2277</v>
      </c>
      <c r="O234" s="500">
        <v>2500</v>
      </c>
      <c r="P234" s="498">
        <v>15</v>
      </c>
      <c r="R234" s="450"/>
    </row>
    <row r="235" spans="1:16" ht="11.25" customHeight="1">
      <c r="A235" s="451" t="s">
        <v>2278</v>
      </c>
      <c r="B235" s="451">
        <v>7</v>
      </c>
      <c r="C235" s="451" t="s">
        <v>296</v>
      </c>
      <c r="D235" s="451" t="s">
        <v>2124</v>
      </c>
      <c r="E235" s="451">
        <v>11</v>
      </c>
      <c r="F235" s="498">
        <v>-2</v>
      </c>
      <c r="G235" s="498">
        <v>13</v>
      </c>
      <c r="H235" s="451">
        <v>0</v>
      </c>
      <c r="I235" s="451">
        <v>0</v>
      </c>
      <c r="J235" s="451">
        <v>0</v>
      </c>
      <c r="K235" s="451">
        <v>-1</v>
      </c>
      <c r="L235" s="390">
        <v>0</v>
      </c>
      <c r="M235" s="499" t="s">
        <v>572</v>
      </c>
      <c r="N235" s="450" t="s">
        <v>2279</v>
      </c>
      <c r="O235" s="500">
        <v>2000</v>
      </c>
      <c r="P235" s="498">
        <v>15</v>
      </c>
    </row>
    <row r="236" spans="1:16" ht="11.25" customHeight="1">
      <c r="A236" s="451" t="s">
        <v>2278</v>
      </c>
      <c r="B236" s="451">
        <v>8</v>
      </c>
      <c r="C236" s="451" t="s">
        <v>296</v>
      </c>
      <c r="D236" s="451" t="s">
        <v>2156</v>
      </c>
      <c r="E236" s="451">
        <v>15</v>
      </c>
      <c r="F236" s="498">
        <v>-3</v>
      </c>
      <c r="G236" s="498">
        <v>21</v>
      </c>
      <c r="H236" s="451">
        <v>0</v>
      </c>
      <c r="I236" s="451">
        <v>0</v>
      </c>
      <c r="J236" s="451">
        <v>0</v>
      </c>
      <c r="K236" s="451">
        <v>-2</v>
      </c>
      <c r="L236" s="390">
        <v>0</v>
      </c>
      <c r="M236" s="499" t="s">
        <v>572</v>
      </c>
      <c r="N236" s="450" t="s">
        <v>2280</v>
      </c>
      <c r="O236" s="500">
        <v>9500</v>
      </c>
      <c r="P236" s="498">
        <v>16</v>
      </c>
    </row>
    <row r="237" spans="1:16" ht="11.25" customHeight="1">
      <c r="A237" s="451" t="s">
        <v>2281</v>
      </c>
      <c r="B237" s="451">
        <v>9</v>
      </c>
      <c r="C237" s="451" t="s">
        <v>296</v>
      </c>
      <c r="D237" s="451" t="s">
        <v>2124</v>
      </c>
      <c r="E237" s="451">
        <v>12</v>
      </c>
      <c r="F237" s="498">
        <v>-2</v>
      </c>
      <c r="G237" s="498">
        <v>14</v>
      </c>
      <c r="H237" s="451">
        <v>0</v>
      </c>
      <c r="I237" s="451">
        <v>0</v>
      </c>
      <c r="J237" s="451">
        <v>0</v>
      </c>
      <c r="K237" s="451">
        <v>-1</v>
      </c>
      <c r="L237" s="390">
        <v>0</v>
      </c>
      <c r="M237" s="499" t="s">
        <v>572</v>
      </c>
      <c r="N237" s="450" t="s">
        <v>2282</v>
      </c>
      <c r="O237" s="500">
        <v>24800</v>
      </c>
      <c r="P237" s="498">
        <v>16</v>
      </c>
    </row>
    <row r="238" spans="1:17" ht="13.5">
      <c r="A238" s="451"/>
      <c r="B238" s="451"/>
      <c r="C238" s="451"/>
      <c r="D238" s="451"/>
      <c r="E238" s="451"/>
      <c r="F238" s="498"/>
      <c r="G238" s="498"/>
      <c r="H238" s="451"/>
      <c r="I238" s="451"/>
      <c r="J238" s="451"/>
      <c r="K238" s="451"/>
      <c r="M238" s="499"/>
      <c r="N238" s="450"/>
      <c r="O238" s="500"/>
      <c r="P238" s="498"/>
      <c r="Q238" s="451"/>
    </row>
    <row r="239" spans="1:18" s="451" customFormat="1" ht="11.25" customHeight="1">
      <c r="A239" s="390"/>
      <c r="B239" s="390"/>
      <c r="C239" s="390"/>
      <c r="D239" s="390"/>
      <c r="E239" s="390"/>
      <c r="F239" s="485"/>
      <c r="G239" s="485"/>
      <c r="H239" s="390"/>
      <c r="I239" s="390"/>
      <c r="J239" s="390"/>
      <c r="K239" s="390"/>
      <c r="L239" s="390"/>
      <c r="M239" s="486"/>
      <c r="N239" s="461"/>
      <c r="O239" s="487"/>
      <c r="P239" s="485"/>
      <c r="Q239" s="390"/>
      <c r="R239" s="450"/>
    </row>
    <row r="240" ht="11.25" customHeight="1"/>
    <row r="241" ht="11.25" customHeight="1"/>
    <row r="242" spans="1:17" s="470" customFormat="1" ht="11.25" customHeight="1">
      <c r="A242" s="390"/>
      <c r="B242" s="390"/>
      <c r="C242" s="390"/>
      <c r="D242" s="390"/>
      <c r="E242" s="390"/>
      <c r="F242" s="485"/>
      <c r="G242" s="485"/>
      <c r="H242" s="390"/>
      <c r="I242" s="390"/>
      <c r="J242" s="390"/>
      <c r="K242" s="390"/>
      <c r="L242" s="390"/>
      <c r="M242" s="486"/>
      <c r="N242" s="461"/>
      <c r="O242" s="487"/>
      <c r="P242" s="485"/>
      <c r="Q242" s="390"/>
    </row>
    <row r="243" spans="1:17" s="470" customFormat="1" ht="11.25" customHeight="1">
      <c r="A243" s="390"/>
      <c r="B243" s="390"/>
      <c r="C243" s="390"/>
      <c r="D243" s="390"/>
      <c r="E243" s="390"/>
      <c r="F243" s="485"/>
      <c r="G243" s="485"/>
      <c r="H243" s="390"/>
      <c r="I243" s="390"/>
      <c r="J243" s="390"/>
      <c r="K243" s="390"/>
      <c r="L243" s="390"/>
      <c r="M243" s="486"/>
      <c r="N243" s="461"/>
      <c r="O243" s="487"/>
      <c r="P243" s="485"/>
      <c r="Q243" s="390"/>
    </row>
    <row r="244" spans="6:18" s="451" customFormat="1" ht="11.25">
      <c r="F244" s="498"/>
      <c r="G244" s="498"/>
      <c r="L244" s="390"/>
      <c r="M244" s="499"/>
      <c r="N244" s="450"/>
      <c r="O244" s="500"/>
      <c r="P244" s="498"/>
      <c r="R244" s="450"/>
    </row>
    <row r="245" ht="11.25" customHeight="1"/>
    <row r="246" ht="11.25" customHeight="1"/>
    <row r="247" spans="1:17" s="470" customFormat="1" ht="11.25" customHeight="1">
      <c r="A247" s="390"/>
      <c r="B247" s="390"/>
      <c r="C247" s="390"/>
      <c r="D247" s="390"/>
      <c r="E247" s="390"/>
      <c r="F247" s="485"/>
      <c r="G247" s="485"/>
      <c r="H247" s="390"/>
      <c r="I247" s="390"/>
      <c r="J247" s="390"/>
      <c r="K247" s="390"/>
      <c r="L247" s="390"/>
      <c r="M247" s="486"/>
      <c r="N247" s="461"/>
      <c r="O247" s="487"/>
      <c r="P247" s="485"/>
      <c r="Q247" s="390"/>
    </row>
    <row r="249" spans="1:19" ht="13.5">
      <c r="A249" s="46" t="s">
        <v>303</v>
      </c>
      <c r="B249" s="489" t="s">
        <v>111</v>
      </c>
      <c r="C249" s="489" t="s">
        <v>253</v>
      </c>
      <c r="D249" s="489" t="s">
        <v>254</v>
      </c>
      <c r="E249" s="489" t="s">
        <v>255</v>
      </c>
      <c r="F249" s="490" t="s">
        <v>174</v>
      </c>
      <c r="G249" s="490" t="s">
        <v>256</v>
      </c>
      <c r="H249" s="489" t="s">
        <v>233</v>
      </c>
      <c r="I249" s="489" t="s">
        <v>257</v>
      </c>
      <c r="J249" s="489" t="s">
        <v>258</v>
      </c>
      <c r="K249" s="489" t="s">
        <v>259</v>
      </c>
      <c r="L249" s="489" t="s">
        <v>260</v>
      </c>
      <c r="M249" s="491" t="s">
        <v>261</v>
      </c>
      <c r="N249" s="489" t="s">
        <v>262</v>
      </c>
      <c r="O249" s="492" t="s">
        <v>223</v>
      </c>
      <c r="P249" s="490" t="s">
        <v>2093</v>
      </c>
      <c r="Q249" s="493" t="s">
        <v>2094</v>
      </c>
      <c r="R249" s="399" t="s">
        <v>2095</v>
      </c>
      <c r="S249" s="213"/>
    </row>
    <row r="250" spans="1:16" ht="11.25" customHeight="1">
      <c r="A250" s="390" t="s">
        <v>2283</v>
      </c>
      <c r="B250" s="390">
        <v>1</v>
      </c>
      <c r="C250" s="390" t="s">
        <v>303</v>
      </c>
      <c r="D250" s="390" t="s">
        <v>2124</v>
      </c>
      <c r="E250" s="390">
        <v>1</v>
      </c>
      <c r="F250" s="485">
        <v>-1</v>
      </c>
      <c r="G250" s="485">
        <v>2</v>
      </c>
      <c r="H250" s="390">
        <v>0</v>
      </c>
      <c r="I250" s="390">
        <v>0</v>
      </c>
      <c r="J250" s="390">
        <v>0</v>
      </c>
      <c r="K250" s="390">
        <v>0</v>
      </c>
      <c r="L250" s="390">
        <v>0</v>
      </c>
      <c r="M250" s="486" t="s">
        <v>572</v>
      </c>
      <c r="O250" s="487">
        <v>20</v>
      </c>
      <c r="P250" s="485" t="s">
        <v>83</v>
      </c>
    </row>
    <row r="251" spans="1:16" ht="11.25" customHeight="1">
      <c r="A251" s="390" t="s">
        <v>2284</v>
      </c>
      <c r="B251" s="390">
        <v>1</v>
      </c>
      <c r="C251" s="390" t="s">
        <v>303</v>
      </c>
      <c r="D251" s="390" t="s">
        <v>2156</v>
      </c>
      <c r="E251" s="390">
        <v>5</v>
      </c>
      <c r="F251" s="485">
        <v>-1</v>
      </c>
      <c r="G251" s="485">
        <v>2</v>
      </c>
      <c r="H251" s="390">
        <v>0</v>
      </c>
      <c r="I251" s="390">
        <v>1</v>
      </c>
      <c r="J251" s="390">
        <v>0</v>
      </c>
      <c r="K251" s="390">
        <v>0</v>
      </c>
      <c r="L251" s="390">
        <v>0</v>
      </c>
      <c r="M251" s="486" t="s">
        <v>572</v>
      </c>
      <c r="O251" s="487">
        <v>40</v>
      </c>
      <c r="P251" s="485" t="s">
        <v>83</v>
      </c>
    </row>
    <row r="252" spans="1:16" ht="11.25" customHeight="1">
      <c r="A252" s="390" t="s">
        <v>2285</v>
      </c>
      <c r="B252" s="390">
        <v>1</v>
      </c>
      <c r="C252" s="390" t="s">
        <v>303</v>
      </c>
      <c r="D252" s="390" t="s">
        <v>2124</v>
      </c>
      <c r="E252" s="390">
        <v>5</v>
      </c>
      <c r="F252" s="485">
        <v>-1</v>
      </c>
      <c r="G252" s="485">
        <v>5</v>
      </c>
      <c r="H252" s="390">
        <v>0</v>
      </c>
      <c r="I252" s="390">
        <v>0</v>
      </c>
      <c r="J252" s="390">
        <v>0</v>
      </c>
      <c r="K252" s="390">
        <v>0</v>
      </c>
      <c r="L252" s="390">
        <v>0</v>
      </c>
      <c r="M252" s="486" t="s">
        <v>572</v>
      </c>
      <c r="O252" s="487">
        <v>100</v>
      </c>
      <c r="P252" s="485" t="s">
        <v>83</v>
      </c>
    </row>
    <row r="253" spans="1:18" s="451" customFormat="1" ht="11.25" customHeight="1">
      <c r="A253" s="390" t="s">
        <v>2286</v>
      </c>
      <c r="B253" s="390">
        <v>1</v>
      </c>
      <c r="C253" s="390" t="s">
        <v>303</v>
      </c>
      <c r="D253" s="390" t="s">
        <v>2124</v>
      </c>
      <c r="E253" s="390">
        <v>6</v>
      </c>
      <c r="F253" s="485">
        <v>0</v>
      </c>
      <c r="G253" s="485">
        <v>5</v>
      </c>
      <c r="H253" s="390">
        <v>0</v>
      </c>
      <c r="I253" s="390">
        <v>0</v>
      </c>
      <c r="J253" s="390">
        <v>0</v>
      </c>
      <c r="K253" s="390">
        <v>-1</v>
      </c>
      <c r="L253" s="390">
        <v>0</v>
      </c>
      <c r="M253" s="486" t="s">
        <v>572</v>
      </c>
      <c r="N253" s="461"/>
      <c r="O253" s="487">
        <v>150</v>
      </c>
      <c r="P253" s="485" t="s">
        <v>83</v>
      </c>
      <c r="Q253" s="390"/>
      <c r="R253" s="450"/>
    </row>
    <row r="254" spans="1:16" ht="11.25" customHeight="1">
      <c r="A254" s="390" t="s">
        <v>2287</v>
      </c>
      <c r="B254" s="390">
        <v>2</v>
      </c>
      <c r="C254" s="390" t="s">
        <v>303</v>
      </c>
      <c r="D254" s="390" t="s">
        <v>2124</v>
      </c>
      <c r="E254" s="390">
        <v>5</v>
      </c>
      <c r="F254" s="485">
        <v>-1</v>
      </c>
      <c r="G254" s="485">
        <v>6</v>
      </c>
      <c r="H254" s="390">
        <v>0</v>
      </c>
      <c r="I254" s="390">
        <v>0</v>
      </c>
      <c r="J254" s="390">
        <v>0</v>
      </c>
      <c r="K254" s="390">
        <v>0</v>
      </c>
      <c r="L254" s="390">
        <v>0</v>
      </c>
      <c r="M254" s="486" t="s">
        <v>572</v>
      </c>
      <c r="O254" s="487">
        <v>180</v>
      </c>
      <c r="P254" s="485" t="s">
        <v>83</v>
      </c>
    </row>
    <row r="255" spans="1:16" ht="11.25" customHeight="1">
      <c r="A255" s="390" t="s">
        <v>2288</v>
      </c>
      <c r="B255" s="390">
        <v>2</v>
      </c>
      <c r="C255" s="390" t="s">
        <v>303</v>
      </c>
      <c r="D255" s="390" t="s">
        <v>2124</v>
      </c>
      <c r="E255" s="390">
        <v>6</v>
      </c>
      <c r="F255" s="485">
        <v>0</v>
      </c>
      <c r="G255" s="485">
        <v>6</v>
      </c>
      <c r="H255" s="390">
        <v>0</v>
      </c>
      <c r="I255" s="390">
        <v>0</v>
      </c>
      <c r="J255" s="390">
        <v>0</v>
      </c>
      <c r="K255" s="390">
        <v>-1</v>
      </c>
      <c r="L255" s="390">
        <v>0</v>
      </c>
      <c r="M255" s="486" t="s">
        <v>572</v>
      </c>
      <c r="O255" s="487">
        <v>320</v>
      </c>
      <c r="P255" s="485" t="s">
        <v>83</v>
      </c>
    </row>
    <row r="256" spans="1:16" ht="11.25" customHeight="1">
      <c r="A256" s="390" t="s">
        <v>2289</v>
      </c>
      <c r="B256" s="390">
        <v>3</v>
      </c>
      <c r="C256" s="390" t="s">
        <v>303</v>
      </c>
      <c r="D256" s="390" t="s">
        <v>2124</v>
      </c>
      <c r="E256" s="390">
        <v>5</v>
      </c>
      <c r="F256" s="485">
        <v>-1</v>
      </c>
      <c r="G256" s="485">
        <v>7</v>
      </c>
      <c r="H256" s="390">
        <v>0</v>
      </c>
      <c r="I256" s="390">
        <v>0</v>
      </c>
      <c r="J256" s="390">
        <v>0</v>
      </c>
      <c r="K256" s="390">
        <v>0</v>
      </c>
      <c r="L256" s="390">
        <v>0</v>
      </c>
      <c r="M256" s="486" t="s">
        <v>572</v>
      </c>
      <c r="O256" s="487">
        <v>300</v>
      </c>
      <c r="P256" s="485" t="s">
        <v>83</v>
      </c>
    </row>
    <row r="257" spans="1:18" s="451" customFormat="1" ht="11.25" customHeight="1">
      <c r="A257" s="390" t="s">
        <v>2290</v>
      </c>
      <c r="B257" s="390">
        <v>3</v>
      </c>
      <c r="C257" s="390" t="s">
        <v>303</v>
      </c>
      <c r="D257" s="390" t="s">
        <v>2124</v>
      </c>
      <c r="E257" s="390">
        <v>6</v>
      </c>
      <c r="F257" s="485">
        <v>0</v>
      </c>
      <c r="G257" s="485">
        <v>7</v>
      </c>
      <c r="H257" s="390">
        <v>0</v>
      </c>
      <c r="I257" s="390">
        <v>0</v>
      </c>
      <c r="J257" s="390">
        <v>0</v>
      </c>
      <c r="K257" s="390">
        <v>-1</v>
      </c>
      <c r="L257" s="390">
        <v>0</v>
      </c>
      <c r="M257" s="486" t="s">
        <v>572</v>
      </c>
      <c r="N257" s="461"/>
      <c r="O257" s="487">
        <v>420</v>
      </c>
      <c r="P257" s="485" t="s">
        <v>83</v>
      </c>
      <c r="Q257" s="390"/>
      <c r="R257" s="450"/>
    </row>
    <row r="258" spans="1:16" ht="11.25" customHeight="1">
      <c r="A258" s="390" t="s">
        <v>2291</v>
      </c>
      <c r="B258" s="390">
        <v>4</v>
      </c>
      <c r="C258" s="390" t="s">
        <v>303</v>
      </c>
      <c r="D258" s="390" t="s">
        <v>2124</v>
      </c>
      <c r="E258" s="390">
        <v>6</v>
      </c>
      <c r="F258" s="485">
        <v>-1</v>
      </c>
      <c r="G258" s="485">
        <v>8</v>
      </c>
      <c r="H258" s="390">
        <v>0</v>
      </c>
      <c r="I258" s="390">
        <v>0</v>
      </c>
      <c r="J258" s="390">
        <v>0</v>
      </c>
      <c r="K258" s="390">
        <v>0</v>
      </c>
      <c r="L258" s="390">
        <v>0</v>
      </c>
      <c r="M258" s="486" t="s">
        <v>572</v>
      </c>
      <c r="O258" s="487">
        <v>480</v>
      </c>
      <c r="P258" s="485" t="s">
        <v>83</v>
      </c>
    </row>
    <row r="259" spans="1:16" ht="11.25" customHeight="1">
      <c r="A259" s="390" t="s">
        <v>2292</v>
      </c>
      <c r="B259" s="390">
        <v>5</v>
      </c>
      <c r="C259" s="390" t="s">
        <v>303</v>
      </c>
      <c r="D259" s="390" t="s">
        <v>2124</v>
      </c>
      <c r="E259" s="390">
        <v>7</v>
      </c>
      <c r="F259" s="485">
        <v>0</v>
      </c>
      <c r="G259" s="485">
        <v>8</v>
      </c>
      <c r="H259" s="390">
        <v>0</v>
      </c>
      <c r="I259" s="390">
        <v>0</v>
      </c>
      <c r="J259" s="390">
        <v>0</v>
      </c>
      <c r="K259" s="390">
        <v>-1</v>
      </c>
      <c r="L259" s="390">
        <v>0</v>
      </c>
      <c r="M259" s="486" t="s">
        <v>572</v>
      </c>
      <c r="O259" s="487">
        <v>500</v>
      </c>
      <c r="P259" s="485" t="s">
        <v>83</v>
      </c>
    </row>
    <row r="260" spans="1:16" ht="11.25" customHeight="1">
      <c r="A260" s="390" t="s">
        <v>2293</v>
      </c>
      <c r="B260" s="390">
        <v>6</v>
      </c>
      <c r="C260" s="390" t="s">
        <v>303</v>
      </c>
      <c r="D260" s="390" t="s">
        <v>2124</v>
      </c>
      <c r="E260" s="390">
        <v>6</v>
      </c>
      <c r="F260" s="485">
        <v>-1</v>
      </c>
      <c r="G260" s="485">
        <v>9</v>
      </c>
      <c r="H260" s="390">
        <v>0</v>
      </c>
      <c r="I260" s="390">
        <v>0</v>
      </c>
      <c r="J260" s="390">
        <v>0</v>
      </c>
      <c r="K260" s="390">
        <v>0</v>
      </c>
      <c r="L260" s="390">
        <v>0</v>
      </c>
      <c r="M260" s="486" t="s">
        <v>572</v>
      </c>
      <c r="O260" s="487">
        <v>700</v>
      </c>
      <c r="P260" s="485" t="s">
        <v>83</v>
      </c>
    </row>
    <row r="261" spans="1:16" ht="11.25" customHeight="1">
      <c r="A261" s="390" t="s">
        <v>2294</v>
      </c>
      <c r="B261" s="390">
        <v>7</v>
      </c>
      <c r="C261" s="390" t="s">
        <v>303</v>
      </c>
      <c r="D261" s="390" t="s">
        <v>2124</v>
      </c>
      <c r="E261" s="390">
        <v>8</v>
      </c>
      <c r="F261" s="485">
        <v>0</v>
      </c>
      <c r="G261" s="485">
        <v>10</v>
      </c>
      <c r="H261" s="390">
        <v>0</v>
      </c>
      <c r="I261" s="390">
        <v>0</v>
      </c>
      <c r="J261" s="390">
        <v>0</v>
      </c>
      <c r="K261" s="390">
        <v>-1</v>
      </c>
      <c r="L261" s="390">
        <v>0</v>
      </c>
      <c r="M261" s="486" t="s">
        <v>572</v>
      </c>
      <c r="O261" s="487">
        <v>780</v>
      </c>
      <c r="P261" s="485" t="s">
        <v>83</v>
      </c>
    </row>
    <row r="262" spans="1:18" s="451" customFormat="1" ht="11.25" customHeight="1">
      <c r="A262" s="390" t="s">
        <v>2295</v>
      </c>
      <c r="B262" s="390">
        <v>8</v>
      </c>
      <c r="C262" s="390" t="s">
        <v>303</v>
      </c>
      <c r="D262" s="390" t="s">
        <v>2124</v>
      </c>
      <c r="E262" s="390">
        <v>7</v>
      </c>
      <c r="F262" s="485">
        <v>-1</v>
      </c>
      <c r="G262" s="485">
        <v>11</v>
      </c>
      <c r="H262" s="390">
        <v>0</v>
      </c>
      <c r="I262" s="390">
        <v>0</v>
      </c>
      <c r="J262" s="390">
        <v>0</v>
      </c>
      <c r="K262" s="390">
        <v>0</v>
      </c>
      <c r="L262" s="390">
        <v>0</v>
      </c>
      <c r="M262" s="486" t="s">
        <v>572</v>
      </c>
      <c r="N262" s="461"/>
      <c r="O262" s="487">
        <v>850</v>
      </c>
      <c r="P262" s="485" t="s">
        <v>83</v>
      </c>
      <c r="Q262" s="390"/>
      <c r="R262" s="450"/>
    </row>
    <row r="263" spans="1:16" ht="11.25" customHeight="1">
      <c r="A263" s="390" t="s">
        <v>2296</v>
      </c>
      <c r="B263" s="390">
        <v>9</v>
      </c>
      <c r="C263" s="390" t="s">
        <v>303</v>
      </c>
      <c r="D263" s="390" t="s">
        <v>2124</v>
      </c>
      <c r="E263" s="390">
        <v>8</v>
      </c>
      <c r="F263" s="485">
        <v>0</v>
      </c>
      <c r="G263" s="485">
        <v>11</v>
      </c>
      <c r="H263" s="390">
        <v>0</v>
      </c>
      <c r="I263" s="390">
        <v>0</v>
      </c>
      <c r="J263" s="390">
        <v>0</v>
      </c>
      <c r="K263" s="390">
        <v>-1</v>
      </c>
      <c r="L263" s="390">
        <v>0</v>
      </c>
      <c r="M263" s="486" t="s">
        <v>572</v>
      </c>
      <c r="O263" s="487">
        <v>1100</v>
      </c>
      <c r="P263" s="485" t="s">
        <v>83</v>
      </c>
    </row>
    <row r="264" spans="1:16" ht="11.25" customHeight="1">
      <c r="A264" s="390" t="s">
        <v>2297</v>
      </c>
      <c r="B264" s="390">
        <v>10</v>
      </c>
      <c r="C264" s="390" t="s">
        <v>303</v>
      </c>
      <c r="D264" s="390" t="s">
        <v>2124</v>
      </c>
      <c r="E264" s="390">
        <v>8</v>
      </c>
      <c r="F264" s="485">
        <v>-1</v>
      </c>
      <c r="G264" s="485">
        <v>12</v>
      </c>
      <c r="H264" s="390">
        <v>0</v>
      </c>
      <c r="I264" s="390">
        <v>0</v>
      </c>
      <c r="J264" s="390">
        <v>0</v>
      </c>
      <c r="K264" s="390">
        <v>0</v>
      </c>
      <c r="L264" s="390">
        <v>0</v>
      </c>
      <c r="M264" s="486" t="s">
        <v>572</v>
      </c>
      <c r="O264" s="487">
        <v>2200</v>
      </c>
      <c r="P264" s="485" t="s">
        <v>83</v>
      </c>
    </row>
    <row r="265" spans="1:16" ht="11.25" customHeight="1">
      <c r="A265" s="390" t="s">
        <v>2298</v>
      </c>
      <c r="B265" s="390">
        <v>10</v>
      </c>
      <c r="C265" s="390" t="s">
        <v>303</v>
      </c>
      <c r="D265" s="390" t="s">
        <v>2124</v>
      </c>
      <c r="E265" s="390">
        <v>9</v>
      </c>
      <c r="F265" s="485">
        <v>0</v>
      </c>
      <c r="G265" s="485">
        <v>12</v>
      </c>
      <c r="H265" s="390">
        <v>0</v>
      </c>
      <c r="I265" s="390">
        <v>0</v>
      </c>
      <c r="J265" s="390">
        <v>0</v>
      </c>
      <c r="K265" s="390">
        <v>-1</v>
      </c>
      <c r="L265" s="390">
        <v>0</v>
      </c>
      <c r="M265" s="486" t="s">
        <v>572</v>
      </c>
      <c r="O265" s="487">
        <v>3000</v>
      </c>
      <c r="P265" s="485" t="s">
        <v>83</v>
      </c>
    </row>
    <row r="266" spans="1:18" s="451" customFormat="1" ht="11.25" customHeight="1">
      <c r="A266" s="451" t="s">
        <v>2299</v>
      </c>
      <c r="B266" s="451">
        <v>1</v>
      </c>
      <c r="C266" s="451" t="s">
        <v>303</v>
      </c>
      <c r="D266" s="451" t="s">
        <v>2156</v>
      </c>
      <c r="E266" s="451">
        <v>3</v>
      </c>
      <c r="F266" s="498">
        <v>-1</v>
      </c>
      <c r="G266" s="498">
        <v>2</v>
      </c>
      <c r="H266" s="451">
        <v>0</v>
      </c>
      <c r="I266" s="451">
        <v>0</v>
      </c>
      <c r="J266" s="451">
        <v>0</v>
      </c>
      <c r="K266" s="451">
        <v>0</v>
      </c>
      <c r="L266" s="451">
        <v>0</v>
      </c>
      <c r="M266" s="499" t="s">
        <v>572</v>
      </c>
      <c r="N266" s="450" t="s">
        <v>2300</v>
      </c>
      <c r="O266" s="500">
        <v>300</v>
      </c>
      <c r="P266" s="498">
        <v>11</v>
      </c>
      <c r="R266" s="450"/>
    </row>
    <row r="267" spans="1:17" ht="11.25" customHeight="1">
      <c r="A267" s="451" t="s">
        <v>2301</v>
      </c>
      <c r="B267" s="451">
        <v>1</v>
      </c>
      <c r="C267" s="451" t="s">
        <v>303</v>
      </c>
      <c r="D267" s="451" t="s">
        <v>2124</v>
      </c>
      <c r="E267" s="451">
        <v>3</v>
      </c>
      <c r="F267" s="498">
        <v>-1</v>
      </c>
      <c r="G267" s="498">
        <v>5</v>
      </c>
      <c r="H267" s="451">
        <v>0</v>
      </c>
      <c r="I267" s="451">
        <v>0</v>
      </c>
      <c r="J267" s="451">
        <v>0</v>
      </c>
      <c r="K267" s="451">
        <v>0</v>
      </c>
      <c r="L267" s="451">
        <v>0</v>
      </c>
      <c r="M267" s="499" t="s">
        <v>572</v>
      </c>
      <c r="N267" s="450" t="s">
        <v>2302</v>
      </c>
      <c r="O267" s="500">
        <v>2222</v>
      </c>
      <c r="P267" s="498">
        <v>12</v>
      </c>
      <c r="Q267" s="451"/>
    </row>
    <row r="268" spans="1:17" ht="11.25" customHeight="1">
      <c r="A268" s="451" t="s">
        <v>2303</v>
      </c>
      <c r="B268" s="451">
        <v>3</v>
      </c>
      <c r="C268" s="451" t="s">
        <v>303</v>
      </c>
      <c r="D268" s="451" t="s">
        <v>2124</v>
      </c>
      <c r="E268" s="451">
        <v>7</v>
      </c>
      <c r="F268" s="498">
        <v>-2</v>
      </c>
      <c r="G268" s="498">
        <v>11</v>
      </c>
      <c r="H268" s="451">
        <v>0</v>
      </c>
      <c r="I268" s="451">
        <v>0</v>
      </c>
      <c r="J268" s="451">
        <v>0</v>
      </c>
      <c r="K268" s="451">
        <v>-1</v>
      </c>
      <c r="L268" s="451">
        <v>0</v>
      </c>
      <c r="M268" s="499" t="s">
        <v>572</v>
      </c>
      <c r="N268" s="450" t="s">
        <v>2121</v>
      </c>
      <c r="O268" s="500">
        <v>1900</v>
      </c>
      <c r="P268" s="498">
        <v>12</v>
      </c>
      <c r="Q268" s="451"/>
    </row>
    <row r="269" spans="1:17" ht="11.25" customHeight="1">
      <c r="A269" s="451" t="s">
        <v>2304</v>
      </c>
      <c r="B269" s="451">
        <v>5</v>
      </c>
      <c r="C269" s="451" t="s">
        <v>303</v>
      </c>
      <c r="D269" s="451" t="s">
        <v>2124</v>
      </c>
      <c r="E269" s="451">
        <v>8</v>
      </c>
      <c r="F269" s="498">
        <v>-1</v>
      </c>
      <c r="G269" s="498">
        <v>9</v>
      </c>
      <c r="H269" s="451">
        <v>0</v>
      </c>
      <c r="I269" s="451">
        <v>0</v>
      </c>
      <c r="J269" s="451">
        <v>0</v>
      </c>
      <c r="K269" s="451">
        <v>0</v>
      </c>
      <c r="L269" s="451">
        <v>0</v>
      </c>
      <c r="M269" s="499" t="s">
        <v>572</v>
      </c>
      <c r="N269" s="450" t="s">
        <v>2305</v>
      </c>
      <c r="O269" s="500">
        <v>2000</v>
      </c>
      <c r="P269" s="498">
        <v>14</v>
      </c>
      <c r="Q269" s="451"/>
    </row>
    <row r="270" spans="1:17" ht="11.25" customHeight="1">
      <c r="A270" s="451" t="s">
        <v>2306</v>
      </c>
      <c r="B270" s="451">
        <v>6</v>
      </c>
      <c r="C270" s="451" t="s">
        <v>303</v>
      </c>
      <c r="D270" s="451" t="s">
        <v>2156</v>
      </c>
      <c r="E270" s="451">
        <v>5</v>
      </c>
      <c r="F270" s="498">
        <v>-1</v>
      </c>
      <c r="G270" s="498">
        <v>2</v>
      </c>
      <c r="H270" s="451">
        <v>0</v>
      </c>
      <c r="I270" s="451">
        <v>0</v>
      </c>
      <c r="J270" s="451">
        <v>0</v>
      </c>
      <c r="K270" s="451">
        <v>0</v>
      </c>
      <c r="L270" s="451">
        <v>0</v>
      </c>
      <c r="M270" s="499" t="s">
        <v>572</v>
      </c>
      <c r="N270" s="450" t="s">
        <v>2307</v>
      </c>
      <c r="O270" s="500">
        <v>3200</v>
      </c>
      <c r="P270" s="498">
        <v>15</v>
      </c>
      <c r="Q270" s="451"/>
    </row>
    <row r="271" spans="1:17" s="470" customFormat="1" ht="11.25" customHeight="1">
      <c r="A271" s="451" t="s">
        <v>2308</v>
      </c>
      <c r="B271" s="451">
        <v>7</v>
      </c>
      <c r="C271" s="451" t="s">
        <v>303</v>
      </c>
      <c r="D271" s="451" t="s">
        <v>2124</v>
      </c>
      <c r="E271" s="451">
        <v>11</v>
      </c>
      <c r="F271" s="498">
        <v>0</v>
      </c>
      <c r="G271" s="498">
        <v>10</v>
      </c>
      <c r="H271" s="451">
        <v>0</v>
      </c>
      <c r="I271" s="451">
        <v>0</v>
      </c>
      <c r="J271" s="451">
        <v>0</v>
      </c>
      <c r="K271" s="451">
        <v>0</v>
      </c>
      <c r="L271" s="451">
        <v>0</v>
      </c>
      <c r="M271" s="499" t="s">
        <v>572</v>
      </c>
      <c r="N271" s="450" t="s">
        <v>2309</v>
      </c>
      <c r="O271" s="500">
        <v>12800</v>
      </c>
      <c r="P271" s="498">
        <v>15</v>
      </c>
      <c r="Q271" s="451"/>
    </row>
    <row r="272" spans="1:17" ht="11.25" customHeight="1">
      <c r="A272" s="451" t="s">
        <v>2310</v>
      </c>
      <c r="B272" s="451">
        <v>8</v>
      </c>
      <c r="C272" s="451" t="s">
        <v>303</v>
      </c>
      <c r="D272" s="451" t="s">
        <v>2124</v>
      </c>
      <c r="E272" s="451">
        <v>7</v>
      </c>
      <c r="F272" s="498">
        <v>-1</v>
      </c>
      <c r="G272" s="498">
        <v>11</v>
      </c>
      <c r="H272" s="451">
        <v>0</v>
      </c>
      <c r="I272" s="451">
        <v>0</v>
      </c>
      <c r="J272" s="451">
        <v>0</v>
      </c>
      <c r="K272" s="451">
        <v>0</v>
      </c>
      <c r="L272" s="451">
        <v>0</v>
      </c>
      <c r="M272" s="499" t="s">
        <v>572</v>
      </c>
      <c r="N272" s="450" t="s">
        <v>2311</v>
      </c>
      <c r="O272" s="500">
        <v>8800</v>
      </c>
      <c r="P272" s="498">
        <v>16</v>
      </c>
      <c r="Q272" s="451"/>
    </row>
    <row r="273" spans="1:17" s="470" customFormat="1" ht="11.25" customHeight="1">
      <c r="A273" s="451" t="s">
        <v>2312</v>
      </c>
      <c r="B273" s="451">
        <v>9</v>
      </c>
      <c r="C273" s="451" t="s">
        <v>303</v>
      </c>
      <c r="D273" s="451" t="s">
        <v>2124</v>
      </c>
      <c r="E273" s="451">
        <v>9</v>
      </c>
      <c r="F273" s="498">
        <v>-1</v>
      </c>
      <c r="G273" s="498">
        <v>13</v>
      </c>
      <c r="H273" s="451">
        <v>0</v>
      </c>
      <c r="I273" s="451">
        <v>0</v>
      </c>
      <c r="J273" s="451">
        <v>0</v>
      </c>
      <c r="K273" s="451">
        <v>-2</v>
      </c>
      <c r="L273" s="451">
        <v>0</v>
      </c>
      <c r="M273" s="499" t="s">
        <v>572</v>
      </c>
      <c r="N273" s="450" t="s">
        <v>2313</v>
      </c>
      <c r="O273" s="500">
        <v>9800</v>
      </c>
      <c r="P273" s="498">
        <v>16</v>
      </c>
      <c r="Q273" s="451"/>
    </row>
    <row r="274" spans="1:18" s="451" customFormat="1" ht="11.25">
      <c r="A274" s="451" t="s">
        <v>2314</v>
      </c>
      <c r="B274" s="451">
        <v>5</v>
      </c>
      <c r="C274" s="451" t="s">
        <v>303</v>
      </c>
      <c r="D274" s="451" t="s">
        <v>2124</v>
      </c>
      <c r="E274" s="451">
        <v>6</v>
      </c>
      <c r="F274" s="498">
        <v>-2</v>
      </c>
      <c r="G274" s="498">
        <v>9</v>
      </c>
      <c r="H274" s="451">
        <v>0</v>
      </c>
      <c r="I274" s="451">
        <v>0</v>
      </c>
      <c r="J274" s="451">
        <v>0</v>
      </c>
      <c r="K274" s="451">
        <v>0</v>
      </c>
      <c r="L274" s="451">
        <v>0</v>
      </c>
      <c r="M274" s="499" t="s">
        <v>572</v>
      </c>
      <c r="N274" s="450"/>
      <c r="O274" s="500">
        <v>4000</v>
      </c>
      <c r="P274" s="498">
        <v>17</v>
      </c>
      <c r="R274" s="450"/>
    </row>
    <row r="275" spans="6:18" s="451" customFormat="1" ht="11.25">
      <c r="F275" s="498"/>
      <c r="G275" s="498"/>
      <c r="L275" s="390"/>
      <c r="M275" s="499"/>
      <c r="N275" s="450"/>
      <c r="O275" s="500"/>
      <c r="P275" s="498"/>
      <c r="R275" s="450"/>
    </row>
    <row r="276" spans="6:18" s="451" customFormat="1" ht="11.25">
      <c r="F276" s="498"/>
      <c r="G276" s="498"/>
      <c r="L276" s="390"/>
      <c r="M276" s="499"/>
      <c r="N276" s="450"/>
      <c r="O276" s="500"/>
      <c r="P276" s="498"/>
      <c r="R276" s="450"/>
    </row>
    <row r="277" spans="6:19" s="451" customFormat="1" ht="11.25">
      <c r="F277" s="498"/>
      <c r="G277" s="498"/>
      <c r="L277" s="390"/>
      <c r="M277" s="499"/>
      <c r="N277" s="450"/>
      <c r="O277" s="500"/>
      <c r="P277" s="498"/>
      <c r="R277" s="450"/>
      <c r="S277" s="450"/>
    </row>
    <row r="278" spans="6:18" s="451" customFormat="1" ht="11.25">
      <c r="F278" s="498"/>
      <c r="G278" s="498"/>
      <c r="L278" s="390"/>
      <c r="M278" s="499"/>
      <c r="N278" s="450"/>
      <c r="O278" s="500"/>
      <c r="P278" s="498"/>
      <c r="R278" s="450"/>
    </row>
    <row r="279" spans="6:18" s="451" customFormat="1" ht="11.25">
      <c r="F279" s="498"/>
      <c r="G279" s="498"/>
      <c r="L279" s="390"/>
      <c r="M279" s="499"/>
      <c r="N279" s="450"/>
      <c r="O279" s="500"/>
      <c r="P279" s="498"/>
      <c r="R279" s="450"/>
    </row>
    <row r="280" spans="6:18" s="451" customFormat="1" ht="11.25">
      <c r="F280" s="498"/>
      <c r="G280" s="498"/>
      <c r="L280" s="390"/>
      <c r="M280" s="499"/>
      <c r="N280" s="450"/>
      <c r="O280" s="500"/>
      <c r="P280" s="498"/>
      <c r="R280" s="450"/>
    </row>
    <row r="281" spans="6:18" s="451" customFormat="1" ht="11.25">
      <c r="F281" s="498"/>
      <c r="G281" s="498"/>
      <c r="L281" s="390"/>
      <c r="M281" s="499"/>
      <c r="N281" s="450"/>
      <c r="O281" s="500"/>
      <c r="P281" s="498"/>
      <c r="R281" s="450"/>
    </row>
    <row r="282" spans="1:18" ht="13.5">
      <c r="A282" s="451"/>
      <c r="B282" s="451"/>
      <c r="C282" s="451"/>
      <c r="D282" s="451"/>
      <c r="E282" s="451"/>
      <c r="F282" s="498"/>
      <c r="G282" s="498"/>
      <c r="H282" s="451"/>
      <c r="I282" s="451"/>
      <c r="J282" s="451"/>
      <c r="K282" s="451"/>
      <c r="M282" s="499"/>
      <c r="N282" s="450"/>
      <c r="O282" s="500"/>
      <c r="P282" s="498"/>
      <c r="Q282" s="451"/>
      <c r="R282" s="450"/>
    </row>
    <row r="283" spans="6:18" s="451" customFormat="1" ht="11.25">
      <c r="F283" s="498"/>
      <c r="G283" s="498"/>
      <c r="L283" s="390"/>
      <c r="M283" s="499"/>
      <c r="N283" s="450"/>
      <c r="O283" s="500"/>
      <c r="P283" s="498"/>
      <c r="R283" s="450"/>
    </row>
    <row r="284" spans="6:18" s="451" customFormat="1" ht="11.25">
      <c r="F284" s="498"/>
      <c r="G284" s="498"/>
      <c r="L284" s="390"/>
      <c r="M284" s="499"/>
      <c r="N284" s="450"/>
      <c r="O284" s="500"/>
      <c r="P284" s="498"/>
      <c r="R284" s="450"/>
    </row>
    <row r="285" spans="1:18" ht="13.5">
      <c r="A285" s="451"/>
      <c r="B285" s="451"/>
      <c r="C285" s="451"/>
      <c r="D285" s="451"/>
      <c r="E285" s="451"/>
      <c r="F285" s="498"/>
      <c r="G285" s="498"/>
      <c r="H285" s="451"/>
      <c r="I285" s="451"/>
      <c r="J285" s="451"/>
      <c r="K285" s="451"/>
      <c r="M285" s="499"/>
      <c r="N285" s="450"/>
      <c r="O285" s="500"/>
      <c r="P285" s="498"/>
      <c r="Q285" s="451"/>
      <c r="R285" s="450"/>
    </row>
    <row r="286" spans="1:18" ht="12" customHeight="1">
      <c r="A286" s="451"/>
      <c r="B286" s="451"/>
      <c r="C286" s="451"/>
      <c r="D286" s="451"/>
      <c r="E286" s="451"/>
      <c r="F286" s="498"/>
      <c r="G286" s="498"/>
      <c r="H286" s="451"/>
      <c r="I286" s="451"/>
      <c r="J286" s="451"/>
      <c r="K286" s="451"/>
      <c r="M286" s="499"/>
      <c r="N286" s="450"/>
      <c r="O286" s="500"/>
      <c r="P286" s="498"/>
      <c r="Q286" s="451"/>
      <c r="R286" s="450"/>
    </row>
    <row r="287" spans="1:256" ht="13.5">
      <c r="A287" s="451"/>
      <c r="B287" s="451"/>
      <c r="C287" s="451"/>
      <c r="D287" s="451"/>
      <c r="E287" s="451"/>
      <c r="F287" s="498"/>
      <c r="G287" s="498"/>
      <c r="H287" s="451"/>
      <c r="I287" s="451"/>
      <c r="J287" s="451"/>
      <c r="K287" s="451"/>
      <c r="M287" s="499"/>
      <c r="N287" s="450"/>
      <c r="O287" s="500"/>
      <c r="P287" s="498"/>
      <c r="Q287" s="460"/>
      <c r="R287" s="460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6:18" s="451" customFormat="1" ht="11.25">
      <c r="F288" s="498"/>
      <c r="G288" s="498"/>
      <c r="L288" s="390"/>
      <c r="M288" s="499"/>
      <c r="N288" s="450"/>
      <c r="O288" s="500"/>
      <c r="P288" s="498"/>
      <c r="R288" s="450"/>
    </row>
    <row r="289" spans="1:256" ht="13.5">
      <c r="A289" s="451"/>
      <c r="B289" s="451"/>
      <c r="C289" s="451"/>
      <c r="D289" s="451"/>
      <c r="E289" s="451"/>
      <c r="F289" s="498"/>
      <c r="G289" s="498"/>
      <c r="H289" s="451"/>
      <c r="I289" s="451"/>
      <c r="J289" s="451"/>
      <c r="K289" s="451"/>
      <c r="M289" s="499"/>
      <c r="N289" s="450"/>
      <c r="O289" s="500"/>
      <c r="P289" s="498"/>
      <c r="Q289" s="460"/>
      <c r="R289" s="460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6:18" s="451" customFormat="1" ht="11.25">
      <c r="F290" s="498"/>
      <c r="G290" s="498"/>
      <c r="L290" s="390"/>
      <c r="M290" s="499"/>
      <c r="N290" s="450"/>
      <c r="O290" s="500"/>
      <c r="P290" s="498"/>
      <c r="R290" s="450"/>
    </row>
    <row r="291" spans="6:18" s="451" customFormat="1" ht="11.25">
      <c r="F291" s="498"/>
      <c r="G291" s="498"/>
      <c r="L291" s="390"/>
      <c r="M291" s="499"/>
      <c r="N291" s="450"/>
      <c r="O291" s="500"/>
      <c r="P291" s="498"/>
      <c r="R291" s="450"/>
    </row>
    <row r="292" spans="6:18" s="451" customFormat="1" ht="11.25">
      <c r="F292" s="498"/>
      <c r="G292" s="498"/>
      <c r="L292" s="390"/>
      <c r="M292" s="499"/>
      <c r="N292" s="450"/>
      <c r="O292" s="500"/>
      <c r="P292" s="498"/>
      <c r="R292" s="450"/>
    </row>
    <row r="293" spans="6:18" s="451" customFormat="1" ht="11.25">
      <c r="F293" s="498"/>
      <c r="G293" s="498"/>
      <c r="L293" s="390"/>
      <c r="M293" s="499"/>
      <c r="N293" s="450"/>
      <c r="O293" s="500"/>
      <c r="P293" s="498"/>
      <c r="R293" s="450"/>
    </row>
    <row r="294" spans="6:18" s="451" customFormat="1" ht="11.25">
      <c r="F294" s="498"/>
      <c r="G294" s="498"/>
      <c r="L294" s="390"/>
      <c r="M294" s="499"/>
      <c r="N294" s="450"/>
      <c r="O294" s="500"/>
      <c r="P294" s="498"/>
      <c r="R294" s="450"/>
    </row>
    <row r="295" spans="6:18" s="451" customFormat="1" ht="11.25">
      <c r="F295" s="498"/>
      <c r="G295" s="498"/>
      <c r="L295" s="390"/>
      <c r="M295" s="499"/>
      <c r="N295" s="450"/>
      <c r="O295" s="500"/>
      <c r="P295" s="498"/>
      <c r="R295" s="450"/>
    </row>
    <row r="296" spans="1:256" ht="13.5">
      <c r="A296" s="451"/>
      <c r="B296" s="451"/>
      <c r="C296" s="451"/>
      <c r="D296" s="451"/>
      <c r="E296" s="451"/>
      <c r="F296" s="498"/>
      <c r="G296" s="498"/>
      <c r="H296" s="451"/>
      <c r="I296" s="451"/>
      <c r="J296" s="451"/>
      <c r="K296" s="451"/>
      <c r="M296" s="499"/>
      <c r="N296" s="450"/>
      <c r="O296" s="500"/>
      <c r="P296" s="498"/>
      <c r="Q296" s="451"/>
      <c r="R296" s="460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18" ht="13.5">
      <c r="A297" s="451"/>
      <c r="B297" s="451"/>
      <c r="C297" s="451"/>
      <c r="D297" s="451"/>
      <c r="E297" s="451"/>
      <c r="F297" s="498"/>
      <c r="G297" s="498"/>
      <c r="H297" s="451"/>
      <c r="I297" s="451"/>
      <c r="J297" s="451"/>
      <c r="K297" s="451"/>
      <c r="M297" s="499"/>
      <c r="N297" s="450"/>
      <c r="O297" s="500"/>
      <c r="P297" s="498"/>
      <c r="Q297" s="451"/>
      <c r="R297" s="450"/>
    </row>
    <row r="298" spans="1:18" ht="13.5">
      <c r="A298" s="451"/>
      <c r="B298" s="451"/>
      <c r="C298" s="451"/>
      <c r="D298" s="451"/>
      <c r="E298" s="451"/>
      <c r="F298" s="498"/>
      <c r="G298" s="498"/>
      <c r="H298" s="451"/>
      <c r="I298" s="451"/>
      <c r="J298" s="451"/>
      <c r="K298" s="451"/>
      <c r="M298" s="499"/>
      <c r="N298" s="450"/>
      <c r="O298" s="500"/>
      <c r="P298" s="498"/>
      <c r="Q298" s="451"/>
      <c r="R298" s="450"/>
    </row>
    <row r="299" spans="1:18" ht="13.5">
      <c r="A299" s="451"/>
      <c r="B299" s="451"/>
      <c r="C299" s="451"/>
      <c r="D299" s="451"/>
      <c r="E299" s="451"/>
      <c r="F299" s="498"/>
      <c r="G299" s="498"/>
      <c r="H299" s="451"/>
      <c r="I299" s="451"/>
      <c r="J299" s="451"/>
      <c r="K299" s="451"/>
      <c r="M299" s="499"/>
      <c r="N299" s="450"/>
      <c r="O299" s="500"/>
      <c r="P299" s="498"/>
      <c r="Q299" s="451"/>
      <c r="R299" s="450"/>
    </row>
    <row r="300" spans="1:256" ht="13.5">
      <c r="A300" s="451"/>
      <c r="B300" s="451"/>
      <c r="C300" s="451"/>
      <c r="D300" s="451"/>
      <c r="E300" s="451"/>
      <c r="F300" s="498"/>
      <c r="G300" s="498"/>
      <c r="H300" s="451"/>
      <c r="I300" s="451"/>
      <c r="J300" s="451"/>
      <c r="K300" s="451"/>
      <c r="M300" s="499"/>
      <c r="N300" s="450"/>
      <c r="O300" s="500"/>
      <c r="P300" s="498"/>
      <c r="Q300" s="460"/>
      <c r="R300" s="46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6:18" s="451" customFormat="1" ht="11.25">
      <c r="F301" s="498"/>
      <c r="G301" s="498"/>
      <c r="L301" s="390"/>
      <c r="M301" s="499"/>
      <c r="N301" s="450"/>
      <c r="O301" s="500"/>
      <c r="P301" s="498"/>
      <c r="R301" s="450"/>
    </row>
    <row r="302" spans="1:19" ht="13.5">
      <c r="A302" s="46" t="s">
        <v>310</v>
      </c>
      <c r="B302" s="489" t="s">
        <v>111</v>
      </c>
      <c r="C302" s="489" t="s">
        <v>253</v>
      </c>
      <c r="D302" s="489" t="s">
        <v>254</v>
      </c>
      <c r="E302" s="489" t="s">
        <v>255</v>
      </c>
      <c r="F302" s="490" t="s">
        <v>174</v>
      </c>
      <c r="G302" s="490" t="s">
        <v>256</v>
      </c>
      <c r="H302" s="489" t="s">
        <v>233</v>
      </c>
      <c r="I302" s="489" t="s">
        <v>257</v>
      </c>
      <c r="J302" s="489" t="s">
        <v>258</v>
      </c>
      <c r="K302" s="489" t="s">
        <v>259</v>
      </c>
      <c r="L302" s="489" t="s">
        <v>260</v>
      </c>
      <c r="M302" s="491" t="s">
        <v>261</v>
      </c>
      <c r="N302" s="489" t="s">
        <v>262</v>
      </c>
      <c r="O302" s="492" t="s">
        <v>223</v>
      </c>
      <c r="P302" s="490" t="s">
        <v>2093</v>
      </c>
      <c r="Q302" s="493" t="s">
        <v>2094</v>
      </c>
      <c r="R302" s="399" t="s">
        <v>2095</v>
      </c>
      <c r="S302" s="213"/>
    </row>
    <row r="303" spans="1:16" ht="11.25" customHeight="1">
      <c r="A303" s="390" t="s">
        <v>2315</v>
      </c>
      <c r="B303" s="390">
        <v>1</v>
      </c>
      <c r="C303" s="390" t="s">
        <v>310</v>
      </c>
      <c r="D303" s="390" t="s">
        <v>2124</v>
      </c>
      <c r="E303" s="390">
        <v>8</v>
      </c>
      <c r="F303" s="485">
        <v>-1</v>
      </c>
      <c r="G303" s="485">
        <v>7</v>
      </c>
      <c r="H303" s="390">
        <v>0</v>
      </c>
      <c r="I303" s="390">
        <v>0</v>
      </c>
      <c r="J303" s="390">
        <v>0</v>
      </c>
      <c r="K303" s="390">
        <v>-2</v>
      </c>
      <c r="L303" s="390">
        <v>0</v>
      </c>
      <c r="M303" s="486" t="s">
        <v>572</v>
      </c>
      <c r="N303" s="461" t="s">
        <v>2125</v>
      </c>
      <c r="O303" s="487">
        <v>110</v>
      </c>
      <c r="P303" s="485" t="s">
        <v>83</v>
      </c>
    </row>
    <row r="304" spans="1:16" ht="11.25" customHeight="1">
      <c r="A304" s="390" t="s">
        <v>2316</v>
      </c>
      <c r="B304" s="390">
        <v>1</v>
      </c>
      <c r="C304" s="390" t="s">
        <v>310</v>
      </c>
      <c r="D304" s="390" t="s">
        <v>2156</v>
      </c>
      <c r="E304" s="390">
        <v>11</v>
      </c>
      <c r="F304" s="485">
        <v>0</v>
      </c>
      <c r="G304" s="485">
        <v>9</v>
      </c>
      <c r="H304" s="390">
        <v>0</v>
      </c>
      <c r="I304" s="390">
        <v>0</v>
      </c>
      <c r="J304" s="390">
        <v>0</v>
      </c>
      <c r="K304" s="390">
        <v>-2</v>
      </c>
      <c r="L304" s="390">
        <v>0</v>
      </c>
      <c r="M304" s="486" t="s">
        <v>572</v>
      </c>
      <c r="O304" s="487">
        <v>200</v>
      </c>
      <c r="P304" s="485" t="s">
        <v>83</v>
      </c>
    </row>
    <row r="305" spans="1:18" s="451" customFormat="1" ht="11.25" customHeight="1">
      <c r="A305" s="390" t="s">
        <v>2317</v>
      </c>
      <c r="B305" s="390">
        <v>1</v>
      </c>
      <c r="C305" s="390" t="s">
        <v>310</v>
      </c>
      <c r="D305" s="390" t="s">
        <v>2124</v>
      </c>
      <c r="E305" s="390">
        <v>8</v>
      </c>
      <c r="F305" s="485">
        <v>-1</v>
      </c>
      <c r="G305" s="485">
        <v>8</v>
      </c>
      <c r="H305" s="390">
        <v>0</v>
      </c>
      <c r="I305" s="390">
        <v>0</v>
      </c>
      <c r="J305" s="390">
        <v>0</v>
      </c>
      <c r="K305" s="390">
        <v>-1</v>
      </c>
      <c r="L305" s="390">
        <v>0</v>
      </c>
      <c r="M305" s="486" t="s">
        <v>572</v>
      </c>
      <c r="N305" s="461" t="s">
        <v>2318</v>
      </c>
      <c r="O305" s="487">
        <v>100</v>
      </c>
      <c r="P305" s="485" t="s">
        <v>83</v>
      </c>
      <c r="Q305" s="390"/>
      <c r="R305" s="450"/>
    </row>
    <row r="306" spans="1:16" ht="11.25" customHeight="1">
      <c r="A306" s="390" t="s">
        <v>2319</v>
      </c>
      <c r="B306" s="390">
        <v>2</v>
      </c>
      <c r="C306" s="390" t="s">
        <v>310</v>
      </c>
      <c r="D306" s="390" t="s">
        <v>2156</v>
      </c>
      <c r="E306" s="390">
        <v>11</v>
      </c>
      <c r="F306" s="485">
        <v>0</v>
      </c>
      <c r="G306" s="485">
        <v>10</v>
      </c>
      <c r="H306" s="390">
        <v>0</v>
      </c>
      <c r="I306" s="390">
        <v>0</v>
      </c>
      <c r="J306" s="390">
        <v>0</v>
      </c>
      <c r="K306" s="390">
        <v>-2</v>
      </c>
      <c r="L306" s="390">
        <v>0</v>
      </c>
      <c r="M306" s="486" t="s">
        <v>572</v>
      </c>
      <c r="O306" s="487">
        <v>350</v>
      </c>
      <c r="P306" s="485" t="s">
        <v>83</v>
      </c>
    </row>
    <row r="307" spans="1:18" s="451" customFormat="1" ht="11.25" customHeight="1">
      <c r="A307" s="390" t="s">
        <v>2320</v>
      </c>
      <c r="B307" s="390">
        <v>3</v>
      </c>
      <c r="C307" s="390" t="s">
        <v>310</v>
      </c>
      <c r="D307" s="390" t="s">
        <v>2124</v>
      </c>
      <c r="E307" s="390">
        <v>8</v>
      </c>
      <c r="F307" s="485">
        <v>-1</v>
      </c>
      <c r="G307" s="485">
        <v>9</v>
      </c>
      <c r="H307" s="390">
        <v>0</v>
      </c>
      <c r="I307" s="390">
        <v>0</v>
      </c>
      <c r="J307" s="390">
        <v>0</v>
      </c>
      <c r="K307" s="390">
        <v>-2</v>
      </c>
      <c r="L307" s="390">
        <v>0</v>
      </c>
      <c r="M307" s="486" t="s">
        <v>572</v>
      </c>
      <c r="N307" s="461" t="s">
        <v>2125</v>
      </c>
      <c r="O307" s="487">
        <v>380</v>
      </c>
      <c r="P307" s="485" t="s">
        <v>83</v>
      </c>
      <c r="Q307" s="390"/>
      <c r="R307" s="450"/>
    </row>
    <row r="308" spans="1:16" ht="11.25" customHeight="1">
      <c r="A308" s="390" t="s">
        <v>2321</v>
      </c>
      <c r="B308" s="390">
        <v>3</v>
      </c>
      <c r="C308" s="390" t="s">
        <v>310</v>
      </c>
      <c r="D308" s="390" t="s">
        <v>2156</v>
      </c>
      <c r="E308" s="390">
        <v>12</v>
      </c>
      <c r="F308" s="485">
        <v>0</v>
      </c>
      <c r="G308" s="485">
        <v>11</v>
      </c>
      <c r="H308" s="390">
        <v>0</v>
      </c>
      <c r="I308" s="390">
        <v>0</v>
      </c>
      <c r="J308" s="390">
        <v>0</v>
      </c>
      <c r="K308" s="390">
        <v>-2</v>
      </c>
      <c r="L308" s="390">
        <v>0</v>
      </c>
      <c r="M308" s="486" t="s">
        <v>572</v>
      </c>
      <c r="O308" s="487">
        <v>520</v>
      </c>
      <c r="P308" s="485" t="s">
        <v>83</v>
      </c>
    </row>
    <row r="309" spans="1:16" ht="11.25" customHeight="1">
      <c r="A309" s="390" t="s">
        <v>2322</v>
      </c>
      <c r="B309" s="390">
        <v>4</v>
      </c>
      <c r="C309" s="390" t="s">
        <v>310</v>
      </c>
      <c r="D309" s="390" t="s">
        <v>2156</v>
      </c>
      <c r="E309" s="390">
        <v>12</v>
      </c>
      <c r="F309" s="485">
        <v>0</v>
      </c>
      <c r="G309" s="485">
        <v>12</v>
      </c>
      <c r="H309" s="390">
        <v>0</v>
      </c>
      <c r="I309" s="390">
        <v>0</v>
      </c>
      <c r="J309" s="390">
        <v>0</v>
      </c>
      <c r="K309" s="390">
        <v>-2</v>
      </c>
      <c r="L309" s="390">
        <v>0</v>
      </c>
      <c r="M309" s="486" t="s">
        <v>572</v>
      </c>
      <c r="O309" s="487">
        <v>680</v>
      </c>
      <c r="P309" s="485" t="s">
        <v>83</v>
      </c>
    </row>
    <row r="310" spans="1:18" s="451" customFormat="1" ht="11.25" customHeight="1">
      <c r="A310" s="390" t="s">
        <v>2323</v>
      </c>
      <c r="B310" s="390">
        <v>4</v>
      </c>
      <c r="C310" s="390" t="s">
        <v>310</v>
      </c>
      <c r="D310" s="390" t="s">
        <v>2124</v>
      </c>
      <c r="E310" s="390">
        <v>9</v>
      </c>
      <c r="F310" s="485">
        <v>-1</v>
      </c>
      <c r="G310" s="485">
        <v>11</v>
      </c>
      <c r="H310" s="390">
        <v>0</v>
      </c>
      <c r="I310" s="390">
        <v>0</v>
      </c>
      <c r="J310" s="390">
        <v>0</v>
      </c>
      <c r="K310" s="390">
        <v>-1</v>
      </c>
      <c r="L310" s="390">
        <v>0</v>
      </c>
      <c r="M310" s="486" t="s">
        <v>572</v>
      </c>
      <c r="N310" s="461" t="s">
        <v>2318</v>
      </c>
      <c r="O310" s="487">
        <v>500</v>
      </c>
      <c r="P310" s="485" t="s">
        <v>83</v>
      </c>
      <c r="Q310" s="390"/>
      <c r="R310" s="450"/>
    </row>
    <row r="311" spans="1:18" s="451" customFormat="1" ht="11.25" customHeight="1">
      <c r="A311" s="390" t="s">
        <v>2324</v>
      </c>
      <c r="B311" s="390">
        <v>5</v>
      </c>
      <c r="C311" s="390" t="s">
        <v>310</v>
      </c>
      <c r="D311" s="390" t="s">
        <v>2156</v>
      </c>
      <c r="E311" s="390">
        <v>9</v>
      </c>
      <c r="F311" s="485">
        <v>-1</v>
      </c>
      <c r="G311" s="485">
        <v>11</v>
      </c>
      <c r="H311" s="390">
        <v>0</v>
      </c>
      <c r="I311" s="390">
        <v>0</v>
      </c>
      <c r="J311" s="390">
        <v>0</v>
      </c>
      <c r="K311" s="390">
        <v>-1</v>
      </c>
      <c r="L311" s="390">
        <v>0</v>
      </c>
      <c r="M311" s="486" t="s">
        <v>572</v>
      </c>
      <c r="N311" s="461" t="s">
        <v>2125</v>
      </c>
      <c r="O311" s="487">
        <v>510</v>
      </c>
      <c r="P311" s="485" t="s">
        <v>83</v>
      </c>
      <c r="Q311" s="390"/>
      <c r="R311" s="450"/>
    </row>
    <row r="312" spans="1:16" ht="11.25" customHeight="1">
      <c r="A312" s="390" t="s">
        <v>2325</v>
      </c>
      <c r="B312" s="390">
        <v>5</v>
      </c>
      <c r="C312" s="390" t="s">
        <v>310</v>
      </c>
      <c r="D312" s="390" t="s">
        <v>2156</v>
      </c>
      <c r="E312" s="390">
        <v>13</v>
      </c>
      <c r="F312" s="485">
        <v>0</v>
      </c>
      <c r="G312" s="485">
        <v>13</v>
      </c>
      <c r="H312" s="390">
        <v>0</v>
      </c>
      <c r="I312" s="390">
        <v>0</v>
      </c>
      <c r="J312" s="390">
        <v>0</v>
      </c>
      <c r="K312" s="390">
        <v>-2</v>
      </c>
      <c r="L312" s="390">
        <v>0</v>
      </c>
      <c r="M312" s="486" t="s">
        <v>572</v>
      </c>
      <c r="N312" s="461" t="s">
        <v>2326</v>
      </c>
      <c r="O312" s="487">
        <v>900</v>
      </c>
      <c r="P312" s="485" t="s">
        <v>83</v>
      </c>
    </row>
    <row r="313" spans="1:16" ht="11.25" customHeight="1">
      <c r="A313" s="390" t="s">
        <v>2327</v>
      </c>
      <c r="B313" s="390">
        <v>6</v>
      </c>
      <c r="C313" s="390" t="s">
        <v>310</v>
      </c>
      <c r="D313" s="390" t="s">
        <v>2156</v>
      </c>
      <c r="E313" s="390">
        <v>13</v>
      </c>
      <c r="F313" s="485">
        <v>0</v>
      </c>
      <c r="G313" s="485">
        <v>14</v>
      </c>
      <c r="H313" s="390">
        <v>0</v>
      </c>
      <c r="I313" s="390">
        <v>0</v>
      </c>
      <c r="J313" s="390">
        <v>0</v>
      </c>
      <c r="K313" s="390">
        <v>-2</v>
      </c>
      <c r="L313" s="390">
        <v>0</v>
      </c>
      <c r="M313" s="486" t="s">
        <v>572</v>
      </c>
      <c r="O313" s="487">
        <v>1500</v>
      </c>
      <c r="P313" s="485" t="s">
        <v>83</v>
      </c>
    </row>
    <row r="314" spans="1:16" ht="11.25" customHeight="1">
      <c r="A314" s="390" t="s">
        <v>2328</v>
      </c>
      <c r="B314" s="390">
        <v>7</v>
      </c>
      <c r="C314" s="390" t="s">
        <v>310</v>
      </c>
      <c r="D314" s="390" t="s">
        <v>2124</v>
      </c>
      <c r="E314" s="390">
        <v>10</v>
      </c>
      <c r="F314" s="485">
        <v>-1</v>
      </c>
      <c r="G314" s="485">
        <v>13</v>
      </c>
      <c r="H314" s="390">
        <v>0</v>
      </c>
      <c r="I314" s="390">
        <v>0</v>
      </c>
      <c r="J314" s="390">
        <v>0</v>
      </c>
      <c r="K314" s="390">
        <v>-2</v>
      </c>
      <c r="L314" s="390">
        <v>0</v>
      </c>
      <c r="M314" s="486" t="s">
        <v>572</v>
      </c>
      <c r="N314" s="461" t="s">
        <v>2125</v>
      </c>
      <c r="O314" s="487">
        <v>1100</v>
      </c>
      <c r="P314" s="485" t="s">
        <v>83</v>
      </c>
    </row>
    <row r="315" spans="1:16" ht="11.25" customHeight="1">
      <c r="A315" s="390" t="s">
        <v>2329</v>
      </c>
      <c r="B315" s="390">
        <v>7</v>
      </c>
      <c r="C315" s="390" t="s">
        <v>310</v>
      </c>
      <c r="D315" s="390" t="s">
        <v>2124</v>
      </c>
      <c r="E315" s="390">
        <v>10</v>
      </c>
      <c r="F315" s="485">
        <v>-1</v>
      </c>
      <c r="G315" s="485">
        <v>14</v>
      </c>
      <c r="H315" s="390">
        <v>0</v>
      </c>
      <c r="I315" s="390">
        <v>0</v>
      </c>
      <c r="J315" s="390">
        <v>0</v>
      </c>
      <c r="K315" s="390">
        <v>-1</v>
      </c>
      <c r="L315" s="390">
        <v>0</v>
      </c>
      <c r="M315" s="486" t="s">
        <v>572</v>
      </c>
      <c r="N315" s="461" t="s">
        <v>2318</v>
      </c>
      <c r="O315" s="487">
        <v>1800</v>
      </c>
      <c r="P315" s="485" t="s">
        <v>83</v>
      </c>
    </row>
    <row r="316" spans="1:16" ht="11.25" customHeight="1">
      <c r="A316" s="390" t="s">
        <v>2330</v>
      </c>
      <c r="B316" s="390">
        <v>8</v>
      </c>
      <c r="C316" s="390" t="s">
        <v>310</v>
      </c>
      <c r="D316" s="390" t="s">
        <v>2156</v>
      </c>
      <c r="E316" s="390">
        <v>14</v>
      </c>
      <c r="F316" s="485">
        <v>0</v>
      </c>
      <c r="G316" s="485">
        <v>16</v>
      </c>
      <c r="H316" s="390">
        <v>0</v>
      </c>
      <c r="I316" s="390">
        <v>0</v>
      </c>
      <c r="J316" s="390">
        <v>0</v>
      </c>
      <c r="K316" s="390">
        <v>-2</v>
      </c>
      <c r="L316" s="390">
        <v>0</v>
      </c>
      <c r="M316" s="486" t="s">
        <v>572</v>
      </c>
      <c r="N316" s="461" t="s">
        <v>2326</v>
      </c>
      <c r="O316" s="487">
        <v>2800</v>
      </c>
      <c r="P316" s="485" t="s">
        <v>83</v>
      </c>
    </row>
    <row r="317" spans="1:16" ht="11.25" customHeight="1">
      <c r="A317" s="390" t="s">
        <v>2331</v>
      </c>
      <c r="B317" s="390">
        <v>9</v>
      </c>
      <c r="C317" s="390" t="s">
        <v>310</v>
      </c>
      <c r="D317" s="390" t="s">
        <v>2156</v>
      </c>
      <c r="E317" s="390">
        <v>15</v>
      </c>
      <c r="F317" s="485">
        <v>0</v>
      </c>
      <c r="G317" s="485">
        <v>17</v>
      </c>
      <c r="H317" s="390">
        <v>0</v>
      </c>
      <c r="I317" s="390">
        <v>0</v>
      </c>
      <c r="J317" s="390">
        <v>0</v>
      </c>
      <c r="K317" s="390">
        <v>-2</v>
      </c>
      <c r="L317" s="390">
        <v>0</v>
      </c>
      <c r="M317" s="486" t="s">
        <v>572</v>
      </c>
      <c r="O317" s="487">
        <v>4100</v>
      </c>
      <c r="P317" s="485" t="s">
        <v>83</v>
      </c>
    </row>
    <row r="318" spans="1:18" s="451" customFormat="1" ht="11.25" customHeight="1">
      <c r="A318" s="390" t="s">
        <v>2332</v>
      </c>
      <c r="B318" s="390">
        <v>10</v>
      </c>
      <c r="C318" s="390" t="s">
        <v>310</v>
      </c>
      <c r="D318" s="390" t="s">
        <v>2124</v>
      </c>
      <c r="E318" s="390">
        <v>11</v>
      </c>
      <c r="F318" s="485">
        <v>-1</v>
      </c>
      <c r="G318" s="485">
        <v>16</v>
      </c>
      <c r="H318" s="390">
        <v>0</v>
      </c>
      <c r="I318" s="390">
        <v>0</v>
      </c>
      <c r="J318" s="390">
        <v>0</v>
      </c>
      <c r="K318" s="390">
        <v>-2</v>
      </c>
      <c r="L318" s="390">
        <v>0</v>
      </c>
      <c r="M318" s="486" t="s">
        <v>572</v>
      </c>
      <c r="N318" s="461" t="s">
        <v>2125</v>
      </c>
      <c r="O318" s="487">
        <v>3200</v>
      </c>
      <c r="P318" s="485" t="s">
        <v>83</v>
      </c>
      <c r="Q318" s="390"/>
      <c r="R318" s="450"/>
    </row>
    <row r="319" spans="1:18" s="451" customFormat="1" ht="11.25" customHeight="1">
      <c r="A319" s="390" t="s">
        <v>2333</v>
      </c>
      <c r="B319" s="390">
        <v>10</v>
      </c>
      <c r="C319" s="390" t="s">
        <v>310</v>
      </c>
      <c r="D319" s="390" t="s">
        <v>2124</v>
      </c>
      <c r="E319" s="202">
        <v>11</v>
      </c>
      <c r="F319" s="158">
        <v>-1</v>
      </c>
      <c r="G319" s="158">
        <v>17</v>
      </c>
      <c r="H319" s="390">
        <v>0</v>
      </c>
      <c r="I319" s="390">
        <v>0</v>
      </c>
      <c r="J319" s="390">
        <v>0</v>
      </c>
      <c r="K319" s="390">
        <v>-1</v>
      </c>
      <c r="L319" s="390">
        <v>0</v>
      </c>
      <c r="M319" s="486" t="s">
        <v>572</v>
      </c>
      <c r="N319" s="461" t="s">
        <v>2318</v>
      </c>
      <c r="O319" s="487">
        <v>4500</v>
      </c>
      <c r="P319" s="485" t="s">
        <v>83</v>
      </c>
      <c r="Q319" s="390"/>
      <c r="R319" s="450"/>
    </row>
    <row r="320" spans="1:18" s="451" customFormat="1" ht="11.25" customHeight="1">
      <c r="A320" s="390" t="s">
        <v>2334</v>
      </c>
      <c r="B320" s="390">
        <v>10</v>
      </c>
      <c r="C320" s="390" t="s">
        <v>310</v>
      </c>
      <c r="D320" s="390" t="s">
        <v>2156</v>
      </c>
      <c r="E320" s="390">
        <v>15</v>
      </c>
      <c r="F320" s="485">
        <v>0</v>
      </c>
      <c r="G320" s="485">
        <v>18</v>
      </c>
      <c r="H320" s="390">
        <v>0</v>
      </c>
      <c r="I320" s="390">
        <v>0</v>
      </c>
      <c r="J320" s="390">
        <v>0</v>
      </c>
      <c r="K320" s="390">
        <v>-2</v>
      </c>
      <c r="L320" s="390">
        <v>0</v>
      </c>
      <c r="M320" s="486" t="s">
        <v>572</v>
      </c>
      <c r="N320" s="461"/>
      <c r="O320" s="487">
        <v>5800</v>
      </c>
      <c r="P320" s="485" t="s">
        <v>83</v>
      </c>
      <c r="Q320" s="390"/>
      <c r="R320" s="450"/>
    </row>
    <row r="321" spans="1:16" ht="11.25" customHeight="1">
      <c r="A321" s="451" t="s">
        <v>2335</v>
      </c>
      <c r="B321" s="451">
        <v>2</v>
      </c>
      <c r="C321" s="451" t="s">
        <v>310</v>
      </c>
      <c r="D321" s="451" t="s">
        <v>2124</v>
      </c>
      <c r="E321" s="451">
        <v>8</v>
      </c>
      <c r="F321" s="498">
        <v>-2</v>
      </c>
      <c r="G321" s="498">
        <v>9</v>
      </c>
      <c r="H321" s="451">
        <v>0</v>
      </c>
      <c r="I321" s="451">
        <v>0</v>
      </c>
      <c r="J321" s="451">
        <v>0</v>
      </c>
      <c r="K321" s="451">
        <v>-1</v>
      </c>
      <c r="L321" s="451">
        <v>0</v>
      </c>
      <c r="M321" s="499" t="s">
        <v>572</v>
      </c>
      <c r="N321" s="450" t="s">
        <v>2336</v>
      </c>
      <c r="O321" s="500">
        <v>1800</v>
      </c>
      <c r="P321" s="498">
        <v>11</v>
      </c>
    </row>
    <row r="322" spans="1:16" ht="11.25" customHeight="1">
      <c r="A322" s="451" t="s">
        <v>2337</v>
      </c>
      <c r="B322" s="451">
        <v>3</v>
      </c>
      <c r="C322" s="451" t="s">
        <v>310</v>
      </c>
      <c r="D322" s="451" t="s">
        <v>2156</v>
      </c>
      <c r="E322" s="451">
        <v>12</v>
      </c>
      <c r="F322" s="498">
        <v>0</v>
      </c>
      <c r="G322" s="498">
        <v>11</v>
      </c>
      <c r="H322" s="451">
        <v>0</v>
      </c>
      <c r="I322" s="451">
        <v>0</v>
      </c>
      <c r="J322" s="451">
        <v>0</v>
      </c>
      <c r="K322" s="451">
        <v>-2</v>
      </c>
      <c r="L322" s="451">
        <v>0</v>
      </c>
      <c r="M322" s="499" t="s">
        <v>572</v>
      </c>
      <c r="N322" s="450" t="s">
        <v>2338</v>
      </c>
      <c r="O322" s="500">
        <v>2400</v>
      </c>
      <c r="P322" s="498">
        <v>13</v>
      </c>
    </row>
    <row r="323" spans="1:16" ht="11.25" customHeight="1">
      <c r="A323" s="451" t="s">
        <v>2339</v>
      </c>
      <c r="B323" s="451">
        <v>4</v>
      </c>
      <c r="C323" s="451" t="s">
        <v>310</v>
      </c>
      <c r="D323" s="451" t="s">
        <v>2156</v>
      </c>
      <c r="E323" s="451">
        <v>11</v>
      </c>
      <c r="F323" s="498">
        <v>-1</v>
      </c>
      <c r="G323" s="498">
        <v>14</v>
      </c>
      <c r="H323" s="451">
        <v>0</v>
      </c>
      <c r="I323" s="451">
        <v>0</v>
      </c>
      <c r="J323" s="451">
        <v>0</v>
      </c>
      <c r="K323" s="451">
        <v>-3</v>
      </c>
      <c r="L323" s="451">
        <v>0</v>
      </c>
      <c r="M323" s="499" t="s">
        <v>572</v>
      </c>
      <c r="N323" s="450" t="s">
        <v>2340</v>
      </c>
      <c r="O323" s="500">
        <v>8000</v>
      </c>
      <c r="P323" s="498">
        <v>12</v>
      </c>
    </row>
    <row r="324" spans="1:16" ht="11.25" customHeight="1">
      <c r="A324" s="451" t="s">
        <v>2341</v>
      </c>
      <c r="B324" s="451">
        <v>5</v>
      </c>
      <c r="C324" s="451" t="s">
        <v>310</v>
      </c>
      <c r="D324" s="451" t="s">
        <v>2124</v>
      </c>
      <c r="E324" s="451">
        <v>10</v>
      </c>
      <c r="F324" s="498">
        <v>-1</v>
      </c>
      <c r="G324" s="498">
        <v>11</v>
      </c>
      <c r="H324" s="451">
        <v>0</v>
      </c>
      <c r="I324" s="451">
        <v>0</v>
      </c>
      <c r="J324" s="451">
        <v>0</v>
      </c>
      <c r="K324" s="451">
        <v>-3</v>
      </c>
      <c r="L324" s="451">
        <v>0</v>
      </c>
      <c r="M324" s="499" t="s">
        <v>572</v>
      </c>
      <c r="N324" s="450"/>
      <c r="O324" s="500">
        <v>3100</v>
      </c>
      <c r="P324" s="498">
        <v>14</v>
      </c>
    </row>
    <row r="325" spans="1:16" ht="11.25" customHeight="1">
      <c r="A325" s="451" t="s">
        <v>2342</v>
      </c>
      <c r="B325" s="451">
        <v>6</v>
      </c>
      <c r="C325" s="451" t="s">
        <v>310</v>
      </c>
      <c r="D325" s="451" t="s">
        <v>2156</v>
      </c>
      <c r="E325" s="451">
        <v>13</v>
      </c>
      <c r="F325" s="498">
        <v>0</v>
      </c>
      <c r="G325" s="498">
        <v>14</v>
      </c>
      <c r="H325" s="451">
        <v>0</v>
      </c>
      <c r="I325" s="451">
        <v>0</v>
      </c>
      <c r="J325" s="451">
        <v>0</v>
      </c>
      <c r="K325" s="451">
        <v>-2</v>
      </c>
      <c r="L325" s="451">
        <v>0</v>
      </c>
      <c r="M325" s="499" t="s">
        <v>572</v>
      </c>
      <c r="N325" s="450"/>
      <c r="O325" s="500">
        <v>7000</v>
      </c>
      <c r="P325" s="498">
        <v>15</v>
      </c>
    </row>
    <row r="326" spans="1:16" ht="11.25" customHeight="1">
      <c r="A326" s="451" t="s">
        <v>2343</v>
      </c>
      <c r="B326" s="451">
        <v>8</v>
      </c>
      <c r="C326" s="451" t="s">
        <v>310</v>
      </c>
      <c r="D326" s="451" t="s">
        <v>2156</v>
      </c>
      <c r="E326" s="451">
        <v>14</v>
      </c>
      <c r="F326" s="498">
        <v>-2</v>
      </c>
      <c r="G326" s="498">
        <v>18</v>
      </c>
      <c r="H326" s="451">
        <v>0</v>
      </c>
      <c r="I326" s="451">
        <v>0</v>
      </c>
      <c r="J326" s="451">
        <v>0</v>
      </c>
      <c r="K326" s="451">
        <v>-2</v>
      </c>
      <c r="L326" s="451">
        <v>0</v>
      </c>
      <c r="M326" s="499" t="s">
        <v>572</v>
      </c>
      <c r="N326" s="450" t="s">
        <v>2344</v>
      </c>
      <c r="O326" s="500">
        <v>11000</v>
      </c>
      <c r="P326" s="498">
        <v>16</v>
      </c>
    </row>
    <row r="327" spans="1:16" ht="11.25" customHeight="1">
      <c r="A327" s="451" t="s">
        <v>2345</v>
      </c>
      <c r="B327" s="451">
        <v>9</v>
      </c>
      <c r="C327" s="451" t="s">
        <v>310</v>
      </c>
      <c r="D327" s="451" t="s">
        <v>2124</v>
      </c>
      <c r="E327" s="451">
        <v>14</v>
      </c>
      <c r="F327" s="498">
        <v>0</v>
      </c>
      <c r="G327" s="498">
        <v>15</v>
      </c>
      <c r="H327" s="451">
        <v>0</v>
      </c>
      <c r="I327" s="451">
        <v>0</v>
      </c>
      <c r="J327" s="451">
        <v>0</v>
      </c>
      <c r="K327" s="451">
        <v>-2</v>
      </c>
      <c r="L327" s="451">
        <v>0</v>
      </c>
      <c r="M327" s="499" t="s">
        <v>572</v>
      </c>
      <c r="N327" s="450"/>
      <c r="O327" s="500">
        <v>21000</v>
      </c>
      <c r="P327" s="498">
        <v>16</v>
      </c>
    </row>
    <row r="328" spans="1:16" ht="13.5">
      <c r="A328" s="451"/>
      <c r="B328" s="451"/>
      <c r="C328" s="451"/>
      <c r="D328" s="451"/>
      <c r="E328" s="451"/>
      <c r="F328" s="498"/>
      <c r="G328" s="498"/>
      <c r="H328" s="451"/>
      <c r="I328" s="451"/>
      <c r="J328" s="451"/>
      <c r="K328" s="451"/>
      <c r="M328" s="499"/>
      <c r="N328" s="450"/>
      <c r="O328" s="500"/>
      <c r="P328" s="498"/>
    </row>
    <row r="329" spans="1:16" ht="13.5">
      <c r="A329" s="451"/>
      <c r="B329" s="451"/>
      <c r="C329" s="451"/>
      <c r="D329" s="451"/>
      <c r="E329" s="451"/>
      <c r="F329" s="498"/>
      <c r="G329" s="498"/>
      <c r="H329" s="451"/>
      <c r="I329" s="451"/>
      <c r="J329" s="451"/>
      <c r="K329" s="451"/>
      <c r="M329" s="499"/>
      <c r="N329" s="450"/>
      <c r="O329" s="500"/>
      <c r="P329" s="498"/>
    </row>
    <row r="330" spans="1:16" ht="11.25" customHeight="1">
      <c r="A330" s="451"/>
      <c r="B330" s="451"/>
      <c r="C330" s="451"/>
      <c r="D330" s="451"/>
      <c r="E330" s="451"/>
      <c r="F330" s="498"/>
      <c r="G330" s="498"/>
      <c r="H330" s="451"/>
      <c r="I330" s="451"/>
      <c r="J330" s="451"/>
      <c r="K330" s="451"/>
      <c r="M330" s="499"/>
      <c r="N330" s="450"/>
      <c r="O330" s="500"/>
      <c r="P330" s="498"/>
    </row>
    <row r="331" spans="1:16" ht="11.25" customHeight="1">
      <c r="A331" s="451"/>
      <c r="B331" s="451"/>
      <c r="C331" s="451"/>
      <c r="D331" s="451"/>
      <c r="E331" s="451"/>
      <c r="F331" s="498"/>
      <c r="G331" s="498"/>
      <c r="H331" s="451"/>
      <c r="I331" s="451"/>
      <c r="J331" s="451"/>
      <c r="K331" s="451"/>
      <c r="M331" s="499"/>
      <c r="N331" s="450"/>
      <c r="O331" s="500"/>
      <c r="P331" s="498"/>
    </row>
    <row r="332" spans="1:16" ht="11.25" customHeight="1">
      <c r="A332" s="451"/>
      <c r="B332" s="451"/>
      <c r="C332" s="451"/>
      <c r="D332" s="451"/>
      <c r="E332" s="451"/>
      <c r="F332" s="498"/>
      <c r="G332" s="498"/>
      <c r="H332" s="451"/>
      <c r="I332" s="451"/>
      <c r="J332" s="451"/>
      <c r="K332" s="451"/>
      <c r="M332" s="499"/>
      <c r="N332" s="450"/>
      <c r="O332" s="500"/>
      <c r="P332" s="498"/>
    </row>
    <row r="333" spans="1:16" ht="11.25" customHeight="1">
      <c r="A333" s="451"/>
      <c r="B333" s="451"/>
      <c r="C333" s="451"/>
      <c r="D333" s="451"/>
      <c r="E333" s="451"/>
      <c r="F333" s="498"/>
      <c r="G333" s="498"/>
      <c r="H333" s="451"/>
      <c r="I333" s="451"/>
      <c r="J333" s="451"/>
      <c r="K333" s="451"/>
      <c r="M333" s="499"/>
      <c r="N333" s="450"/>
      <c r="O333" s="500"/>
      <c r="P333" s="498"/>
    </row>
    <row r="334" spans="1:16" ht="11.25" customHeight="1">
      <c r="A334" s="451"/>
      <c r="B334" s="451"/>
      <c r="C334" s="451"/>
      <c r="D334" s="451"/>
      <c r="E334" s="451"/>
      <c r="F334" s="498"/>
      <c r="G334" s="498"/>
      <c r="H334" s="451"/>
      <c r="I334" s="451"/>
      <c r="J334" s="451"/>
      <c r="K334" s="451"/>
      <c r="M334" s="499"/>
      <c r="N334" s="450"/>
      <c r="O334" s="500"/>
      <c r="P334" s="498"/>
    </row>
    <row r="335" spans="1:16" ht="11.25" customHeight="1">
      <c r="A335" s="451"/>
      <c r="B335" s="451"/>
      <c r="C335" s="451"/>
      <c r="D335" s="451"/>
      <c r="E335" s="451"/>
      <c r="F335" s="498"/>
      <c r="G335" s="498"/>
      <c r="H335" s="451"/>
      <c r="I335" s="451"/>
      <c r="J335" s="451"/>
      <c r="K335" s="451"/>
      <c r="M335" s="499"/>
      <c r="N335" s="450"/>
      <c r="O335" s="500"/>
      <c r="P335" s="498"/>
    </row>
    <row r="336" spans="1:16" ht="11.25" customHeight="1">
      <c r="A336" s="451"/>
      <c r="B336" s="451"/>
      <c r="C336" s="451"/>
      <c r="D336" s="451"/>
      <c r="E336" s="451"/>
      <c r="F336" s="498"/>
      <c r="G336" s="498"/>
      <c r="H336" s="451"/>
      <c r="I336" s="451"/>
      <c r="J336" s="451"/>
      <c r="K336" s="451"/>
      <c r="M336" s="499"/>
      <c r="N336" s="450"/>
      <c r="O336" s="500"/>
      <c r="P336" s="498"/>
    </row>
    <row r="337" spans="1:19" ht="13.5">
      <c r="A337" s="46" t="s">
        <v>319</v>
      </c>
      <c r="B337" s="489" t="s">
        <v>111</v>
      </c>
      <c r="C337" s="489" t="s">
        <v>253</v>
      </c>
      <c r="D337" s="489" t="s">
        <v>254</v>
      </c>
      <c r="E337" s="489" t="s">
        <v>255</v>
      </c>
      <c r="F337" s="490" t="s">
        <v>174</v>
      </c>
      <c r="G337" s="490" t="s">
        <v>256</v>
      </c>
      <c r="H337" s="489" t="s">
        <v>233</v>
      </c>
      <c r="I337" s="489" t="s">
        <v>257</v>
      </c>
      <c r="J337" s="489" t="s">
        <v>258</v>
      </c>
      <c r="K337" s="489" t="s">
        <v>259</v>
      </c>
      <c r="L337" s="489" t="s">
        <v>260</v>
      </c>
      <c r="M337" s="491" t="s">
        <v>261</v>
      </c>
      <c r="N337" s="489" t="s">
        <v>262</v>
      </c>
      <c r="O337" s="492" t="s">
        <v>223</v>
      </c>
      <c r="P337" s="490" t="s">
        <v>2093</v>
      </c>
      <c r="Q337" s="493" t="s">
        <v>2094</v>
      </c>
      <c r="R337" s="399"/>
      <c r="S337" s="213"/>
    </row>
    <row r="338" spans="1:19" ht="11.25" customHeight="1">
      <c r="A338" s="390" t="s">
        <v>2346</v>
      </c>
      <c r="B338" s="390">
        <v>1</v>
      </c>
      <c r="C338" s="390" t="s">
        <v>319</v>
      </c>
      <c r="D338" s="390" t="s">
        <v>2156</v>
      </c>
      <c r="E338" s="390">
        <v>6</v>
      </c>
      <c r="F338" s="485">
        <v>-2</v>
      </c>
      <c r="G338" s="485">
        <v>6</v>
      </c>
      <c r="H338" s="390">
        <v>0</v>
      </c>
      <c r="I338" s="390">
        <v>0</v>
      </c>
      <c r="J338" s="390">
        <v>0</v>
      </c>
      <c r="K338" s="390">
        <f>IF(COUNTIF(AR_SHEET_スキル,"スピードショット")&gt;0,IF($S338&lt;0,0,$S338),$S338)</f>
        <v>-3</v>
      </c>
      <c r="L338" s="390">
        <v>0</v>
      </c>
      <c r="M338" s="486">
        <v>20</v>
      </c>
      <c r="O338" s="487">
        <v>200</v>
      </c>
      <c r="P338" s="485" t="s">
        <v>83</v>
      </c>
      <c r="S338" s="390">
        <v>-3</v>
      </c>
    </row>
    <row r="339" spans="1:19" ht="11.25" customHeight="1">
      <c r="A339" s="390" t="s">
        <v>2347</v>
      </c>
      <c r="B339" s="390">
        <v>1</v>
      </c>
      <c r="C339" s="390" t="s">
        <v>319</v>
      </c>
      <c r="D339" s="390" t="s">
        <v>2156</v>
      </c>
      <c r="E339" s="390">
        <v>6</v>
      </c>
      <c r="F339" s="485">
        <v>-1</v>
      </c>
      <c r="G339" s="485">
        <v>5</v>
      </c>
      <c r="H339" s="390">
        <v>0</v>
      </c>
      <c r="I339" s="390">
        <v>0</v>
      </c>
      <c r="J339" s="390">
        <v>0</v>
      </c>
      <c r="K339" s="390">
        <f>IF(COUNTIF(AR_SHEET_スキル,"スピードショット")&gt;0,IF($S339&lt;0,0,$S339),$S339)</f>
        <v>-4</v>
      </c>
      <c r="L339" s="390">
        <v>0</v>
      </c>
      <c r="M339" s="486">
        <v>20</v>
      </c>
      <c r="O339" s="487">
        <v>450</v>
      </c>
      <c r="P339" s="485" t="s">
        <v>83</v>
      </c>
      <c r="S339" s="390">
        <v>-4</v>
      </c>
    </row>
    <row r="340" spans="1:19" ht="11.25" customHeight="1">
      <c r="A340" s="390" t="s">
        <v>2348</v>
      </c>
      <c r="B340" s="390">
        <v>1</v>
      </c>
      <c r="C340" s="390" t="s">
        <v>319</v>
      </c>
      <c r="D340" s="390" t="s">
        <v>2124</v>
      </c>
      <c r="E340" s="390">
        <v>6</v>
      </c>
      <c r="F340" s="485">
        <v>-1</v>
      </c>
      <c r="G340" s="485">
        <v>3</v>
      </c>
      <c r="H340" s="390">
        <v>0</v>
      </c>
      <c r="I340" s="390">
        <v>0</v>
      </c>
      <c r="J340" s="390">
        <v>0</v>
      </c>
      <c r="K340" s="390">
        <f>IF(COUNTIF(AR_SHEET_スキル,"スピードショット")&gt;0,IF($S340&lt;0,0,$S340),$S340)</f>
        <v>-3</v>
      </c>
      <c r="L340" s="390">
        <v>0</v>
      </c>
      <c r="M340" s="486">
        <v>20</v>
      </c>
      <c r="N340" s="461" t="s">
        <v>2349</v>
      </c>
      <c r="O340" s="487">
        <v>500</v>
      </c>
      <c r="P340" s="485" t="s">
        <v>83</v>
      </c>
      <c r="S340" s="390">
        <v>-3</v>
      </c>
    </row>
    <row r="341" spans="1:19" ht="11.25" customHeight="1">
      <c r="A341" s="390" t="s">
        <v>2350</v>
      </c>
      <c r="B341" s="390">
        <v>2</v>
      </c>
      <c r="C341" s="390" t="s">
        <v>319</v>
      </c>
      <c r="D341" s="390" t="s">
        <v>2156</v>
      </c>
      <c r="E341" s="390">
        <v>6</v>
      </c>
      <c r="F341" s="485">
        <v>-2</v>
      </c>
      <c r="G341" s="485">
        <v>7</v>
      </c>
      <c r="H341" s="390">
        <v>0</v>
      </c>
      <c r="I341" s="390">
        <v>0</v>
      </c>
      <c r="J341" s="390">
        <v>0</v>
      </c>
      <c r="K341" s="390">
        <f>IF(COUNTIF(AR_SHEET_スキル,"スピードショット")&gt;0,IF($S341&lt;0,0,$S341),$S341)</f>
        <v>-3</v>
      </c>
      <c r="L341" s="390">
        <v>0</v>
      </c>
      <c r="M341" s="486">
        <v>30</v>
      </c>
      <c r="O341" s="487">
        <v>300</v>
      </c>
      <c r="P341" s="485" t="s">
        <v>83</v>
      </c>
      <c r="S341" s="390">
        <v>-3</v>
      </c>
    </row>
    <row r="342" spans="1:19" s="451" customFormat="1" ht="11.25" customHeight="1">
      <c r="A342" s="390" t="s">
        <v>2351</v>
      </c>
      <c r="B342" s="390">
        <v>3</v>
      </c>
      <c r="C342" s="390" t="s">
        <v>319</v>
      </c>
      <c r="D342" s="390" t="s">
        <v>2156</v>
      </c>
      <c r="E342" s="390">
        <v>7</v>
      </c>
      <c r="F342" s="485">
        <v>-1</v>
      </c>
      <c r="G342" s="485">
        <v>7</v>
      </c>
      <c r="H342" s="390">
        <v>0</v>
      </c>
      <c r="I342" s="390">
        <v>0</v>
      </c>
      <c r="J342" s="390">
        <v>0</v>
      </c>
      <c r="K342" s="390">
        <f>IF(COUNTIF(AR_SHEET_スキル,"スピードショット")&gt;0,IF($S342&lt;0,0,$S342),$S342)</f>
        <v>-4</v>
      </c>
      <c r="L342" s="390">
        <v>0</v>
      </c>
      <c r="M342" s="486">
        <v>30</v>
      </c>
      <c r="N342" s="461"/>
      <c r="O342" s="487">
        <v>600</v>
      </c>
      <c r="P342" s="485" t="s">
        <v>83</v>
      </c>
      <c r="Q342" s="390"/>
      <c r="R342" s="461"/>
      <c r="S342" s="390">
        <v>-4</v>
      </c>
    </row>
    <row r="343" spans="1:19" ht="11.25" customHeight="1">
      <c r="A343" s="390" t="s">
        <v>2352</v>
      </c>
      <c r="B343" s="390">
        <v>4</v>
      </c>
      <c r="C343" s="390" t="s">
        <v>319</v>
      </c>
      <c r="D343" s="390" t="s">
        <v>2156</v>
      </c>
      <c r="E343" s="390">
        <v>7</v>
      </c>
      <c r="F343" s="485">
        <v>-2</v>
      </c>
      <c r="G343" s="485">
        <v>9</v>
      </c>
      <c r="H343" s="390">
        <v>0</v>
      </c>
      <c r="I343" s="390">
        <v>0</v>
      </c>
      <c r="J343" s="390">
        <v>0</v>
      </c>
      <c r="K343" s="390">
        <f>IF(COUNTIF(AR_SHEET_スキル,"スピードショット")&gt;0,IF($S343&lt;0,0,$S343),$S343)</f>
        <v>-3</v>
      </c>
      <c r="L343" s="390">
        <v>0</v>
      </c>
      <c r="M343" s="486">
        <v>30</v>
      </c>
      <c r="O343" s="487">
        <v>580</v>
      </c>
      <c r="P343" s="485" t="s">
        <v>83</v>
      </c>
      <c r="S343" s="390">
        <v>-3</v>
      </c>
    </row>
    <row r="344" spans="1:19" s="451" customFormat="1" ht="11.25" customHeight="1">
      <c r="A344" s="390" t="s">
        <v>2353</v>
      </c>
      <c r="B344" s="390">
        <v>4</v>
      </c>
      <c r="C344" s="390" t="s">
        <v>319</v>
      </c>
      <c r="D344" s="390" t="s">
        <v>2156</v>
      </c>
      <c r="E344" s="390">
        <v>7</v>
      </c>
      <c r="F344" s="485">
        <v>-1</v>
      </c>
      <c r="G344" s="485">
        <v>8</v>
      </c>
      <c r="H344" s="390">
        <v>0</v>
      </c>
      <c r="I344" s="390">
        <v>0</v>
      </c>
      <c r="J344" s="390">
        <v>0</v>
      </c>
      <c r="K344" s="390">
        <f>IF(COUNTIF(AR_SHEET_スキル,"スピードショット")&gt;0,IF($S344&lt;0,0,$S344),$S344)</f>
        <v>-4</v>
      </c>
      <c r="L344" s="390">
        <v>0</v>
      </c>
      <c r="M344" s="486">
        <v>30</v>
      </c>
      <c r="N344" s="461"/>
      <c r="O344" s="487">
        <v>800</v>
      </c>
      <c r="P344" s="485" t="s">
        <v>83</v>
      </c>
      <c r="Q344" s="390"/>
      <c r="R344" s="461"/>
      <c r="S344" s="390">
        <v>-4</v>
      </c>
    </row>
    <row r="345" spans="1:19" ht="11.25" customHeight="1">
      <c r="A345" s="390" t="s">
        <v>2354</v>
      </c>
      <c r="B345" s="390">
        <v>5</v>
      </c>
      <c r="C345" s="390" t="s">
        <v>319</v>
      </c>
      <c r="D345" s="390" t="s">
        <v>2156</v>
      </c>
      <c r="E345" s="390">
        <v>8</v>
      </c>
      <c r="F345" s="485">
        <v>-2</v>
      </c>
      <c r="G345" s="485">
        <v>10</v>
      </c>
      <c r="H345" s="390">
        <v>0</v>
      </c>
      <c r="I345" s="390">
        <v>0</v>
      </c>
      <c r="J345" s="390">
        <v>0</v>
      </c>
      <c r="K345" s="390">
        <f>IF(COUNTIF(AR_SHEET_スキル,"スピードショット")&gt;0,IF($S345&lt;0,0,$S345),$S345)</f>
        <v>-3</v>
      </c>
      <c r="L345" s="390">
        <v>0</v>
      </c>
      <c r="M345" s="486">
        <v>30</v>
      </c>
      <c r="O345" s="487">
        <v>980</v>
      </c>
      <c r="P345" s="485" t="s">
        <v>83</v>
      </c>
      <c r="S345" s="390">
        <v>-3</v>
      </c>
    </row>
    <row r="346" spans="1:19" s="451" customFormat="1" ht="11.25" customHeight="1">
      <c r="A346" s="390" t="s">
        <v>2355</v>
      </c>
      <c r="B346" s="390">
        <v>6</v>
      </c>
      <c r="C346" s="390" t="s">
        <v>319</v>
      </c>
      <c r="D346" s="390" t="s">
        <v>2156</v>
      </c>
      <c r="E346" s="390">
        <v>8</v>
      </c>
      <c r="F346" s="485">
        <v>-2</v>
      </c>
      <c r="G346" s="485">
        <v>11</v>
      </c>
      <c r="H346" s="390">
        <v>0</v>
      </c>
      <c r="I346" s="390">
        <v>0</v>
      </c>
      <c r="J346" s="390">
        <v>0</v>
      </c>
      <c r="K346" s="390">
        <f>IF(COUNTIF(AR_SHEET_スキル,"スピードショット")&gt;0,IF($S346&lt;0,0,$S346),$S346)</f>
        <v>-3</v>
      </c>
      <c r="L346" s="390">
        <v>0</v>
      </c>
      <c r="M346" s="486">
        <v>30</v>
      </c>
      <c r="N346" s="461"/>
      <c r="O346" s="487">
        <v>1100</v>
      </c>
      <c r="P346" s="485" t="s">
        <v>83</v>
      </c>
      <c r="Q346" s="390"/>
      <c r="R346" s="461"/>
      <c r="S346" s="390">
        <v>-3</v>
      </c>
    </row>
    <row r="347" spans="1:19" ht="11.25" customHeight="1">
      <c r="A347" s="390" t="s">
        <v>2356</v>
      </c>
      <c r="B347" s="390">
        <v>6</v>
      </c>
      <c r="C347" s="390" t="s">
        <v>319</v>
      </c>
      <c r="D347" s="390" t="s">
        <v>2156</v>
      </c>
      <c r="E347" s="390">
        <v>8</v>
      </c>
      <c r="F347" s="485">
        <v>-1</v>
      </c>
      <c r="G347" s="485">
        <v>9</v>
      </c>
      <c r="H347" s="390">
        <v>0</v>
      </c>
      <c r="I347" s="390">
        <v>0</v>
      </c>
      <c r="J347" s="390">
        <v>0</v>
      </c>
      <c r="K347" s="390">
        <f>IF(COUNTIF(AR_SHEET_スキル,"スピードショット")&gt;0,IF($S347&lt;0,0,$S347),$S347)</f>
        <v>-3</v>
      </c>
      <c r="L347" s="390">
        <v>0</v>
      </c>
      <c r="M347" s="486">
        <v>30</v>
      </c>
      <c r="O347" s="487">
        <v>1300</v>
      </c>
      <c r="P347" s="485" t="s">
        <v>83</v>
      </c>
      <c r="S347" s="390">
        <v>-3</v>
      </c>
    </row>
    <row r="348" spans="1:19" ht="11.25" customHeight="1">
      <c r="A348" s="390" t="s">
        <v>2357</v>
      </c>
      <c r="B348" s="390">
        <v>7</v>
      </c>
      <c r="C348" s="390" t="s">
        <v>319</v>
      </c>
      <c r="D348" s="390" t="s">
        <v>2156</v>
      </c>
      <c r="E348" s="390">
        <v>9</v>
      </c>
      <c r="F348" s="485">
        <v>-2</v>
      </c>
      <c r="G348" s="485">
        <v>12</v>
      </c>
      <c r="H348" s="390">
        <v>0</v>
      </c>
      <c r="I348" s="390">
        <v>0</v>
      </c>
      <c r="J348" s="390">
        <v>0</v>
      </c>
      <c r="K348" s="390">
        <f>IF(COUNTIF(AR_SHEET_スキル,"スピードショット")&gt;0,IF($S348&lt;0,0,$S348),$S348)</f>
        <v>-3</v>
      </c>
      <c r="L348" s="390">
        <v>0</v>
      </c>
      <c r="M348" s="486">
        <v>30</v>
      </c>
      <c r="O348" s="487">
        <v>1600</v>
      </c>
      <c r="P348" s="485" t="s">
        <v>83</v>
      </c>
      <c r="S348" s="390">
        <v>-3</v>
      </c>
    </row>
    <row r="349" spans="1:19" s="451" customFormat="1" ht="11.25" customHeight="1">
      <c r="A349" s="390" t="s">
        <v>2358</v>
      </c>
      <c r="B349" s="390">
        <v>8</v>
      </c>
      <c r="C349" s="390" t="s">
        <v>319</v>
      </c>
      <c r="D349" s="390" t="s">
        <v>2156</v>
      </c>
      <c r="E349" s="390">
        <v>9</v>
      </c>
      <c r="F349" s="485">
        <v>-1</v>
      </c>
      <c r="G349" s="485">
        <v>11</v>
      </c>
      <c r="H349" s="390">
        <v>0</v>
      </c>
      <c r="I349" s="390">
        <v>0</v>
      </c>
      <c r="J349" s="390">
        <v>0</v>
      </c>
      <c r="K349" s="390">
        <f>IF(COUNTIF(AR_SHEET_スキル,"スピードショット")&gt;0,IF($S349&lt;0,0,$S349),$S349)</f>
        <v>-3</v>
      </c>
      <c r="L349" s="390">
        <v>0</v>
      </c>
      <c r="M349" s="486">
        <v>30</v>
      </c>
      <c r="N349" s="461"/>
      <c r="O349" s="487">
        <v>2500</v>
      </c>
      <c r="P349" s="485" t="s">
        <v>83</v>
      </c>
      <c r="Q349" s="390"/>
      <c r="R349" s="461"/>
      <c r="S349" s="390">
        <v>-3</v>
      </c>
    </row>
    <row r="350" spans="1:19" s="451" customFormat="1" ht="11.25" customHeight="1">
      <c r="A350" s="390" t="s">
        <v>2359</v>
      </c>
      <c r="B350" s="390">
        <v>9</v>
      </c>
      <c r="C350" s="390" t="s">
        <v>319</v>
      </c>
      <c r="D350" s="390" t="s">
        <v>2156</v>
      </c>
      <c r="E350" s="390">
        <v>10</v>
      </c>
      <c r="F350" s="485">
        <v>-2</v>
      </c>
      <c r="G350" s="485">
        <v>14</v>
      </c>
      <c r="H350" s="390">
        <v>0</v>
      </c>
      <c r="I350" s="390">
        <v>0</v>
      </c>
      <c r="J350" s="390">
        <v>0</v>
      </c>
      <c r="K350" s="390">
        <f>IF(COUNTIF(AR_SHEET_スキル,"スピードショット")&gt;0,IF($S350&lt;0,0,$S350),$S350)</f>
        <v>-3</v>
      </c>
      <c r="L350" s="390">
        <v>0</v>
      </c>
      <c r="M350" s="486">
        <v>30</v>
      </c>
      <c r="N350" s="461"/>
      <c r="O350" s="487">
        <v>3800</v>
      </c>
      <c r="P350" s="485" t="s">
        <v>83</v>
      </c>
      <c r="Q350" s="390"/>
      <c r="R350" s="461"/>
      <c r="S350" s="390">
        <v>-3</v>
      </c>
    </row>
    <row r="351" spans="1:19" ht="11.25" customHeight="1">
      <c r="A351" s="390" t="s">
        <v>2360</v>
      </c>
      <c r="B351" s="390">
        <v>10</v>
      </c>
      <c r="C351" s="390" t="s">
        <v>319</v>
      </c>
      <c r="D351" s="390" t="s">
        <v>2156</v>
      </c>
      <c r="E351" s="390">
        <v>10</v>
      </c>
      <c r="F351" s="485">
        <v>-2</v>
      </c>
      <c r="G351" s="485">
        <v>15</v>
      </c>
      <c r="H351" s="390">
        <v>0</v>
      </c>
      <c r="I351" s="390">
        <v>0</v>
      </c>
      <c r="J351" s="390">
        <v>0</v>
      </c>
      <c r="K351" s="390">
        <f>IF(COUNTIF(AR_SHEET_スキル,"スピードショット")&gt;0,IF($S351&lt;0,0,$S351),$S351)</f>
        <v>-3</v>
      </c>
      <c r="L351" s="390">
        <v>0</v>
      </c>
      <c r="M351" s="486">
        <v>30</v>
      </c>
      <c r="O351" s="487">
        <v>4800</v>
      </c>
      <c r="P351" s="485" t="s">
        <v>83</v>
      </c>
      <c r="S351" s="390">
        <v>-3</v>
      </c>
    </row>
    <row r="352" spans="1:19" ht="11.25" customHeight="1">
      <c r="A352" s="390" t="s">
        <v>2361</v>
      </c>
      <c r="B352" s="390">
        <v>10</v>
      </c>
      <c r="C352" s="390" t="s">
        <v>319</v>
      </c>
      <c r="D352" s="390" t="s">
        <v>2156</v>
      </c>
      <c r="E352" s="390">
        <v>16</v>
      </c>
      <c r="F352" s="485">
        <v>-1</v>
      </c>
      <c r="G352" s="485">
        <v>16</v>
      </c>
      <c r="H352" s="390">
        <v>0</v>
      </c>
      <c r="I352" s="390">
        <v>0</v>
      </c>
      <c r="J352" s="390">
        <v>0</v>
      </c>
      <c r="K352" s="390">
        <f>IF(COUNTIF(AR_SHEET_スキル,"スピードショット")&gt;0,IF($S352&lt;0,0,$S352),$S352)</f>
        <v>-3</v>
      </c>
      <c r="L352" s="390">
        <v>0</v>
      </c>
      <c r="M352" s="486">
        <v>30</v>
      </c>
      <c r="O352" s="487">
        <v>6000</v>
      </c>
      <c r="P352" s="485" t="s">
        <v>83</v>
      </c>
      <c r="S352" s="390">
        <v>-3</v>
      </c>
    </row>
    <row r="353" spans="1:19" ht="11.25" customHeight="1">
      <c r="A353" s="451" t="s">
        <v>2362</v>
      </c>
      <c r="B353" s="451">
        <v>3</v>
      </c>
      <c r="C353" s="451" t="s">
        <v>319</v>
      </c>
      <c r="D353" s="451" t="s">
        <v>2156</v>
      </c>
      <c r="E353" s="451">
        <v>9</v>
      </c>
      <c r="F353" s="498">
        <v>-1</v>
      </c>
      <c r="G353" s="498">
        <v>8</v>
      </c>
      <c r="H353" s="451">
        <v>0</v>
      </c>
      <c r="I353" s="451">
        <v>0</v>
      </c>
      <c r="J353" s="451">
        <v>0</v>
      </c>
      <c r="K353" s="451">
        <f>IF(COUNTIF(AR_SHEET_スキル,"スピードショット")&gt;0,IF($S353&lt;0,0,$S353),$S353)</f>
        <v>-1</v>
      </c>
      <c r="L353" s="451">
        <v>0</v>
      </c>
      <c r="M353" s="499">
        <v>30</v>
      </c>
      <c r="N353" s="450"/>
      <c r="O353" s="500">
        <v>3100</v>
      </c>
      <c r="P353" s="498">
        <v>12</v>
      </c>
      <c r="Q353" s="451"/>
      <c r="S353" s="451">
        <v>-1</v>
      </c>
    </row>
    <row r="354" spans="1:19" ht="11.25" customHeight="1">
      <c r="A354" s="451" t="s">
        <v>2363</v>
      </c>
      <c r="B354" s="451">
        <v>4</v>
      </c>
      <c r="C354" s="451" t="s">
        <v>319</v>
      </c>
      <c r="D354" s="451" t="s">
        <v>2156</v>
      </c>
      <c r="E354" s="451">
        <v>7</v>
      </c>
      <c r="F354" s="498">
        <v>-2</v>
      </c>
      <c r="G354" s="498">
        <v>10</v>
      </c>
      <c r="H354" s="451">
        <v>0</v>
      </c>
      <c r="I354" s="451">
        <v>0</v>
      </c>
      <c r="J354" s="451">
        <v>0</v>
      </c>
      <c r="K354" s="451">
        <f>IF(COUNTIF(AR_SHEET_スキル,"スピードショット")&gt;0,IF($S354&lt;0,0,$S354),$S354)</f>
        <v>-4</v>
      </c>
      <c r="L354" s="451">
        <v>0</v>
      </c>
      <c r="M354" s="499">
        <v>30</v>
      </c>
      <c r="N354" s="450"/>
      <c r="O354" s="500">
        <v>4200</v>
      </c>
      <c r="P354" s="498">
        <v>12</v>
      </c>
      <c r="Q354" s="451"/>
      <c r="S354" s="451">
        <v>-4</v>
      </c>
    </row>
    <row r="355" spans="1:19" ht="11.25" customHeight="1">
      <c r="A355" s="451" t="s">
        <v>2364</v>
      </c>
      <c r="B355" s="451">
        <v>4</v>
      </c>
      <c r="C355" s="451" t="s">
        <v>319</v>
      </c>
      <c r="D355" s="451" t="s">
        <v>2156</v>
      </c>
      <c r="E355" s="451">
        <v>9</v>
      </c>
      <c r="F355" s="498">
        <v>-1</v>
      </c>
      <c r="G355" s="498">
        <v>11</v>
      </c>
      <c r="H355" s="451">
        <v>0</v>
      </c>
      <c r="I355" s="451">
        <v>0</v>
      </c>
      <c r="J355" s="451">
        <v>0</v>
      </c>
      <c r="K355" s="451">
        <f>IF(COUNTIF(AR_SHEET_スキル,"スピードショット")&gt;0,IF($S355&lt;0,0,$S355),$S355)</f>
        <v>-4</v>
      </c>
      <c r="L355" s="451">
        <v>0</v>
      </c>
      <c r="M355" s="499">
        <v>30</v>
      </c>
      <c r="N355" s="450" t="s">
        <v>2365</v>
      </c>
      <c r="O355" s="500">
        <v>8100</v>
      </c>
      <c r="P355" s="498">
        <v>14</v>
      </c>
      <c r="Q355" s="451"/>
      <c r="S355" s="451">
        <v>-4</v>
      </c>
    </row>
    <row r="356" spans="1:19" ht="11.25" customHeight="1">
      <c r="A356" s="451" t="s">
        <v>2366</v>
      </c>
      <c r="B356" s="451">
        <v>6</v>
      </c>
      <c r="C356" s="451" t="s">
        <v>319</v>
      </c>
      <c r="D356" s="451" t="s">
        <v>2156</v>
      </c>
      <c r="E356" s="451">
        <v>8</v>
      </c>
      <c r="F356" s="498">
        <v>-2</v>
      </c>
      <c r="G356" s="498">
        <v>11</v>
      </c>
      <c r="H356" s="451">
        <v>0</v>
      </c>
      <c r="I356" s="451">
        <v>0</v>
      </c>
      <c r="J356" s="451">
        <v>0</v>
      </c>
      <c r="K356" s="451">
        <f>IF(COUNTIF(AR_SHEET_スキル,"スピードショット")&gt;0,IF($S356&lt;0,0,$S356),$S356)</f>
        <v>-3</v>
      </c>
      <c r="L356" s="451">
        <v>0</v>
      </c>
      <c r="M356" s="499">
        <v>40</v>
      </c>
      <c r="N356" s="450"/>
      <c r="O356" s="500">
        <v>3500</v>
      </c>
      <c r="P356" s="498">
        <v>15</v>
      </c>
      <c r="Q356" s="451"/>
      <c r="S356" s="451">
        <v>-3</v>
      </c>
    </row>
    <row r="357" spans="1:19" ht="11.25" customHeight="1">
      <c r="A357" s="451" t="s">
        <v>2367</v>
      </c>
      <c r="B357" s="451">
        <v>7</v>
      </c>
      <c r="C357" s="451" t="s">
        <v>319</v>
      </c>
      <c r="D357" s="451" t="s">
        <v>2156</v>
      </c>
      <c r="E357" s="451">
        <v>9</v>
      </c>
      <c r="F357" s="498">
        <v>-1</v>
      </c>
      <c r="G357" s="498">
        <v>13</v>
      </c>
      <c r="H357" s="451">
        <v>0</v>
      </c>
      <c r="I357" s="451">
        <v>0</v>
      </c>
      <c r="J357" s="451">
        <v>0</v>
      </c>
      <c r="K357" s="451">
        <f>IF(COUNTIF(AR_SHEET_スキル,"スピードショット")&gt;0,IF($S357&lt;0,0,$S357),$S357)</f>
        <v>-4</v>
      </c>
      <c r="L357" s="451">
        <v>0</v>
      </c>
      <c r="M357" s="499">
        <v>30</v>
      </c>
      <c r="N357" s="450"/>
      <c r="O357" s="500">
        <v>6000</v>
      </c>
      <c r="P357" s="498">
        <v>14</v>
      </c>
      <c r="Q357" s="451"/>
      <c r="S357" s="451">
        <v>-4</v>
      </c>
    </row>
    <row r="358" spans="1:19" ht="11.25" customHeight="1">
      <c r="A358" s="451" t="s">
        <v>2368</v>
      </c>
      <c r="B358" s="451">
        <v>9</v>
      </c>
      <c r="C358" s="451" t="s">
        <v>319</v>
      </c>
      <c r="D358" s="451" t="s">
        <v>2156</v>
      </c>
      <c r="E358" s="451">
        <v>10</v>
      </c>
      <c r="F358" s="498">
        <v>-3</v>
      </c>
      <c r="G358" s="498">
        <v>16</v>
      </c>
      <c r="H358" s="451">
        <v>0</v>
      </c>
      <c r="I358" s="451">
        <v>0</v>
      </c>
      <c r="J358" s="451">
        <v>0</v>
      </c>
      <c r="K358" s="451">
        <f>IF(COUNTIF(AR_SHEET_スキル,"スピードショット")&gt;0,IF($S358&lt;0,0,$S358),$S358)</f>
        <v>-3</v>
      </c>
      <c r="L358" s="451">
        <v>0</v>
      </c>
      <c r="M358" s="499">
        <v>40</v>
      </c>
      <c r="N358" s="450"/>
      <c r="O358" s="500">
        <v>10000</v>
      </c>
      <c r="P358" s="498">
        <v>18</v>
      </c>
      <c r="Q358" s="451"/>
      <c r="S358" s="451">
        <v>-3</v>
      </c>
    </row>
    <row r="359" spans="1:19" ht="13.5">
      <c r="A359" s="451"/>
      <c r="B359" s="451"/>
      <c r="C359" s="451"/>
      <c r="D359" s="451"/>
      <c r="E359" s="451"/>
      <c r="F359" s="498"/>
      <c r="G359" s="498"/>
      <c r="H359" s="451"/>
      <c r="I359" s="451"/>
      <c r="J359" s="451"/>
      <c r="M359" s="499"/>
      <c r="N359" s="450"/>
      <c r="O359" s="500"/>
      <c r="P359" s="498"/>
      <c r="Q359" s="451"/>
      <c r="S359" s="451"/>
    </row>
    <row r="360" spans="1:19" ht="13.5">
      <c r="A360" s="451"/>
      <c r="B360" s="451"/>
      <c r="C360" s="451"/>
      <c r="D360" s="451"/>
      <c r="E360" s="451"/>
      <c r="F360" s="498"/>
      <c r="G360" s="498"/>
      <c r="H360" s="451"/>
      <c r="I360" s="451"/>
      <c r="J360" s="451"/>
      <c r="M360" s="499"/>
      <c r="N360" s="450"/>
      <c r="O360" s="500"/>
      <c r="P360" s="498"/>
      <c r="Q360" s="451"/>
      <c r="S360" s="451"/>
    </row>
    <row r="361" spans="1:256" ht="13.5">
      <c r="A361" s="451"/>
      <c r="B361" s="451"/>
      <c r="C361" s="451"/>
      <c r="D361" s="451"/>
      <c r="E361" s="451"/>
      <c r="F361" s="498"/>
      <c r="G361" s="498"/>
      <c r="H361" s="451"/>
      <c r="I361" s="451"/>
      <c r="J361" s="451"/>
      <c r="M361" s="499"/>
      <c r="N361" s="450"/>
      <c r="O361" s="500"/>
      <c r="P361" s="498"/>
      <c r="Q361" s="451"/>
      <c r="R361"/>
      <c r="S361" s="45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19" ht="13.5">
      <c r="A362" s="451"/>
      <c r="B362" s="451"/>
      <c r="C362" s="451"/>
      <c r="D362" s="451"/>
      <c r="E362" s="451"/>
      <c r="F362" s="498"/>
      <c r="G362" s="498"/>
      <c r="H362" s="451"/>
      <c r="I362" s="451"/>
      <c r="J362" s="451"/>
      <c r="M362" s="499"/>
      <c r="N362" s="450"/>
      <c r="O362" s="500"/>
      <c r="P362" s="498"/>
      <c r="Q362" s="451"/>
      <c r="S362" s="451"/>
    </row>
    <row r="363" spans="1:19" ht="13.5">
      <c r="A363" s="451"/>
      <c r="B363" s="451"/>
      <c r="C363" s="451"/>
      <c r="D363" s="451"/>
      <c r="E363" s="451"/>
      <c r="F363" s="498"/>
      <c r="G363" s="498"/>
      <c r="H363" s="451"/>
      <c r="I363" s="451"/>
      <c r="J363" s="451"/>
      <c r="M363" s="499"/>
      <c r="N363" s="450"/>
      <c r="O363" s="500"/>
      <c r="P363" s="498"/>
      <c r="Q363" s="451"/>
      <c r="S363" s="451"/>
    </row>
    <row r="364" spans="1:256" ht="13.5">
      <c r="A364" s="451"/>
      <c r="B364" s="451"/>
      <c r="C364" s="451"/>
      <c r="D364" s="451"/>
      <c r="E364" s="451"/>
      <c r="F364" s="498"/>
      <c r="G364" s="498"/>
      <c r="H364" s="451"/>
      <c r="I364" s="451"/>
      <c r="J364" s="451"/>
      <c r="M364" s="499"/>
      <c r="N364" s="450"/>
      <c r="O364" s="500"/>
      <c r="P364" s="498"/>
      <c r="Q364" s="451"/>
      <c r="R364"/>
      <c r="S364" s="451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19" ht="13.5">
      <c r="A365" s="451"/>
      <c r="B365" s="451"/>
      <c r="C365" s="451"/>
      <c r="D365" s="451"/>
      <c r="E365" s="451"/>
      <c r="F365" s="498"/>
      <c r="G365" s="498"/>
      <c r="H365" s="451"/>
      <c r="I365" s="451"/>
      <c r="J365" s="451"/>
      <c r="M365" s="499"/>
      <c r="N365" s="450"/>
      <c r="O365" s="500"/>
      <c r="P365" s="498"/>
      <c r="Q365" s="451"/>
      <c r="S365" s="451"/>
    </row>
    <row r="366" spans="1:256" ht="13.5">
      <c r="A366" s="451"/>
      <c r="B366" s="451"/>
      <c r="C366" s="451"/>
      <c r="D366" s="451"/>
      <c r="E366" s="451"/>
      <c r="F366" s="498"/>
      <c r="G366" s="498"/>
      <c r="H366" s="451"/>
      <c r="I366" s="451"/>
      <c r="J366" s="451"/>
      <c r="M366" s="499"/>
      <c r="N366" s="450"/>
      <c r="O366" s="500"/>
      <c r="P366" s="498"/>
      <c r="Q366" s="451"/>
      <c r="R366"/>
      <c r="S366" s="451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3.5">
      <c r="A367" s="451"/>
      <c r="B367" s="451"/>
      <c r="C367" s="451"/>
      <c r="D367" s="451"/>
      <c r="E367" s="451"/>
      <c r="F367" s="498"/>
      <c r="G367" s="498"/>
      <c r="H367" s="451"/>
      <c r="I367" s="451"/>
      <c r="J367" s="451"/>
      <c r="M367" s="499"/>
      <c r="N367" s="450"/>
      <c r="O367" s="500"/>
      <c r="P367" s="498"/>
      <c r="Q367" s="451"/>
      <c r="R367"/>
      <c r="S367" s="451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3.5">
      <c r="A368" s="451"/>
      <c r="B368" s="451"/>
      <c r="C368" s="451"/>
      <c r="D368" s="451"/>
      <c r="E368" s="451"/>
      <c r="F368" s="498"/>
      <c r="G368" s="498"/>
      <c r="H368" s="451"/>
      <c r="I368" s="451"/>
      <c r="J368" s="451"/>
      <c r="M368" s="499"/>
      <c r="N368" s="450"/>
      <c r="O368" s="500"/>
      <c r="P368" s="498"/>
      <c r="Q368" s="451"/>
      <c r="R368"/>
      <c r="S368" s="451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3.5">
      <c r="A369" s="451"/>
      <c r="B369" s="451"/>
      <c r="C369" s="451"/>
      <c r="D369" s="451"/>
      <c r="E369" s="451"/>
      <c r="F369" s="498"/>
      <c r="G369" s="498"/>
      <c r="H369" s="451"/>
      <c r="I369" s="451"/>
      <c r="J369" s="451"/>
      <c r="M369" s="499"/>
      <c r="N369" s="450"/>
      <c r="O369" s="500"/>
      <c r="P369" s="498"/>
      <c r="Q369" s="451"/>
      <c r="R369"/>
      <c r="S369" s="451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19" ht="13.5">
      <c r="A370" s="451"/>
      <c r="B370" s="451"/>
      <c r="C370" s="451"/>
      <c r="D370" s="451"/>
      <c r="E370" s="451"/>
      <c r="F370" s="498"/>
      <c r="G370" s="498"/>
      <c r="H370" s="451"/>
      <c r="I370" s="451"/>
      <c r="J370" s="451"/>
      <c r="M370" s="499"/>
      <c r="N370" s="450"/>
      <c r="O370" s="500"/>
      <c r="P370" s="498"/>
      <c r="Q370" s="451"/>
      <c r="S370" s="451"/>
    </row>
    <row r="371" spans="1:256" ht="13.5">
      <c r="A371" s="451"/>
      <c r="B371" s="451"/>
      <c r="C371" s="451"/>
      <c r="D371" s="451"/>
      <c r="E371" s="451"/>
      <c r="F371" s="498"/>
      <c r="G371" s="498"/>
      <c r="H371" s="451"/>
      <c r="I371" s="451"/>
      <c r="J371" s="451"/>
      <c r="M371" s="499"/>
      <c r="N371" s="450"/>
      <c r="O371" s="500"/>
      <c r="P371" s="498"/>
      <c r="Q371" s="451"/>
      <c r="R371"/>
      <c r="S371" s="45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19" ht="13.5">
      <c r="A372" s="46" t="s">
        <v>331</v>
      </c>
      <c r="B372" s="489" t="s">
        <v>111</v>
      </c>
      <c r="C372" s="489" t="s">
        <v>253</v>
      </c>
      <c r="D372" s="489" t="s">
        <v>254</v>
      </c>
      <c r="E372" s="489" t="s">
        <v>255</v>
      </c>
      <c r="F372" s="490" t="s">
        <v>174</v>
      </c>
      <c r="G372" s="490" t="s">
        <v>256</v>
      </c>
      <c r="H372" s="489" t="s">
        <v>233</v>
      </c>
      <c r="I372" s="489" t="s">
        <v>257</v>
      </c>
      <c r="J372" s="489" t="s">
        <v>258</v>
      </c>
      <c r="K372" s="489" t="s">
        <v>259</v>
      </c>
      <c r="L372" s="489" t="s">
        <v>260</v>
      </c>
      <c r="M372" s="491" t="s">
        <v>261</v>
      </c>
      <c r="N372" s="489" t="s">
        <v>262</v>
      </c>
      <c r="O372" s="492" t="s">
        <v>223</v>
      </c>
      <c r="P372" s="490" t="s">
        <v>2093</v>
      </c>
      <c r="Q372" s="493" t="s">
        <v>2094</v>
      </c>
      <c r="R372" s="399"/>
      <c r="S372" s="213"/>
    </row>
    <row r="373" spans="1:19" ht="13.5">
      <c r="A373" s="390" t="s">
        <v>2369</v>
      </c>
      <c r="B373" s="390">
        <v>1</v>
      </c>
      <c r="C373" s="390" t="s">
        <v>331</v>
      </c>
      <c r="D373" s="390" t="s">
        <v>2156</v>
      </c>
      <c r="E373" s="390">
        <f>6+COUNTIF(AR_SHEET_無重,"パウダーチャージ")+COUNTIF(AR_SHEET_無重,"パウダーチャージⅡ")+COUNTIF(AR_SHEET_無重,"パウダーチャージⅢ")+COUNTIF(AR_SHEET_無重,"パウダーチャージⅣ")+COUNTIF(AR_SHEET_無重,"ガンストック")</f>
        <v>6</v>
      </c>
      <c r="F373" s="485">
        <f>-1+COUNTIF(AR_SHEET_無重,"ガンストック")</f>
        <v>-1</v>
      </c>
      <c r="G373" s="485">
        <f>7+COUNTIF(AR_SHEET_無重,"パウダーチャージ")*3+COUNTIF(AR_SHEET_無重,"パウダーチャージⅡ")*3+COUNTIF(AR_SHEET_無重,"パウダーチャージⅢ")*4+COUNTIF(AR_SHEET_無重,"パウダーチャージⅣ")*5</f>
        <v>7</v>
      </c>
      <c r="H373" s="390">
        <v>0</v>
      </c>
      <c r="I373" s="390">
        <v>0</v>
      </c>
      <c r="J373" s="390">
        <v>0</v>
      </c>
      <c r="K373" s="390">
        <f>IF(COUNTIF(AR_SHEET_スキル,"スピードショット")&gt;0,IF($S373&lt;0,0,$S373),$S373)</f>
        <v>-5</v>
      </c>
      <c r="L373" s="390">
        <v>0</v>
      </c>
      <c r="M373" s="486">
        <v>40</v>
      </c>
      <c r="O373" s="487">
        <v>0</v>
      </c>
      <c r="P373" s="485" t="s">
        <v>83</v>
      </c>
      <c r="S373" s="390">
        <f>-5+COUNTIF(AR_SHEET_無重,"ガンストック")*2</f>
        <v>-5</v>
      </c>
    </row>
    <row r="374" spans="1:19" ht="13.5">
      <c r="A374" s="390" t="s">
        <v>2370</v>
      </c>
      <c r="B374" s="390">
        <v>1</v>
      </c>
      <c r="C374" s="390" t="s">
        <v>331</v>
      </c>
      <c r="D374" s="390" t="s">
        <v>2156</v>
      </c>
      <c r="E374" s="390">
        <f>6+COUNTIF(AR_SHEET_無重,"パウダーチャージ")+COUNTIF(AR_SHEET_無重,"パウダーチャージⅡ")+COUNTIF(AR_SHEET_無重,"パウダーチャージⅢ")+COUNTIF(AR_SHEET_無重,"パウダーチャージⅣ")+COUNTIF(AR_SHEET_無重,"ガンストック")</f>
        <v>6</v>
      </c>
      <c r="F374" s="485">
        <f>-1+COUNTIF(AR_SHEET_無重,"ガンストック")</f>
        <v>-1</v>
      </c>
      <c r="G374" s="485">
        <f>7+IF(ISERROR(VLOOKUP("コンバージョン：ショットガン",AR_スキルSL,7,0))=TRUE,"0",VLOOKUP("コンバージョン：ショットガン",AR_スキルSL,7,0))+COUNTIF(AR_SHEET_無重,"パウダーチャージ")*3+COUNTIF(AR_SHEET_無重,"パウダーチャージⅡ")*3+COUNTIF(AR_SHEET_無重,"パウダーチャージⅢ")*4+COUNTIF(AR_SHEET_無重,"パウダーチャージⅣ")*5</f>
        <v>7</v>
      </c>
      <c r="H374" s="390">
        <v>0</v>
      </c>
      <c r="I374" s="390">
        <v>0</v>
      </c>
      <c r="J374" s="390">
        <v>0</v>
      </c>
      <c r="K374" s="390">
        <f>IF(COUNTIF(AR_SHEET_スキル,"スピードショット")&gt;0,IF($S374&lt;0,0,$S374),$S374)</f>
        <v>-5</v>
      </c>
      <c r="L374" s="390">
        <v>0</v>
      </c>
      <c r="M374" s="486">
        <v>20</v>
      </c>
      <c r="N374" s="461" t="s">
        <v>2371</v>
      </c>
      <c r="O374" s="487">
        <v>0</v>
      </c>
      <c r="P374" s="485" t="s">
        <v>83</v>
      </c>
      <c r="S374" s="390">
        <f>-5+COUNTIF(AR_SHEET_無重,"ガンストック")*2</f>
        <v>-5</v>
      </c>
    </row>
    <row r="375" spans="1:19" ht="13.5">
      <c r="A375" s="390" t="s">
        <v>2372</v>
      </c>
      <c r="B375" s="390">
        <v>1</v>
      </c>
      <c r="C375" s="390" t="s">
        <v>331</v>
      </c>
      <c r="D375" s="390" t="s">
        <v>2156</v>
      </c>
      <c r="E375" s="390">
        <f>6+COUNTIF(AR_SHEET_無重,"パウダーチャージ")+COUNTIF(AR_SHEET_無重,"パウダーチャージⅡ")+COUNTIF(AR_SHEET_無重,"パウダーチャージⅢ")+COUNTIF(AR_SHEET_無重,"パウダーチャージⅣ")+COUNTIF(AR_SHEET_無重,"ガンストック")+COUNTIF(AR_SHEET_無重,"ガンスコープ")*3</f>
        <v>6</v>
      </c>
      <c r="F375" s="485">
        <f>-1+COUNTIF(AR_SHEET_無重,"ガンストック")</f>
        <v>-1</v>
      </c>
      <c r="G375" s="485">
        <f>7+IF(ISERROR(VLOOKUP("コンバージョン：ライフル",AR_スキルSL,7,0))=TRUE,"0",VLOOKUP("コンバージョン：ライフル",AR_スキルSL,7,0)*2)+COUNTIF(AR_SHEET_無重,"パウダーチャージ")*3+COUNTIF(AR_SHEET_無重,"パウダーチャージⅡ")*3+COUNTIF(AR_SHEET_無重,"パウダーチャージⅢ")*4+COUNTIF(AR_SHEET_無重,"パウダーチャージⅣ")*5</f>
        <v>7</v>
      </c>
      <c r="H375" s="390">
        <v>0</v>
      </c>
      <c r="I375" s="390">
        <v>0</v>
      </c>
      <c r="J375" s="390">
        <v>0</v>
      </c>
      <c r="K375" s="390">
        <f>IF(COUNTIF(AR_SHEET_スキル,"スピードショット")&gt;0,IF($S375&lt;0,0,$S375),$S375)</f>
        <v>-5</v>
      </c>
      <c r="L375" s="390">
        <v>0</v>
      </c>
      <c r="M375" s="486">
        <v>50</v>
      </c>
      <c r="O375" s="487">
        <v>0</v>
      </c>
      <c r="P375" s="485" t="s">
        <v>83</v>
      </c>
      <c r="S375" s="390">
        <f>-5+COUNTIF(AR_SHEET_無重,"ガンストック")*2</f>
        <v>-5</v>
      </c>
    </row>
    <row r="376" spans="1:19" ht="13.5">
      <c r="A376" s="390" t="s">
        <v>2373</v>
      </c>
      <c r="B376" s="390">
        <v>1</v>
      </c>
      <c r="C376" s="390" t="s">
        <v>331</v>
      </c>
      <c r="D376" s="390" t="s">
        <v>2156</v>
      </c>
      <c r="E376" s="390">
        <f>6+COUNTIF(AR_SHEET_無重,"パウダーチャージ")+COUNTIF(AR_SHEET_無重,"パウダーチャージⅡ")+COUNTIF(AR_SHEET_無重,"パウダーチャージⅢ")+COUNTIF(AR_SHEET_無重,"パウダーチャージⅣ")+COUNTIF(AR_SHEET_無重,"ガンストック")+COUNTIF(AR_SHEET_無重,"スーパーマグネット")*3</f>
        <v>6</v>
      </c>
      <c r="F376" s="485">
        <f>-1+IF(ISERROR(VLOOKUP("コンバージョン：レールガン",AR_スキルSL,7,0))=TRUE,"0",VLOOKUP("コンバージョン：レールガン",AR_スキルSL,7,0))+COUNTIF(AR_SHEET_無重,"ガンストック")</f>
        <v>-1</v>
      </c>
      <c r="G376" s="485">
        <f>7+COUNTIF(AR_SHEET_無重,"パウダーチャージ")*3+COUNTIF(AR_SHEET_無重,"パウダーチャージⅡ")*3+COUNTIF(AR_SHEET_無重,"パウダーチャージⅢ")*4+COUNTIF(AR_SHEET_無重,"パウダーチャージⅣ")*5</f>
        <v>7</v>
      </c>
      <c r="H376" s="390">
        <v>0</v>
      </c>
      <c r="I376" s="390">
        <v>0</v>
      </c>
      <c r="J376" s="390">
        <v>0</v>
      </c>
      <c r="K376" s="390">
        <f>IF(COUNTIF(AR_SHEET_スキル,"スピードショット")&gt;0,IF($S376&lt;0,0,$S376),$S376)</f>
        <v>-5</v>
      </c>
      <c r="L376" s="390">
        <v>0</v>
      </c>
      <c r="M376" s="486">
        <v>60</v>
      </c>
      <c r="O376" s="487">
        <v>0</v>
      </c>
      <c r="P376" s="485" t="s">
        <v>83</v>
      </c>
      <c r="S376" s="390">
        <f>-5+COUNTIF(AR_SHEET_無重,"ガンストック")*2</f>
        <v>-5</v>
      </c>
    </row>
    <row r="377" spans="1:19" ht="13.5">
      <c r="A377" s="390" t="s">
        <v>2374</v>
      </c>
      <c r="B377" s="390">
        <v>1</v>
      </c>
      <c r="C377" s="390" t="s">
        <v>331</v>
      </c>
      <c r="D377" s="390" t="s">
        <v>2156</v>
      </c>
      <c r="E377" s="390">
        <f>6+COUNTIF(AR_SHEET_無重,"パウダーチャージ")+COUNTIF(AR_SHEET_無重,"パウダーチャージⅡ")+COUNTIF(AR_SHEET_無重,"パウダーチャージⅢ")+COUNTIF(AR_SHEET_無重,"パウダーチャージⅣ")+COUNTIF(AR_SHEET_無重,"ガンストック")+COUNTIF(AR_SHEET_無重,"パワーブースター")*3+COUNTIF(AR_SHEET_無重,"スピードショット")*3</f>
        <v>6</v>
      </c>
      <c r="F377" s="485">
        <f>-1+COUNTIF(AR_SHEET_無重,"ガンストック")</f>
        <v>-1</v>
      </c>
      <c r="G377" s="485">
        <f>7+COUNTIF(AR_SHEET_無重,"パウダーチャージ")*3+COUNTIF(AR_SHEET_無重,"パウダーチャージⅡ")*3+COUNTIF(AR_SHEET_無重,"パウダーチャージⅢ")*4+COUNTIF(AR_SHEET_無重,"パウダーチャージⅣ")*5+COUNTIF(AR_SHEET_無重,"パワーブースター")*5</f>
        <v>7</v>
      </c>
      <c r="H377" s="390">
        <v>0</v>
      </c>
      <c r="I377" s="390">
        <v>0</v>
      </c>
      <c r="J377" s="390">
        <v>0</v>
      </c>
      <c r="K377" s="390">
        <f>IF(COUNTIF(AR_SHEET_スキル,"スピードショット")&gt;0,IF($S377&lt;0,0,$S377),$S377)</f>
        <v>-5</v>
      </c>
      <c r="L377" s="390">
        <v>0</v>
      </c>
      <c r="M377" s="486">
        <v>30</v>
      </c>
      <c r="O377" s="487">
        <v>0</v>
      </c>
      <c r="P377" s="485" t="s">
        <v>83</v>
      </c>
      <c r="S377" s="390">
        <f>-5+COUNTIF(AR_SHEET_無重,"ガンストック")*2+COUNTIF(AR_SHEET_無重,"スピードショット")*5</f>
        <v>-5</v>
      </c>
    </row>
    <row r="378" spans="1:16" ht="13.5">
      <c r="A378" s="390" t="s">
        <v>2375</v>
      </c>
      <c r="B378" s="390">
        <v>1</v>
      </c>
      <c r="C378" s="390" t="s">
        <v>331</v>
      </c>
      <c r="D378" s="390" t="s">
        <v>2156</v>
      </c>
      <c r="N378" s="461" t="s">
        <v>2376</v>
      </c>
      <c r="O378" s="487">
        <v>0</v>
      </c>
      <c r="P378" s="485" t="s">
        <v>83</v>
      </c>
    </row>
    <row r="379" spans="15:16" ht="13.5">
      <c r="O379" s="487">
        <v>0</v>
      </c>
      <c r="P379" s="485" t="s">
        <v>83</v>
      </c>
    </row>
    <row r="380" spans="15:16" ht="13.5">
      <c r="O380" s="487">
        <v>0</v>
      </c>
      <c r="P380" s="485" t="s">
        <v>83</v>
      </c>
    </row>
    <row r="381" spans="15:16" ht="13.5">
      <c r="O381" s="487">
        <v>0</v>
      </c>
      <c r="P381" s="485" t="s">
        <v>83</v>
      </c>
    </row>
    <row r="382" spans="15:16" ht="13.5">
      <c r="O382" s="487">
        <v>0</v>
      </c>
      <c r="P382" s="485" t="s">
        <v>83</v>
      </c>
    </row>
    <row r="383" spans="15:16" ht="13.5">
      <c r="O383" s="487">
        <v>0</v>
      </c>
      <c r="P383" s="485" t="s">
        <v>83</v>
      </c>
    </row>
    <row r="384" spans="15:16" ht="13.5">
      <c r="O384" s="487">
        <v>0</v>
      </c>
      <c r="P384" s="485" t="s">
        <v>83</v>
      </c>
    </row>
    <row r="385" spans="15:16" ht="13.5">
      <c r="O385" s="487">
        <v>0</v>
      </c>
      <c r="P385" s="485" t="s">
        <v>83</v>
      </c>
    </row>
    <row r="386" spans="15:16" ht="13.5">
      <c r="O386" s="487">
        <v>0</v>
      </c>
      <c r="P386" s="485" t="s">
        <v>83</v>
      </c>
    </row>
    <row r="387" spans="1:19" ht="13.5">
      <c r="A387" s="46" t="s">
        <v>1047</v>
      </c>
      <c r="B387" s="489" t="s">
        <v>111</v>
      </c>
      <c r="C387" s="489" t="s">
        <v>253</v>
      </c>
      <c r="D387" s="489" t="s">
        <v>254</v>
      </c>
      <c r="E387" s="489" t="s">
        <v>255</v>
      </c>
      <c r="F387" s="490" t="s">
        <v>174</v>
      </c>
      <c r="G387" s="490" t="s">
        <v>256</v>
      </c>
      <c r="H387" s="489" t="s">
        <v>233</v>
      </c>
      <c r="I387" s="489" t="s">
        <v>257</v>
      </c>
      <c r="J387" s="489" t="s">
        <v>258</v>
      </c>
      <c r="K387" s="489" t="s">
        <v>259</v>
      </c>
      <c r="L387" s="489" t="s">
        <v>260</v>
      </c>
      <c r="M387" s="491" t="s">
        <v>261</v>
      </c>
      <c r="N387" s="489" t="s">
        <v>262</v>
      </c>
      <c r="O387" s="492" t="s">
        <v>223</v>
      </c>
      <c r="P387" s="490" t="s">
        <v>2093</v>
      </c>
      <c r="Q387" s="493" t="s">
        <v>2094</v>
      </c>
      <c r="R387" s="399"/>
      <c r="S387" s="213"/>
    </row>
    <row r="388" spans="1:21" ht="13.5">
      <c r="A388" s="390" t="s">
        <v>2377</v>
      </c>
      <c r="B388" s="390">
        <v>1</v>
      </c>
      <c r="C388" s="390" t="s">
        <v>337</v>
      </c>
      <c r="D388" s="390" t="s">
        <v>2124</v>
      </c>
      <c r="E388" s="390">
        <v>3</v>
      </c>
      <c r="F388" s="485">
        <f>COUNTIF(AR_SHEET_スキル,"サイティングデバイス")*2+COUNTIF(AR_SHEET_スキル,"ロングバレル")</f>
        <v>0</v>
      </c>
      <c r="G388" s="485">
        <f>キャラクターシート!$H$4+3+COUNTIF(AR_SHEET_スキル,"ロングバレル")*2</f>
        <v>8</v>
      </c>
      <c r="H388" s="390">
        <v>0</v>
      </c>
      <c r="I388" s="390">
        <v>0</v>
      </c>
      <c r="J388" s="390">
        <v>0</v>
      </c>
      <c r="K388" s="390">
        <f>-COUNTIF(AR_SHEET_スキル,"サイティングデバイス")-COUNTIF(AR_SHEET_スキル,"ロングバレル")*2</f>
        <v>0</v>
      </c>
      <c r="L388" s="390">
        <v>0</v>
      </c>
      <c r="M388" s="486" t="s">
        <v>674</v>
      </c>
      <c r="N388" s="461" t="s">
        <v>2378</v>
      </c>
      <c r="O388" s="487">
        <v>0</v>
      </c>
      <c r="P388" s="485" t="s">
        <v>83</v>
      </c>
      <c r="R388" s="461" t="s">
        <v>2379</v>
      </c>
      <c r="S388" s="493" t="s">
        <v>2380</v>
      </c>
      <c r="T388" s="493" t="s">
        <v>2381</v>
      </c>
      <c r="U388" s="493" t="s">
        <v>2382</v>
      </c>
    </row>
    <row r="389" spans="1:21" ht="13.5">
      <c r="A389" s="390" t="s">
        <v>2383</v>
      </c>
      <c r="B389" s="390">
        <v>1</v>
      </c>
      <c r="C389" s="390" t="s">
        <v>337</v>
      </c>
      <c r="D389" s="390" t="s">
        <v>2097</v>
      </c>
      <c r="E389" s="390">
        <v>6</v>
      </c>
      <c r="F389" s="485">
        <f>COUNTIF(AR_SHEET_スキル,"サイティングデバイス")*2+COUNTIF(AR_SHEET_スキル,"ロングバレル")+S389</f>
        <v>0</v>
      </c>
      <c r="G389" s="485">
        <f>キャラクターシート!$H$4+3+IF(ISERROR(VLOOKUP("ガンパード",AR_スキルSL,7,0))=TRUE,"0",VLOOKUP("ガンパード",AR_スキルSL,7,0))*3+COUNTIF(AR_SHEET_スキル,"ロングバレル")*2+T389</f>
        <v>8</v>
      </c>
      <c r="H389" s="390">
        <v>0</v>
      </c>
      <c r="I389" s="390">
        <v>0</v>
      </c>
      <c r="J389" s="390">
        <v>0</v>
      </c>
      <c r="K389" s="390">
        <f>-COUNTIF(AR_SHEET_スキル,"サイティングデバイス")-COUNTIF(AR_SHEET_スキル,"ロングバレル")*2</f>
        <v>0</v>
      </c>
      <c r="L389" s="390">
        <v>0</v>
      </c>
      <c r="M389" s="486">
        <v>10</v>
      </c>
      <c r="N389" s="461" t="s">
        <v>2378</v>
      </c>
      <c r="O389" s="487">
        <v>0</v>
      </c>
      <c r="P389" s="485" t="s">
        <v>83</v>
      </c>
      <c r="R389" s="461" t="s">
        <v>2384</v>
      </c>
      <c r="S389" s="390">
        <v>0</v>
      </c>
      <c r="T389" s="390">
        <v>0</v>
      </c>
      <c r="U389" s="390">
        <f>SUM(S389:T389)</f>
        <v>0</v>
      </c>
    </row>
    <row r="390" spans="1:19" ht="13.5">
      <c r="A390" s="213"/>
      <c r="B390" s="213"/>
      <c r="C390" s="213"/>
      <c r="D390" s="213"/>
      <c r="E390" s="213"/>
      <c r="F390" s="311"/>
      <c r="G390" s="311"/>
      <c r="H390" s="213"/>
      <c r="I390" s="213"/>
      <c r="J390" s="213"/>
      <c r="K390" s="213"/>
      <c r="L390" s="390">
        <v>0</v>
      </c>
      <c r="M390" s="494"/>
      <c r="N390" s="213"/>
      <c r="O390" s="221"/>
      <c r="P390" s="311"/>
      <c r="R390" s="399"/>
      <c r="S390" s="213"/>
    </row>
    <row r="391" spans="1:16" ht="13.5">
      <c r="A391" s="390" t="s">
        <v>2385</v>
      </c>
      <c r="B391" s="390">
        <v>1</v>
      </c>
      <c r="C391" s="390" t="s">
        <v>334</v>
      </c>
      <c r="D391" s="390" t="s">
        <v>2124</v>
      </c>
      <c r="E391" s="390">
        <v>0</v>
      </c>
      <c r="F391" s="485">
        <v>0</v>
      </c>
      <c r="G391" s="485">
        <v>6</v>
      </c>
      <c r="H391" s="390">
        <v>0</v>
      </c>
      <c r="I391" s="390">
        <v>0</v>
      </c>
      <c r="J391" s="390">
        <v>0</v>
      </c>
      <c r="K391" s="390">
        <v>0</v>
      </c>
      <c r="L391" s="390">
        <v>0</v>
      </c>
      <c r="M391" s="486" t="s">
        <v>83</v>
      </c>
      <c r="N391" s="461" t="s">
        <v>2386</v>
      </c>
      <c r="O391" s="487">
        <v>0</v>
      </c>
      <c r="P391" s="485" t="s">
        <v>83</v>
      </c>
    </row>
    <row r="392" spans="1:18" s="451" customFormat="1" ht="11.25">
      <c r="A392" s="451" t="s">
        <v>2387</v>
      </c>
      <c r="B392" s="451" t="s">
        <v>83</v>
      </c>
      <c r="C392" s="451" t="s">
        <v>159</v>
      </c>
      <c r="D392" s="451" t="s">
        <v>2124</v>
      </c>
      <c r="E392" s="451">
        <v>0</v>
      </c>
      <c r="F392" s="498">
        <v>0</v>
      </c>
      <c r="G392" s="498">
        <v>0</v>
      </c>
      <c r="H392" s="498">
        <v>0</v>
      </c>
      <c r="I392" s="498">
        <v>0</v>
      </c>
      <c r="J392" s="498">
        <v>0</v>
      </c>
      <c r="K392" s="498">
        <v>0</v>
      </c>
      <c r="L392" s="390">
        <v>0</v>
      </c>
      <c r="M392" s="498">
        <v>0</v>
      </c>
      <c r="N392" s="450"/>
      <c r="O392" s="500">
        <v>25</v>
      </c>
      <c r="P392" s="498" t="s">
        <v>83</v>
      </c>
      <c r="R392" s="450"/>
    </row>
    <row r="393" spans="1:19" ht="13.5">
      <c r="A393" s="46" t="s">
        <v>2388</v>
      </c>
      <c r="B393" s="489" t="s">
        <v>111</v>
      </c>
      <c r="C393" s="489" t="s">
        <v>253</v>
      </c>
      <c r="D393" s="489" t="s">
        <v>254</v>
      </c>
      <c r="E393" s="489" t="s">
        <v>255</v>
      </c>
      <c r="F393" s="490" t="s">
        <v>174</v>
      </c>
      <c r="G393" s="490" t="s">
        <v>256</v>
      </c>
      <c r="H393" s="489" t="s">
        <v>233</v>
      </c>
      <c r="I393" s="489" t="s">
        <v>257</v>
      </c>
      <c r="J393" s="489" t="s">
        <v>258</v>
      </c>
      <c r="K393" s="489" t="s">
        <v>259</v>
      </c>
      <c r="L393" s="489" t="s">
        <v>260</v>
      </c>
      <c r="M393" s="491" t="s">
        <v>261</v>
      </c>
      <c r="N393" s="489" t="s">
        <v>262</v>
      </c>
      <c r="O393" s="492" t="s">
        <v>223</v>
      </c>
      <c r="P393" s="490" t="s">
        <v>2093</v>
      </c>
      <c r="Q393" s="493" t="s">
        <v>2094</v>
      </c>
      <c r="R393" s="399" t="s">
        <v>2095</v>
      </c>
      <c r="S393" s="213"/>
    </row>
    <row r="394" spans="1:19" ht="13.5">
      <c r="A394" s="213"/>
      <c r="B394" s="213"/>
      <c r="C394" s="213"/>
      <c r="D394" s="213"/>
      <c r="E394" s="213"/>
      <c r="F394" s="311"/>
      <c r="G394" s="311"/>
      <c r="H394" s="213"/>
      <c r="I394" s="213"/>
      <c r="J394" s="213"/>
      <c r="K394" s="213"/>
      <c r="L394" s="213"/>
      <c r="M394" s="494"/>
      <c r="N394" s="213"/>
      <c r="O394" s="221"/>
      <c r="P394" s="311"/>
      <c r="R394" s="399"/>
      <c r="S394" s="213"/>
    </row>
    <row r="395" spans="1:20" ht="11.25" customHeight="1">
      <c r="A395" s="390" t="s">
        <v>2389</v>
      </c>
      <c r="B395" s="390">
        <v>1</v>
      </c>
      <c r="C395" s="390" t="s">
        <v>2390</v>
      </c>
      <c r="D395" s="390" t="s">
        <v>2391</v>
      </c>
      <c r="E395" s="390">
        <v>2</v>
      </c>
      <c r="F395" s="485">
        <v>0</v>
      </c>
      <c r="G395" s="485">
        <v>0</v>
      </c>
      <c r="H395" s="390">
        <v>0</v>
      </c>
      <c r="I395" s="390">
        <f>$S395+IF(ISERROR(VLOOKUP("パーフェクトシールド",AR_スキルSL,7,0))=TRUE,"0",VLOOKUP("パーフェクトシールド",AR_スキルSL,7,0))*2</f>
        <v>3</v>
      </c>
      <c r="J395" s="390">
        <f>$T395+COUNTIF(AR_SHEET_スキル,"ハイパーシールド")*$I395</f>
        <v>0</v>
      </c>
      <c r="K395" s="390">
        <v>-1</v>
      </c>
      <c r="L395" s="390">
        <v>0</v>
      </c>
      <c r="M395" s="486" t="s">
        <v>83</v>
      </c>
      <c r="O395" s="487">
        <v>100</v>
      </c>
      <c r="P395" s="485" t="s">
        <v>83</v>
      </c>
      <c r="S395" s="390">
        <v>3</v>
      </c>
      <c r="T395" s="390">
        <v>0</v>
      </c>
    </row>
    <row r="396" spans="1:20" ht="11.25" customHeight="1">
      <c r="A396" s="390" t="s">
        <v>2392</v>
      </c>
      <c r="B396" s="390">
        <v>2</v>
      </c>
      <c r="C396" s="390" t="s">
        <v>2390</v>
      </c>
      <c r="D396" s="390" t="s">
        <v>2393</v>
      </c>
      <c r="E396" s="390">
        <v>2</v>
      </c>
      <c r="F396" s="485">
        <v>0</v>
      </c>
      <c r="G396" s="485">
        <v>0</v>
      </c>
      <c r="H396" s="390">
        <v>0</v>
      </c>
      <c r="I396" s="390">
        <f>$S396+IF(ISERROR(VLOOKUP("パーフェクトシールド",AR_スキルSL,7,0))=TRUE,"0",VLOOKUP("パーフェクトシールド",AR_スキルSL,7,0))*2</f>
        <v>4</v>
      </c>
      <c r="J396" s="390">
        <f>$T396+COUNTIF(AR_SHEET_スキル,"ハイパーシールド")*$I396</f>
        <v>0</v>
      </c>
      <c r="K396" s="390">
        <v>-1</v>
      </c>
      <c r="L396" s="390">
        <v>0</v>
      </c>
      <c r="M396" s="486" t="s">
        <v>83</v>
      </c>
      <c r="O396" s="487">
        <v>150</v>
      </c>
      <c r="P396" s="485" t="s">
        <v>83</v>
      </c>
      <c r="S396" s="390">
        <v>4</v>
      </c>
      <c r="T396" s="390">
        <v>0</v>
      </c>
    </row>
    <row r="397" spans="1:20" ht="11.25" customHeight="1">
      <c r="A397" s="390" t="s">
        <v>2394</v>
      </c>
      <c r="B397" s="390">
        <v>3</v>
      </c>
      <c r="C397" s="390" t="s">
        <v>2390</v>
      </c>
      <c r="D397" s="390" t="s">
        <v>2393</v>
      </c>
      <c r="E397" s="390">
        <v>3</v>
      </c>
      <c r="F397" s="485">
        <v>0</v>
      </c>
      <c r="G397" s="485">
        <v>0</v>
      </c>
      <c r="H397" s="390">
        <v>0</v>
      </c>
      <c r="I397" s="390">
        <f>$S397+IF(ISERROR(VLOOKUP("パーフェクトシールド",AR_スキルSL,7,0))=TRUE,"0",VLOOKUP("パーフェクトシールド",AR_スキルSL,7,0))*2</f>
        <v>5</v>
      </c>
      <c r="J397" s="390">
        <f>$T397+COUNTIF(AR_SHEET_スキル,"ハイパーシールド")*$I397</f>
        <v>0</v>
      </c>
      <c r="K397" s="390">
        <v>-1</v>
      </c>
      <c r="L397" s="390">
        <v>0</v>
      </c>
      <c r="M397" s="390" t="s">
        <v>83</v>
      </c>
      <c r="O397" s="487">
        <v>400</v>
      </c>
      <c r="P397" s="485" t="s">
        <v>83</v>
      </c>
      <c r="S397" s="390">
        <v>5</v>
      </c>
      <c r="T397" s="390">
        <v>0</v>
      </c>
    </row>
    <row r="398" spans="1:20" ht="11.25" customHeight="1">
      <c r="A398" s="390" t="s">
        <v>2395</v>
      </c>
      <c r="B398" s="390">
        <v>4</v>
      </c>
      <c r="C398" s="390" t="s">
        <v>2390</v>
      </c>
      <c r="D398" s="390" t="s">
        <v>2393</v>
      </c>
      <c r="E398" s="390">
        <v>3</v>
      </c>
      <c r="F398" s="485">
        <v>0</v>
      </c>
      <c r="G398" s="485">
        <v>0</v>
      </c>
      <c r="H398" s="390">
        <v>0</v>
      </c>
      <c r="I398" s="390">
        <f>$S398+IF(ISERROR(VLOOKUP("パーフェクトシールド",AR_スキルSL,7,0))=TRUE,"0",VLOOKUP("パーフェクトシールド",AR_スキルSL,7,0))*2</f>
        <v>6</v>
      </c>
      <c r="J398" s="390">
        <f>$T398+COUNTIF(AR_SHEET_スキル,"ハイパーシールド")*$I398</f>
        <v>0</v>
      </c>
      <c r="K398" s="390">
        <v>-1</v>
      </c>
      <c r="L398" s="390">
        <v>0</v>
      </c>
      <c r="M398" s="390" t="s">
        <v>83</v>
      </c>
      <c r="O398" s="487">
        <v>650</v>
      </c>
      <c r="P398" s="485" t="s">
        <v>83</v>
      </c>
      <c r="S398" s="390">
        <v>6</v>
      </c>
      <c r="T398" s="390">
        <v>0</v>
      </c>
    </row>
    <row r="399" spans="1:20" s="451" customFormat="1" ht="11.25" customHeight="1">
      <c r="A399" s="390" t="s">
        <v>2396</v>
      </c>
      <c r="B399" s="390">
        <v>5</v>
      </c>
      <c r="C399" s="390" t="s">
        <v>2390</v>
      </c>
      <c r="D399" s="390" t="s">
        <v>2397</v>
      </c>
      <c r="E399" s="390">
        <v>3</v>
      </c>
      <c r="F399" s="485">
        <v>0</v>
      </c>
      <c r="G399" s="485">
        <v>0</v>
      </c>
      <c r="H399" s="390">
        <v>0</v>
      </c>
      <c r="I399" s="390">
        <f>$S399+IF(ISERROR(VLOOKUP("パーフェクトシールド",AR_スキルSL,7,0))=TRUE,"0",VLOOKUP("パーフェクトシールド",AR_スキルSL,7,0))*2</f>
        <v>8</v>
      </c>
      <c r="J399" s="390">
        <f>$T399+COUNTIF(AR_SHEET_スキル,"ハイパーシールド")*$I399</f>
        <v>0</v>
      </c>
      <c r="K399" s="390">
        <v>-1</v>
      </c>
      <c r="L399" s="390">
        <v>0</v>
      </c>
      <c r="M399" s="390" t="s">
        <v>83</v>
      </c>
      <c r="N399" s="461"/>
      <c r="O399" s="487">
        <v>1000</v>
      </c>
      <c r="P399" s="485" t="s">
        <v>83</v>
      </c>
      <c r="Q399" s="390"/>
      <c r="R399" s="461"/>
      <c r="S399" s="390">
        <v>8</v>
      </c>
      <c r="T399" s="390">
        <v>0</v>
      </c>
    </row>
    <row r="400" spans="1:20" ht="11.25" customHeight="1">
      <c r="A400" s="390" t="s">
        <v>2398</v>
      </c>
      <c r="B400" s="390">
        <v>6</v>
      </c>
      <c r="C400" s="390" t="s">
        <v>2390</v>
      </c>
      <c r="D400" s="390" t="s">
        <v>2399</v>
      </c>
      <c r="E400" s="390">
        <v>3</v>
      </c>
      <c r="F400" s="485">
        <v>0</v>
      </c>
      <c r="G400" s="485">
        <v>0</v>
      </c>
      <c r="H400" s="390">
        <v>0</v>
      </c>
      <c r="I400" s="390">
        <f>$S400+IF(ISERROR(VLOOKUP("パーフェクトシールド",AR_スキルSL,7,0))=TRUE,"0",VLOOKUP("パーフェクトシールド",AR_スキルSL,7,0))*2</f>
        <v>6</v>
      </c>
      <c r="J400" s="390">
        <f>$T400+COUNTIF(AR_SHEET_スキル,"ハイパーシールド")*$I400</f>
        <v>2</v>
      </c>
      <c r="K400" s="390">
        <v>-1</v>
      </c>
      <c r="L400" s="390">
        <v>0</v>
      </c>
      <c r="M400" s="390" t="s">
        <v>83</v>
      </c>
      <c r="O400" s="487">
        <v>1300</v>
      </c>
      <c r="P400" s="485" t="s">
        <v>83</v>
      </c>
      <c r="S400" s="390">
        <v>6</v>
      </c>
      <c r="T400" s="390">
        <v>2</v>
      </c>
    </row>
    <row r="401" spans="1:20" ht="11.25" customHeight="1">
      <c r="A401" s="390" t="s">
        <v>2400</v>
      </c>
      <c r="B401" s="390">
        <v>7</v>
      </c>
      <c r="C401" s="390" t="s">
        <v>2390</v>
      </c>
      <c r="D401" s="390" t="s">
        <v>2401</v>
      </c>
      <c r="E401" s="390">
        <v>4</v>
      </c>
      <c r="F401" s="485">
        <v>0</v>
      </c>
      <c r="G401" s="485">
        <v>0</v>
      </c>
      <c r="H401" s="390">
        <v>0</v>
      </c>
      <c r="I401" s="390">
        <f>$S401+IF(ISERROR(VLOOKUP("パーフェクトシールド",AR_スキルSL,7,0))=TRUE,"0",VLOOKUP("パーフェクトシールド",AR_スキルSL,7,0))*2</f>
        <v>9</v>
      </c>
      <c r="J401" s="390">
        <f>$T401+COUNTIF(AR_SHEET_スキル,"ハイパーシールド")*$I401</f>
        <v>0</v>
      </c>
      <c r="K401" s="390">
        <v>-2</v>
      </c>
      <c r="L401" s="390">
        <v>0</v>
      </c>
      <c r="M401" s="390" t="s">
        <v>83</v>
      </c>
      <c r="O401" s="487">
        <v>2000</v>
      </c>
      <c r="P401" s="485" t="s">
        <v>83</v>
      </c>
      <c r="S401" s="390">
        <v>9</v>
      </c>
      <c r="T401" s="390">
        <v>0</v>
      </c>
    </row>
    <row r="402" spans="1:20" ht="11.25" customHeight="1">
      <c r="A402" s="390" t="s">
        <v>2402</v>
      </c>
      <c r="B402" s="390">
        <v>8</v>
      </c>
      <c r="C402" s="390" t="s">
        <v>2390</v>
      </c>
      <c r="D402" s="390" t="s">
        <v>2393</v>
      </c>
      <c r="E402" s="390">
        <v>4</v>
      </c>
      <c r="F402" s="485">
        <v>0</v>
      </c>
      <c r="G402" s="485">
        <v>0</v>
      </c>
      <c r="H402" s="390">
        <v>0</v>
      </c>
      <c r="I402" s="390">
        <f>$S402+IF(ISERROR(VLOOKUP("パーフェクトシールド",AR_スキルSL,7,0))=TRUE,"0",VLOOKUP("パーフェクトシールド",AR_スキルSL,7,0))*2</f>
        <v>9</v>
      </c>
      <c r="J402" s="390">
        <f>$T402+COUNTIF(AR_SHEET_スキル,"ハイパーシールド")*$I402</f>
        <v>0</v>
      </c>
      <c r="K402" s="390">
        <v>-1</v>
      </c>
      <c r="L402" s="390">
        <v>0</v>
      </c>
      <c r="M402" s="390" t="s">
        <v>83</v>
      </c>
      <c r="O402" s="487">
        <v>2900</v>
      </c>
      <c r="P402" s="485" t="s">
        <v>83</v>
      </c>
      <c r="S402" s="390">
        <v>9</v>
      </c>
      <c r="T402" s="390">
        <v>0</v>
      </c>
    </row>
    <row r="403" spans="1:20" s="451" customFormat="1" ht="11.25" customHeight="1">
      <c r="A403" s="390" t="s">
        <v>2403</v>
      </c>
      <c r="B403" s="390">
        <v>9</v>
      </c>
      <c r="C403" s="390" t="s">
        <v>2390</v>
      </c>
      <c r="D403" s="390" t="s">
        <v>2393</v>
      </c>
      <c r="E403" s="390">
        <v>4</v>
      </c>
      <c r="F403" s="485">
        <v>0</v>
      </c>
      <c r="G403" s="485">
        <v>0</v>
      </c>
      <c r="H403" s="390">
        <v>0</v>
      </c>
      <c r="I403" s="390">
        <f>$S403+IF(ISERROR(VLOOKUP("パーフェクトシールド",AR_スキルSL,7,0))=TRUE,"0",VLOOKUP("パーフェクトシールド",AR_スキルSL,7,0))*2</f>
        <v>9</v>
      </c>
      <c r="J403" s="390">
        <f>$T403+COUNTIF(AR_SHEET_スキル,"ハイパーシールド")*$I403</f>
        <v>0</v>
      </c>
      <c r="K403" s="390">
        <v>0</v>
      </c>
      <c r="L403" s="390">
        <v>0</v>
      </c>
      <c r="M403" s="390" t="s">
        <v>83</v>
      </c>
      <c r="N403" s="461"/>
      <c r="O403" s="487">
        <v>4300</v>
      </c>
      <c r="P403" s="485" t="s">
        <v>83</v>
      </c>
      <c r="Q403" s="390"/>
      <c r="R403" s="461"/>
      <c r="S403" s="390">
        <v>9</v>
      </c>
      <c r="T403" s="390">
        <v>0</v>
      </c>
    </row>
    <row r="404" spans="1:20" s="451" customFormat="1" ht="11.25" customHeight="1">
      <c r="A404" s="390" t="s">
        <v>2404</v>
      </c>
      <c r="B404" s="390">
        <v>10</v>
      </c>
      <c r="C404" s="390" t="s">
        <v>2390</v>
      </c>
      <c r="D404" s="390" t="s">
        <v>2393</v>
      </c>
      <c r="E404" s="390">
        <v>4</v>
      </c>
      <c r="F404" s="485">
        <v>0</v>
      </c>
      <c r="G404" s="485">
        <v>0</v>
      </c>
      <c r="H404" s="390">
        <v>0</v>
      </c>
      <c r="I404" s="390">
        <f>$S404+IF(ISERROR(VLOOKUP("パーフェクトシールド",AR_スキルSL,7,0))=TRUE,"0",VLOOKUP("パーフェクトシールド",AR_スキルSL,7,0))*2</f>
        <v>8</v>
      </c>
      <c r="J404" s="390">
        <f>$T404+COUNTIF(AR_SHEET_スキル,"ハイパーシールド")*$I404</f>
        <v>5</v>
      </c>
      <c r="K404" s="390">
        <v>-1</v>
      </c>
      <c r="L404" s="390">
        <v>0</v>
      </c>
      <c r="M404" s="390" t="s">
        <v>83</v>
      </c>
      <c r="N404" s="461"/>
      <c r="O404" s="487">
        <v>6800</v>
      </c>
      <c r="P404" s="485" t="s">
        <v>83</v>
      </c>
      <c r="Q404" s="390"/>
      <c r="R404" s="461"/>
      <c r="S404" s="390">
        <v>8</v>
      </c>
      <c r="T404" s="390">
        <v>5</v>
      </c>
    </row>
    <row r="405" spans="1:20" ht="11.25" customHeight="1">
      <c r="A405" s="451" t="s">
        <v>2405</v>
      </c>
      <c r="B405" s="451">
        <v>2</v>
      </c>
      <c r="C405" s="451" t="s">
        <v>2390</v>
      </c>
      <c r="D405" s="390" t="s">
        <v>2393</v>
      </c>
      <c r="E405" s="451">
        <v>3</v>
      </c>
      <c r="F405" s="498">
        <v>0</v>
      </c>
      <c r="G405" s="498">
        <v>0</v>
      </c>
      <c r="H405" s="451">
        <v>0</v>
      </c>
      <c r="I405" s="451">
        <f>$S405+IF(ISERROR(VLOOKUP("パーフェクトシールド",AR_スキルSL,7,0))=TRUE,"0",VLOOKUP("パーフェクトシールド",AR_スキルSL,7,0))*2</f>
        <v>4</v>
      </c>
      <c r="J405" s="451">
        <f>$T405+COUNTIF(AR_SHEET_スキル,"ハイパーシールド")*$I405</f>
        <v>0</v>
      </c>
      <c r="K405" s="451">
        <v>-1</v>
      </c>
      <c r="L405" s="390">
        <v>0</v>
      </c>
      <c r="M405" s="499" t="s">
        <v>83</v>
      </c>
      <c r="N405" s="450" t="s">
        <v>2406</v>
      </c>
      <c r="O405" s="500">
        <v>4000</v>
      </c>
      <c r="P405" s="498">
        <v>12</v>
      </c>
      <c r="Q405" s="451"/>
      <c r="S405" s="451">
        <v>4</v>
      </c>
      <c r="T405" s="451">
        <v>0</v>
      </c>
    </row>
    <row r="406" spans="1:20" ht="11.25" customHeight="1">
      <c r="A406" s="451" t="s">
        <v>2407</v>
      </c>
      <c r="B406" s="451">
        <v>3</v>
      </c>
      <c r="C406" s="451" t="s">
        <v>2390</v>
      </c>
      <c r="D406" s="390" t="s">
        <v>2391</v>
      </c>
      <c r="E406" s="451">
        <v>2</v>
      </c>
      <c r="F406" s="498">
        <v>0</v>
      </c>
      <c r="G406" s="498">
        <v>0</v>
      </c>
      <c r="H406" s="451">
        <v>0</v>
      </c>
      <c r="I406" s="451">
        <f>$S406+IF(ISERROR(VLOOKUP("パーフェクトシールド",AR_スキルSL,7,0))=TRUE,"0",VLOOKUP("パーフェクトシールド",AR_スキルSL,7,0))*2</f>
        <v>5</v>
      </c>
      <c r="J406" s="451">
        <f>$T406+COUNTIF(AR_SHEET_スキル,"ハイパーシールド")*$I406</f>
        <v>0</v>
      </c>
      <c r="K406" s="451">
        <v>1</v>
      </c>
      <c r="L406" s="390">
        <v>1</v>
      </c>
      <c r="M406" s="499" t="s">
        <v>83</v>
      </c>
      <c r="N406" s="450" t="s">
        <v>2408</v>
      </c>
      <c r="O406" s="500">
        <v>5800</v>
      </c>
      <c r="P406" s="498">
        <v>13</v>
      </c>
      <c r="Q406" s="451"/>
      <c r="S406" s="451">
        <v>5</v>
      </c>
      <c r="T406" s="451">
        <v>0</v>
      </c>
    </row>
    <row r="407" spans="1:20" ht="11.25" customHeight="1">
      <c r="A407" s="451" t="s">
        <v>2409</v>
      </c>
      <c r="B407" s="451">
        <v>4</v>
      </c>
      <c r="C407" s="451" t="s">
        <v>2390</v>
      </c>
      <c r="D407" s="390" t="s">
        <v>2393</v>
      </c>
      <c r="E407" s="451">
        <v>3</v>
      </c>
      <c r="F407" s="498">
        <v>0</v>
      </c>
      <c r="G407" s="498">
        <v>0</v>
      </c>
      <c r="H407" s="451">
        <v>0</v>
      </c>
      <c r="I407" s="451">
        <f>$S407+IF(ISERROR(VLOOKUP("パーフェクトシールド",AR_スキルSL,7,0))=TRUE,"0",VLOOKUP("パーフェクトシールド",AR_スキルSL,7,0))*2</f>
        <v>3</v>
      </c>
      <c r="J407" s="451">
        <f>$T407+COUNTIF(AR_SHEET_スキル,"ハイパーシールド")*$I407</f>
        <v>0</v>
      </c>
      <c r="K407" s="451">
        <v>0</v>
      </c>
      <c r="L407" s="390">
        <v>0</v>
      </c>
      <c r="M407" s="499" t="s">
        <v>83</v>
      </c>
      <c r="N407" s="450"/>
      <c r="O407" s="500">
        <v>2000</v>
      </c>
      <c r="P407" s="498">
        <v>14</v>
      </c>
      <c r="Q407" s="451"/>
      <c r="S407" s="451">
        <v>3</v>
      </c>
      <c r="T407" s="451">
        <v>0</v>
      </c>
    </row>
    <row r="408" spans="1:20" ht="11.25" customHeight="1">
      <c r="A408" s="451" t="s">
        <v>2410</v>
      </c>
      <c r="B408" s="451">
        <v>5</v>
      </c>
      <c r="C408" s="451" t="s">
        <v>2390</v>
      </c>
      <c r="D408" s="451" t="s">
        <v>2411</v>
      </c>
      <c r="E408" s="451">
        <v>3</v>
      </c>
      <c r="F408" s="498">
        <v>0</v>
      </c>
      <c r="G408" s="498">
        <v>0</v>
      </c>
      <c r="H408" s="451">
        <v>0</v>
      </c>
      <c r="I408" s="451">
        <f>$S408+IF(ISERROR(VLOOKUP("パーフェクトシールド",AR_スキルSL,7,0))=TRUE,"0",VLOOKUP("パーフェクトシールド",AR_スキルSL,7,0))*2</f>
        <v>3</v>
      </c>
      <c r="J408" s="451">
        <f>$T408+COUNTIF(AR_SHEET_スキル,"ハイパーシールド")*$I408</f>
        <v>0</v>
      </c>
      <c r="K408" s="451">
        <v>-1</v>
      </c>
      <c r="L408" s="390">
        <v>0</v>
      </c>
      <c r="M408" s="451" t="s">
        <v>83</v>
      </c>
      <c r="N408" s="450" t="s">
        <v>2412</v>
      </c>
      <c r="O408" s="500">
        <v>8800</v>
      </c>
      <c r="P408" s="498">
        <v>14</v>
      </c>
      <c r="Q408" s="451"/>
      <c r="S408" s="451">
        <v>3</v>
      </c>
      <c r="T408" s="451">
        <v>0</v>
      </c>
    </row>
    <row r="409" spans="1:20" ht="11.25" customHeight="1">
      <c r="A409" s="451" t="s">
        <v>2413</v>
      </c>
      <c r="B409" s="451">
        <v>6</v>
      </c>
      <c r="C409" s="451" t="s">
        <v>2390</v>
      </c>
      <c r="D409" s="390" t="s">
        <v>2393</v>
      </c>
      <c r="E409" s="451">
        <v>3</v>
      </c>
      <c r="F409" s="498">
        <v>0</v>
      </c>
      <c r="G409" s="498">
        <v>0</v>
      </c>
      <c r="H409" s="451">
        <v>0</v>
      </c>
      <c r="I409" s="451">
        <f>$S409+IF(ISERROR(VLOOKUP("パーフェクトシールド",AR_スキルSL,7,0))=TRUE,"0",VLOOKUP("パーフェクトシールド",AR_スキルSL,7,0))*2</f>
        <v>8</v>
      </c>
      <c r="J409" s="451">
        <f>$T409+COUNTIF(AR_SHEET_スキル,"ハイパーシールド")*$I409</f>
        <v>0</v>
      </c>
      <c r="K409" s="451">
        <v>-2</v>
      </c>
      <c r="L409" s="390">
        <v>0</v>
      </c>
      <c r="M409" s="499" t="s">
        <v>83</v>
      </c>
      <c r="N409" s="450" t="s">
        <v>2414</v>
      </c>
      <c r="O409" s="500">
        <v>2500</v>
      </c>
      <c r="P409" s="498">
        <v>15</v>
      </c>
      <c r="Q409" s="451"/>
      <c r="S409" s="451">
        <v>8</v>
      </c>
      <c r="T409" s="451">
        <v>0</v>
      </c>
    </row>
    <row r="410" spans="1:20" ht="11.25" customHeight="1">
      <c r="A410" s="451" t="s">
        <v>2415</v>
      </c>
      <c r="B410" s="451">
        <v>8</v>
      </c>
      <c r="C410" s="451" t="s">
        <v>2390</v>
      </c>
      <c r="D410" s="390" t="s">
        <v>2393</v>
      </c>
      <c r="E410" s="451">
        <v>4</v>
      </c>
      <c r="F410" s="498">
        <v>0</v>
      </c>
      <c r="G410" s="498">
        <v>0</v>
      </c>
      <c r="H410" s="451">
        <v>0</v>
      </c>
      <c r="I410" s="451">
        <f>$S410+IF(ISERROR(VLOOKUP("パーフェクトシールド",AR_スキルSL,7,0))=TRUE,"0",VLOOKUP("パーフェクトシールド",AR_スキルSL,7,0))*2</f>
        <v>8</v>
      </c>
      <c r="J410" s="451">
        <f>$T410+COUNTIF(AR_SHEET_スキル,"ハイパーシールド")*$I410</f>
        <v>0</v>
      </c>
      <c r="K410" s="451">
        <v>-3</v>
      </c>
      <c r="L410" s="390">
        <v>0</v>
      </c>
      <c r="M410" s="451" t="s">
        <v>83</v>
      </c>
      <c r="N410" s="450" t="s">
        <v>875</v>
      </c>
      <c r="O410" s="500">
        <v>5000</v>
      </c>
      <c r="P410" s="498">
        <v>16</v>
      </c>
      <c r="Q410" s="451"/>
      <c r="R410" s="450"/>
      <c r="S410" s="451">
        <v>8</v>
      </c>
      <c r="T410" s="451">
        <v>0</v>
      </c>
    </row>
    <row r="411" spans="1:20" ht="11.25" customHeight="1">
      <c r="A411" s="451" t="s">
        <v>2416</v>
      </c>
      <c r="B411" s="451">
        <v>9</v>
      </c>
      <c r="C411" s="451" t="s">
        <v>2390</v>
      </c>
      <c r="D411" s="451" t="s">
        <v>2411</v>
      </c>
      <c r="E411" s="451">
        <v>4</v>
      </c>
      <c r="F411" s="498">
        <v>0</v>
      </c>
      <c r="G411" s="498">
        <v>0</v>
      </c>
      <c r="H411" s="451">
        <v>0</v>
      </c>
      <c r="I411" s="451">
        <f>$S411+IF(ISERROR(VLOOKUP("パーフェクトシールド",AR_スキルSL,7,0))=TRUE,"0",VLOOKUP("パーフェクトシールド",AR_スキルSL,7,0))*2</f>
        <v>9</v>
      </c>
      <c r="J411" s="451">
        <f>$T411+COUNTIF(AR_SHEET_スキル,"ハイパーシールド")*$I411</f>
        <v>0</v>
      </c>
      <c r="K411" s="451">
        <v>-1</v>
      </c>
      <c r="L411" s="390">
        <v>0</v>
      </c>
      <c r="M411" s="451" t="s">
        <v>83</v>
      </c>
      <c r="N411" s="450" t="s">
        <v>2417</v>
      </c>
      <c r="O411" s="500">
        <v>9800</v>
      </c>
      <c r="P411" s="498">
        <v>16</v>
      </c>
      <c r="Q411" s="451"/>
      <c r="R411" s="450"/>
      <c r="S411" s="451">
        <v>9</v>
      </c>
      <c r="T411" s="451">
        <v>0</v>
      </c>
    </row>
    <row r="412" spans="1:20" ht="13.5">
      <c r="A412" s="451"/>
      <c r="B412" s="451"/>
      <c r="C412" s="451"/>
      <c r="D412" s="451"/>
      <c r="E412" s="451"/>
      <c r="F412" s="498"/>
      <c r="G412" s="498"/>
      <c r="H412" s="451"/>
      <c r="I412" s="451"/>
      <c r="J412" s="451"/>
      <c r="K412" s="451"/>
      <c r="M412" s="499"/>
      <c r="N412" s="450"/>
      <c r="O412" s="500"/>
      <c r="P412" s="498"/>
      <c r="Q412" s="451"/>
      <c r="S412" s="451"/>
      <c r="T412" s="451"/>
    </row>
    <row r="413" spans="1:20" ht="13.5">
      <c r="A413" s="451"/>
      <c r="B413" s="451"/>
      <c r="C413" s="451"/>
      <c r="D413" s="451"/>
      <c r="E413" s="451"/>
      <c r="F413" s="498"/>
      <c r="G413" s="498"/>
      <c r="H413" s="451"/>
      <c r="I413" s="451"/>
      <c r="J413" s="451"/>
      <c r="K413" s="451"/>
      <c r="M413" s="499"/>
      <c r="N413" s="450"/>
      <c r="O413" s="500"/>
      <c r="P413" s="498"/>
      <c r="Q413" s="451"/>
      <c r="S413" s="451"/>
      <c r="T413" s="451"/>
    </row>
    <row r="414" spans="6:18" s="451" customFormat="1" ht="11.25">
      <c r="F414" s="498"/>
      <c r="G414" s="498"/>
      <c r="L414" s="390"/>
      <c r="N414" s="450"/>
      <c r="O414" s="500"/>
      <c r="P414" s="498"/>
      <c r="R414" s="450"/>
    </row>
    <row r="415" spans="6:18" s="451" customFormat="1" ht="11.25">
      <c r="F415" s="498"/>
      <c r="G415" s="498"/>
      <c r="L415" s="390"/>
      <c r="N415" s="450"/>
      <c r="O415" s="500"/>
      <c r="P415" s="498"/>
      <c r="R415" s="450"/>
    </row>
    <row r="416" spans="1:20" ht="13.5">
      <c r="A416" s="451"/>
      <c r="B416" s="451"/>
      <c r="C416" s="451"/>
      <c r="D416" s="451"/>
      <c r="E416" s="451"/>
      <c r="F416" s="498"/>
      <c r="G416" s="498"/>
      <c r="H416" s="451"/>
      <c r="I416" s="451"/>
      <c r="J416" s="451"/>
      <c r="K416" s="451"/>
      <c r="M416" s="499"/>
      <c r="N416" s="450"/>
      <c r="O416" s="500"/>
      <c r="P416" s="498"/>
      <c r="Q416" s="451"/>
      <c r="S416" s="451"/>
      <c r="T416" s="451"/>
    </row>
    <row r="417" spans="1:20" ht="13.5">
      <c r="A417" s="451"/>
      <c r="B417" s="451"/>
      <c r="C417" s="451"/>
      <c r="D417" s="451"/>
      <c r="E417" s="451"/>
      <c r="F417" s="498"/>
      <c r="G417" s="498"/>
      <c r="H417" s="451"/>
      <c r="I417" s="451"/>
      <c r="J417" s="451"/>
      <c r="K417" s="451"/>
      <c r="M417" s="499"/>
      <c r="N417" s="450"/>
      <c r="O417" s="500"/>
      <c r="P417" s="498"/>
      <c r="Q417" s="451"/>
      <c r="S417" s="451"/>
      <c r="T417" s="451"/>
    </row>
    <row r="418" spans="6:18" s="451" customFormat="1" ht="11.25">
      <c r="F418" s="498"/>
      <c r="G418" s="498"/>
      <c r="L418" s="390"/>
      <c r="N418" s="450"/>
      <c r="O418" s="500"/>
      <c r="P418" s="498"/>
      <c r="R418" s="450"/>
    </row>
    <row r="419" spans="1:20" ht="12" customHeight="1">
      <c r="A419" s="451"/>
      <c r="B419" s="451"/>
      <c r="C419" s="451"/>
      <c r="D419" s="451"/>
      <c r="E419" s="451"/>
      <c r="F419" s="498"/>
      <c r="G419" s="498"/>
      <c r="H419" s="451"/>
      <c r="I419" s="451"/>
      <c r="J419" s="451"/>
      <c r="K419" s="451"/>
      <c r="M419" s="451"/>
      <c r="N419" s="450"/>
      <c r="O419" s="500"/>
      <c r="P419" s="498"/>
      <c r="Q419" s="451"/>
      <c r="S419" s="451"/>
      <c r="T419" s="451"/>
    </row>
    <row r="420" spans="1:20" ht="12" customHeight="1">
      <c r="A420" s="451"/>
      <c r="B420" s="451"/>
      <c r="C420" s="451"/>
      <c r="D420" s="451"/>
      <c r="E420" s="451"/>
      <c r="F420" s="498"/>
      <c r="G420" s="498"/>
      <c r="H420" s="451"/>
      <c r="I420" s="451"/>
      <c r="J420" s="451"/>
      <c r="K420" s="451"/>
      <c r="M420" s="451"/>
      <c r="N420" s="450"/>
      <c r="O420" s="500"/>
      <c r="P420" s="498"/>
      <c r="Q420" s="451"/>
      <c r="S420" s="451"/>
      <c r="T420" s="451"/>
    </row>
    <row r="421" spans="1:20" ht="12" customHeight="1">
      <c r="A421" s="451"/>
      <c r="B421" s="451"/>
      <c r="C421" s="451"/>
      <c r="D421" s="451"/>
      <c r="E421" s="451"/>
      <c r="F421" s="498"/>
      <c r="G421" s="498"/>
      <c r="H421" s="451"/>
      <c r="I421" s="451"/>
      <c r="J421" s="451"/>
      <c r="K421" s="451"/>
      <c r="M421" s="451"/>
      <c r="N421" s="450"/>
      <c r="O421" s="500"/>
      <c r="P421" s="498"/>
      <c r="Q421" s="451"/>
      <c r="S421" s="451"/>
      <c r="T421" s="451"/>
    </row>
    <row r="422" spans="1:20" ht="12" customHeight="1">
      <c r="A422" s="451"/>
      <c r="B422" s="451"/>
      <c r="C422" s="451"/>
      <c r="D422" s="451"/>
      <c r="E422" s="451"/>
      <c r="F422" s="498"/>
      <c r="G422" s="498"/>
      <c r="H422" s="451"/>
      <c r="I422" s="451"/>
      <c r="J422" s="451"/>
      <c r="K422" s="451"/>
      <c r="M422" s="451"/>
      <c r="N422" s="450"/>
      <c r="O422" s="500"/>
      <c r="P422" s="498"/>
      <c r="Q422" s="451"/>
      <c r="S422" s="451"/>
      <c r="T422" s="451"/>
    </row>
    <row r="423" spans="1:20" ht="13.5">
      <c r="A423" s="451"/>
      <c r="B423" s="451"/>
      <c r="C423" s="451"/>
      <c r="D423" s="451"/>
      <c r="E423" s="451"/>
      <c r="F423" s="498"/>
      <c r="G423" s="498"/>
      <c r="H423" s="451"/>
      <c r="I423" s="451"/>
      <c r="J423" s="451"/>
      <c r="K423" s="451"/>
      <c r="M423" s="499"/>
      <c r="N423" s="450"/>
      <c r="O423" s="500"/>
      <c r="P423" s="498"/>
      <c r="Q423" s="451"/>
      <c r="S423" s="451"/>
      <c r="T423" s="451"/>
    </row>
    <row r="424" spans="1:20" ht="13.5">
      <c r="A424" s="451"/>
      <c r="B424" s="451"/>
      <c r="C424" s="451"/>
      <c r="D424" s="451"/>
      <c r="E424" s="451"/>
      <c r="F424" s="498"/>
      <c r="G424" s="498"/>
      <c r="H424" s="451"/>
      <c r="I424" s="451"/>
      <c r="J424" s="451"/>
      <c r="K424" s="451"/>
      <c r="M424" s="499"/>
      <c r="N424" s="450"/>
      <c r="O424" s="500"/>
      <c r="P424" s="498"/>
      <c r="Q424" s="451"/>
      <c r="S424" s="451"/>
      <c r="T424" s="451"/>
    </row>
    <row r="425" spans="6:18" s="451" customFormat="1" ht="11.25">
      <c r="F425" s="498"/>
      <c r="G425" s="498"/>
      <c r="L425" s="390"/>
      <c r="M425" s="499"/>
      <c r="N425" s="450"/>
      <c r="O425" s="500"/>
      <c r="P425" s="498"/>
      <c r="R425" s="450"/>
    </row>
    <row r="426" spans="6:18" s="451" customFormat="1" ht="11.25">
      <c r="F426" s="498"/>
      <c r="G426" s="498"/>
      <c r="L426" s="390"/>
      <c r="M426" s="499"/>
      <c r="N426" s="450"/>
      <c r="O426" s="500"/>
      <c r="P426" s="498"/>
      <c r="R426" s="450"/>
    </row>
    <row r="427" spans="6:18" s="451" customFormat="1" ht="11.25">
      <c r="F427" s="498"/>
      <c r="G427" s="498"/>
      <c r="L427" s="390"/>
      <c r="M427" s="499"/>
      <c r="N427" s="450"/>
      <c r="O427" s="500"/>
      <c r="P427" s="498"/>
      <c r="R427" s="450"/>
    </row>
    <row r="428" spans="6:18" s="451" customFormat="1" ht="11.25">
      <c r="F428" s="498"/>
      <c r="G428" s="498"/>
      <c r="L428" s="390"/>
      <c r="M428" s="499"/>
      <c r="N428" s="450"/>
      <c r="O428" s="500"/>
      <c r="P428" s="498"/>
      <c r="R428" s="450"/>
    </row>
    <row r="429" spans="6:18" s="451" customFormat="1" ht="11.25">
      <c r="F429" s="498"/>
      <c r="G429" s="498"/>
      <c r="L429" s="390"/>
      <c r="M429" s="499"/>
      <c r="N429" s="450"/>
      <c r="O429" s="500"/>
      <c r="P429" s="498"/>
      <c r="R429" s="450"/>
    </row>
    <row r="430" spans="1:20" ht="13.5">
      <c r="A430" s="451"/>
      <c r="B430" s="451"/>
      <c r="C430" s="451"/>
      <c r="D430" s="451"/>
      <c r="E430" s="451"/>
      <c r="F430" s="498"/>
      <c r="G430" s="498"/>
      <c r="H430" s="451"/>
      <c r="I430" s="451"/>
      <c r="J430" s="451"/>
      <c r="K430" s="451"/>
      <c r="M430" s="499"/>
      <c r="N430" s="450"/>
      <c r="O430" s="500"/>
      <c r="P430" s="498"/>
      <c r="Q430" s="451"/>
      <c r="S430" s="451"/>
      <c r="T430" s="451"/>
    </row>
    <row r="431" spans="6:18" s="451" customFormat="1" ht="11.25">
      <c r="F431" s="498"/>
      <c r="G431" s="498"/>
      <c r="L431" s="390"/>
      <c r="M431" s="499"/>
      <c r="N431" s="450"/>
      <c r="O431" s="500"/>
      <c r="P431" s="498"/>
      <c r="R431" s="450"/>
    </row>
    <row r="432" spans="1:19" ht="13.5">
      <c r="A432" s="46" t="s">
        <v>2418</v>
      </c>
      <c r="B432" s="489" t="s">
        <v>111</v>
      </c>
      <c r="C432" s="489" t="s">
        <v>253</v>
      </c>
      <c r="D432" s="489" t="s">
        <v>254</v>
      </c>
      <c r="E432" s="489" t="s">
        <v>255</v>
      </c>
      <c r="F432" s="490" t="s">
        <v>174</v>
      </c>
      <c r="G432" s="490" t="s">
        <v>256</v>
      </c>
      <c r="H432" s="489" t="s">
        <v>233</v>
      </c>
      <c r="I432" s="489" t="s">
        <v>257</v>
      </c>
      <c r="J432" s="489" t="s">
        <v>258</v>
      </c>
      <c r="K432" s="489" t="s">
        <v>259</v>
      </c>
      <c r="L432" s="489" t="s">
        <v>260</v>
      </c>
      <c r="M432" s="491" t="s">
        <v>261</v>
      </c>
      <c r="N432" s="489" t="s">
        <v>262</v>
      </c>
      <c r="O432" s="492" t="s">
        <v>223</v>
      </c>
      <c r="P432" s="490" t="s">
        <v>2093</v>
      </c>
      <c r="Q432" s="493" t="s">
        <v>2094</v>
      </c>
      <c r="R432" s="399" t="s">
        <v>2095</v>
      </c>
      <c r="S432" s="213"/>
    </row>
    <row r="433" spans="1:19" ht="13.5">
      <c r="A433" s="213"/>
      <c r="B433" s="213"/>
      <c r="C433" s="213"/>
      <c r="D433" s="213"/>
      <c r="E433" s="213"/>
      <c r="F433" s="311"/>
      <c r="G433" s="311"/>
      <c r="H433" s="213"/>
      <c r="I433" s="213"/>
      <c r="J433" s="213"/>
      <c r="K433" s="213"/>
      <c r="L433" s="213"/>
      <c r="M433" s="494"/>
      <c r="N433" s="213"/>
      <c r="O433" s="221"/>
      <c r="P433" s="311"/>
      <c r="R433" s="399"/>
      <c r="S433" s="213"/>
    </row>
    <row r="434" spans="1:20" ht="11.25" customHeight="1">
      <c r="A434" s="390" t="s">
        <v>2419</v>
      </c>
      <c r="B434" s="390">
        <v>1</v>
      </c>
      <c r="C434" s="390" t="s">
        <v>287</v>
      </c>
      <c r="D434" s="390" t="s">
        <v>2411</v>
      </c>
      <c r="E434" s="390">
        <v>1</v>
      </c>
      <c r="F434" s="485">
        <v>0</v>
      </c>
      <c r="G434" s="485">
        <v>0</v>
      </c>
      <c r="H434" s="390">
        <f>IF(COUNTIF(AR_SHEET_スキル,"ジャストディフェンス")&gt;0,IF($S434&lt;0,0,$S434),$S434)</f>
        <v>0</v>
      </c>
      <c r="I434" s="390">
        <v>1</v>
      </c>
      <c r="J434" s="390">
        <v>0</v>
      </c>
      <c r="K434" s="390">
        <v>0</v>
      </c>
      <c r="L434" s="390">
        <f>IF(COUNTIF(AR_SHEET_スキル,"イミューンウェイト")&gt;0,IF($T434&lt;0,0,$T434),$T434)</f>
        <v>0</v>
      </c>
      <c r="M434" s="486" t="s">
        <v>83</v>
      </c>
      <c r="O434" s="487">
        <v>50</v>
      </c>
      <c r="P434" s="485" t="s">
        <v>83</v>
      </c>
      <c r="S434" s="390">
        <v>0</v>
      </c>
      <c r="T434" s="390">
        <v>0</v>
      </c>
    </row>
    <row r="435" spans="1:20" ht="11.25" customHeight="1">
      <c r="A435" s="390" t="s">
        <v>2420</v>
      </c>
      <c r="B435" s="390">
        <v>1</v>
      </c>
      <c r="C435" s="390" t="s">
        <v>287</v>
      </c>
      <c r="D435" s="390" t="s">
        <v>2411</v>
      </c>
      <c r="E435" s="390">
        <v>1</v>
      </c>
      <c r="F435" s="485">
        <v>0</v>
      </c>
      <c r="G435" s="485">
        <v>0</v>
      </c>
      <c r="H435" s="390">
        <f>IF(COUNTIF(AR_SHEET_スキル,"ジャストディフェンス")&gt;0,IF($S435&lt;0,0,$S435),$S435)</f>
        <v>0</v>
      </c>
      <c r="I435" s="390">
        <v>2</v>
      </c>
      <c r="J435" s="390">
        <v>0</v>
      </c>
      <c r="K435" s="390">
        <v>0</v>
      </c>
      <c r="L435" s="390">
        <f>IF(COUNTIF(AR_SHEET_スキル,"イミューンウェイト")&gt;0,IF($T435&lt;0,0,$T435),$T435)</f>
        <v>0</v>
      </c>
      <c r="M435" s="486" t="s">
        <v>83</v>
      </c>
      <c r="O435" s="487">
        <v>250</v>
      </c>
      <c r="P435" s="485" t="s">
        <v>83</v>
      </c>
      <c r="S435" s="390">
        <v>0</v>
      </c>
      <c r="T435" s="390">
        <v>0</v>
      </c>
    </row>
    <row r="436" spans="1:20" ht="11.25" customHeight="1">
      <c r="A436" s="390" t="s">
        <v>2421</v>
      </c>
      <c r="B436" s="390">
        <v>1</v>
      </c>
      <c r="C436" s="390" t="s">
        <v>287</v>
      </c>
      <c r="D436" s="390" t="s">
        <v>2397</v>
      </c>
      <c r="E436" s="390">
        <v>3</v>
      </c>
      <c r="F436" s="485">
        <v>0</v>
      </c>
      <c r="G436" s="485">
        <v>0</v>
      </c>
      <c r="H436" s="390">
        <f>IF(COUNTIF(AR_SHEET_スキル,"ジャストディフェンス")&gt;0,IF($S436&lt;0,0,$S436),$S436)</f>
        <v>-1</v>
      </c>
      <c r="I436" s="390">
        <v>3</v>
      </c>
      <c r="J436" s="390">
        <v>0</v>
      </c>
      <c r="K436" s="390">
        <v>0</v>
      </c>
      <c r="L436" s="390">
        <f>IF(COUNTIF(AR_SHEET_スキル,"イミューンウェイト")&gt;0,IF($T436&lt;0,0,$T436),$T436)</f>
        <v>0</v>
      </c>
      <c r="M436" s="486" t="s">
        <v>83</v>
      </c>
      <c r="O436" s="487">
        <v>100</v>
      </c>
      <c r="P436" s="485" t="s">
        <v>83</v>
      </c>
      <c r="S436" s="390">
        <v>-1</v>
      </c>
      <c r="T436" s="390">
        <v>0</v>
      </c>
    </row>
    <row r="437" spans="1:20" ht="11.25" customHeight="1">
      <c r="A437" s="390" t="s">
        <v>2422</v>
      </c>
      <c r="B437" s="390">
        <v>2</v>
      </c>
      <c r="C437" s="390" t="s">
        <v>287</v>
      </c>
      <c r="D437" s="390" t="s">
        <v>2423</v>
      </c>
      <c r="E437" s="390">
        <v>2</v>
      </c>
      <c r="F437" s="485">
        <v>0</v>
      </c>
      <c r="G437" s="485">
        <v>0</v>
      </c>
      <c r="H437" s="390">
        <f>IF(COUNTIF(AR_SHEET_スキル,"ジャストディフェンス")&gt;0,IF($S437&lt;0,0,$S437),$S437)</f>
        <v>1</v>
      </c>
      <c r="I437" s="390">
        <v>1</v>
      </c>
      <c r="J437" s="390">
        <v>0</v>
      </c>
      <c r="K437" s="390">
        <v>0</v>
      </c>
      <c r="L437" s="390">
        <f>IF(COUNTIF(AR_SHEET_スキル,"イミューンウェイト")&gt;0,IF($T437&lt;0,0,$T437),$T437)</f>
        <v>0</v>
      </c>
      <c r="M437" s="486" t="s">
        <v>83</v>
      </c>
      <c r="O437" s="487">
        <v>200</v>
      </c>
      <c r="P437" s="485" t="s">
        <v>83</v>
      </c>
      <c r="S437" s="390">
        <v>1</v>
      </c>
      <c r="T437" s="390">
        <v>0</v>
      </c>
    </row>
    <row r="438" spans="1:20" s="451" customFormat="1" ht="11.25" customHeight="1">
      <c r="A438" s="390" t="s">
        <v>2424</v>
      </c>
      <c r="B438" s="390">
        <v>2</v>
      </c>
      <c r="C438" s="390" t="s">
        <v>287</v>
      </c>
      <c r="D438" s="390" t="s">
        <v>2425</v>
      </c>
      <c r="E438" s="390">
        <v>2</v>
      </c>
      <c r="F438" s="485">
        <v>0</v>
      </c>
      <c r="G438" s="485">
        <v>0</v>
      </c>
      <c r="H438" s="390">
        <f>IF(COUNTIF(AR_SHEET_スキル,"ジャストディフェンス")&gt;0,IF($S438&lt;0,0,$S438),$S438)</f>
        <v>0</v>
      </c>
      <c r="I438" s="390">
        <v>3</v>
      </c>
      <c r="J438" s="390">
        <v>0</v>
      </c>
      <c r="K438" s="390">
        <v>0</v>
      </c>
      <c r="L438" s="390">
        <f>IF(COUNTIF(AR_SHEET_スキル,"イミューンウェイト")&gt;0,IF($T438&lt;0,0,$T438),$T438)</f>
        <v>-1</v>
      </c>
      <c r="M438" s="486" t="s">
        <v>83</v>
      </c>
      <c r="N438" s="461"/>
      <c r="O438" s="487">
        <v>250</v>
      </c>
      <c r="P438" s="485" t="s">
        <v>83</v>
      </c>
      <c r="Q438" s="390"/>
      <c r="R438" s="461"/>
      <c r="S438" s="390">
        <v>0</v>
      </c>
      <c r="T438" s="390">
        <v>-1</v>
      </c>
    </row>
    <row r="439" spans="1:20" ht="11.25" customHeight="1">
      <c r="A439" s="390" t="s">
        <v>2426</v>
      </c>
      <c r="B439" s="390">
        <v>2</v>
      </c>
      <c r="C439" s="390" t="s">
        <v>287</v>
      </c>
      <c r="D439" s="390" t="s">
        <v>2427</v>
      </c>
      <c r="E439" s="390">
        <v>2</v>
      </c>
      <c r="F439" s="485">
        <v>0</v>
      </c>
      <c r="G439" s="485">
        <v>0</v>
      </c>
      <c r="H439" s="390">
        <f>IF(COUNTIF(AR_SHEET_スキル,"ジャストディフェンス")&gt;0,IF($S439&lt;0,0,$S439),$S439)</f>
        <v>0</v>
      </c>
      <c r="I439" s="390">
        <v>2</v>
      </c>
      <c r="J439" s="390">
        <v>0</v>
      </c>
      <c r="K439" s="390">
        <v>0</v>
      </c>
      <c r="L439" s="390">
        <f>IF(COUNTIF(AR_SHEET_スキル,"イミューンウェイト")&gt;0,IF($T439&lt;0,0,$T439),$T439)</f>
        <v>0</v>
      </c>
      <c r="M439" s="486" t="s">
        <v>83</v>
      </c>
      <c r="O439" s="487">
        <v>200</v>
      </c>
      <c r="P439" s="485" t="s">
        <v>83</v>
      </c>
      <c r="S439" s="390">
        <v>0</v>
      </c>
      <c r="T439" s="390">
        <v>0</v>
      </c>
    </row>
    <row r="440" spans="1:20" ht="11.25" customHeight="1">
      <c r="A440" s="390" t="s">
        <v>2428</v>
      </c>
      <c r="B440" s="390">
        <v>2</v>
      </c>
      <c r="C440" s="390" t="s">
        <v>287</v>
      </c>
      <c r="D440" s="390" t="s">
        <v>2399</v>
      </c>
      <c r="E440" s="390">
        <v>2</v>
      </c>
      <c r="F440" s="485">
        <v>0</v>
      </c>
      <c r="G440" s="485">
        <v>0</v>
      </c>
      <c r="H440" s="390">
        <f>IF(COUNTIF(AR_SHEET_スキル,"ジャストディフェンス")&gt;0,IF($S440&lt;0,0,$S440),$S440)</f>
        <v>0</v>
      </c>
      <c r="I440" s="390">
        <v>2</v>
      </c>
      <c r="J440" s="390">
        <v>0</v>
      </c>
      <c r="K440" s="390">
        <v>0</v>
      </c>
      <c r="L440" s="390">
        <f>IF(COUNTIF(AR_SHEET_スキル,"イミューンウェイト")&gt;0,IF($T440&lt;0,0,$T440),$T440)</f>
        <v>0</v>
      </c>
      <c r="M440" s="486" t="s">
        <v>83</v>
      </c>
      <c r="O440" s="487">
        <v>200</v>
      </c>
      <c r="P440" s="485" t="s">
        <v>83</v>
      </c>
      <c r="S440" s="390">
        <v>0</v>
      </c>
      <c r="T440" s="390">
        <v>0</v>
      </c>
    </row>
    <row r="441" spans="1:20" ht="11.25" customHeight="1">
      <c r="A441" s="390" t="s">
        <v>2429</v>
      </c>
      <c r="B441" s="390">
        <v>2</v>
      </c>
      <c r="C441" s="390" t="s">
        <v>287</v>
      </c>
      <c r="D441" s="390" t="s">
        <v>2430</v>
      </c>
      <c r="E441" s="390">
        <v>2</v>
      </c>
      <c r="F441" s="485">
        <v>0</v>
      </c>
      <c r="G441" s="485">
        <v>0</v>
      </c>
      <c r="H441" s="390">
        <f>IF(COUNTIF(AR_SHEET_スキル,"ジャストディフェンス")&gt;0,IF($S441&lt;0,0,$S441),$S441)</f>
        <v>0</v>
      </c>
      <c r="I441" s="390">
        <v>2</v>
      </c>
      <c r="J441" s="390">
        <v>0</v>
      </c>
      <c r="K441" s="390">
        <v>0</v>
      </c>
      <c r="L441" s="390">
        <f>IF(COUNTIF(AR_SHEET_スキル,"イミューンウェイト")&gt;0,IF($T441&lt;0,0,$T441),$T441)</f>
        <v>0</v>
      </c>
      <c r="M441" s="486" t="s">
        <v>83</v>
      </c>
      <c r="O441" s="487">
        <v>200</v>
      </c>
      <c r="P441" s="485" t="s">
        <v>83</v>
      </c>
      <c r="S441" s="390">
        <v>0</v>
      </c>
      <c r="T441" s="390">
        <v>0</v>
      </c>
    </row>
    <row r="442" spans="1:20" ht="11.25" customHeight="1">
      <c r="A442" s="390" t="s">
        <v>2431</v>
      </c>
      <c r="B442" s="390">
        <v>3</v>
      </c>
      <c r="C442" s="390" t="s">
        <v>287</v>
      </c>
      <c r="D442" s="390" t="s">
        <v>2397</v>
      </c>
      <c r="E442" s="390">
        <v>3</v>
      </c>
      <c r="F442" s="485">
        <v>0</v>
      </c>
      <c r="G442" s="485">
        <v>0</v>
      </c>
      <c r="H442" s="390">
        <f>IF(COUNTIF(AR_SHEET_スキル,"ジャストディフェンス")&gt;0,IF($S442&lt;0,0,$S442),$S442)</f>
        <v>-1</v>
      </c>
      <c r="I442" s="390">
        <v>3</v>
      </c>
      <c r="J442" s="390">
        <v>0</v>
      </c>
      <c r="K442" s="390">
        <v>0</v>
      </c>
      <c r="L442" s="390">
        <f>IF(COUNTIF(AR_SHEET_スキル,"イミューンウェイト")&gt;0,IF($T442&lt;0,0,$T442),$T442)</f>
        <v>0</v>
      </c>
      <c r="M442" s="486" t="s">
        <v>83</v>
      </c>
      <c r="O442" s="487">
        <v>300</v>
      </c>
      <c r="P442" s="485" t="s">
        <v>83</v>
      </c>
      <c r="S442" s="390">
        <v>-1</v>
      </c>
      <c r="T442" s="390">
        <v>0</v>
      </c>
    </row>
    <row r="443" spans="1:20" ht="11.25" customHeight="1">
      <c r="A443" s="390" t="s">
        <v>286</v>
      </c>
      <c r="B443" s="390">
        <v>4</v>
      </c>
      <c r="C443" s="390" t="s">
        <v>287</v>
      </c>
      <c r="D443" s="390" t="s">
        <v>2397</v>
      </c>
      <c r="E443" s="390">
        <v>4</v>
      </c>
      <c r="F443" s="485">
        <v>0</v>
      </c>
      <c r="G443" s="485">
        <v>0</v>
      </c>
      <c r="H443" s="390">
        <f>IF(COUNTIF(AR_SHEET_スキル,"ジャストディフェンス")&gt;0,IF($S443&lt;0,0,$S443),$S443)</f>
        <v>-1</v>
      </c>
      <c r="I443" s="390">
        <v>4</v>
      </c>
      <c r="J443" s="390">
        <v>0</v>
      </c>
      <c r="K443" s="390">
        <v>0</v>
      </c>
      <c r="L443" s="390">
        <f>IF(COUNTIF(AR_SHEET_スキル,"イミューンウェイト")&gt;0,IF($T443&lt;0,0,$T443),$T443)</f>
        <v>0</v>
      </c>
      <c r="M443" s="486" t="s">
        <v>83</v>
      </c>
      <c r="O443" s="487">
        <v>500</v>
      </c>
      <c r="P443" s="485" t="s">
        <v>83</v>
      </c>
      <c r="S443" s="390">
        <v>-1</v>
      </c>
      <c r="T443" s="390">
        <v>0</v>
      </c>
    </row>
    <row r="444" spans="1:20" s="451" customFormat="1" ht="11.25" customHeight="1">
      <c r="A444" s="390" t="s">
        <v>2432</v>
      </c>
      <c r="B444" s="390">
        <v>5</v>
      </c>
      <c r="C444" s="390" t="s">
        <v>287</v>
      </c>
      <c r="D444" s="390" t="s">
        <v>2433</v>
      </c>
      <c r="E444" s="390">
        <v>2</v>
      </c>
      <c r="F444" s="485">
        <v>0</v>
      </c>
      <c r="G444" s="485">
        <v>0</v>
      </c>
      <c r="H444" s="390">
        <f>IF(COUNTIF(AR_SHEET_スキル,"ジャストディフェンス")&gt;0,IF($S444&lt;0,0,$S444),$S444)</f>
        <v>0</v>
      </c>
      <c r="I444" s="390">
        <v>0</v>
      </c>
      <c r="J444" s="390">
        <v>1</v>
      </c>
      <c r="K444" s="390">
        <v>0</v>
      </c>
      <c r="L444" s="390">
        <f>IF(COUNTIF(AR_SHEET_スキル,"イミューンウェイト")&gt;0,IF($T444&lt;0,0,$T444),$T444)</f>
        <v>0</v>
      </c>
      <c r="M444" s="486" t="s">
        <v>83</v>
      </c>
      <c r="N444" s="461"/>
      <c r="O444" s="487">
        <v>2300</v>
      </c>
      <c r="P444" s="485" t="s">
        <v>83</v>
      </c>
      <c r="Q444" s="390"/>
      <c r="R444" s="450"/>
      <c r="S444" s="390">
        <v>0</v>
      </c>
      <c r="T444" s="390">
        <v>0</v>
      </c>
    </row>
    <row r="445" spans="1:20" ht="11.25" customHeight="1">
      <c r="A445" s="390" t="s">
        <v>2434</v>
      </c>
      <c r="B445" s="390">
        <v>5</v>
      </c>
      <c r="C445" s="390" t="s">
        <v>287</v>
      </c>
      <c r="D445" s="390" t="s">
        <v>2427</v>
      </c>
      <c r="E445" s="390">
        <v>3</v>
      </c>
      <c r="F445" s="485">
        <v>1</v>
      </c>
      <c r="G445" s="485">
        <v>0</v>
      </c>
      <c r="H445" s="390">
        <f>IF(COUNTIF(AR_SHEET_スキル,"ジャストディフェンス")&gt;0,IF($S445&lt;0,0,$S445),$S445)</f>
        <v>0</v>
      </c>
      <c r="I445" s="390">
        <v>1</v>
      </c>
      <c r="J445" s="390">
        <v>0</v>
      </c>
      <c r="K445" s="390">
        <v>0</v>
      </c>
      <c r="L445" s="390">
        <f>IF(COUNTIF(AR_SHEET_スキル,"イミューンウェイト")&gt;0,IF($T445&lt;0,0,$T445),$T445)</f>
        <v>0</v>
      </c>
      <c r="M445" s="486" t="s">
        <v>83</v>
      </c>
      <c r="N445" s="461" t="s">
        <v>2435</v>
      </c>
      <c r="O445" s="487">
        <v>500</v>
      </c>
      <c r="P445" s="485" t="s">
        <v>83</v>
      </c>
      <c r="S445" s="390">
        <v>0</v>
      </c>
      <c r="T445" s="390">
        <v>0</v>
      </c>
    </row>
    <row r="446" spans="1:20" ht="11.25" customHeight="1">
      <c r="A446" s="390" t="s">
        <v>2436</v>
      </c>
      <c r="B446" s="390">
        <v>6</v>
      </c>
      <c r="C446" s="390" t="s">
        <v>287</v>
      </c>
      <c r="D446" s="390" t="s">
        <v>2433</v>
      </c>
      <c r="E446" s="390">
        <v>2</v>
      </c>
      <c r="F446" s="485">
        <v>0</v>
      </c>
      <c r="G446" s="485">
        <v>0</v>
      </c>
      <c r="H446" s="390">
        <f>IF(COUNTIF(AR_SHEET_スキル,"ジャストディフェンス")&gt;0,IF($S446&lt;0,0,$S446),$S446)</f>
        <v>0</v>
      </c>
      <c r="I446" s="390">
        <v>3</v>
      </c>
      <c r="J446" s="390">
        <v>0</v>
      </c>
      <c r="K446" s="390">
        <v>0</v>
      </c>
      <c r="L446" s="390">
        <f>IF(COUNTIF(AR_SHEET_スキル,"イミューンウェイト")&gt;0,IF($T446&lt;0,0,$T446),$T446)</f>
        <v>0</v>
      </c>
      <c r="M446" s="486" t="s">
        <v>83</v>
      </c>
      <c r="O446" s="487">
        <v>1200</v>
      </c>
      <c r="P446" s="485" t="s">
        <v>83</v>
      </c>
      <c r="S446" s="390">
        <v>0</v>
      </c>
      <c r="T446" s="390">
        <v>0</v>
      </c>
    </row>
    <row r="447" spans="1:20" ht="11.25" customHeight="1">
      <c r="A447" s="390" t="s">
        <v>2437</v>
      </c>
      <c r="B447" s="390">
        <v>6</v>
      </c>
      <c r="C447" s="390" t="s">
        <v>287</v>
      </c>
      <c r="D447" s="390" t="s">
        <v>2397</v>
      </c>
      <c r="E447" s="390">
        <v>5</v>
      </c>
      <c r="F447" s="485">
        <v>0</v>
      </c>
      <c r="G447" s="485">
        <v>0</v>
      </c>
      <c r="H447" s="390">
        <f>IF(COUNTIF(AR_SHEET_スキル,"ジャストディフェンス")&gt;0,IF($S447&lt;0,0,$S447),$S447)</f>
        <v>-1</v>
      </c>
      <c r="I447" s="390">
        <v>6</v>
      </c>
      <c r="J447" s="390">
        <v>0</v>
      </c>
      <c r="K447" s="390">
        <v>0</v>
      </c>
      <c r="L447" s="390">
        <f>IF(COUNTIF(AR_SHEET_スキル,"イミューンウェイト")&gt;0,IF($T447&lt;0,0,$T447),$T447)</f>
        <v>0</v>
      </c>
      <c r="M447" s="486" t="s">
        <v>83</v>
      </c>
      <c r="O447" s="487">
        <v>1200</v>
      </c>
      <c r="P447" s="485" t="s">
        <v>83</v>
      </c>
      <c r="S447" s="390">
        <v>-1</v>
      </c>
      <c r="T447" s="390">
        <v>0</v>
      </c>
    </row>
    <row r="448" spans="1:20" s="451" customFormat="1" ht="11.25" customHeight="1">
      <c r="A448" s="390" t="s">
        <v>2438</v>
      </c>
      <c r="B448" s="390">
        <v>7</v>
      </c>
      <c r="C448" s="390" t="s">
        <v>287</v>
      </c>
      <c r="D448" s="390" t="s">
        <v>2391</v>
      </c>
      <c r="E448" s="390">
        <v>3</v>
      </c>
      <c r="F448" s="485">
        <v>0</v>
      </c>
      <c r="G448" s="485">
        <v>0</v>
      </c>
      <c r="H448" s="390">
        <f>IF(COUNTIF(AR_SHEET_スキル,"ジャストディフェンス")&gt;0,IF($S448&lt;0,0,$S448),$S448)</f>
        <v>0</v>
      </c>
      <c r="I448" s="390">
        <v>4</v>
      </c>
      <c r="J448" s="390">
        <v>0</v>
      </c>
      <c r="K448" s="390">
        <v>0</v>
      </c>
      <c r="L448" s="390">
        <f>IF(COUNTIF(AR_SHEET_スキル,"イミューンウェイト")&gt;0,IF($T448&lt;0,0,$T448),$T448)</f>
        <v>0</v>
      </c>
      <c r="M448" s="486" t="s">
        <v>83</v>
      </c>
      <c r="N448" s="461"/>
      <c r="O448" s="487">
        <v>1900</v>
      </c>
      <c r="P448" s="485" t="s">
        <v>83</v>
      </c>
      <c r="Q448" s="390"/>
      <c r="R448" s="461"/>
      <c r="S448" s="390">
        <v>0</v>
      </c>
      <c r="T448" s="390">
        <v>0</v>
      </c>
    </row>
    <row r="449" spans="1:20" s="451" customFormat="1" ht="11.25" customHeight="1">
      <c r="A449" s="390" t="s">
        <v>2439</v>
      </c>
      <c r="B449" s="390">
        <v>7</v>
      </c>
      <c r="C449" s="390" t="s">
        <v>287</v>
      </c>
      <c r="D449" s="390" t="s">
        <v>2433</v>
      </c>
      <c r="E449" s="390">
        <v>3</v>
      </c>
      <c r="F449" s="485">
        <v>0</v>
      </c>
      <c r="G449" s="485">
        <v>0</v>
      </c>
      <c r="H449" s="390">
        <f>IF(COUNTIF(AR_SHEET_スキル,"ジャストディフェンス")&gt;0,IF($S449&lt;0,0,$S449),$S449)</f>
        <v>0</v>
      </c>
      <c r="I449" s="390">
        <v>1</v>
      </c>
      <c r="J449" s="390">
        <v>1</v>
      </c>
      <c r="K449" s="390">
        <v>0</v>
      </c>
      <c r="L449" s="390">
        <f>IF(COUNTIF(AR_SHEET_スキル,"イミューンウェイト")&gt;0,IF($T449&lt;0,0,$T449),$T449)</f>
        <v>0</v>
      </c>
      <c r="M449" s="390" t="s">
        <v>83</v>
      </c>
      <c r="N449" s="461"/>
      <c r="O449" s="487">
        <v>2900</v>
      </c>
      <c r="P449" s="485" t="s">
        <v>83</v>
      </c>
      <c r="Q449" s="390"/>
      <c r="R449" s="450"/>
      <c r="S449" s="390">
        <v>0</v>
      </c>
      <c r="T449" s="390">
        <v>0</v>
      </c>
    </row>
    <row r="450" spans="1:20" ht="11.25" customHeight="1">
      <c r="A450" s="390" t="s">
        <v>2440</v>
      </c>
      <c r="B450" s="390">
        <v>8</v>
      </c>
      <c r="C450" s="390" t="s">
        <v>287</v>
      </c>
      <c r="D450" s="390" t="s">
        <v>2411</v>
      </c>
      <c r="E450" s="390">
        <v>3</v>
      </c>
      <c r="F450" s="485">
        <v>0</v>
      </c>
      <c r="G450" s="485">
        <v>0</v>
      </c>
      <c r="H450" s="390">
        <f>IF(COUNTIF(AR_SHEET_スキル,"ジャストディフェンス")&gt;0,IF($S450&lt;0,0,$S450),$S450)</f>
        <v>0</v>
      </c>
      <c r="I450" s="390">
        <v>4</v>
      </c>
      <c r="J450" s="390">
        <v>0</v>
      </c>
      <c r="K450" s="390">
        <v>0</v>
      </c>
      <c r="L450" s="390">
        <f>IF(COUNTIF(AR_SHEET_スキル,"イミューンウェイト")&gt;0,IF($T450&lt;0,0,$T450),$T450)</f>
        <v>0</v>
      </c>
      <c r="M450" s="486" t="s">
        <v>83</v>
      </c>
      <c r="O450" s="487">
        <v>3000</v>
      </c>
      <c r="P450" s="485" t="s">
        <v>83</v>
      </c>
      <c r="R450" s="450"/>
      <c r="S450" s="390">
        <v>0</v>
      </c>
      <c r="T450" s="390">
        <v>0</v>
      </c>
    </row>
    <row r="451" spans="1:20" ht="11.25" customHeight="1">
      <c r="A451" s="390" t="s">
        <v>2441</v>
      </c>
      <c r="B451" s="390">
        <v>8</v>
      </c>
      <c r="C451" s="390" t="s">
        <v>287</v>
      </c>
      <c r="D451" s="390" t="s">
        <v>2397</v>
      </c>
      <c r="E451" s="390">
        <v>6</v>
      </c>
      <c r="F451" s="485">
        <v>0</v>
      </c>
      <c r="G451" s="485">
        <v>0</v>
      </c>
      <c r="H451" s="390">
        <f>IF(COUNTIF(AR_SHEET_スキル,"ジャストディフェンス")&gt;0,IF($S451&lt;0,0,$S451),$S451)</f>
        <v>-1</v>
      </c>
      <c r="I451" s="390">
        <v>7</v>
      </c>
      <c r="J451" s="390">
        <v>0</v>
      </c>
      <c r="K451" s="390">
        <v>0</v>
      </c>
      <c r="L451" s="390">
        <f>IF(COUNTIF(AR_SHEET_スキル,"イミューンウェイト")&gt;0,IF($T451&lt;0,0,$T451),$T451)</f>
        <v>0</v>
      </c>
      <c r="M451" s="486" t="s">
        <v>83</v>
      </c>
      <c r="O451" s="487">
        <v>3200</v>
      </c>
      <c r="P451" s="485" t="s">
        <v>83</v>
      </c>
      <c r="S451" s="390">
        <v>-1</v>
      </c>
      <c r="T451" s="390">
        <v>0</v>
      </c>
    </row>
    <row r="452" spans="1:20" ht="11.25" customHeight="1">
      <c r="A452" s="390" t="s">
        <v>2442</v>
      </c>
      <c r="B452" s="390">
        <v>9</v>
      </c>
      <c r="C452" s="390" t="s">
        <v>287</v>
      </c>
      <c r="D452" s="390" t="s">
        <v>2433</v>
      </c>
      <c r="E452" s="390">
        <v>4</v>
      </c>
      <c r="F452" s="485">
        <v>0</v>
      </c>
      <c r="G452" s="485">
        <v>0</v>
      </c>
      <c r="H452" s="390">
        <f>IF(COUNTIF(AR_SHEET_スキル,"ジャストディフェンス")&gt;0,IF($S452&lt;0,0,$S452),$S452)</f>
        <v>0</v>
      </c>
      <c r="I452" s="390">
        <v>2</v>
      </c>
      <c r="J452" s="390">
        <v>1</v>
      </c>
      <c r="K452" s="390">
        <v>0</v>
      </c>
      <c r="L452" s="390">
        <f>IF(COUNTIF(AR_SHEET_スキル,"イミューンウェイト")&gt;0,IF($T452&lt;0,0,$T452),$T452)</f>
        <v>0</v>
      </c>
      <c r="M452" s="486" t="s">
        <v>83</v>
      </c>
      <c r="O452" s="487">
        <v>4700</v>
      </c>
      <c r="P452" s="485" t="s">
        <v>83</v>
      </c>
      <c r="S452" s="390">
        <v>0</v>
      </c>
      <c r="T452" s="390">
        <v>0</v>
      </c>
    </row>
    <row r="453" spans="1:20" ht="11.25" customHeight="1">
      <c r="A453" s="390" t="s">
        <v>2443</v>
      </c>
      <c r="B453" s="390">
        <v>10</v>
      </c>
      <c r="C453" s="390" t="s">
        <v>287</v>
      </c>
      <c r="D453" s="390" t="s">
        <v>2391</v>
      </c>
      <c r="E453" s="390">
        <v>5</v>
      </c>
      <c r="F453" s="485">
        <v>0</v>
      </c>
      <c r="G453" s="485">
        <v>0</v>
      </c>
      <c r="H453" s="390">
        <f>IF(COUNTIF(AR_SHEET_スキル,"ジャストディフェンス")&gt;0,IF($S453&lt;0,0,$S453),$S453)</f>
        <v>0</v>
      </c>
      <c r="I453" s="390">
        <v>3</v>
      </c>
      <c r="J453" s="390">
        <v>1</v>
      </c>
      <c r="K453" s="390">
        <v>0</v>
      </c>
      <c r="L453" s="390">
        <f>IF(COUNTIF(AR_SHEET_スキル,"イミューンウェイト")&gt;0,IF($T453&lt;0,0,$T453),$T453)</f>
        <v>0</v>
      </c>
      <c r="M453" s="486" t="s">
        <v>83</v>
      </c>
      <c r="O453" s="487">
        <v>3800</v>
      </c>
      <c r="P453" s="485" t="s">
        <v>83</v>
      </c>
      <c r="S453" s="390">
        <v>0</v>
      </c>
      <c r="T453" s="390">
        <v>0</v>
      </c>
    </row>
    <row r="454" spans="1:20" ht="11.25" customHeight="1">
      <c r="A454" s="390" t="s">
        <v>2444</v>
      </c>
      <c r="B454" s="390">
        <v>10</v>
      </c>
      <c r="C454" s="390" t="s">
        <v>287</v>
      </c>
      <c r="D454" s="390" t="s">
        <v>2397</v>
      </c>
      <c r="E454" s="390">
        <v>7</v>
      </c>
      <c r="F454" s="485">
        <v>0</v>
      </c>
      <c r="G454" s="485">
        <v>0</v>
      </c>
      <c r="H454" s="390">
        <f>IF(COUNTIF(AR_SHEET_スキル,"ジャストディフェンス")&gt;0,IF($S454&lt;0,0,$S454),$S454)</f>
        <v>-1</v>
      </c>
      <c r="I454" s="390">
        <v>8</v>
      </c>
      <c r="J454" s="390">
        <v>0</v>
      </c>
      <c r="K454" s="498">
        <v>0</v>
      </c>
      <c r="L454" s="390">
        <f>IF(COUNTIF(AR_SHEET_スキル,"イミューンウェイト")&gt;0,IF($T454&lt;0,0,$T454),$T454)</f>
        <v>0</v>
      </c>
      <c r="M454" s="486" t="s">
        <v>83</v>
      </c>
      <c r="O454" s="487">
        <v>5800</v>
      </c>
      <c r="P454" s="485" t="s">
        <v>83</v>
      </c>
      <c r="S454" s="390">
        <v>-1</v>
      </c>
      <c r="T454" s="390">
        <v>0</v>
      </c>
    </row>
    <row r="455" spans="1:20" ht="11.25" customHeight="1">
      <c r="A455" s="451" t="s">
        <v>2445</v>
      </c>
      <c r="B455" s="451">
        <v>3</v>
      </c>
      <c r="C455" s="451" t="s">
        <v>287</v>
      </c>
      <c r="D455" s="451" t="s">
        <v>2411</v>
      </c>
      <c r="E455" s="451">
        <v>1</v>
      </c>
      <c r="F455" s="498">
        <v>0</v>
      </c>
      <c r="G455" s="498">
        <v>2</v>
      </c>
      <c r="H455" s="451">
        <f>IF(COUNTIF(AR_SHEET_スキル,"ジャストディフェンス")&gt;0,IF($S455&lt;0,0,$S455),$S455)</f>
        <v>0</v>
      </c>
      <c r="I455" s="451">
        <v>2</v>
      </c>
      <c r="J455" s="451">
        <v>0</v>
      </c>
      <c r="K455" s="498">
        <v>0</v>
      </c>
      <c r="L455" s="451">
        <f>IF(COUNTIF(AR_SHEET_スキル,"イミューンウェイト")&gt;0,IF($T455&lt;0,0,$T455),$T455)</f>
        <v>0</v>
      </c>
      <c r="M455" s="499" t="s">
        <v>83</v>
      </c>
      <c r="N455" s="450" t="s">
        <v>2446</v>
      </c>
      <c r="O455" s="500">
        <v>1500</v>
      </c>
      <c r="P455" s="498">
        <v>12</v>
      </c>
      <c r="Q455" s="451"/>
      <c r="R455" s="450"/>
      <c r="S455" s="451">
        <v>0</v>
      </c>
      <c r="T455" s="451">
        <v>0</v>
      </c>
    </row>
    <row r="456" spans="1:20" ht="11.25" customHeight="1">
      <c r="A456" s="451" t="s">
        <v>2447</v>
      </c>
      <c r="B456" s="451">
        <v>4</v>
      </c>
      <c r="C456" s="451" t="s">
        <v>287</v>
      </c>
      <c r="D456" s="451" t="s">
        <v>2411</v>
      </c>
      <c r="E456" s="451">
        <v>2</v>
      </c>
      <c r="F456" s="498">
        <v>0</v>
      </c>
      <c r="G456" s="498">
        <v>0</v>
      </c>
      <c r="H456" s="451">
        <f>IF(COUNTIF(AR_SHEET_スキル,"ジャストディフェンス")&gt;0,IF($S456&lt;0,0,$S456),$S456)</f>
        <v>0</v>
      </c>
      <c r="I456" s="451">
        <v>2</v>
      </c>
      <c r="J456" s="451">
        <v>0</v>
      </c>
      <c r="K456" s="498">
        <v>0</v>
      </c>
      <c r="L456" s="451">
        <f>IF(COUNTIF(AR_SHEET_スキル,"イミューンウェイト")&gt;0,IF($T456&lt;0,0,$T456),$T456)</f>
        <v>0</v>
      </c>
      <c r="M456" s="499" t="s">
        <v>83</v>
      </c>
      <c r="N456" s="450" t="s">
        <v>2448</v>
      </c>
      <c r="O456" s="500">
        <v>2800</v>
      </c>
      <c r="P456" s="498">
        <v>12</v>
      </c>
      <c r="Q456" s="451"/>
      <c r="S456" s="451">
        <v>0</v>
      </c>
      <c r="T456" s="451">
        <v>0</v>
      </c>
    </row>
    <row r="457" spans="1:20" ht="11.25" customHeight="1">
      <c r="A457" s="451" t="s">
        <v>2449</v>
      </c>
      <c r="B457" s="451">
        <v>4</v>
      </c>
      <c r="C457" s="451" t="s">
        <v>287</v>
      </c>
      <c r="D457" s="451" t="s">
        <v>2433</v>
      </c>
      <c r="E457" s="451">
        <v>3</v>
      </c>
      <c r="F457" s="498">
        <v>0</v>
      </c>
      <c r="G457" s="498">
        <v>0</v>
      </c>
      <c r="H457" s="451">
        <f>IF(COUNTIF(AR_SHEET_スキル,"ジャストディフェンス")&gt;0,IF($S457&lt;0,0,$S457),$S457)</f>
        <v>0</v>
      </c>
      <c r="I457" s="451">
        <v>0</v>
      </c>
      <c r="J457" s="451">
        <v>3</v>
      </c>
      <c r="K457" s="498">
        <v>0</v>
      </c>
      <c r="L457" s="451">
        <f>IF(COUNTIF(AR_SHEET_スキル,"イミューンウェイト")&gt;0,IF($T457&lt;0,0,$T457),$T457)</f>
        <v>0</v>
      </c>
      <c r="M457" s="499" t="s">
        <v>83</v>
      </c>
      <c r="N457" s="450" t="s">
        <v>2450</v>
      </c>
      <c r="O457" s="500">
        <v>4300</v>
      </c>
      <c r="P457" s="498">
        <v>13</v>
      </c>
      <c r="Q457" s="451"/>
      <c r="S457" s="451">
        <v>0</v>
      </c>
      <c r="T457" s="451">
        <v>0</v>
      </c>
    </row>
    <row r="458" spans="1:20" ht="11.25" customHeight="1">
      <c r="A458" s="451" t="s">
        <v>2451</v>
      </c>
      <c r="B458" s="451">
        <v>5</v>
      </c>
      <c r="C458" s="451" t="s">
        <v>287</v>
      </c>
      <c r="D458" s="451" t="s">
        <v>2411</v>
      </c>
      <c r="E458" s="451">
        <v>2</v>
      </c>
      <c r="F458" s="498">
        <v>1</v>
      </c>
      <c r="G458" s="498">
        <v>0</v>
      </c>
      <c r="H458" s="451">
        <f>IF(COUNTIF(AR_SHEET_スキル,"ジャストディフェンス")&gt;0,IF($S458&lt;0,0,$S458),$S458)</f>
        <v>0</v>
      </c>
      <c r="I458" s="451">
        <v>3</v>
      </c>
      <c r="J458" s="451">
        <v>0</v>
      </c>
      <c r="K458" s="498">
        <v>0</v>
      </c>
      <c r="L458" s="451">
        <f>IF(COUNTIF(AR_SHEET_スキル,"イミューンウェイト")&gt;0,IF($T458&lt;0,0,$T458),$T458)</f>
        <v>-1</v>
      </c>
      <c r="M458" s="499" t="s">
        <v>83</v>
      </c>
      <c r="N458" s="450" t="s">
        <v>2435</v>
      </c>
      <c r="O458" s="500">
        <v>4600</v>
      </c>
      <c r="P458" s="498">
        <v>14</v>
      </c>
      <c r="Q458" s="451"/>
      <c r="S458" s="451">
        <v>0</v>
      </c>
      <c r="T458" s="451">
        <v>-1</v>
      </c>
    </row>
    <row r="459" spans="1:20" ht="11.25" customHeight="1">
      <c r="A459" s="451" t="s">
        <v>2452</v>
      </c>
      <c r="B459" s="451">
        <v>5</v>
      </c>
      <c r="C459" s="451" t="s">
        <v>287</v>
      </c>
      <c r="D459" s="451" t="s">
        <v>2397</v>
      </c>
      <c r="E459" s="451">
        <v>4</v>
      </c>
      <c r="F459" s="498">
        <v>0</v>
      </c>
      <c r="G459" s="498">
        <v>0</v>
      </c>
      <c r="H459" s="451">
        <f>IF(COUNTIF(AR_SHEET_スキル,"ジャストディフェンス")&gt;0,IF($S459&lt;0,0,$S459),$S459)</f>
        <v>-1</v>
      </c>
      <c r="I459" s="451">
        <v>6</v>
      </c>
      <c r="J459" s="451">
        <v>0</v>
      </c>
      <c r="K459" s="498">
        <v>0</v>
      </c>
      <c r="L459" s="451">
        <f>IF(COUNTIF(AR_SHEET_スキル,"イミューンウェイト")&gt;0,IF($T459&lt;0,0,$T459),$T459)</f>
        <v>-1</v>
      </c>
      <c r="M459" s="499" t="s">
        <v>83</v>
      </c>
      <c r="N459" s="450" t="s">
        <v>2453</v>
      </c>
      <c r="O459" s="500">
        <v>5000</v>
      </c>
      <c r="P459" s="498">
        <v>13</v>
      </c>
      <c r="Q459" s="451"/>
      <c r="S459" s="451">
        <v>-1</v>
      </c>
      <c r="T459" s="451">
        <v>-1</v>
      </c>
    </row>
    <row r="460" spans="1:20" ht="11.25" customHeight="1">
      <c r="A460" s="451" t="s">
        <v>2454</v>
      </c>
      <c r="B460" s="451">
        <v>7</v>
      </c>
      <c r="C460" s="451" t="s">
        <v>287</v>
      </c>
      <c r="D460" s="451" t="s">
        <v>2455</v>
      </c>
      <c r="E460" s="451">
        <v>3</v>
      </c>
      <c r="F460" s="498">
        <v>0</v>
      </c>
      <c r="G460" s="498">
        <v>0</v>
      </c>
      <c r="H460" s="451">
        <f>IF(COUNTIF(AR_SHEET_スキル,"ジャストディフェンス")&gt;0,IF($S460&lt;0,0,$S460),$S460)</f>
        <v>0</v>
      </c>
      <c r="I460" s="451">
        <v>3</v>
      </c>
      <c r="J460" s="451">
        <v>0</v>
      </c>
      <c r="K460" s="498">
        <v>0</v>
      </c>
      <c r="L460" s="451">
        <f>IF(COUNTIF(AR_SHEET_スキル,"イミューンウェイト")&gt;0,IF($T460&lt;0,0,$T460),$T460)</f>
        <v>0</v>
      </c>
      <c r="M460" s="451" t="s">
        <v>83</v>
      </c>
      <c r="N460" s="450" t="s">
        <v>2456</v>
      </c>
      <c r="O460" s="500">
        <v>6900</v>
      </c>
      <c r="P460" s="498">
        <v>14</v>
      </c>
      <c r="Q460" s="451"/>
      <c r="R460" s="450"/>
      <c r="S460" s="451">
        <v>0</v>
      </c>
      <c r="T460" s="451">
        <v>0</v>
      </c>
    </row>
    <row r="461" spans="1:20" ht="11.25" customHeight="1">
      <c r="A461" s="451" t="s">
        <v>2457</v>
      </c>
      <c r="B461" s="451">
        <v>7</v>
      </c>
      <c r="C461" s="451" t="s">
        <v>287</v>
      </c>
      <c r="D461" s="451" t="s">
        <v>2391</v>
      </c>
      <c r="E461" s="451">
        <v>6</v>
      </c>
      <c r="F461" s="498">
        <v>0</v>
      </c>
      <c r="G461" s="498">
        <v>0</v>
      </c>
      <c r="H461" s="451">
        <f>IF(COUNTIF(AR_SHEET_スキル,"ジャストディフェンス")&gt;0,IF($S461&lt;0,0,$S461),$S461)</f>
        <v>-1</v>
      </c>
      <c r="I461" s="451">
        <v>7</v>
      </c>
      <c r="J461" s="451">
        <v>0</v>
      </c>
      <c r="K461" s="498">
        <v>0</v>
      </c>
      <c r="L461" s="451">
        <f>IF(COUNTIF(AR_SHEET_スキル,"イミューンウェイト")&gt;0,IF($T461&lt;0,0,$T461),$T461)</f>
        <v>0</v>
      </c>
      <c r="M461" s="499" t="s">
        <v>83</v>
      </c>
      <c r="N461" s="450" t="s">
        <v>2458</v>
      </c>
      <c r="O461" s="500">
        <v>4800</v>
      </c>
      <c r="P461" s="498">
        <v>14</v>
      </c>
      <c r="Q461" s="451"/>
      <c r="S461" s="451">
        <v>-1</v>
      </c>
      <c r="T461" s="451">
        <v>0</v>
      </c>
    </row>
    <row r="462" spans="1:20" ht="11.25" customHeight="1">
      <c r="A462" s="451" t="s">
        <v>2459</v>
      </c>
      <c r="B462" s="451">
        <v>8</v>
      </c>
      <c r="C462" s="451" t="s">
        <v>287</v>
      </c>
      <c r="D462" s="451" t="s">
        <v>2401</v>
      </c>
      <c r="E462" s="451">
        <v>3</v>
      </c>
      <c r="F462" s="498">
        <v>0</v>
      </c>
      <c r="G462" s="498">
        <v>0</v>
      </c>
      <c r="H462" s="451">
        <f>IF(COUNTIF(AR_SHEET_スキル,"ジャストディフェンス")&gt;0,IF($S462&lt;0,0,$S462),$S462)</f>
        <v>1</v>
      </c>
      <c r="I462" s="451">
        <v>1</v>
      </c>
      <c r="J462" s="451">
        <v>0</v>
      </c>
      <c r="K462" s="498">
        <v>0</v>
      </c>
      <c r="L462" s="451">
        <f>IF(COUNTIF(AR_SHEET_スキル,"イミューンウェイト")&gt;0,IF($T462&lt;0,0,$T462),$T462)</f>
        <v>0</v>
      </c>
      <c r="M462" s="499" t="s">
        <v>83</v>
      </c>
      <c r="N462" s="450" t="s">
        <v>2460</v>
      </c>
      <c r="O462" s="500">
        <v>6100</v>
      </c>
      <c r="P462" s="498">
        <v>15</v>
      </c>
      <c r="Q462" s="451"/>
      <c r="R462"/>
      <c r="S462" s="451">
        <v>1</v>
      </c>
      <c r="T462" s="451">
        <v>0</v>
      </c>
    </row>
    <row r="463" spans="1:20" ht="11.25" customHeight="1">
      <c r="A463" s="451" t="s">
        <v>2461</v>
      </c>
      <c r="B463" s="451">
        <v>9</v>
      </c>
      <c r="C463" s="451" t="s">
        <v>287</v>
      </c>
      <c r="D463" s="451" t="s">
        <v>2430</v>
      </c>
      <c r="E463" s="451">
        <v>6</v>
      </c>
      <c r="F463" s="498">
        <v>0</v>
      </c>
      <c r="G463" s="498">
        <v>0</v>
      </c>
      <c r="H463" s="451">
        <f>IF(COUNTIF(AR_SHEET_スキル,"ジャストディフェンス")&gt;0,IF($S463&lt;0,0,$S463),$S463)</f>
        <v>-1</v>
      </c>
      <c r="I463" s="451">
        <v>4</v>
      </c>
      <c r="J463" s="451">
        <v>0</v>
      </c>
      <c r="K463" s="498">
        <v>0</v>
      </c>
      <c r="L463" s="451">
        <f>IF(COUNTIF(AR_SHEET_スキル,"イミューンウェイト")&gt;0,IF($T463&lt;0,0,$T463),$T463)</f>
        <v>-3</v>
      </c>
      <c r="M463" s="499" t="s">
        <v>83</v>
      </c>
      <c r="N463" s="450" t="s">
        <v>2462</v>
      </c>
      <c r="O463" s="500">
        <v>5000</v>
      </c>
      <c r="P463" s="498">
        <v>15</v>
      </c>
      <c r="Q463" s="451"/>
      <c r="R463"/>
      <c r="S463" s="451">
        <v>-1</v>
      </c>
      <c r="T463" s="451">
        <v>-3</v>
      </c>
    </row>
    <row r="464" spans="1:20" s="470" customFormat="1" ht="11.25" customHeight="1">
      <c r="A464" s="451" t="s">
        <v>2463</v>
      </c>
      <c r="B464" s="451">
        <v>10</v>
      </c>
      <c r="C464" s="451" t="s">
        <v>287</v>
      </c>
      <c r="D464" s="451" t="s">
        <v>2397</v>
      </c>
      <c r="E464" s="451">
        <v>7</v>
      </c>
      <c r="F464" s="498">
        <v>0</v>
      </c>
      <c r="G464" s="498">
        <v>0</v>
      </c>
      <c r="H464" s="451">
        <f>IF(COUNTIF(AR_SHEET_スキル,"ジャストディフェンス")&gt;0,IF($S464&lt;0,0,$S464),$S464)</f>
        <v>-1</v>
      </c>
      <c r="I464" s="451">
        <v>9</v>
      </c>
      <c r="J464" s="451">
        <v>0</v>
      </c>
      <c r="K464" s="498">
        <v>0</v>
      </c>
      <c r="L464" s="451">
        <f>IF(COUNTIF(AR_SHEET_スキル,"イミューンウェイト")&gt;0,IF($T464&lt;0,0,$T464),$T464)</f>
        <v>-2</v>
      </c>
      <c r="M464" s="451" t="s">
        <v>83</v>
      </c>
      <c r="N464" s="450" t="s">
        <v>2464</v>
      </c>
      <c r="O464" s="500">
        <v>25900</v>
      </c>
      <c r="P464" s="498">
        <v>16</v>
      </c>
      <c r="Q464" s="451"/>
      <c r="R464" s="450"/>
      <c r="S464" s="451">
        <v>-1</v>
      </c>
      <c r="T464" s="451">
        <v>-2</v>
      </c>
    </row>
    <row r="465" spans="1:20" s="451" customFormat="1" ht="11.25">
      <c r="A465" s="451" t="s">
        <v>2465</v>
      </c>
      <c r="B465" s="451">
        <v>1</v>
      </c>
      <c r="C465" s="451" t="s">
        <v>287</v>
      </c>
      <c r="D465" s="451" t="s">
        <v>2411</v>
      </c>
      <c r="E465" s="451">
        <v>1</v>
      </c>
      <c r="F465" s="498">
        <v>0</v>
      </c>
      <c r="G465" s="498">
        <v>0</v>
      </c>
      <c r="H465" s="451">
        <f>IF(COUNTIF(AR_SHEET_スキル,"ジャストディフェンス")&gt;0,IF($S465&lt;0,0,$S465),$S465)</f>
        <v>0</v>
      </c>
      <c r="I465" s="451">
        <v>2</v>
      </c>
      <c r="J465" s="498">
        <v>0</v>
      </c>
      <c r="K465" s="498">
        <v>0</v>
      </c>
      <c r="L465" s="451">
        <f>IF(COUNTIF(AR_SHEET_スキル,"イミューンウェイト")&gt;0,IF($T465&lt;0,0,$T465),$T465)</f>
        <v>0</v>
      </c>
      <c r="M465" s="499" t="s">
        <v>83</v>
      </c>
      <c r="N465" s="450"/>
      <c r="O465" s="500">
        <v>1400</v>
      </c>
      <c r="P465" s="498">
        <v>9</v>
      </c>
      <c r="R465" s="450"/>
      <c r="S465" s="451">
        <v>0</v>
      </c>
      <c r="T465" s="451">
        <v>0</v>
      </c>
    </row>
    <row r="466" spans="1:256" ht="13.5">
      <c r="A466" s="451"/>
      <c r="B466" s="451"/>
      <c r="C466" s="451"/>
      <c r="D466" s="451"/>
      <c r="E466" s="451"/>
      <c r="F466" s="498"/>
      <c r="G466" s="498"/>
      <c r="H466" s="451"/>
      <c r="I466" s="451"/>
      <c r="J466" s="451"/>
      <c r="K466" s="451"/>
      <c r="M466" s="499"/>
      <c r="N466" s="450"/>
      <c r="O466" s="500"/>
      <c r="P466" s="498"/>
      <c r="Q466" s="451"/>
      <c r="R466"/>
      <c r="S466" s="451"/>
      <c r="T466" s="451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0" ht="13.5">
      <c r="A467" s="451"/>
      <c r="B467" s="451"/>
      <c r="C467" s="451"/>
      <c r="D467" s="451"/>
      <c r="E467" s="451"/>
      <c r="F467" s="498"/>
      <c r="G467" s="498"/>
      <c r="H467" s="451"/>
      <c r="I467" s="451"/>
      <c r="J467" s="451"/>
      <c r="K467" s="451"/>
      <c r="M467" s="451"/>
      <c r="N467" s="450"/>
      <c r="O467" s="500"/>
      <c r="P467" s="498"/>
      <c r="Q467" s="451"/>
      <c r="S467" s="451"/>
      <c r="T467" s="451"/>
    </row>
    <row r="468" spans="6:18" s="451" customFormat="1" ht="11.25">
      <c r="F468" s="498"/>
      <c r="G468" s="498"/>
      <c r="L468" s="390"/>
      <c r="N468" s="450"/>
      <c r="O468" s="500"/>
      <c r="P468" s="498"/>
      <c r="R468" s="450"/>
    </row>
    <row r="469" spans="1:256" ht="13.5">
      <c r="A469" s="451"/>
      <c r="B469" s="451"/>
      <c r="C469" s="451"/>
      <c r="D469" s="451"/>
      <c r="E469" s="451"/>
      <c r="F469" s="498"/>
      <c r="G469" s="498"/>
      <c r="H469" s="451"/>
      <c r="I469" s="451"/>
      <c r="J469" s="451"/>
      <c r="K469" s="451"/>
      <c r="M469" s="451"/>
      <c r="N469" s="450"/>
      <c r="O469" s="500"/>
      <c r="P469" s="498"/>
      <c r="Q469" s="451"/>
      <c r="R469"/>
      <c r="S469" s="451"/>
      <c r="T469" s="451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3.5">
      <c r="A470" s="458"/>
      <c r="B470" s="458"/>
      <c r="C470" s="458"/>
      <c r="D470" s="458"/>
      <c r="E470" s="458"/>
      <c r="F470" s="458"/>
      <c r="G470" s="458"/>
      <c r="H470" s="451"/>
      <c r="I470" s="458"/>
      <c r="J470" s="458"/>
      <c r="K470" s="451"/>
      <c r="M470" s="458"/>
      <c r="N470" s="507"/>
      <c r="O470" s="500"/>
      <c r="P470" s="498"/>
      <c r="Q470" s="451"/>
      <c r="R470"/>
      <c r="S470" s="458"/>
      <c r="T470" s="458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3.5">
      <c r="A471" s="458"/>
      <c r="B471" s="458"/>
      <c r="C471" s="458"/>
      <c r="D471" s="458"/>
      <c r="E471" s="458"/>
      <c r="F471" s="458"/>
      <c r="G471" s="458"/>
      <c r="H471" s="451"/>
      <c r="I471" s="458"/>
      <c r="J471" s="458"/>
      <c r="K471" s="451"/>
      <c r="M471" s="458"/>
      <c r="N471" s="507"/>
      <c r="O471" s="500"/>
      <c r="P471" s="498"/>
      <c r="Q471" s="451"/>
      <c r="R471"/>
      <c r="S471" s="458"/>
      <c r="T471" s="458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6:18" s="451" customFormat="1" ht="11.25">
      <c r="F472" s="498"/>
      <c r="G472" s="498"/>
      <c r="L472" s="390"/>
      <c r="N472" s="450"/>
      <c r="O472" s="500"/>
      <c r="P472" s="498"/>
      <c r="R472" s="450"/>
    </row>
    <row r="473" spans="1:20" ht="13.5">
      <c r="A473" s="451"/>
      <c r="B473" s="451"/>
      <c r="C473" s="451"/>
      <c r="D473" s="451"/>
      <c r="E473" s="451"/>
      <c r="F473" s="498"/>
      <c r="G473" s="498"/>
      <c r="H473" s="451"/>
      <c r="I473" s="451"/>
      <c r="J473" s="451"/>
      <c r="K473" s="451"/>
      <c r="M473" s="451"/>
      <c r="N473" s="450"/>
      <c r="O473" s="500"/>
      <c r="P473" s="498"/>
      <c r="Q473" s="451"/>
      <c r="S473" s="451"/>
      <c r="T473" s="451"/>
    </row>
    <row r="474" spans="1:256" ht="13.5">
      <c r="A474" s="451"/>
      <c r="B474" s="451"/>
      <c r="C474" s="451"/>
      <c r="D474" s="451"/>
      <c r="E474" s="451"/>
      <c r="F474" s="498"/>
      <c r="G474" s="498"/>
      <c r="H474" s="451"/>
      <c r="I474" s="451"/>
      <c r="J474" s="451"/>
      <c r="K474" s="451"/>
      <c r="M474" s="451"/>
      <c r="N474" s="450"/>
      <c r="O474" s="500"/>
      <c r="P474" s="498"/>
      <c r="Q474" s="451"/>
      <c r="R474"/>
      <c r="S474" s="451"/>
      <c r="T474" s="451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13.5">
      <c r="A475" s="451"/>
      <c r="B475" s="451"/>
      <c r="C475" s="451"/>
      <c r="D475" s="451"/>
      <c r="E475" s="451"/>
      <c r="F475" s="498"/>
      <c r="G475" s="498"/>
      <c r="H475" s="451"/>
      <c r="I475" s="451"/>
      <c r="J475" s="451"/>
      <c r="K475" s="451"/>
      <c r="M475" s="451"/>
      <c r="N475" s="450"/>
      <c r="O475" s="500"/>
      <c r="P475" s="498"/>
      <c r="Q475" s="451"/>
      <c r="R475"/>
      <c r="S475" s="451"/>
      <c r="T475" s="451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0" ht="13.5">
      <c r="A476" s="451"/>
      <c r="B476" s="451"/>
      <c r="C476" s="451"/>
      <c r="D476" s="451"/>
      <c r="E476" s="451"/>
      <c r="F476" s="498"/>
      <c r="G476" s="498"/>
      <c r="H476" s="451"/>
      <c r="I476" s="451"/>
      <c r="J476" s="451"/>
      <c r="K476" s="451"/>
      <c r="M476" s="451"/>
      <c r="N476" s="450"/>
      <c r="O476" s="500"/>
      <c r="P476" s="498"/>
      <c r="Q476" s="451"/>
      <c r="S476" s="451"/>
      <c r="T476" s="451"/>
    </row>
    <row r="477" spans="1:20" ht="13.5">
      <c r="A477" s="451"/>
      <c r="B477" s="451"/>
      <c r="C477" s="451"/>
      <c r="D477" s="451"/>
      <c r="E477" s="451"/>
      <c r="F477" s="498"/>
      <c r="G477" s="498"/>
      <c r="H477" s="451"/>
      <c r="I477" s="451"/>
      <c r="J477" s="451"/>
      <c r="K477" s="451"/>
      <c r="M477" s="451"/>
      <c r="N477" s="450"/>
      <c r="O477" s="500"/>
      <c r="P477" s="498"/>
      <c r="Q477" s="451"/>
      <c r="S477" s="451"/>
      <c r="T477" s="451"/>
    </row>
    <row r="478" spans="1:256" ht="13.5">
      <c r="A478" s="451"/>
      <c r="B478" s="451"/>
      <c r="C478" s="451"/>
      <c r="D478" s="451"/>
      <c r="E478" s="451"/>
      <c r="F478" s="498"/>
      <c r="G478" s="498"/>
      <c r="H478" s="451"/>
      <c r="I478" s="451"/>
      <c r="J478" s="451"/>
      <c r="K478" s="451"/>
      <c r="M478" s="451"/>
      <c r="N478" s="450"/>
      <c r="O478" s="500"/>
      <c r="P478" s="498"/>
      <c r="Q478" s="451"/>
      <c r="R478"/>
      <c r="S478" s="451"/>
      <c r="T478" s="451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13.5">
      <c r="A479" s="451"/>
      <c r="B479" s="451"/>
      <c r="C479" s="451"/>
      <c r="D479" s="451"/>
      <c r="E479" s="451"/>
      <c r="F479" s="498"/>
      <c r="G479" s="498"/>
      <c r="H479" s="451"/>
      <c r="I479" s="451"/>
      <c r="J479" s="451"/>
      <c r="K479" s="451"/>
      <c r="M479" s="451"/>
      <c r="N479" s="450"/>
      <c r="O479" s="500"/>
      <c r="P479" s="498"/>
      <c r="Q479" s="451"/>
      <c r="R479"/>
      <c r="S479" s="451"/>
      <c r="T479" s="451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0" ht="13.5">
      <c r="A480" s="451"/>
      <c r="B480" s="451"/>
      <c r="C480" s="451"/>
      <c r="D480" s="451"/>
      <c r="E480" s="451"/>
      <c r="F480" s="498"/>
      <c r="G480" s="498"/>
      <c r="H480" s="451"/>
      <c r="I480" s="451"/>
      <c r="J480" s="451"/>
      <c r="K480" s="451"/>
      <c r="M480" s="499"/>
      <c r="N480" s="450"/>
      <c r="O480" s="500"/>
      <c r="P480" s="498"/>
      <c r="Q480" s="451"/>
      <c r="S480" s="451"/>
      <c r="T480" s="451"/>
    </row>
    <row r="481" spans="1:256" ht="13.5">
      <c r="A481" s="451"/>
      <c r="B481" s="451"/>
      <c r="C481" s="451"/>
      <c r="D481" s="451"/>
      <c r="E481" s="451"/>
      <c r="F481" s="498"/>
      <c r="G481" s="498"/>
      <c r="H481" s="451"/>
      <c r="I481" s="451"/>
      <c r="J481" s="451"/>
      <c r="K481" s="451"/>
      <c r="M481" s="499"/>
      <c r="N481" s="450"/>
      <c r="O481" s="500"/>
      <c r="P481" s="498"/>
      <c r="Q481" s="451"/>
      <c r="R481"/>
      <c r="S481" s="451"/>
      <c r="T481" s="45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6:18" s="451" customFormat="1" ht="11.25">
      <c r="F482" s="498"/>
      <c r="G482" s="498"/>
      <c r="L482" s="390"/>
      <c r="M482" s="499"/>
      <c r="N482" s="450"/>
      <c r="O482" s="500"/>
      <c r="P482" s="498"/>
      <c r="R482" s="450"/>
    </row>
    <row r="483" spans="1:256" ht="13.5">
      <c r="A483" s="451"/>
      <c r="B483" s="451"/>
      <c r="C483" s="451"/>
      <c r="D483" s="451"/>
      <c r="E483" s="451"/>
      <c r="F483" s="498"/>
      <c r="G483" s="498"/>
      <c r="H483" s="451"/>
      <c r="I483" s="451"/>
      <c r="J483" s="451"/>
      <c r="K483" s="451"/>
      <c r="M483" s="499"/>
      <c r="N483" s="450"/>
      <c r="O483" s="500"/>
      <c r="P483" s="498"/>
      <c r="Q483" s="451"/>
      <c r="R483"/>
      <c r="S483" s="451"/>
      <c r="T483" s="451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19" ht="13.5">
      <c r="A484" s="46" t="s">
        <v>2466</v>
      </c>
      <c r="B484" s="489" t="s">
        <v>111</v>
      </c>
      <c r="C484" s="489" t="s">
        <v>253</v>
      </c>
      <c r="D484" s="489" t="s">
        <v>254</v>
      </c>
      <c r="E484" s="489" t="s">
        <v>255</v>
      </c>
      <c r="F484" s="490" t="s">
        <v>174</v>
      </c>
      <c r="G484" s="490" t="s">
        <v>256</v>
      </c>
      <c r="H484" s="489" t="s">
        <v>233</v>
      </c>
      <c r="I484" s="489" t="s">
        <v>257</v>
      </c>
      <c r="J484" s="489" t="s">
        <v>258</v>
      </c>
      <c r="K484" s="489" t="s">
        <v>259</v>
      </c>
      <c r="L484" s="489" t="s">
        <v>260</v>
      </c>
      <c r="M484" s="491" t="s">
        <v>261</v>
      </c>
      <c r="N484" s="489" t="s">
        <v>262</v>
      </c>
      <c r="O484" s="492" t="s">
        <v>223</v>
      </c>
      <c r="P484" s="490" t="s">
        <v>2093</v>
      </c>
      <c r="Q484" s="493" t="s">
        <v>2094</v>
      </c>
      <c r="R484" s="399" t="s">
        <v>2095</v>
      </c>
      <c r="S484" s="213"/>
    </row>
    <row r="485" spans="1:19" ht="13.5">
      <c r="A485" s="213"/>
      <c r="B485" s="213"/>
      <c r="C485" s="213"/>
      <c r="D485" s="213"/>
      <c r="E485" s="213"/>
      <c r="F485" s="311"/>
      <c r="G485" s="311"/>
      <c r="H485" s="213"/>
      <c r="I485" s="213"/>
      <c r="J485" s="213"/>
      <c r="K485" s="213"/>
      <c r="L485" s="213"/>
      <c r="M485" s="494"/>
      <c r="N485" s="213"/>
      <c r="O485" s="221"/>
      <c r="P485" s="311"/>
      <c r="R485" s="399"/>
      <c r="S485" s="213"/>
    </row>
    <row r="486" spans="1:20" ht="11.25" customHeight="1">
      <c r="A486" s="390" t="s">
        <v>2467</v>
      </c>
      <c r="B486" s="390">
        <v>1</v>
      </c>
      <c r="C486" s="390" t="s">
        <v>293</v>
      </c>
      <c r="D486" s="390" t="s">
        <v>2411</v>
      </c>
      <c r="E486" s="390">
        <v>2</v>
      </c>
      <c r="F486" s="485">
        <v>0</v>
      </c>
      <c r="G486" s="485">
        <v>0</v>
      </c>
      <c r="H486" s="390">
        <f>IF(COUNTIF(AR_SHEET_スキル,"ジャストディフェンス")&gt;0,IF($S486&lt;0,0,$S486),$S486)</f>
        <v>0</v>
      </c>
      <c r="I486" s="390">
        <v>2</v>
      </c>
      <c r="J486" s="390">
        <v>0</v>
      </c>
      <c r="K486" s="390">
        <v>0</v>
      </c>
      <c r="L486" s="390">
        <f>IF(COUNTIF(AR_SHEET_スキル,"イミューンウェイト")&gt;0,IF($T486&lt;0,0,$T486),$T486)</f>
        <v>0</v>
      </c>
      <c r="M486" s="390" t="s">
        <v>83</v>
      </c>
      <c r="O486" s="487">
        <v>30</v>
      </c>
      <c r="P486" s="485" t="s">
        <v>83</v>
      </c>
      <c r="S486" s="390">
        <v>0</v>
      </c>
      <c r="T486" s="390">
        <v>0</v>
      </c>
    </row>
    <row r="487" spans="1:20" ht="11.25" customHeight="1">
      <c r="A487" s="390" t="s">
        <v>2468</v>
      </c>
      <c r="B487" s="390">
        <v>1</v>
      </c>
      <c r="C487" s="390" t="s">
        <v>293</v>
      </c>
      <c r="D487" s="390" t="s">
        <v>2411</v>
      </c>
      <c r="E487" s="390">
        <v>4</v>
      </c>
      <c r="F487" s="485">
        <v>0</v>
      </c>
      <c r="G487" s="485">
        <v>0</v>
      </c>
      <c r="H487" s="390">
        <f>IF(COUNTIF(AR_SHEET_スキル,"ジャストディフェンス")&gt;0,IF($S487&lt;0,0,$S487),$S487)</f>
        <v>0</v>
      </c>
      <c r="I487" s="390">
        <v>3</v>
      </c>
      <c r="J487" s="390">
        <v>0</v>
      </c>
      <c r="K487" s="390">
        <v>0</v>
      </c>
      <c r="L487" s="390">
        <f>IF(COUNTIF(AR_SHEET_スキル,"イミューンウェイト")&gt;0,IF($T487&lt;0,0,$T487),$T487)</f>
        <v>0</v>
      </c>
      <c r="M487" s="390" t="s">
        <v>83</v>
      </c>
      <c r="O487" s="487">
        <v>50</v>
      </c>
      <c r="P487" s="485" t="s">
        <v>83</v>
      </c>
      <c r="S487" s="390">
        <v>0</v>
      </c>
      <c r="T487" s="390">
        <v>0</v>
      </c>
    </row>
    <row r="488" spans="1:20" ht="11.25" customHeight="1">
      <c r="A488" s="390" t="s">
        <v>2469</v>
      </c>
      <c r="B488" s="390">
        <v>1</v>
      </c>
      <c r="C488" s="390" t="s">
        <v>293</v>
      </c>
      <c r="D488" s="390" t="s">
        <v>2391</v>
      </c>
      <c r="E488" s="390">
        <v>5</v>
      </c>
      <c r="F488" s="485">
        <v>0</v>
      </c>
      <c r="G488" s="485">
        <v>0</v>
      </c>
      <c r="H488" s="390">
        <f>IF(COUNTIF(AR_SHEET_スキル,"ジャストディフェンス")&gt;0,IF($S488&lt;0,0,$S488),$S488)</f>
        <v>0</v>
      </c>
      <c r="I488" s="390">
        <v>4</v>
      </c>
      <c r="J488" s="390">
        <v>0</v>
      </c>
      <c r="K488" s="390">
        <v>0</v>
      </c>
      <c r="L488" s="390">
        <f>IF(COUNTIF(AR_SHEET_スキル,"イミューンウェイト")&gt;0,IF($T488&lt;0,0,$T488),$T488)</f>
        <v>-1</v>
      </c>
      <c r="M488" s="390" t="s">
        <v>83</v>
      </c>
      <c r="O488" s="487">
        <v>100</v>
      </c>
      <c r="P488" s="485" t="s">
        <v>83</v>
      </c>
      <c r="S488" s="390">
        <v>0</v>
      </c>
      <c r="T488" s="390">
        <v>-1</v>
      </c>
    </row>
    <row r="489" spans="1:20" s="451" customFormat="1" ht="11.25" customHeight="1">
      <c r="A489" s="390" t="s">
        <v>2470</v>
      </c>
      <c r="B489" s="390">
        <v>1</v>
      </c>
      <c r="C489" s="390" t="s">
        <v>293</v>
      </c>
      <c r="D489" s="390" t="s">
        <v>2397</v>
      </c>
      <c r="E489" s="390">
        <v>8</v>
      </c>
      <c r="F489" s="485">
        <v>0</v>
      </c>
      <c r="G489" s="485">
        <v>0</v>
      </c>
      <c r="H489" s="390">
        <f>IF(COUNTIF(AR_SHEET_スキル,"ジャストディフェンス")&gt;0,IF($S489&lt;0,0,$S489),$S489)</f>
        <v>-1</v>
      </c>
      <c r="I489" s="390">
        <v>6</v>
      </c>
      <c r="J489" s="390">
        <v>0</v>
      </c>
      <c r="K489" s="390">
        <v>0</v>
      </c>
      <c r="L489" s="390">
        <f>IF(COUNTIF(AR_SHEET_スキル,"イミューンウェイト")&gt;0,IF($T489&lt;0,0,$T489),$T489)</f>
        <v>-1</v>
      </c>
      <c r="M489" s="390" t="s">
        <v>83</v>
      </c>
      <c r="N489" s="461"/>
      <c r="O489" s="487">
        <v>450</v>
      </c>
      <c r="P489" s="485" t="s">
        <v>83</v>
      </c>
      <c r="Q489" s="390"/>
      <c r="R489" s="461"/>
      <c r="S489" s="390">
        <v>-1</v>
      </c>
      <c r="T489" s="390">
        <v>-1</v>
      </c>
    </row>
    <row r="490" spans="1:20" ht="11.25" customHeight="1">
      <c r="A490" s="390" t="s">
        <v>2471</v>
      </c>
      <c r="B490" s="390">
        <v>1</v>
      </c>
      <c r="C490" s="390" t="s">
        <v>293</v>
      </c>
      <c r="D490" s="390" t="s">
        <v>2472</v>
      </c>
      <c r="E490" s="390">
        <v>2</v>
      </c>
      <c r="F490" s="485">
        <v>0</v>
      </c>
      <c r="G490" s="485">
        <v>0</v>
      </c>
      <c r="H490" s="390">
        <f>IF(COUNTIF(AR_SHEET_スキル,"ジャストディフェンス")&gt;0,IF($S490&lt;0,0,$S490),$S490)</f>
        <v>1</v>
      </c>
      <c r="I490" s="390">
        <v>1</v>
      </c>
      <c r="J490" s="390">
        <v>0</v>
      </c>
      <c r="K490" s="390">
        <v>0</v>
      </c>
      <c r="L490" s="390">
        <f>IF(COUNTIF(AR_SHEET_スキル,"イミューンウェイト")&gt;0,IF($T490&lt;0,0,$T490),$T490)</f>
        <v>0</v>
      </c>
      <c r="M490" s="390" t="s">
        <v>83</v>
      </c>
      <c r="O490" s="487">
        <v>200</v>
      </c>
      <c r="P490" s="485" t="s">
        <v>83</v>
      </c>
      <c r="S490" s="390">
        <v>1</v>
      </c>
      <c r="T490" s="390">
        <v>0</v>
      </c>
    </row>
    <row r="491" spans="1:20" s="451" customFormat="1" ht="11.25" customHeight="1">
      <c r="A491" s="390" t="s">
        <v>2473</v>
      </c>
      <c r="B491" s="390">
        <v>2</v>
      </c>
      <c r="C491" s="390" t="s">
        <v>293</v>
      </c>
      <c r="D491" s="390" t="s">
        <v>2391</v>
      </c>
      <c r="E491" s="390">
        <v>6</v>
      </c>
      <c r="F491" s="485">
        <v>0</v>
      </c>
      <c r="G491" s="485">
        <v>0</v>
      </c>
      <c r="H491" s="390">
        <f>IF(COUNTIF(AR_SHEET_スキル,"ジャストディフェンス")&gt;0,IF($S491&lt;0,0,$S491),$S491)</f>
        <v>0</v>
      </c>
      <c r="I491" s="390">
        <v>5</v>
      </c>
      <c r="J491" s="390">
        <v>0</v>
      </c>
      <c r="K491" s="390">
        <v>0</v>
      </c>
      <c r="L491" s="390">
        <f>IF(COUNTIF(AR_SHEET_スキル,"イミューンウェイト")&gt;0,IF($T491&lt;0,0,$T491),$T491)</f>
        <v>-1</v>
      </c>
      <c r="M491" s="390" t="s">
        <v>83</v>
      </c>
      <c r="N491" s="461"/>
      <c r="O491" s="487">
        <v>200</v>
      </c>
      <c r="P491" s="485" t="s">
        <v>83</v>
      </c>
      <c r="Q491" s="390"/>
      <c r="R491" s="461"/>
      <c r="S491" s="390">
        <v>0</v>
      </c>
      <c r="T491" s="390">
        <v>-1</v>
      </c>
    </row>
    <row r="492" spans="1:20" ht="11.25" customHeight="1">
      <c r="A492" s="390" t="s">
        <v>2474</v>
      </c>
      <c r="B492" s="390">
        <v>2</v>
      </c>
      <c r="C492" s="390" t="s">
        <v>293</v>
      </c>
      <c r="D492" s="390" t="s">
        <v>2393</v>
      </c>
      <c r="E492" s="390">
        <v>7</v>
      </c>
      <c r="F492" s="485">
        <v>0</v>
      </c>
      <c r="G492" s="485">
        <v>0</v>
      </c>
      <c r="H492" s="390">
        <f>IF(COUNTIF(AR_SHEET_スキル,"ジャストディフェンス")&gt;0,IF($S492&lt;0,0,$S492),$S492)</f>
        <v>0</v>
      </c>
      <c r="I492" s="390">
        <v>6</v>
      </c>
      <c r="J492" s="390">
        <v>0</v>
      </c>
      <c r="K492" s="390">
        <v>0</v>
      </c>
      <c r="L492" s="390">
        <f>IF(COUNTIF(AR_SHEET_スキル,"イミューンウェイト")&gt;0,IF($T492&lt;0,0,$T492),$T492)</f>
        <v>-1</v>
      </c>
      <c r="M492" s="390" t="s">
        <v>83</v>
      </c>
      <c r="O492" s="487">
        <v>300</v>
      </c>
      <c r="P492" s="485" t="s">
        <v>83</v>
      </c>
      <c r="S492" s="390">
        <v>0</v>
      </c>
      <c r="T492" s="390">
        <v>-1</v>
      </c>
    </row>
    <row r="493" spans="1:20" s="451" customFormat="1" ht="11.25" customHeight="1">
      <c r="A493" s="390" t="s">
        <v>2475</v>
      </c>
      <c r="B493" s="390">
        <v>2</v>
      </c>
      <c r="C493" s="390" t="s">
        <v>293</v>
      </c>
      <c r="D493" s="390" t="s">
        <v>2397</v>
      </c>
      <c r="E493" s="390">
        <v>9</v>
      </c>
      <c r="F493" s="485">
        <v>0</v>
      </c>
      <c r="G493" s="485">
        <v>0</v>
      </c>
      <c r="H493" s="390">
        <f>IF(COUNTIF(AR_SHEET_スキル,"ジャストディフェンス")&gt;0,IF($S493&lt;0,0,$S493),$S493)</f>
        <v>-1</v>
      </c>
      <c r="I493" s="390">
        <v>7</v>
      </c>
      <c r="J493" s="390">
        <v>0</v>
      </c>
      <c r="K493" s="390">
        <v>0</v>
      </c>
      <c r="L493" s="390">
        <f>IF(COUNTIF(AR_SHEET_スキル,"イミューンウェイト")&gt;0,IF($T493&lt;0,0,$T493),$T493)</f>
        <v>-1</v>
      </c>
      <c r="M493" s="390" t="s">
        <v>83</v>
      </c>
      <c r="N493" s="461"/>
      <c r="O493" s="487">
        <v>600</v>
      </c>
      <c r="P493" s="485" t="s">
        <v>83</v>
      </c>
      <c r="Q493" s="390"/>
      <c r="R493" s="461"/>
      <c r="S493" s="390">
        <v>-1</v>
      </c>
      <c r="T493" s="390">
        <v>-1</v>
      </c>
    </row>
    <row r="494" spans="1:20" ht="11.25" customHeight="1">
      <c r="A494" s="390" t="s">
        <v>2476</v>
      </c>
      <c r="B494" s="390">
        <v>3</v>
      </c>
      <c r="C494" s="390" t="s">
        <v>293</v>
      </c>
      <c r="D494" s="390" t="s">
        <v>2430</v>
      </c>
      <c r="E494" s="390">
        <v>3</v>
      </c>
      <c r="F494" s="485">
        <v>0</v>
      </c>
      <c r="G494" s="485">
        <v>0</v>
      </c>
      <c r="H494" s="390">
        <f>IF(COUNTIF(AR_SHEET_スキル,"ジャストディフェンス")&gt;0,IF($S494&lt;0,0,$S494),$S494)</f>
        <v>0</v>
      </c>
      <c r="I494" s="390">
        <v>3</v>
      </c>
      <c r="J494" s="390">
        <v>0</v>
      </c>
      <c r="K494" s="390">
        <v>0</v>
      </c>
      <c r="L494" s="390">
        <f>IF(COUNTIF(AR_SHEET_スキル,"イミューンウェイト")&gt;0,IF($T494&lt;0,0,$T494),$T494)</f>
        <v>0</v>
      </c>
      <c r="M494" s="390" t="s">
        <v>83</v>
      </c>
      <c r="O494" s="487">
        <v>150</v>
      </c>
      <c r="P494" s="485" t="s">
        <v>83</v>
      </c>
      <c r="S494" s="390">
        <v>0</v>
      </c>
      <c r="T494" s="390">
        <v>0</v>
      </c>
    </row>
    <row r="495" spans="1:20" ht="11.25" customHeight="1">
      <c r="A495" s="390" t="s">
        <v>2477</v>
      </c>
      <c r="B495" s="390">
        <v>3</v>
      </c>
      <c r="C495" s="390" t="s">
        <v>293</v>
      </c>
      <c r="D495" s="390" t="s">
        <v>2399</v>
      </c>
      <c r="E495" s="390">
        <v>7</v>
      </c>
      <c r="F495" s="485">
        <v>0</v>
      </c>
      <c r="G495" s="485">
        <v>0</v>
      </c>
      <c r="H495" s="390">
        <f>IF(COUNTIF(AR_SHEET_スキル,"ジャストディフェンス")&gt;0,IF($S495&lt;0,0,$S495),$S495)</f>
        <v>0</v>
      </c>
      <c r="I495" s="390">
        <v>6</v>
      </c>
      <c r="J495" s="390">
        <v>0</v>
      </c>
      <c r="K495" s="390">
        <v>0</v>
      </c>
      <c r="L495" s="390">
        <f>IF(COUNTIF(AR_SHEET_スキル,"イミューンウェイト")&gt;0,IF($T495&lt;0,0,$T495),$T495)</f>
        <v>-1</v>
      </c>
      <c r="M495" s="390" t="s">
        <v>83</v>
      </c>
      <c r="O495" s="487">
        <v>300</v>
      </c>
      <c r="P495" s="485" t="s">
        <v>83</v>
      </c>
      <c r="S495" s="390">
        <v>0</v>
      </c>
      <c r="T495" s="390">
        <v>-1</v>
      </c>
    </row>
    <row r="496" spans="1:20" ht="11.25" customHeight="1">
      <c r="A496" s="390" t="s">
        <v>2478</v>
      </c>
      <c r="B496" s="390">
        <v>3</v>
      </c>
      <c r="C496" s="390" t="s">
        <v>293</v>
      </c>
      <c r="D496" s="390" t="s">
        <v>2393</v>
      </c>
      <c r="E496" s="390">
        <v>8</v>
      </c>
      <c r="F496" s="485">
        <v>0</v>
      </c>
      <c r="G496" s="485">
        <v>0</v>
      </c>
      <c r="H496" s="390">
        <f>IF(COUNTIF(AR_SHEET_スキル,"ジャストディフェンス")&gt;0,IF($S496&lt;0,0,$S496),$S496)</f>
        <v>0</v>
      </c>
      <c r="I496" s="390">
        <v>7</v>
      </c>
      <c r="J496" s="390">
        <v>0</v>
      </c>
      <c r="K496" s="390">
        <v>0</v>
      </c>
      <c r="L496" s="390">
        <f>IF(COUNTIF(AR_SHEET_スキル,"イミューンウェイト")&gt;0,IF($T496&lt;0,0,$T496),$T496)</f>
        <v>-1</v>
      </c>
      <c r="M496" s="390" t="s">
        <v>83</v>
      </c>
      <c r="O496" s="487">
        <v>400</v>
      </c>
      <c r="P496" s="485" t="s">
        <v>83</v>
      </c>
      <c r="S496" s="390">
        <v>0</v>
      </c>
      <c r="T496" s="390">
        <v>-1</v>
      </c>
    </row>
    <row r="497" spans="1:20" ht="11.25" customHeight="1">
      <c r="A497" s="390" t="s">
        <v>2479</v>
      </c>
      <c r="B497" s="390">
        <v>3</v>
      </c>
      <c r="C497" s="390" t="s">
        <v>293</v>
      </c>
      <c r="D497" s="390" t="s">
        <v>2397</v>
      </c>
      <c r="E497" s="390">
        <v>10</v>
      </c>
      <c r="F497" s="485">
        <v>0</v>
      </c>
      <c r="G497" s="485">
        <v>0</v>
      </c>
      <c r="H497" s="390">
        <f>IF(COUNTIF(AR_SHEET_スキル,"ジャストディフェンス")&gt;0,IF($S497&lt;0,0,$S497),$S497)</f>
        <v>-1</v>
      </c>
      <c r="I497" s="390">
        <v>8</v>
      </c>
      <c r="J497" s="390">
        <v>0</v>
      </c>
      <c r="K497" s="390">
        <v>0</v>
      </c>
      <c r="L497" s="390">
        <f>IF(COUNTIF(AR_SHEET_スキル,"イミューンウェイト")&gt;0,IF($T497&lt;0,0,$T497),$T497)</f>
        <v>-1</v>
      </c>
      <c r="M497" s="390" t="s">
        <v>83</v>
      </c>
      <c r="O497" s="487">
        <v>800</v>
      </c>
      <c r="P497" s="485" t="s">
        <v>83</v>
      </c>
      <c r="S497" s="390">
        <v>-1</v>
      </c>
      <c r="T497" s="390">
        <v>-1</v>
      </c>
    </row>
    <row r="498" spans="1:20" ht="11.25" customHeight="1">
      <c r="A498" s="390" t="s">
        <v>2480</v>
      </c>
      <c r="B498" s="390">
        <v>3</v>
      </c>
      <c r="C498" s="390" t="s">
        <v>293</v>
      </c>
      <c r="D498" s="390" t="s">
        <v>2423</v>
      </c>
      <c r="E498" s="390">
        <v>7</v>
      </c>
      <c r="F498" s="485">
        <v>0</v>
      </c>
      <c r="G498" s="485">
        <v>0</v>
      </c>
      <c r="H498" s="390">
        <f>IF(COUNTIF(AR_SHEET_スキル,"ジャストディフェンス")&gt;0,IF($S498&lt;0,0,$S498),$S498)</f>
        <v>0</v>
      </c>
      <c r="I498" s="390">
        <v>6</v>
      </c>
      <c r="J498" s="390">
        <v>0</v>
      </c>
      <c r="K498" s="390">
        <v>0</v>
      </c>
      <c r="L498" s="390">
        <f>IF(COUNTIF(AR_SHEET_スキル,"イミューンウェイト")&gt;0,IF($T498&lt;0,0,$T498),$T498)</f>
        <v>0</v>
      </c>
      <c r="M498" s="390" t="s">
        <v>83</v>
      </c>
      <c r="O498" s="487">
        <v>600</v>
      </c>
      <c r="P498" s="485" t="s">
        <v>83</v>
      </c>
      <c r="S498" s="390">
        <v>0</v>
      </c>
      <c r="T498" s="390">
        <v>0</v>
      </c>
    </row>
    <row r="499" spans="1:20" s="451" customFormat="1" ht="11.25" customHeight="1">
      <c r="A499" s="390" t="s">
        <v>2481</v>
      </c>
      <c r="B499" s="390">
        <v>4</v>
      </c>
      <c r="C499" s="390" t="s">
        <v>293</v>
      </c>
      <c r="D499" s="390" t="s">
        <v>2391</v>
      </c>
      <c r="E499" s="390">
        <v>8</v>
      </c>
      <c r="F499" s="485">
        <v>0</v>
      </c>
      <c r="G499" s="485">
        <v>0</v>
      </c>
      <c r="H499" s="390">
        <f>IF(COUNTIF(AR_SHEET_スキル,"ジャストディフェンス")&gt;0,IF($S499&lt;0,0,$S499),$S499)</f>
        <v>0</v>
      </c>
      <c r="I499" s="390">
        <v>7</v>
      </c>
      <c r="J499" s="390">
        <v>0</v>
      </c>
      <c r="K499" s="390">
        <v>0</v>
      </c>
      <c r="L499" s="390">
        <f>IF(COUNTIF(AR_SHEET_スキル,"イミューンウェイト")&gt;0,IF($T499&lt;0,0,$T499),$T499)</f>
        <v>-1</v>
      </c>
      <c r="M499" s="390" t="s">
        <v>83</v>
      </c>
      <c r="N499" s="461"/>
      <c r="O499" s="487">
        <v>500</v>
      </c>
      <c r="P499" s="485" t="s">
        <v>83</v>
      </c>
      <c r="Q499" s="390"/>
      <c r="R499" s="461"/>
      <c r="S499" s="390">
        <v>0</v>
      </c>
      <c r="T499" s="390">
        <v>-1</v>
      </c>
    </row>
    <row r="500" spans="1:20" ht="11.25" customHeight="1">
      <c r="A500" s="390" t="s">
        <v>292</v>
      </c>
      <c r="B500" s="390">
        <v>4</v>
      </c>
      <c r="C500" s="390" t="s">
        <v>293</v>
      </c>
      <c r="D500" s="390" t="s">
        <v>2393</v>
      </c>
      <c r="E500" s="390">
        <v>8</v>
      </c>
      <c r="F500" s="485">
        <v>0</v>
      </c>
      <c r="G500" s="485">
        <v>0</v>
      </c>
      <c r="H500" s="390">
        <f>IF(COUNTIF(AR_SHEET_スキル,"ジャストディフェンス")&gt;0,IF($S500&lt;0,0,$S500),$S500)</f>
        <v>0</v>
      </c>
      <c r="I500" s="390">
        <v>8</v>
      </c>
      <c r="J500" s="390">
        <v>0</v>
      </c>
      <c r="K500" s="390">
        <v>0</v>
      </c>
      <c r="L500" s="390">
        <f>IF(COUNTIF(AR_SHEET_スキル,"イミューンウェイト")&gt;0,IF($T500&lt;0,0,$T500),$T500)</f>
        <v>-2</v>
      </c>
      <c r="M500" s="390" t="s">
        <v>83</v>
      </c>
      <c r="O500" s="487">
        <v>600</v>
      </c>
      <c r="P500" s="485" t="s">
        <v>83</v>
      </c>
      <c r="S500" s="390">
        <v>0</v>
      </c>
      <c r="T500" s="390">
        <v>-2</v>
      </c>
    </row>
    <row r="501" spans="1:20" ht="11.25" customHeight="1">
      <c r="A501" s="390" t="s">
        <v>2482</v>
      </c>
      <c r="B501" s="390">
        <v>4</v>
      </c>
      <c r="C501" s="390" t="s">
        <v>293</v>
      </c>
      <c r="D501" s="390" t="s">
        <v>2397</v>
      </c>
      <c r="E501" s="390">
        <v>11</v>
      </c>
      <c r="F501" s="485">
        <v>0</v>
      </c>
      <c r="G501" s="485">
        <v>0</v>
      </c>
      <c r="H501" s="390">
        <f>IF(COUNTIF(AR_SHEET_スキル,"ジャストディフェンス")&gt;0,IF($S501&lt;0,0,$S501),$S501)</f>
        <v>-1</v>
      </c>
      <c r="I501" s="390">
        <v>9</v>
      </c>
      <c r="J501" s="390">
        <v>0</v>
      </c>
      <c r="K501" s="390">
        <v>0</v>
      </c>
      <c r="L501" s="390">
        <f>IF(COUNTIF(AR_SHEET_スキル,"イミューンウェイト")&gt;0,IF($T501&lt;0,0,$T501),$T501)</f>
        <v>-1</v>
      </c>
      <c r="M501" s="390" t="s">
        <v>83</v>
      </c>
      <c r="O501" s="487">
        <v>980</v>
      </c>
      <c r="P501" s="485" t="s">
        <v>83</v>
      </c>
      <c r="S501" s="390">
        <v>-1</v>
      </c>
      <c r="T501" s="390">
        <v>-1</v>
      </c>
    </row>
    <row r="502" spans="1:20" ht="11.25" customHeight="1">
      <c r="A502" s="390" t="s">
        <v>2483</v>
      </c>
      <c r="B502" s="390">
        <v>4</v>
      </c>
      <c r="C502" s="390" t="s">
        <v>293</v>
      </c>
      <c r="D502" s="390" t="s">
        <v>2484</v>
      </c>
      <c r="E502" s="390">
        <v>8</v>
      </c>
      <c r="F502" s="485">
        <v>0</v>
      </c>
      <c r="G502" s="485">
        <v>0</v>
      </c>
      <c r="H502" s="390">
        <f>IF(COUNTIF(AR_SHEET_スキル,"ジャストディフェンス")&gt;0,IF($S502&lt;0,0,$S502),$S502)</f>
        <v>0</v>
      </c>
      <c r="I502" s="390">
        <v>7</v>
      </c>
      <c r="J502" s="390">
        <v>0</v>
      </c>
      <c r="K502" s="390">
        <v>0</v>
      </c>
      <c r="L502" s="390">
        <f>IF(COUNTIF(AR_SHEET_スキル,"イミューンウェイト")&gt;0,IF($T502&lt;0,0,$T502),$T502)</f>
        <v>0</v>
      </c>
      <c r="M502" s="390" t="s">
        <v>83</v>
      </c>
      <c r="O502" s="487">
        <v>800</v>
      </c>
      <c r="P502" s="485" t="s">
        <v>83</v>
      </c>
      <c r="S502" s="390">
        <v>0</v>
      </c>
      <c r="T502" s="390">
        <v>0</v>
      </c>
    </row>
    <row r="503" spans="1:20" s="470" customFormat="1" ht="11.25" customHeight="1">
      <c r="A503" s="390" t="s">
        <v>2485</v>
      </c>
      <c r="B503" s="390">
        <v>5</v>
      </c>
      <c r="C503" s="390" t="s">
        <v>293</v>
      </c>
      <c r="D503" s="390" t="s">
        <v>2433</v>
      </c>
      <c r="E503" s="390">
        <v>3</v>
      </c>
      <c r="F503" s="485">
        <v>0</v>
      </c>
      <c r="G503" s="485">
        <v>0</v>
      </c>
      <c r="H503" s="390">
        <f>IF(COUNTIF(AR_SHEET_スキル,"ジャストディフェンス")&gt;0,IF($S503&lt;0,0,$S503),$S503)</f>
        <v>0</v>
      </c>
      <c r="I503" s="390">
        <v>4</v>
      </c>
      <c r="J503" s="390">
        <v>0</v>
      </c>
      <c r="K503" s="390">
        <v>0</v>
      </c>
      <c r="L503" s="390">
        <f>IF(COUNTIF(AR_SHEET_スキル,"イミューンウェイト")&gt;0,IF($T503&lt;0,0,$T503),$T503)</f>
        <v>0</v>
      </c>
      <c r="M503" s="390" t="s">
        <v>83</v>
      </c>
      <c r="N503" s="461" t="s">
        <v>2486</v>
      </c>
      <c r="O503" s="487">
        <v>9800</v>
      </c>
      <c r="P503" s="485" t="s">
        <v>83</v>
      </c>
      <c r="Q503" s="390"/>
      <c r="R503" s="450"/>
      <c r="S503" s="390">
        <v>0</v>
      </c>
      <c r="T503" s="390">
        <v>0</v>
      </c>
    </row>
    <row r="504" spans="1:20" ht="11.25" customHeight="1">
      <c r="A504" s="390" t="s">
        <v>2487</v>
      </c>
      <c r="B504" s="390">
        <v>5</v>
      </c>
      <c r="C504" s="390" t="s">
        <v>293</v>
      </c>
      <c r="D504" s="390" t="s">
        <v>2391</v>
      </c>
      <c r="E504" s="390">
        <v>9</v>
      </c>
      <c r="F504" s="485">
        <v>0</v>
      </c>
      <c r="G504" s="485">
        <v>0</v>
      </c>
      <c r="H504" s="390">
        <f>IF(COUNTIF(AR_SHEET_スキル,"ジャストディフェンス")&gt;0,IF($S504&lt;0,0,$S504),$S504)</f>
        <v>0</v>
      </c>
      <c r="I504" s="390">
        <v>8</v>
      </c>
      <c r="J504" s="390">
        <v>0</v>
      </c>
      <c r="K504" s="390">
        <v>0</v>
      </c>
      <c r="L504" s="390">
        <f>IF(COUNTIF(AR_SHEET_スキル,"イミューンウェイト")&gt;0,IF($T504&lt;0,0,$T504),$T504)</f>
        <v>0</v>
      </c>
      <c r="M504" s="390" t="s">
        <v>83</v>
      </c>
      <c r="O504" s="487">
        <v>2500</v>
      </c>
      <c r="P504" s="485" t="s">
        <v>83</v>
      </c>
      <c r="S504" s="390">
        <v>0</v>
      </c>
      <c r="T504" s="390">
        <v>0</v>
      </c>
    </row>
    <row r="505" spans="1:20" ht="11.25" customHeight="1">
      <c r="A505" s="390" t="s">
        <v>2488</v>
      </c>
      <c r="B505" s="390">
        <v>5</v>
      </c>
      <c r="C505" s="390" t="s">
        <v>293</v>
      </c>
      <c r="D505" s="390" t="s">
        <v>2397</v>
      </c>
      <c r="E505" s="390">
        <v>11</v>
      </c>
      <c r="F505" s="485">
        <v>0</v>
      </c>
      <c r="G505" s="485">
        <v>0</v>
      </c>
      <c r="H505" s="390">
        <f>IF(COUNTIF(AR_SHEET_スキル,"ジャストディフェンス")&gt;0,IF($S505&lt;0,0,$S505),$S505)</f>
        <v>-1</v>
      </c>
      <c r="I505" s="390">
        <v>11</v>
      </c>
      <c r="J505" s="390">
        <v>0</v>
      </c>
      <c r="K505" s="390">
        <v>0</v>
      </c>
      <c r="L505" s="390">
        <f>IF(COUNTIF(AR_SHEET_スキル,"イミューンウェイト")&gt;0,IF($T505&lt;0,0,$T505),$T505)</f>
        <v>-2</v>
      </c>
      <c r="M505" s="390" t="s">
        <v>83</v>
      </c>
      <c r="O505" s="487">
        <v>2100</v>
      </c>
      <c r="P505" s="485" t="s">
        <v>83</v>
      </c>
      <c r="S505" s="390">
        <v>-1</v>
      </c>
      <c r="T505" s="390">
        <v>-2</v>
      </c>
    </row>
    <row r="506" spans="1:20" s="470" customFormat="1" ht="11.25" customHeight="1">
      <c r="A506" s="390" t="s">
        <v>2489</v>
      </c>
      <c r="B506" s="390">
        <v>6</v>
      </c>
      <c r="C506" s="390" t="s">
        <v>293</v>
      </c>
      <c r="D506" s="390" t="s">
        <v>2433</v>
      </c>
      <c r="E506" s="390">
        <v>3</v>
      </c>
      <c r="F506" s="485">
        <v>0</v>
      </c>
      <c r="G506" s="485">
        <v>0</v>
      </c>
      <c r="H506" s="390">
        <f>IF(COUNTIF(AR_SHEET_スキル,"ジャストディフェンス")&gt;0,IF($S506&lt;0,0,$S506),$S506)</f>
        <v>0</v>
      </c>
      <c r="I506" s="390">
        <v>4</v>
      </c>
      <c r="J506" s="390">
        <v>0</v>
      </c>
      <c r="K506" s="390">
        <v>0</v>
      </c>
      <c r="L506" s="390">
        <f>IF(COUNTIF(AR_SHEET_スキル,"イミューンウェイト")&gt;0,IF($T506&lt;0,0,$T506),$T506)</f>
        <v>0</v>
      </c>
      <c r="M506" s="390" t="s">
        <v>83</v>
      </c>
      <c r="N506" s="461" t="s">
        <v>2490</v>
      </c>
      <c r="O506" s="487">
        <v>11800</v>
      </c>
      <c r="P506" s="485" t="s">
        <v>83</v>
      </c>
      <c r="Q506" s="390"/>
      <c r="R506" s="450"/>
      <c r="S506" s="390">
        <v>0</v>
      </c>
      <c r="T506" s="390">
        <v>0</v>
      </c>
    </row>
    <row r="507" spans="1:20" ht="11.25" customHeight="1">
      <c r="A507" s="390" t="s">
        <v>2491</v>
      </c>
      <c r="B507" s="390">
        <v>6</v>
      </c>
      <c r="C507" s="390" t="s">
        <v>293</v>
      </c>
      <c r="D507" s="390" t="s">
        <v>2423</v>
      </c>
      <c r="E507" s="390">
        <v>9</v>
      </c>
      <c r="F507" s="485">
        <v>0</v>
      </c>
      <c r="G507" s="485">
        <v>0</v>
      </c>
      <c r="H507" s="390">
        <f>IF(COUNTIF(AR_SHEET_スキル,"ジャストディフェンス")&gt;0,IF($S507&lt;0,0,$S507),$S507)</f>
        <v>0</v>
      </c>
      <c r="I507" s="390">
        <v>8</v>
      </c>
      <c r="J507" s="390">
        <v>0</v>
      </c>
      <c r="K507" s="390">
        <v>0</v>
      </c>
      <c r="L507" s="390">
        <f>IF(COUNTIF(AR_SHEET_スキル,"イミューンウェイト")&gt;0,IF($T507&lt;0,0,$T507),$T507)</f>
        <v>0</v>
      </c>
      <c r="M507" s="390" t="s">
        <v>83</v>
      </c>
      <c r="O507" s="487">
        <v>1200</v>
      </c>
      <c r="P507" s="485" t="s">
        <v>83</v>
      </c>
      <c r="R507"/>
      <c r="S507" s="390">
        <v>0</v>
      </c>
      <c r="T507" s="390">
        <v>0</v>
      </c>
    </row>
    <row r="508" spans="1:20" ht="11.25" customHeight="1">
      <c r="A508" s="390" t="s">
        <v>2492</v>
      </c>
      <c r="B508" s="390">
        <v>6</v>
      </c>
      <c r="C508" s="390" t="s">
        <v>293</v>
      </c>
      <c r="D508" s="390" t="s">
        <v>2393</v>
      </c>
      <c r="E508" s="390">
        <v>10</v>
      </c>
      <c r="F508" s="485">
        <v>0</v>
      </c>
      <c r="G508" s="485">
        <v>0</v>
      </c>
      <c r="H508" s="390">
        <f>IF(COUNTIF(AR_SHEET_スキル,"ジャストディフェンス")&gt;0,IF($S508&lt;0,0,$S508),$S508)</f>
        <v>0</v>
      </c>
      <c r="I508" s="390">
        <v>9</v>
      </c>
      <c r="J508" s="390">
        <v>0</v>
      </c>
      <c r="K508" s="390">
        <v>0</v>
      </c>
      <c r="L508" s="390">
        <f>IF(COUNTIF(AR_SHEET_スキル,"イミューンウェイト")&gt;0,IF($T508&lt;0,0,$T508),$T508)</f>
        <v>-1</v>
      </c>
      <c r="M508" s="390" t="s">
        <v>83</v>
      </c>
      <c r="O508" s="487">
        <v>2600</v>
      </c>
      <c r="P508" s="485" t="s">
        <v>83</v>
      </c>
      <c r="S508" s="390">
        <v>0</v>
      </c>
      <c r="T508" s="390">
        <v>-1</v>
      </c>
    </row>
    <row r="509" spans="1:20" ht="11.25" customHeight="1">
      <c r="A509" s="390" t="s">
        <v>2493</v>
      </c>
      <c r="B509" s="390">
        <v>6</v>
      </c>
      <c r="C509" s="390" t="s">
        <v>293</v>
      </c>
      <c r="D509" s="390" t="s">
        <v>2397</v>
      </c>
      <c r="E509" s="390">
        <v>12</v>
      </c>
      <c r="F509" s="485">
        <v>0</v>
      </c>
      <c r="G509" s="485">
        <v>0</v>
      </c>
      <c r="H509" s="390">
        <f>IF(COUNTIF(AR_SHEET_スキル,"ジャストディフェンス")&gt;0,IF($S509&lt;0,0,$S509),$S509)</f>
        <v>-1</v>
      </c>
      <c r="I509" s="390">
        <v>12</v>
      </c>
      <c r="J509" s="390">
        <v>0</v>
      </c>
      <c r="K509" s="390">
        <v>0</v>
      </c>
      <c r="L509" s="390">
        <f>IF(COUNTIF(AR_SHEET_スキル,"イミューンウェイト")&gt;0,IF($T509&lt;0,0,$T509),$T509)</f>
        <v>-2</v>
      </c>
      <c r="M509" s="390" t="s">
        <v>83</v>
      </c>
      <c r="O509" s="487">
        <v>3200</v>
      </c>
      <c r="P509" s="485" t="s">
        <v>83</v>
      </c>
      <c r="S509" s="390">
        <v>-1</v>
      </c>
      <c r="T509" s="390">
        <v>-2</v>
      </c>
    </row>
    <row r="510" spans="1:20" ht="11.25" customHeight="1">
      <c r="A510" s="390" t="s">
        <v>2494</v>
      </c>
      <c r="B510" s="390">
        <v>6</v>
      </c>
      <c r="C510" s="390" t="s">
        <v>293</v>
      </c>
      <c r="D510" s="390" t="s">
        <v>2495</v>
      </c>
      <c r="E510" s="390">
        <v>7</v>
      </c>
      <c r="F510" s="485">
        <v>0</v>
      </c>
      <c r="G510" s="485">
        <v>0</v>
      </c>
      <c r="H510" s="390">
        <f>IF(COUNTIF(AR_SHEET_スキル,"ジャストディフェンス")&gt;0,IF($S510&lt;0,0,$S510),$S510)</f>
        <v>0</v>
      </c>
      <c r="I510" s="390">
        <v>5</v>
      </c>
      <c r="J510" s="390">
        <v>3</v>
      </c>
      <c r="K510" s="390">
        <v>0</v>
      </c>
      <c r="L510" s="390">
        <f>IF(COUNTIF(AR_SHEET_スキル,"イミューンウェイト")&gt;0,IF($T510&lt;0,0,$T510),$T510)</f>
        <v>-1</v>
      </c>
      <c r="M510" s="390" t="s">
        <v>83</v>
      </c>
      <c r="O510" s="487">
        <v>5200</v>
      </c>
      <c r="P510" s="485" t="s">
        <v>83</v>
      </c>
      <c r="S510" s="390">
        <v>0</v>
      </c>
      <c r="T510" s="390">
        <v>-1</v>
      </c>
    </row>
    <row r="511" spans="1:20" s="470" customFormat="1" ht="11.25" customHeight="1">
      <c r="A511" s="390" t="s">
        <v>2496</v>
      </c>
      <c r="B511" s="390">
        <v>7</v>
      </c>
      <c r="C511" s="390" t="s">
        <v>293</v>
      </c>
      <c r="D511" s="390" t="s">
        <v>2411</v>
      </c>
      <c r="E511" s="390">
        <v>4</v>
      </c>
      <c r="F511" s="485">
        <v>0</v>
      </c>
      <c r="G511" s="485">
        <v>0</v>
      </c>
      <c r="H511" s="390">
        <f>IF(COUNTIF(AR_SHEET_スキル,"ジャストディフェンス")&gt;0,IF($S511&lt;0,0,$S511),$S511)</f>
        <v>0</v>
      </c>
      <c r="I511" s="390">
        <v>5</v>
      </c>
      <c r="J511" s="390">
        <v>0</v>
      </c>
      <c r="K511" s="390">
        <v>0</v>
      </c>
      <c r="L511" s="390">
        <f>IF(COUNTIF(AR_SHEET_スキル,"イミューンウェイト")&gt;0,IF($T511&lt;0,0,$T511),$T511)</f>
        <v>0</v>
      </c>
      <c r="M511" s="390" t="s">
        <v>83</v>
      </c>
      <c r="N511" s="461"/>
      <c r="O511" s="487">
        <v>2000</v>
      </c>
      <c r="P511" s="485" t="s">
        <v>83</v>
      </c>
      <c r="Q511" s="390"/>
      <c r="R511" s="450"/>
      <c r="S511" s="390">
        <v>0</v>
      </c>
      <c r="T511" s="390">
        <v>0</v>
      </c>
    </row>
    <row r="512" spans="1:20" ht="11.25" customHeight="1">
      <c r="A512" s="390" t="s">
        <v>2497</v>
      </c>
      <c r="B512" s="390">
        <v>7</v>
      </c>
      <c r="C512" s="390" t="s">
        <v>293</v>
      </c>
      <c r="D512" s="390" t="s">
        <v>2391</v>
      </c>
      <c r="E512" s="390">
        <v>10</v>
      </c>
      <c r="F512" s="485">
        <v>0</v>
      </c>
      <c r="G512" s="485">
        <v>0</v>
      </c>
      <c r="H512" s="390">
        <f>IF(COUNTIF(AR_SHEET_スキル,"ジャストディフェンス")&gt;0,IF($S512&lt;0,0,$S512),$S512)</f>
        <v>0</v>
      </c>
      <c r="I512" s="390">
        <v>9</v>
      </c>
      <c r="J512" s="390">
        <v>0</v>
      </c>
      <c r="K512" s="390">
        <v>0</v>
      </c>
      <c r="L512" s="390">
        <f>IF(COUNTIF(AR_SHEET_スキル,"イミューンウェイト")&gt;0,IF($T512&lt;0,0,$T512),$T512)</f>
        <v>-1</v>
      </c>
      <c r="M512" s="390" t="s">
        <v>83</v>
      </c>
      <c r="O512" s="487">
        <v>2900</v>
      </c>
      <c r="P512" s="485" t="s">
        <v>83</v>
      </c>
      <c r="S512" s="390">
        <v>0</v>
      </c>
      <c r="T512" s="390">
        <v>-1</v>
      </c>
    </row>
    <row r="513" spans="1:20" ht="11.25" customHeight="1">
      <c r="A513" s="390" t="s">
        <v>2498</v>
      </c>
      <c r="B513" s="390">
        <v>7</v>
      </c>
      <c r="C513" s="390" t="s">
        <v>293</v>
      </c>
      <c r="D513" s="390" t="s">
        <v>2425</v>
      </c>
      <c r="E513" s="390">
        <v>12</v>
      </c>
      <c r="F513" s="485">
        <v>0</v>
      </c>
      <c r="G513" s="485">
        <v>0</v>
      </c>
      <c r="H513" s="390">
        <f>IF(COUNTIF(AR_SHEET_スキル,"ジャストディフェンス")&gt;0,IF($S513&lt;0,0,$S513),$S513)</f>
        <v>0</v>
      </c>
      <c r="I513" s="390">
        <v>10</v>
      </c>
      <c r="J513" s="390">
        <v>0</v>
      </c>
      <c r="K513" s="390">
        <v>0</v>
      </c>
      <c r="L513" s="390">
        <f>IF(COUNTIF(AR_SHEET_スキル,"イミューンウェイト")&gt;0,IF($T513&lt;0,0,$T513),$T513)</f>
        <v>-1</v>
      </c>
      <c r="M513" s="390" t="s">
        <v>83</v>
      </c>
      <c r="O513" s="487">
        <v>2400</v>
      </c>
      <c r="P513" s="485" t="s">
        <v>83</v>
      </c>
      <c r="S513" s="390">
        <v>0</v>
      </c>
      <c r="T513" s="390">
        <v>-1</v>
      </c>
    </row>
    <row r="514" spans="1:20" ht="11.25" customHeight="1">
      <c r="A514" s="390" t="s">
        <v>2499</v>
      </c>
      <c r="B514" s="390">
        <v>7</v>
      </c>
      <c r="C514" s="390" t="s">
        <v>293</v>
      </c>
      <c r="D514" s="390" t="s">
        <v>2397</v>
      </c>
      <c r="E514" s="390">
        <v>12</v>
      </c>
      <c r="F514" s="485">
        <v>0</v>
      </c>
      <c r="G514" s="485">
        <v>0</v>
      </c>
      <c r="H514" s="390">
        <f>IF(COUNTIF(AR_SHEET_スキル,"ジャストディフェンス")&gt;0,IF($S514&lt;0,0,$S514),$S514)</f>
        <v>-1</v>
      </c>
      <c r="I514" s="390">
        <v>12</v>
      </c>
      <c r="J514" s="390">
        <v>0</v>
      </c>
      <c r="K514" s="390">
        <v>0</v>
      </c>
      <c r="L514" s="390">
        <f>IF(COUNTIF(AR_SHEET_スキル,"イミューンウェイト")&gt;0,IF($T514&lt;0,0,$T514),$T514)</f>
        <v>-1</v>
      </c>
      <c r="M514" s="390" t="s">
        <v>83</v>
      </c>
      <c r="O514" s="487">
        <v>3600</v>
      </c>
      <c r="P514" s="485" t="s">
        <v>83</v>
      </c>
      <c r="S514" s="390">
        <v>-1</v>
      </c>
      <c r="T514" s="390">
        <v>-1</v>
      </c>
    </row>
    <row r="515" spans="1:20" ht="11.25" customHeight="1">
      <c r="A515" s="390" t="s">
        <v>2500</v>
      </c>
      <c r="B515" s="390">
        <v>8</v>
      </c>
      <c r="C515" s="390" t="s">
        <v>293</v>
      </c>
      <c r="D515" s="390" t="s">
        <v>2472</v>
      </c>
      <c r="E515" s="390">
        <v>4</v>
      </c>
      <c r="F515" s="485">
        <v>0</v>
      </c>
      <c r="G515" s="485">
        <v>0</v>
      </c>
      <c r="H515" s="390">
        <f>IF(COUNTIF(AR_SHEET_スキル,"ジャストディフェンス")&gt;0,IF($S515&lt;0,0,$S515),$S515)</f>
        <v>1</v>
      </c>
      <c r="I515" s="390">
        <v>3</v>
      </c>
      <c r="J515" s="390">
        <v>0</v>
      </c>
      <c r="K515" s="390">
        <v>0</v>
      </c>
      <c r="L515" s="390">
        <f>IF(COUNTIF(AR_SHEET_スキル,"イミューンウェイト")&gt;0,IF($T515&lt;0,0,$T515),$T515)</f>
        <v>0</v>
      </c>
      <c r="M515" s="390" t="s">
        <v>83</v>
      </c>
      <c r="O515" s="487">
        <v>4800</v>
      </c>
      <c r="P515" s="485" t="s">
        <v>83</v>
      </c>
      <c r="R515"/>
      <c r="S515" s="390">
        <v>1</v>
      </c>
      <c r="T515" s="390">
        <v>0</v>
      </c>
    </row>
    <row r="516" spans="1:20" ht="12.75" customHeight="1">
      <c r="A516" s="390" t="s">
        <v>2501</v>
      </c>
      <c r="B516" s="390">
        <v>8</v>
      </c>
      <c r="C516" s="390" t="s">
        <v>293</v>
      </c>
      <c r="D516" s="390" t="s">
        <v>2393</v>
      </c>
      <c r="E516" s="390">
        <v>12</v>
      </c>
      <c r="F516" s="485">
        <v>0</v>
      </c>
      <c r="G516" s="485">
        <v>0</v>
      </c>
      <c r="H516" s="390">
        <f>IF(COUNTIF(AR_SHEET_スキル,"ジャストディフェンス")&gt;0,IF($S516&lt;0,0,$S516),$S516)</f>
        <v>0</v>
      </c>
      <c r="I516" s="390">
        <v>10</v>
      </c>
      <c r="J516" s="390">
        <v>1</v>
      </c>
      <c r="K516" s="390">
        <v>0</v>
      </c>
      <c r="L516" s="390">
        <f>IF(COUNTIF(AR_SHEET_スキル,"イミューンウェイト")&gt;0,IF($T516&lt;0,0,$T516),$T516)</f>
        <v>-2</v>
      </c>
      <c r="M516" s="390" t="s">
        <v>83</v>
      </c>
      <c r="O516" s="487">
        <v>5200</v>
      </c>
      <c r="P516" s="485" t="s">
        <v>83</v>
      </c>
      <c r="S516" s="390">
        <v>0</v>
      </c>
      <c r="T516" s="390">
        <v>-2</v>
      </c>
    </row>
    <row r="517" spans="1:20" s="470" customFormat="1" ht="11.25" customHeight="1">
      <c r="A517" s="390" t="s">
        <v>2502</v>
      </c>
      <c r="B517" s="390">
        <v>8</v>
      </c>
      <c r="C517" s="390" t="s">
        <v>293</v>
      </c>
      <c r="D517" s="390" t="s">
        <v>2397</v>
      </c>
      <c r="E517" s="390">
        <v>13</v>
      </c>
      <c r="F517" s="485">
        <v>0</v>
      </c>
      <c r="G517" s="485">
        <v>0</v>
      </c>
      <c r="H517" s="390">
        <f>IF(COUNTIF(AR_SHEET_スキル,"ジャストディフェンス")&gt;0,IF($S517&lt;0,0,$S517),$S517)</f>
        <v>-1</v>
      </c>
      <c r="I517" s="390">
        <v>13</v>
      </c>
      <c r="J517" s="390">
        <v>0</v>
      </c>
      <c r="K517" s="390">
        <v>0</v>
      </c>
      <c r="L517" s="390">
        <f>IF(COUNTIF(AR_SHEET_スキル,"イミューンウェイト")&gt;0,IF($T517&lt;0,0,$T517),$T517)</f>
        <v>-2</v>
      </c>
      <c r="M517" s="390" t="s">
        <v>83</v>
      </c>
      <c r="N517" s="461"/>
      <c r="O517" s="487">
        <v>5800</v>
      </c>
      <c r="P517" s="485" t="s">
        <v>83</v>
      </c>
      <c r="Q517" s="390"/>
      <c r="R517" s="461"/>
      <c r="S517" s="390">
        <v>-1</v>
      </c>
      <c r="T517" s="390">
        <v>-2</v>
      </c>
    </row>
    <row r="518" spans="1:20" s="470" customFormat="1" ht="11.25" customHeight="1">
      <c r="A518" s="390" t="s">
        <v>2503</v>
      </c>
      <c r="B518" s="390">
        <v>9</v>
      </c>
      <c r="C518" s="390" t="s">
        <v>293</v>
      </c>
      <c r="D518" s="390" t="s">
        <v>2411</v>
      </c>
      <c r="E518" s="390">
        <v>5</v>
      </c>
      <c r="F518" s="485">
        <v>0</v>
      </c>
      <c r="G518" s="485">
        <v>0</v>
      </c>
      <c r="H518" s="390">
        <f>IF(COUNTIF(AR_SHEET_スキル,"ジャストディフェンス")&gt;0,IF($S518&lt;0,0,$S518),$S518)</f>
        <v>1</v>
      </c>
      <c r="I518" s="390">
        <v>4</v>
      </c>
      <c r="J518" s="390">
        <v>0</v>
      </c>
      <c r="K518" s="390">
        <v>0</v>
      </c>
      <c r="L518" s="390">
        <f>IF(COUNTIF(AR_SHEET_スキル,"イミューンウェイト")&gt;0,IF($T518&lt;0,0,$T518),$T518)</f>
        <v>0</v>
      </c>
      <c r="M518" s="390" t="s">
        <v>83</v>
      </c>
      <c r="N518" s="461"/>
      <c r="O518" s="487">
        <v>5800</v>
      </c>
      <c r="P518" s="485" t="s">
        <v>83</v>
      </c>
      <c r="Q518" s="390"/>
      <c r="R518" s="461"/>
      <c r="S518" s="390">
        <v>1</v>
      </c>
      <c r="T518" s="390">
        <v>0</v>
      </c>
    </row>
    <row r="519" spans="1:20" ht="11.25" customHeight="1">
      <c r="A519" s="390" t="s">
        <v>2504</v>
      </c>
      <c r="B519" s="390">
        <v>9</v>
      </c>
      <c r="C519" s="390" t="s">
        <v>293</v>
      </c>
      <c r="D519" s="390" t="s">
        <v>2425</v>
      </c>
      <c r="E519" s="390">
        <v>13</v>
      </c>
      <c r="F519" s="485">
        <v>0</v>
      </c>
      <c r="G519" s="485">
        <v>0</v>
      </c>
      <c r="H519" s="390">
        <f>IF(COUNTIF(AR_SHEET_スキル,"ジャストディフェンス")&gt;0,IF($S519&lt;0,0,$S519),$S519)</f>
        <v>0</v>
      </c>
      <c r="I519" s="390">
        <v>11</v>
      </c>
      <c r="J519" s="390">
        <v>0</v>
      </c>
      <c r="K519" s="390">
        <v>0</v>
      </c>
      <c r="L519" s="390">
        <f>IF(COUNTIF(AR_SHEET_スキル,"イミューンウェイト")&gt;0,IF($T519&lt;0,0,$T519),$T519)</f>
        <v>-3</v>
      </c>
      <c r="M519" s="390" t="s">
        <v>83</v>
      </c>
      <c r="O519" s="487">
        <v>6800</v>
      </c>
      <c r="P519" s="485" t="s">
        <v>83</v>
      </c>
      <c r="S519" s="390">
        <v>0</v>
      </c>
      <c r="T519" s="390">
        <v>-3</v>
      </c>
    </row>
    <row r="520" spans="1:20" s="470" customFormat="1" ht="11.25" customHeight="1">
      <c r="A520" s="390" t="s">
        <v>2505</v>
      </c>
      <c r="B520" s="390">
        <v>9</v>
      </c>
      <c r="C520" s="390" t="s">
        <v>293</v>
      </c>
      <c r="D520" s="390" t="s">
        <v>2397</v>
      </c>
      <c r="E520" s="390">
        <v>14</v>
      </c>
      <c r="F520" s="485">
        <v>0</v>
      </c>
      <c r="G520" s="485">
        <v>0</v>
      </c>
      <c r="H520" s="390">
        <f>IF(COUNTIF(AR_SHEET_スキル,"ジャストディフェンス")&gt;0,IF($S520&lt;0,0,$S520),$S520)</f>
        <v>-1</v>
      </c>
      <c r="I520" s="390">
        <v>14</v>
      </c>
      <c r="J520" s="390">
        <v>0</v>
      </c>
      <c r="K520" s="390">
        <v>0</v>
      </c>
      <c r="L520" s="390">
        <f>IF(COUNTIF(AR_SHEET_スキル,"イミューンウェイト")&gt;0,IF($T520&lt;0,0,$T520),$T520)</f>
        <v>-2</v>
      </c>
      <c r="M520" s="390" t="s">
        <v>83</v>
      </c>
      <c r="N520" s="461"/>
      <c r="O520" s="487">
        <v>8000</v>
      </c>
      <c r="P520" s="485" t="s">
        <v>83</v>
      </c>
      <c r="Q520" s="390"/>
      <c r="R520" s="461"/>
      <c r="S520" s="390">
        <v>-1</v>
      </c>
      <c r="T520" s="390">
        <v>-2</v>
      </c>
    </row>
    <row r="521" spans="1:20" s="470" customFormat="1" ht="11.25" customHeight="1">
      <c r="A521" s="390" t="s">
        <v>2506</v>
      </c>
      <c r="B521" s="390">
        <v>10</v>
      </c>
      <c r="C521" s="390" t="s">
        <v>293</v>
      </c>
      <c r="D521" s="390" t="s">
        <v>2411</v>
      </c>
      <c r="E521" s="390">
        <v>7</v>
      </c>
      <c r="F521" s="485">
        <v>0</v>
      </c>
      <c r="G521" s="485">
        <v>0</v>
      </c>
      <c r="H521" s="390">
        <f>IF(COUNTIF(AR_SHEET_スキル,"ジャストディフェンス")&gt;0,IF($S521&lt;0,0,$S521),$S521)</f>
        <v>0</v>
      </c>
      <c r="I521" s="390">
        <v>3</v>
      </c>
      <c r="J521" s="390">
        <v>2</v>
      </c>
      <c r="K521" s="390">
        <v>0</v>
      </c>
      <c r="L521" s="390">
        <f>IF(COUNTIF(AR_SHEET_スキル,"イミューンウェイト")&gt;0,IF($T521&lt;0,0,$T521),$T521)</f>
        <v>-1</v>
      </c>
      <c r="M521" s="390" t="s">
        <v>83</v>
      </c>
      <c r="N521" s="461"/>
      <c r="O521" s="487">
        <v>6000</v>
      </c>
      <c r="P521" s="485" t="s">
        <v>83</v>
      </c>
      <c r="Q521" s="390"/>
      <c r="R521" s="461"/>
      <c r="S521" s="390">
        <v>0</v>
      </c>
      <c r="T521" s="390">
        <v>-1</v>
      </c>
    </row>
    <row r="522" spans="1:20" s="470" customFormat="1" ht="11.25" customHeight="1">
      <c r="A522" s="390" t="s">
        <v>2507</v>
      </c>
      <c r="B522" s="390">
        <v>10</v>
      </c>
      <c r="C522" s="390" t="s">
        <v>293</v>
      </c>
      <c r="D522" s="390" t="s">
        <v>2391</v>
      </c>
      <c r="E522" s="390">
        <v>11</v>
      </c>
      <c r="F522" s="485">
        <v>0</v>
      </c>
      <c r="G522" s="485">
        <v>0</v>
      </c>
      <c r="H522" s="390">
        <f>IF(COUNTIF(AR_SHEET_スキル,"ジャストディフェンス")&gt;0,IF($S522&lt;0,0,$S522),$S522)</f>
        <v>1</v>
      </c>
      <c r="I522" s="390">
        <v>10</v>
      </c>
      <c r="J522" s="390">
        <v>0</v>
      </c>
      <c r="K522" s="390">
        <v>0</v>
      </c>
      <c r="L522" s="390">
        <f>IF(COUNTIF(AR_SHEET_スキル,"イミューンウェイト")&gt;0,IF($T522&lt;0,0,$T522),$T522)</f>
        <v>-1</v>
      </c>
      <c r="M522" s="390" t="s">
        <v>83</v>
      </c>
      <c r="N522" s="461"/>
      <c r="O522" s="487">
        <v>7200</v>
      </c>
      <c r="P522" s="485" t="s">
        <v>83</v>
      </c>
      <c r="Q522" s="390"/>
      <c r="R522" s="461"/>
      <c r="S522" s="390">
        <v>1</v>
      </c>
      <c r="T522" s="390">
        <v>-1</v>
      </c>
    </row>
    <row r="523" spans="1:20" s="470" customFormat="1" ht="11.25" customHeight="1">
      <c r="A523" s="390" t="s">
        <v>2508</v>
      </c>
      <c r="B523" s="390">
        <v>10</v>
      </c>
      <c r="C523" s="390" t="s">
        <v>293</v>
      </c>
      <c r="D523" s="390" t="s">
        <v>2484</v>
      </c>
      <c r="E523" s="390">
        <v>11</v>
      </c>
      <c r="F523" s="485">
        <v>0</v>
      </c>
      <c r="G523" s="485">
        <v>0</v>
      </c>
      <c r="H523" s="390">
        <f>IF(COUNTIF(AR_SHEET_スキル,"ジャストディフェンス")&gt;0,IF($S523&lt;0,0,$S523),$S523)</f>
        <v>0</v>
      </c>
      <c r="I523" s="390">
        <v>10</v>
      </c>
      <c r="J523" s="390">
        <v>0</v>
      </c>
      <c r="K523" s="390">
        <v>0</v>
      </c>
      <c r="L523" s="390">
        <f>IF(COUNTIF(AR_SHEET_スキル,"イミューンウェイト")&gt;0,IF($T523&lt;0,0,$T523),$T523)</f>
        <v>0</v>
      </c>
      <c r="M523" s="390" t="s">
        <v>83</v>
      </c>
      <c r="N523" s="461"/>
      <c r="O523" s="487">
        <v>7800</v>
      </c>
      <c r="P523" s="485" t="s">
        <v>83</v>
      </c>
      <c r="Q523" s="390"/>
      <c r="R523" s="461"/>
      <c r="S523" s="390">
        <v>0</v>
      </c>
      <c r="T523" s="390">
        <v>0</v>
      </c>
    </row>
    <row r="524" spans="1:20" s="470" customFormat="1" ht="11.25" customHeight="1">
      <c r="A524" s="390" t="s">
        <v>2509</v>
      </c>
      <c r="B524" s="390">
        <v>10</v>
      </c>
      <c r="C524" s="390" t="s">
        <v>293</v>
      </c>
      <c r="D524" s="390" t="s">
        <v>2393</v>
      </c>
      <c r="E524" s="390">
        <v>13</v>
      </c>
      <c r="F524" s="485">
        <v>0</v>
      </c>
      <c r="G524" s="485">
        <v>0</v>
      </c>
      <c r="H524" s="390">
        <f>IF(COUNTIF(AR_SHEET_スキル,"ジャストディフェンス")&gt;0,IF($S524&lt;0,0,$S524),$S524)</f>
        <v>0</v>
      </c>
      <c r="I524" s="390">
        <v>9</v>
      </c>
      <c r="J524" s="390">
        <v>3</v>
      </c>
      <c r="K524" s="390">
        <v>0</v>
      </c>
      <c r="L524" s="390">
        <f>IF(COUNTIF(AR_SHEET_スキル,"イミューンウェイト")&gt;0,IF($T524&lt;0,0,$T524),$T524)</f>
        <v>-1</v>
      </c>
      <c r="M524" s="390" t="s">
        <v>83</v>
      </c>
      <c r="N524" s="461"/>
      <c r="O524" s="487">
        <v>8900</v>
      </c>
      <c r="P524" s="485" t="s">
        <v>83</v>
      </c>
      <c r="Q524" s="390"/>
      <c r="R524" s="461"/>
      <c r="S524" s="390">
        <v>0</v>
      </c>
      <c r="T524" s="390">
        <v>-1</v>
      </c>
    </row>
    <row r="525" spans="1:20" s="470" customFormat="1" ht="11.25" customHeight="1">
      <c r="A525" s="390" t="s">
        <v>2510</v>
      </c>
      <c r="B525" s="390">
        <v>10</v>
      </c>
      <c r="C525" s="390" t="s">
        <v>293</v>
      </c>
      <c r="D525" s="390" t="s">
        <v>2397</v>
      </c>
      <c r="E525" s="390">
        <v>14</v>
      </c>
      <c r="F525" s="485">
        <v>0</v>
      </c>
      <c r="G525" s="485">
        <v>0</v>
      </c>
      <c r="H525" s="390">
        <f>IF(COUNTIF(AR_SHEET_スキル,"ジャストディフェンス")&gt;0,IF($S525&lt;0,0,$S525),$S525)</f>
        <v>-2</v>
      </c>
      <c r="I525" s="390">
        <v>15</v>
      </c>
      <c r="J525" s="390">
        <v>0</v>
      </c>
      <c r="K525" s="390">
        <v>0</v>
      </c>
      <c r="L525" s="390">
        <f>IF(COUNTIF(AR_SHEET_スキル,"イミューンウェイト")&gt;0,IF($T525&lt;0,0,$T525),$T525)</f>
        <v>-1</v>
      </c>
      <c r="M525" s="390" t="s">
        <v>83</v>
      </c>
      <c r="N525" s="461"/>
      <c r="O525" s="487">
        <v>9800</v>
      </c>
      <c r="P525" s="485" t="s">
        <v>83</v>
      </c>
      <c r="Q525" s="390"/>
      <c r="R525" s="461"/>
      <c r="S525" s="390">
        <v>-2</v>
      </c>
      <c r="T525" s="390">
        <v>-1</v>
      </c>
    </row>
    <row r="526" spans="1:20" s="470" customFormat="1" ht="11.25" customHeight="1">
      <c r="A526" s="451" t="s">
        <v>2511</v>
      </c>
      <c r="B526" s="451">
        <v>1</v>
      </c>
      <c r="C526" s="451" t="s">
        <v>293</v>
      </c>
      <c r="D526" s="451" t="s">
        <v>2430</v>
      </c>
      <c r="E526" s="451">
        <v>2</v>
      </c>
      <c r="F526" s="498">
        <v>0</v>
      </c>
      <c r="G526" s="498">
        <v>0</v>
      </c>
      <c r="H526" s="451">
        <f>IF(COUNTIF(AR_SHEET_スキル,"ジャストディフェンス")&gt;0,IF($S526&lt;0,0,$S526),$S526)</f>
        <v>-2</v>
      </c>
      <c r="I526" s="451">
        <v>2</v>
      </c>
      <c r="J526" s="451">
        <v>-3</v>
      </c>
      <c r="K526" s="451">
        <v>-2</v>
      </c>
      <c r="L526" s="451">
        <f>IF(COUNTIF(AR_SHEET_スキル,"イミューンウェイト")&gt;0,IF($T526&lt;0,0,$T526),$T526)</f>
        <v>-3</v>
      </c>
      <c r="M526" s="451" t="s">
        <v>83</v>
      </c>
      <c r="N526" s="450" t="s">
        <v>2512</v>
      </c>
      <c r="O526" s="500">
        <v>3000</v>
      </c>
      <c r="P526" s="498">
        <v>12</v>
      </c>
      <c r="Q526" s="451"/>
      <c r="R526" s="450"/>
      <c r="S526" s="451">
        <v>-2</v>
      </c>
      <c r="T526" s="451">
        <v>-3</v>
      </c>
    </row>
    <row r="527" spans="1:20" s="470" customFormat="1" ht="11.25" customHeight="1">
      <c r="A527" s="451" t="s">
        <v>2513</v>
      </c>
      <c r="B527" s="451">
        <v>2</v>
      </c>
      <c r="C527" s="451" t="s">
        <v>293</v>
      </c>
      <c r="D527" s="451" t="s">
        <v>2397</v>
      </c>
      <c r="E527" s="451">
        <v>7</v>
      </c>
      <c r="F527" s="498">
        <v>0</v>
      </c>
      <c r="G527" s="498">
        <v>0</v>
      </c>
      <c r="H527" s="451">
        <f>IF(COUNTIF(AR_SHEET_スキル,"ジャストディフェンス")&gt;0,IF($S527&lt;0,0,$S527),$S527)</f>
        <v>0</v>
      </c>
      <c r="I527" s="451">
        <v>7</v>
      </c>
      <c r="J527" s="451">
        <v>1</v>
      </c>
      <c r="K527" s="451">
        <v>0</v>
      </c>
      <c r="L527" s="451">
        <f>IF(COUNTIF(AR_SHEET_スキル,"イミューンウェイト")&gt;0,IF($T527&lt;0,0,$T527),$T527)</f>
        <v>0</v>
      </c>
      <c r="M527" s="499" t="s">
        <v>83</v>
      </c>
      <c r="N527" s="450"/>
      <c r="O527" s="500">
        <v>2300</v>
      </c>
      <c r="P527" s="498">
        <v>11</v>
      </c>
      <c r="Q527" s="451"/>
      <c r="R527" s="461"/>
      <c r="S527" s="451">
        <v>0</v>
      </c>
      <c r="T527" s="451">
        <v>0</v>
      </c>
    </row>
    <row r="528" spans="1:20" s="470" customFormat="1" ht="11.25" customHeight="1">
      <c r="A528" s="451" t="s">
        <v>2514</v>
      </c>
      <c r="B528" s="451">
        <v>2</v>
      </c>
      <c r="C528" s="451" t="s">
        <v>293</v>
      </c>
      <c r="D528" s="451" t="s">
        <v>2433</v>
      </c>
      <c r="E528" s="451">
        <v>2</v>
      </c>
      <c r="F528" s="498">
        <v>0</v>
      </c>
      <c r="G528" s="498">
        <v>0</v>
      </c>
      <c r="H528" s="451">
        <f>IF(COUNTIF(AR_SHEET_スキル,"ジャストディフェンス")&gt;0,IF($S528&lt;0,0,$S528),$S528)</f>
        <v>0</v>
      </c>
      <c r="I528" s="451">
        <v>2</v>
      </c>
      <c r="J528" s="451">
        <v>0</v>
      </c>
      <c r="K528" s="451">
        <v>0</v>
      </c>
      <c r="L528" s="451">
        <f>IF(COUNTIF(AR_SHEET_スキル,"イミューンウェイト")&gt;0,IF($T528&lt;0,0,$T528),$T528)</f>
        <v>0</v>
      </c>
      <c r="M528" s="499" t="s">
        <v>83</v>
      </c>
      <c r="N528" s="450" t="s">
        <v>2515</v>
      </c>
      <c r="O528" s="500">
        <v>1200</v>
      </c>
      <c r="P528" s="498">
        <v>10</v>
      </c>
      <c r="Q528" s="451"/>
      <c r="R528" s="461"/>
      <c r="S528" s="451">
        <v>0</v>
      </c>
      <c r="T528" s="451">
        <v>0</v>
      </c>
    </row>
    <row r="529" spans="1:20" s="470" customFormat="1" ht="11.25" customHeight="1">
      <c r="A529" s="451" t="s">
        <v>2516</v>
      </c>
      <c r="B529" s="451">
        <v>3</v>
      </c>
      <c r="C529" s="451" t="s">
        <v>293</v>
      </c>
      <c r="D529" s="451" t="s">
        <v>2399</v>
      </c>
      <c r="E529" s="451">
        <v>3</v>
      </c>
      <c r="F529" s="498">
        <v>0</v>
      </c>
      <c r="G529" s="498">
        <v>0</v>
      </c>
      <c r="H529" s="451">
        <f>IF(COUNTIF(AR_SHEET_スキル,"ジャストディフェンス")&gt;0,IF($S529&lt;0,0,$S529),$S529)</f>
        <v>0</v>
      </c>
      <c r="I529" s="451">
        <v>3</v>
      </c>
      <c r="J529" s="451">
        <v>0</v>
      </c>
      <c r="K529" s="451">
        <v>0</v>
      </c>
      <c r="L529" s="451">
        <f>IF(COUNTIF(AR_SHEET_スキル,"イミューンウェイト")&gt;0,IF($T529&lt;0,0,$T529),$T529)</f>
        <v>0</v>
      </c>
      <c r="M529" s="499" t="s">
        <v>83</v>
      </c>
      <c r="N529" s="450" t="s">
        <v>2517</v>
      </c>
      <c r="O529" s="500">
        <v>2100</v>
      </c>
      <c r="P529" s="498">
        <v>12</v>
      </c>
      <c r="Q529" s="451"/>
      <c r="R529" s="450"/>
      <c r="S529" s="451">
        <v>0</v>
      </c>
      <c r="T529" s="451">
        <v>0</v>
      </c>
    </row>
    <row r="530" spans="1:20" s="470" customFormat="1" ht="11.25" customHeight="1">
      <c r="A530" s="451" t="s">
        <v>2518</v>
      </c>
      <c r="B530" s="451">
        <v>3</v>
      </c>
      <c r="C530" s="451" t="s">
        <v>293</v>
      </c>
      <c r="D530" s="451" t="s">
        <v>2427</v>
      </c>
      <c r="E530" s="451">
        <v>6</v>
      </c>
      <c r="F530" s="498">
        <v>0</v>
      </c>
      <c r="G530" s="498">
        <v>0</v>
      </c>
      <c r="H530" s="451">
        <f>IF(COUNTIF(AR_SHEET_スキル,"ジャストディフェンス")&gt;0,IF($S530&lt;0,0,$S530),$S530)</f>
        <v>0</v>
      </c>
      <c r="I530" s="451">
        <v>6</v>
      </c>
      <c r="J530" s="451">
        <v>0</v>
      </c>
      <c r="K530" s="451">
        <v>0</v>
      </c>
      <c r="L530" s="451">
        <f>IF(COUNTIF(AR_SHEET_スキル,"イミューンウェイト")&gt;0,IF($T530&lt;0,0,$T530),$T530)</f>
        <v>0</v>
      </c>
      <c r="M530" s="451" t="s">
        <v>83</v>
      </c>
      <c r="N530" s="450" t="s">
        <v>2519</v>
      </c>
      <c r="O530" s="500">
        <v>3800</v>
      </c>
      <c r="P530" s="498">
        <v>13</v>
      </c>
      <c r="Q530" s="451"/>
      <c r="R530" s="461"/>
      <c r="S530" s="451">
        <v>0</v>
      </c>
      <c r="T530" s="451">
        <v>0</v>
      </c>
    </row>
    <row r="531" spans="1:20" s="470" customFormat="1" ht="11.25" customHeight="1">
      <c r="A531" s="451" t="s">
        <v>2520</v>
      </c>
      <c r="B531" s="451">
        <v>4</v>
      </c>
      <c r="C531" s="451" t="s">
        <v>293</v>
      </c>
      <c r="D531" s="451" t="s">
        <v>2391</v>
      </c>
      <c r="E531" s="451">
        <v>3</v>
      </c>
      <c r="F531" s="498">
        <v>0</v>
      </c>
      <c r="G531" s="498">
        <v>0</v>
      </c>
      <c r="H531" s="451">
        <f>IF(COUNTIF(AR_SHEET_スキル,"ジャストディフェンス")&gt;0,IF($S531&lt;0,0,$S531),$S531)</f>
        <v>0</v>
      </c>
      <c r="I531" s="451">
        <v>9</v>
      </c>
      <c r="J531" s="451">
        <v>0</v>
      </c>
      <c r="K531" s="451">
        <v>1</v>
      </c>
      <c r="L531" s="451">
        <f>IF(COUNTIF(AR_SHEET_スキル,"イミューンウェイト")&gt;0,IF($T531&lt;0,0,$T531),$T531)</f>
        <v>0</v>
      </c>
      <c r="M531" s="499" t="s">
        <v>83</v>
      </c>
      <c r="N531" s="450" t="s">
        <v>2521</v>
      </c>
      <c r="O531" s="500">
        <v>4800</v>
      </c>
      <c r="P531" s="498">
        <v>15</v>
      </c>
      <c r="Q531" s="451"/>
      <c r="R531" s="461"/>
      <c r="S531" s="451">
        <v>0</v>
      </c>
      <c r="T531" s="451">
        <v>0</v>
      </c>
    </row>
    <row r="532" spans="1:20" s="470" customFormat="1" ht="11.25" customHeight="1">
      <c r="A532" s="451" t="s">
        <v>2522</v>
      </c>
      <c r="B532" s="451">
        <v>5</v>
      </c>
      <c r="C532" s="451" t="s">
        <v>293</v>
      </c>
      <c r="D532" s="451" t="s">
        <v>2397</v>
      </c>
      <c r="E532" s="451">
        <v>9</v>
      </c>
      <c r="F532" s="498">
        <v>0</v>
      </c>
      <c r="G532" s="498">
        <v>0</v>
      </c>
      <c r="H532" s="451">
        <f>IF(COUNTIF(AR_SHEET_スキル,"ジャストディフェンス")&gt;0,IF($S532&lt;0,0,$S532),$S532)</f>
        <v>-1</v>
      </c>
      <c r="I532" s="451">
        <v>9</v>
      </c>
      <c r="J532" s="451">
        <v>0</v>
      </c>
      <c r="K532" s="451">
        <v>0</v>
      </c>
      <c r="L532" s="451">
        <f>IF(COUNTIF(AR_SHEET_スキル,"イミューンウェイト")&gt;0,IF($T532&lt;0,0,$T532),$T532)</f>
        <v>-1</v>
      </c>
      <c r="M532" s="451" t="s">
        <v>83</v>
      </c>
      <c r="N532" s="450" t="s">
        <v>2523</v>
      </c>
      <c r="O532" s="500">
        <v>6500</v>
      </c>
      <c r="P532" s="498">
        <v>13</v>
      </c>
      <c r="Q532" s="451"/>
      <c r="R532" s="461"/>
      <c r="S532" s="451">
        <v>-1</v>
      </c>
      <c r="T532" s="451">
        <v>-1</v>
      </c>
    </row>
    <row r="533" spans="1:20" s="470" customFormat="1" ht="11.25" customHeight="1">
      <c r="A533" s="451" t="s">
        <v>2524</v>
      </c>
      <c r="B533" s="451">
        <v>6</v>
      </c>
      <c r="C533" s="451" t="s">
        <v>293</v>
      </c>
      <c r="D533" s="451" t="s">
        <v>2433</v>
      </c>
      <c r="E533" s="451">
        <v>7</v>
      </c>
      <c r="F533" s="498">
        <v>0</v>
      </c>
      <c r="G533" s="498">
        <v>0</v>
      </c>
      <c r="H533" s="451">
        <f>IF(COUNTIF(AR_SHEET_スキル,"ジャストディフェンス")&gt;0,IF($S533&lt;0,0,$S533),$S533)</f>
        <v>0</v>
      </c>
      <c r="I533" s="451">
        <v>8</v>
      </c>
      <c r="J533" s="451">
        <v>3</v>
      </c>
      <c r="K533" s="451">
        <v>1</v>
      </c>
      <c r="L533" s="451">
        <f>IF(COUNTIF(AR_SHEET_スキル,"イミューンウェイト")&gt;0,IF($T533&lt;0,0,$T533),$T533)</f>
        <v>-1</v>
      </c>
      <c r="M533" s="499" t="s">
        <v>83</v>
      </c>
      <c r="N533" s="450"/>
      <c r="O533" s="500">
        <v>8500</v>
      </c>
      <c r="P533" s="498">
        <v>14</v>
      </c>
      <c r="Q533" s="451"/>
      <c r="R533" s="461"/>
      <c r="S533" s="451">
        <v>0</v>
      </c>
      <c r="T533" s="451">
        <v>-1</v>
      </c>
    </row>
    <row r="534" spans="1:20" s="470" customFormat="1" ht="11.25" customHeight="1">
      <c r="A534" s="451" t="s">
        <v>2525</v>
      </c>
      <c r="B534" s="451">
        <v>6</v>
      </c>
      <c r="C534" s="451" t="s">
        <v>293</v>
      </c>
      <c r="D534" s="451" t="s">
        <v>2427</v>
      </c>
      <c r="E534" s="451">
        <v>9</v>
      </c>
      <c r="F534" s="498">
        <v>0</v>
      </c>
      <c r="G534" s="498">
        <v>0</v>
      </c>
      <c r="H534" s="451">
        <f>IF(COUNTIF(AR_SHEET_スキル,"ジャストディフェンス")&gt;0,IF($S534&lt;0,0,$S534),$S534)</f>
        <v>0</v>
      </c>
      <c r="I534" s="451">
        <v>10</v>
      </c>
      <c r="J534" s="451">
        <v>0</v>
      </c>
      <c r="K534" s="451">
        <v>0</v>
      </c>
      <c r="L534" s="451">
        <f>IF(COUNTIF(AR_SHEET_スキル,"イミューンウェイト")&gt;0,IF($T534&lt;0,0,$T534),$T534)</f>
        <v>-1</v>
      </c>
      <c r="M534" s="499" t="s">
        <v>83</v>
      </c>
      <c r="N534" s="450" t="s">
        <v>2526</v>
      </c>
      <c r="O534" s="500">
        <v>15000</v>
      </c>
      <c r="P534" s="498">
        <v>14</v>
      </c>
      <c r="Q534" s="451"/>
      <c r="R534" s="461"/>
      <c r="S534" s="451">
        <v>0</v>
      </c>
      <c r="T534" s="451">
        <v>-1</v>
      </c>
    </row>
    <row r="535" spans="1:20" s="470" customFormat="1" ht="11.25" customHeight="1">
      <c r="A535" s="451" t="s">
        <v>2527</v>
      </c>
      <c r="B535" s="451">
        <v>7</v>
      </c>
      <c r="C535" s="451" t="s">
        <v>293</v>
      </c>
      <c r="D535" s="451" t="s">
        <v>2401</v>
      </c>
      <c r="E535" s="451">
        <v>13</v>
      </c>
      <c r="F535" s="498">
        <v>0</v>
      </c>
      <c r="G535" s="498">
        <v>0</v>
      </c>
      <c r="H535" s="451">
        <f>IF(COUNTIF(AR_SHEET_スキル,"ジャストディフェンス")&gt;0,IF($S535&lt;0,0,$S535),$S535)</f>
        <v>0</v>
      </c>
      <c r="I535" s="451">
        <v>8</v>
      </c>
      <c r="J535" s="451">
        <v>5</v>
      </c>
      <c r="K535" s="451">
        <v>0</v>
      </c>
      <c r="L535" s="451">
        <f>IF(COUNTIF(AR_SHEET_スキル,"イミューンウェイト")&gt;0,IF($T535&lt;0,0,$T535),$T535)</f>
        <v>0</v>
      </c>
      <c r="M535" s="499" t="s">
        <v>83</v>
      </c>
      <c r="N535" s="450" t="s">
        <v>2528</v>
      </c>
      <c r="O535" s="500">
        <v>6500</v>
      </c>
      <c r="P535" s="498">
        <v>13</v>
      </c>
      <c r="Q535" s="451"/>
      <c r="R535" s="461"/>
      <c r="S535" s="451">
        <f>IF(COUNTIF(AR_SHEET_装備データ,"盾")&gt;0,2,0)</f>
        <v>0</v>
      </c>
      <c r="T535" s="451">
        <v>0</v>
      </c>
    </row>
    <row r="536" spans="1:20" s="470" customFormat="1" ht="11.25" customHeight="1">
      <c r="A536" s="451" t="s">
        <v>2529</v>
      </c>
      <c r="B536" s="451">
        <v>9</v>
      </c>
      <c r="C536" s="451" t="s">
        <v>293</v>
      </c>
      <c r="D536" s="451" t="s">
        <v>2433</v>
      </c>
      <c r="E536" s="451">
        <v>5</v>
      </c>
      <c r="F536" s="498">
        <v>0</v>
      </c>
      <c r="G536" s="498">
        <v>0</v>
      </c>
      <c r="H536" s="451">
        <f>IF(COUNTIF(AR_SHEET_スキル,"ジャストディフェンス")&gt;0,IF($S536&lt;0,0,$S536),$S536)</f>
        <v>-1</v>
      </c>
      <c r="I536" s="451">
        <v>5</v>
      </c>
      <c r="J536" s="451">
        <v>-5</v>
      </c>
      <c r="K536" s="451">
        <v>0</v>
      </c>
      <c r="L536" s="451">
        <f>IF(COUNTIF(AR_SHEET_スキル,"イミューンウェイト")&gt;0,IF($T536&lt;0,0,$T536),$T536)</f>
        <v>0</v>
      </c>
      <c r="M536" s="499" t="s">
        <v>83</v>
      </c>
      <c r="N536" s="450" t="s">
        <v>2530</v>
      </c>
      <c r="O536" s="500">
        <v>24000</v>
      </c>
      <c r="P536" s="498">
        <v>15</v>
      </c>
      <c r="Q536" s="451"/>
      <c r="R536" s="450"/>
      <c r="S536" s="451">
        <v>-1</v>
      </c>
      <c r="T536" s="451">
        <v>0</v>
      </c>
    </row>
    <row r="537" spans="1:20" s="470" customFormat="1" ht="11.25" customHeight="1">
      <c r="A537" s="451" t="s">
        <v>2531</v>
      </c>
      <c r="B537" s="451">
        <v>10</v>
      </c>
      <c r="C537" s="451" t="s">
        <v>293</v>
      </c>
      <c r="D537" s="451" t="s">
        <v>2391</v>
      </c>
      <c r="E537" s="451">
        <v>13</v>
      </c>
      <c r="F537" s="498">
        <v>0</v>
      </c>
      <c r="G537" s="498">
        <v>0</v>
      </c>
      <c r="H537" s="451">
        <f>IF(COUNTIF(AR_SHEET_スキル,"ジャストディフェンス")&gt;0,IF($S537&lt;0,0,$S537),$S537)</f>
        <v>-2</v>
      </c>
      <c r="I537" s="451">
        <v>10</v>
      </c>
      <c r="J537" s="451">
        <v>0</v>
      </c>
      <c r="K537" s="451">
        <v>0</v>
      </c>
      <c r="L537" s="451">
        <f>IF(COUNTIF(AR_SHEET_スキル,"イミューンウェイト")&gt;0,IF($T537&lt;0,0,$T537),$T537)</f>
        <v>-3</v>
      </c>
      <c r="M537" s="499" t="s">
        <v>83</v>
      </c>
      <c r="N537" s="450" t="s">
        <v>2532</v>
      </c>
      <c r="O537" s="500">
        <v>12000</v>
      </c>
      <c r="P537" s="498">
        <v>15</v>
      </c>
      <c r="Q537" s="451"/>
      <c r="R537" s="461"/>
      <c r="S537" s="451">
        <v>-2</v>
      </c>
      <c r="T537" s="451">
        <v>-3</v>
      </c>
    </row>
    <row r="538" spans="1:20" ht="13.5">
      <c r="A538" s="451" t="s">
        <v>2533</v>
      </c>
      <c r="B538" s="451">
        <v>8</v>
      </c>
      <c r="C538" s="451" t="s">
        <v>293</v>
      </c>
      <c r="D538" s="451" t="s">
        <v>2401</v>
      </c>
      <c r="E538" s="451">
        <v>5</v>
      </c>
      <c r="F538" s="498">
        <v>0</v>
      </c>
      <c r="G538" s="498">
        <v>0</v>
      </c>
      <c r="H538" s="451">
        <f>IF(COUNTIF(AR_SHEET_スキル,"ジャストディフェンス")&gt;0,IF($S538&lt;0,0,$S538),$S538)</f>
        <v>1</v>
      </c>
      <c r="I538" s="451">
        <v>9</v>
      </c>
      <c r="J538" s="498">
        <v>0</v>
      </c>
      <c r="K538" s="498">
        <v>0</v>
      </c>
      <c r="L538" s="451">
        <f>IF(COUNTIF(AR_SHEET_スキル,"イミューンウェイト")&gt;0,IF($T538&lt;0,0,$T538),$T538)</f>
        <v>0</v>
      </c>
      <c r="M538" s="499" t="s">
        <v>83</v>
      </c>
      <c r="N538" s="450"/>
      <c r="O538" s="500">
        <v>12100</v>
      </c>
      <c r="P538" s="498">
        <v>14</v>
      </c>
      <c r="Q538" s="451"/>
      <c r="S538" s="451">
        <v>1</v>
      </c>
      <c r="T538" s="451">
        <v>0</v>
      </c>
    </row>
    <row r="539" spans="1:20" ht="13.5">
      <c r="A539" s="451"/>
      <c r="B539" s="451"/>
      <c r="C539" s="451"/>
      <c r="D539" s="451"/>
      <c r="E539" s="451"/>
      <c r="F539" s="498"/>
      <c r="G539" s="498"/>
      <c r="H539" s="451"/>
      <c r="I539" s="451"/>
      <c r="J539" s="451"/>
      <c r="L539" s="451"/>
      <c r="M539" s="499"/>
      <c r="N539" s="450"/>
      <c r="O539" s="500"/>
      <c r="P539" s="498"/>
      <c r="Q539" s="451"/>
      <c r="S539" s="451"/>
      <c r="T539" s="451"/>
    </row>
    <row r="540" spans="1:20" ht="13.5">
      <c r="A540" s="451"/>
      <c r="B540" s="451"/>
      <c r="C540" s="451"/>
      <c r="D540" s="451"/>
      <c r="E540" s="451"/>
      <c r="F540" s="498"/>
      <c r="G540" s="498"/>
      <c r="H540" s="451"/>
      <c r="I540" s="451"/>
      <c r="J540" s="451"/>
      <c r="L540" s="451"/>
      <c r="M540" s="499"/>
      <c r="N540" s="450"/>
      <c r="O540" s="500"/>
      <c r="P540" s="498"/>
      <c r="Q540" s="451"/>
      <c r="S540" s="451"/>
      <c r="T540" s="451"/>
    </row>
    <row r="541" spans="1:20" ht="13.5">
      <c r="A541" s="451"/>
      <c r="B541" s="451"/>
      <c r="C541" s="451"/>
      <c r="D541" s="451"/>
      <c r="E541" s="451"/>
      <c r="F541" s="498"/>
      <c r="G541" s="498"/>
      <c r="H541" s="451"/>
      <c r="I541" s="451"/>
      <c r="J541" s="451"/>
      <c r="L541" s="451"/>
      <c r="M541" s="499"/>
      <c r="N541" s="450"/>
      <c r="O541" s="500"/>
      <c r="P541" s="498"/>
      <c r="Q541" s="451"/>
      <c r="S541" s="451"/>
      <c r="T541" s="451"/>
    </row>
    <row r="542" spans="1:20" ht="13.5">
      <c r="A542" s="451"/>
      <c r="B542" s="451"/>
      <c r="C542" s="451"/>
      <c r="D542" s="451"/>
      <c r="E542" s="451"/>
      <c r="F542" s="498"/>
      <c r="G542" s="498"/>
      <c r="H542" s="451"/>
      <c r="I542" s="451"/>
      <c r="J542" s="451"/>
      <c r="L542" s="451"/>
      <c r="M542" s="499"/>
      <c r="N542" s="450"/>
      <c r="O542" s="500"/>
      <c r="P542" s="498"/>
      <c r="Q542" s="451"/>
      <c r="S542" s="451"/>
      <c r="T542" s="451"/>
    </row>
    <row r="543" spans="1:20" ht="13.5">
      <c r="A543" s="451"/>
      <c r="B543" s="451"/>
      <c r="C543" s="451"/>
      <c r="D543" s="451"/>
      <c r="E543" s="451"/>
      <c r="F543" s="498"/>
      <c r="G543" s="498"/>
      <c r="H543" s="451"/>
      <c r="I543" s="451"/>
      <c r="J543" s="451"/>
      <c r="L543" s="451"/>
      <c r="M543" s="499"/>
      <c r="N543" s="450"/>
      <c r="O543" s="500"/>
      <c r="P543" s="498"/>
      <c r="Q543" s="451"/>
      <c r="S543" s="451"/>
      <c r="T543" s="451"/>
    </row>
    <row r="544" spans="6:18" s="451" customFormat="1" ht="11.25">
      <c r="F544" s="498"/>
      <c r="G544" s="498"/>
      <c r="K544" s="390"/>
      <c r="M544" s="499"/>
      <c r="N544" s="450"/>
      <c r="O544" s="500"/>
      <c r="P544" s="498"/>
      <c r="R544" s="450"/>
    </row>
    <row r="545" spans="1:256" ht="13.5">
      <c r="A545" s="451"/>
      <c r="B545" s="451"/>
      <c r="C545" s="451"/>
      <c r="D545" s="451"/>
      <c r="E545" s="451"/>
      <c r="F545" s="498"/>
      <c r="G545" s="498"/>
      <c r="H545" s="451"/>
      <c r="I545" s="451"/>
      <c r="J545" s="451"/>
      <c r="L545" s="451"/>
      <c r="M545" s="499"/>
      <c r="N545" s="450"/>
      <c r="O545" s="500"/>
      <c r="P545" s="498"/>
      <c r="Q545" s="451"/>
      <c r="R545"/>
      <c r="S545" s="451"/>
      <c r="T545" s="451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0" ht="13.5">
      <c r="A546" s="451"/>
      <c r="B546" s="451"/>
      <c r="C546" s="451"/>
      <c r="D546" s="451"/>
      <c r="E546" s="451"/>
      <c r="F546" s="498"/>
      <c r="G546" s="498"/>
      <c r="H546" s="451"/>
      <c r="I546" s="451"/>
      <c r="J546" s="451"/>
      <c r="L546" s="451"/>
      <c r="M546" s="451"/>
      <c r="N546" s="450"/>
      <c r="O546" s="500"/>
      <c r="P546" s="498"/>
      <c r="Q546" s="451"/>
      <c r="S546" s="451"/>
      <c r="T546" s="451"/>
    </row>
    <row r="547" spans="1:256" ht="13.5">
      <c r="A547" s="451"/>
      <c r="B547" s="451"/>
      <c r="C547" s="451"/>
      <c r="D547" s="451"/>
      <c r="E547" s="451"/>
      <c r="F547" s="498"/>
      <c r="G547" s="498"/>
      <c r="H547" s="451"/>
      <c r="I547" s="451"/>
      <c r="J547" s="451"/>
      <c r="L547" s="451"/>
      <c r="M547" s="451"/>
      <c r="N547" s="450"/>
      <c r="O547" s="500"/>
      <c r="P547" s="498"/>
      <c r="Q547" s="451"/>
      <c r="R547"/>
      <c r="S547" s="451"/>
      <c r="T547" s="451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ht="13.5">
      <c r="A548" s="451"/>
      <c r="B548" s="451"/>
      <c r="C548" s="451"/>
      <c r="D548" s="451"/>
      <c r="E548" s="451"/>
      <c r="F548" s="498"/>
      <c r="G548" s="498"/>
      <c r="H548" s="451"/>
      <c r="I548" s="451"/>
      <c r="J548" s="451"/>
      <c r="L548" s="451"/>
      <c r="M548" s="451"/>
      <c r="N548" s="450"/>
      <c r="O548" s="500"/>
      <c r="P548" s="498"/>
      <c r="Q548" s="451"/>
      <c r="R548"/>
      <c r="S548" s="451"/>
      <c r="T548" s="451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ht="13.5">
      <c r="A549" s="451"/>
      <c r="B549" s="451"/>
      <c r="C549" s="451"/>
      <c r="D549" s="451"/>
      <c r="E549" s="451"/>
      <c r="F549" s="498"/>
      <c r="G549" s="498"/>
      <c r="H549" s="451"/>
      <c r="I549" s="451"/>
      <c r="J549" s="451"/>
      <c r="L549" s="451"/>
      <c r="M549" s="451"/>
      <c r="N549" s="450"/>
      <c r="O549" s="500"/>
      <c r="P549" s="498"/>
      <c r="Q549" s="451"/>
      <c r="R549"/>
      <c r="S549" s="451"/>
      <c r="T549" s="451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ht="13.5">
      <c r="A550" s="451"/>
      <c r="B550" s="451"/>
      <c r="C550" s="451"/>
      <c r="D550" s="451"/>
      <c r="E550" s="451"/>
      <c r="F550" s="498"/>
      <c r="G550" s="498"/>
      <c r="H550" s="451"/>
      <c r="I550" s="451"/>
      <c r="J550" s="451"/>
      <c r="L550" s="451"/>
      <c r="M550" s="451"/>
      <c r="N550" s="450"/>
      <c r="O550" s="500"/>
      <c r="P550" s="498"/>
      <c r="Q550" s="451"/>
      <c r="R550"/>
      <c r="S550" s="451"/>
      <c r="T550" s="451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ht="13.5">
      <c r="A551" s="451"/>
      <c r="B551" s="451"/>
      <c r="C551" s="451"/>
      <c r="D551" s="451"/>
      <c r="E551" s="451"/>
      <c r="F551" s="498"/>
      <c r="G551" s="498"/>
      <c r="H551" s="451"/>
      <c r="I551" s="451"/>
      <c r="J551" s="451"/>
      <c r="L551" s="451"/>
      <c r="M551" s="451"/>
      <c r="N551" s="450"/>
      <c r="O551" s="500"/>
      <c r="P551" s="498"/>
      <c r="Q551" s="451"/>
      <c r="R551"/>
      <c r="S551" s="451"/>
      <c r="T551" s="4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 ht="13.5">
      <c r="A552" s="451"/>
      <c r="B552" s="451"/>
      <c r="C552" s="451"/>
      <c r="D552" s="451"/>
      <c r="E552" s="451"/>
      <c r="F552" s="498"/>
      <c r="G552" s="498"/>
      <c r="H552" s="451"/>
      <c r="I552" s="451"/>
      <c r="J552" s="451"/>
      <c r="L552" s="451"/>
      <c r="M552" s="451"/>
      <c r="N552" s="450"/>
      <c r="O552" s="500"/>
      <c r="P552" s="498"/>
      <c r="Q552" s="451"/>
      <c r="R552"/>
      <c r="S552" s="451"/>
      <c r="T552" s="451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0" ht="13.5">
      <c r="A553" s="451"/>
      <c r="B553" s="451"/>
      <c r="C553" s="451"/>
      <c r="D553" s="451"/>
      <c r="E553" s="451"/>
      <c r="F553" s="498"/>
      <c r="G553" s="498"/>
      <c r="H553" s="451"/>
      <c r="I553" s="451"/>
      <c r="J553" s="451"/>
      <c r="L553" s="451"/>
      <c r="M553" s="451"/>
      <c r="N553" s="450"/>
      <c r="O553" s="500"/>
      <c r="P553" s="498"/>
      <c r="Q553" s="451"/>
      <c r="S553" s="451"/>
      <c r="T553" s="451"/>
    </row>
    <row r="554" spans="1:256" ht="13.5">
      <c r="A554" s="451"/>
      <c r="B554" s="451"/>
      <c r="C554" s="451"/>
      <c r="D554" s="451"/>
      <c r="E554" s="451"/>
      <c r="F554" s="498"/>
      <c r="G554" s="498"/>
      <c r="H554" s="451"/>
      <c r="I554" s="451"/>
      <c r="J554" s="451"/>
      <c r="L554" s="451"/>
      <c r="M554" s="451"/>
      <c r="N554" s="450"/>
      <c r="O554" s="500"/>
      <c r="P554" s="498"/>
      <c r="Q554" s="451"/>
      <c r="R554"/>
      <c r="S554" s="451"/>
      <c r="T554" s="451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ht="13.5">
      <c r="A555" s="451"/>
      <c r="B555" s="451"/>
      <c r="C555" s="451"/>
      <c r="D555" s="451"/>
      <c r="E555" s="451"/>
      <c r="F555" s="498"/>
      <c r="G555" s="498"/>
      <c r="H555" s="451"/>
      <c r="I555" s="451"/>
      <c r="J555" s="451"/>
      <c r="L555" s="451"/>
      <c r="M555" s="451"/>
      <c r="N555" s="450"/>
      <c r="O555" s="500"/>
      <c r="P555" s="498"/>
      <c r="Q555" s="451"/>
      <c r="R555"/>
      <c r="S555" s="451"/>
      <c r="T555" s="451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6:18" s="451" customFormat="1" ht="11.25">
      <c r="F556" s="498"/>
      <c r="G556" s="498"/>
      <c r="K556" s="390"/>
      <c r="N556" s="450"/>
      <c r="O556" s="500"/>
      <c r="P556" s="498"/>
      <c r="R556" s="450"/>
    </row>
    <row r="557" spans="1:256" ht="13.5">
      <c r="A557" s="451"/>
      <c r="B557" s="451"/>
      <c r="C557" s="451"/>
      <c r="D557" s="451"/>
      <c r="E557" s="451"/>
      <c r="F557" s="498"/>
      <c r="G557" s="498"/>
      <c r="H557" s="451"/>
      <c r="I557" s="451"/>
      <c r="J557" s="451"/>
      <c r="L557" s="451"/>
      <c r="M557" s="451"/>
      <c r="N557" s="450"/>
      <c r="O557" s="500"/>
      <c r="P557" s="498"/>
      <c r="Q557" s="451"/>
      <c r="R557"/>
      <c r="S557" s="451"/>
      <c r="T557" s="451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ht="13.5">
      <c r="A558" s="451"/>
      <c r="B558" s="451"/>
      <c r="C558" s="451"/>
      <c r="D558" s="451"/>
      <c r="E558" s="451"/>
      <c r="F558" s="498"/>
      <c r="G558" s="498"/>
      <c r="H558" s="451"/>
      <c r="I558" s="451"/>
      <c r="J558" s="451"/>
      <c r="L558" s="451"/>
      <c r="M558" s="451"/>
      <c r="N558" s="450"/>
      <c r="O558" s="500"/>
      <c r="P558" s="498"/>
      <c r="Q558" s="451"/>
      <c r="R558"/>
      <c r="S558" s="451"/>
      <c r="T558" s="451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ht="13.5">
      <c r="A559" s="451"/>
      <c r="B559" s="451"/>
      <c r="C559" s="451"/>
      <c r="D559" s="451"/>
      <c r="E559" s="451"/>
      <c r="F559" s="498"/>
      <c r="G559" s="498"/>
      <c r="H559" s="451"/>
      <c r="I559" s="451"/>
      <c r="J559" s="451"/>
      <c r="L559" s="451"/>
      <c r="M559" s="451"/>
      <c r="N559" s="450"/>
      <c r="O559" s="500"/>
      <c r="P559" s="498"/>
      <c r="Q559" s="451"/>
      <c r="R559"/>
      <c r="S559" s="451"/>
      <c r="T559" s="451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ht="13.5">
      <c r="A560" s="451"/>
      <c r="B560" s="451"/>
      <c r="C560" s="451"/>
      <c r="D560" s="451"/>
      <c r="E560" s="451"/>
      <c r="F560" s="498"/>
      <c r="G560" s="498"/>
      <c r="H560" s="451"/>
      <c r="I560" s="451"/>
      <c r="J560" s="451"/>
      <c r="L560" s="451"/>
      <c r="M560" s="451"/>
      <c r="N560" s="450"/>
      <c r="O560" s="500"/>
      <c r="P560" s="498"/>
      <c r="Q560" s="451"/>
      <c r="R560"/>
      <c r="S560" s="451"/>
      <c r="T560" s="451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0" ht="13.5">
      <c r="A561" s="451"/>
      <c r="B561" s="451"/>
      <c r="C561" s="451"/>
      <c r="D561" s="451"/>
      <c r="E561" s="451"/>
      <c r="F561" s="498"/>
      <c r="G561" s="498"/>
      <c r="H561" s="451"/>
      <c r="I561" s="451"/>
      <c r="J561" s="451"/>
      <c r="L561" s="451"/>
      <c r="M561" s="451"/>
      <c r="N561" s="450"/>
      <c r="O561" s="500"/>
      <c r="P561" s="498"/>
      <c r="Q561" s="451"/>
      <c r="S561" s="451"/>
      <c r="T561" s="451"/>
    </row>
    <row r="562" spans="1:256" ht="13.5">
      <c r="A562" s="451"/>
      <c r="B562" s="451"/>
      <c r="C562" s="451"/>
      <c r="D562" s="451"/>
      <c r="E562" s="451"/>
      <c r="F562" s="498"/>
      <c r="G562" s="498"/>
      <c r="H562" s="451"/>
      <c r="I562" s="451"/>
      <c r="J562" s="451"/>
      <c r="L562" s="451"/>
      <c r="M562" s="451"/>
      <c r="N562" s="450"/>
      <c r="O562" s="500"/>
      <c r="P562" s="498"/>
      <c r="Q562" s="451"/>
      <c r="R562"/>
      <c r="S562" s="451"/>
      <c r="T562" s="451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ht="13.5">
      <c r="A563" s="451"/>
      <c r="B563" s="451"/>
      <c r="C563" s="451"/>
      <c r="D563" s="451"/>
      <c r="E563" s="451"/>
      <c r="F563" s="498"/>
      <c r="G563" s="498"/>
      <c r="H563" s="451"/>
      <c r="I563" s="451"/>
      <c r="J563" s="451"/>
      <c r="L563" s="451"/>
      <c r="M563" s="451"/>
      <c r="N563" s="450"/>
      <c r="O563" s="500"/>
      <c r="P563" s="498"/>
      <c r="Q563" s="451"/>
      <c r="R563"/>
      <c r="S563" s="451"/>
      <c r="T563" s="451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6:18" s="451" customFormat="1" ht="11.25">
      <c r="F564" s="498"/>
      <c r="G564" s="498"/>
      <c r="K564" s="390"/>
      <c r="N564" s="450"/>
      <c r="O564" s="500"/>
      <c r="P564" s="498"/>
      <c r="R564" s="450"/>
    </row>
    <row r="565" spans="1:20" ht="13.5">
      <c r="A565" s="451"/>
      <c r="B565" s="451"/>
      <c r="C565" s="451"/>
      <c r="D565" s="451"/>
      <c r="E565" s="451"/>
      <c r="F565" s="498"/>
      <c r="G565" s="498"/>
      <c r="H565" s="451"/>
      <c r="I565" s="451"/>
      <c r="J565" s="451"/>
      <c r="L565" s="451"/>
      <c r="M565" s="499"/>
      <c r="N565" s="450"/>
      <c r="O565" s="500"/>
      <c r="P565" s="498"/>
      <c r="Q565" s="451"/>
      <c r="S565" s="451"/>
      <c r="T565" s="451"/>
    </row>
    <row r="566" spans="1:20" ht="13.5">
      <c r="A566" s="451"/>
      <c r="B566" s="451"/>
      <c r="C566" s="451"/>
      <c r="D566" s="451"/>
      <c r="E566" s="451"/>
      <c r="F566" s="498"/>
      <c r="G566" s="498"/>
      <c r="H566" s="451"/>
      <c r="I566" s="451"/>
      <c r="J566" s="451"/>
      <c r="L566" s="451"/>
      <c r="M566" s="451"/>
      <c r="N566" s="450"/>
      <c r="O566" s="500"/>
      <c r="P566" s="498"/>
      <c r="Q566" s="451"/>
      <c r="S566" s="451"/>
      <c r="T566" s="451"/>
    </row>
    <row r="567" spans="6:18" s="451" customFormat="1" ht="11.25">
      <c r="F567" s="498"/>
      <c r="G567" s="498"/>
      <c r="K567" s="390"/>
      <c r="N567" s="450"/>
      <c r="O567" s="500"/>
      <c r="P567" s="498"/>
      <c r="R567" s="450"/>
    </row>
    <row r="568" spans="1:256" ht="13.5">
      <c r="A568" s="451"/>
      <c r="B568" s="451"/>
      <c r="C568" s="451"/>
      <c r="D568" s="451"/>
      <c r="E568" s="451"/>
      <c r="F568" s="498"/>
      <c r="G568" s="498"/>
      <c r="H568" s="451"/>
      <c r="I568" s="451"/>
      <c r="J568" s="451"/>
      <c r="L568" s="451"/>
      <c r="M568" s="451"/>
      <c r="N568" s="450"/>
      <c r="O568" s="500"/>
      <c r="P568" s="498"/>
      <c r="Q568" s="451"/>
      <c r="R568"/>
      <c r="S568" s="451"/>
      <c r="T568" s="451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ht="13.5">
      <c r="A569" s="451"/>
      <c r="B569" s="451"/>
      <c r="C569" s="451"/>
      <c r="D569" s="451"/>
      <c r="E569" s="451"/>
      <c r="F569" s="498"/>
      <c r="G569" s="498"/>
      <c r="H569" s="451"/>
      <c r="I569" s="451"/>
      <c r="J569" s="451"/>
      <c r="L569" s="451"/>
      <c r="M569" s="451"/>
      <c r="N569" s="450"/>
      <c r="O569" s="500"/>
      <c r="P569" s="498"/>
      <c r="Q569" s="451"/>
      <c r="R569"/>
      <c r="S569" s="451"/>
      <c r="T569" s="451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1:19" ht="11.25" customHeight="1">
      <c r="A570" s="46" t="s">
        <v>2534</v>
      </c>
      <c r="B570" s="489" t="s">
        <v>111</v>
      </c>
      <c r="C570" s="489" t="s">
        <v>253</v>
      </c>
      <c r="D570" s="489" t="s">
        <v>254</v>
      </c>
      <c r="E570" s="489" t="s">
        <v>255</v>
      </c>
      <c r="F570" s="490" t="s">
        <v>174</v>
      </c>
      <c r="G570" s="490" t="s">
        <v>256</v>
      </c>
      <c r="H570" s="489" t="s">
        <v>233</v>
      </c>
      <c r="I570" s="489" t="s">
        <v>257</v>
      </c>
      <c r="J570" s="489" t="s">
        <v>258</v>
      </c>
      <c r="K570" s="489" t="s">
        <v>259</v>
      </c>
      <c r="L570" s="489" t="s">
        <v>260</v>
      </c>
      <c r="M570" s="491" t="s">
        <v>261</v>
      </c>
      <c r="N570" s="489" t="s">
        <v>262</v>
      </c>
      <c r="O570" s="492" t="s">
        <v>223</v>
      </c>
      <c r="P570" s="490" t="s">
        <v>2093</v>
      </c>
      <c r="Q570" s="493" t="s">
        <v>2094</v>
      </c>
      <c r="R570" s="399" t="s">
        <v>2095</v>
      </c>
      <c r="S570" s="213"/>
    </row>
    <row r="571" spans="1:19" ht="11.25" customHeight="1">
      <c r="A571" s="213"/>
      <c r="B571" s="213"/>
      <c r="C571" s="213"/>
      <c r="D571" s="213"/>
      <c r="E571" s="213"/>
      <c r="F571" s="311"/>
      <c r="G571" s="311"/>
      <c r="H571" s="213"/>
      <c r="I571" s="213"/>
      <c r="J571" s="213"/>
      <c r="K571" s="213"/>
      <c r="L571" s="213"/>
      <c r="M571" s="494"/>
      <c r="N571" s="213"/>
      <c r="O571" s="221"/>
      <c r="P571" s="311"/>
      <c r="R571" s="399"/>
      <c r="S571" s="213"/>
    </row>
    <row r="572" spans="1:16" ht="11.25" customHeight="1">
      <c r="A572" s="390" t="s">
        <v>2535</v>
      </c>
      <c r="B572" s="390">
        <v>1</v>
      </c>
      <c r="C572" s="390" t="s">
        <v>307</v>
      </c>
      <c r="D572" s="390" t="s">
        <v>2536</v>
      </c>
      <c r="E572" s="390">
        <v>1</v>
      </c>
      <c r="F572" s="485">
        <v>0</v>
      </c>
      <c r="G572" s="485">
        <v>0</v>
      </c>
      <c r="H572" s="390">
        <v>0</v>
      </c>
      <c r="I572" s="390">
        <v>0</v>
      </c>
      <c r="J572" s="390">
        <v>0</v>
      </c>
      <c r="K572" s="390">
        <v>0</v>
      </c>
      <c r="L572" s="390">
        <v>0</v>
      </c>
      <c r="M572" s="390" t="s">
        <v>83</v>
      </c>
      <c r="N572" s="461" t="s">
        <v>2537</v>
      </c>
      <c r="O572" s="487">
        <v>50</v>
      </c>
      <c r="P572" s="485" t="s">
        <v>83</v>
      </c>
    </row>
    <row r="573" spans="1:16" ht="11.25" customHeight="1">
      <c r="A573" s="390" t="s">
        <v>2538</v>
      </c>
      <c r="B573" s="390">
        <v>1</v>
      </c>
      <c r="C573" s="390" t="s">
        <v>307</v>
      </c>
      <c r="D573" s="390" t="s">
        <v>2427</v>
      </c>
      <c r="E573" s="390">
        <v>1</v>
      </c>
      <c r="F573" s="485">
        <v>0</v>
      </c>
      <c r="G573" s="485">
        <v>0</v>
      </c>
      <c r="H573" s="390">
        <v>0</v>
      </c>
      <c r="I573" s="390">
        <v>0</v>
      </c>
      <c r="J573" s="390">
        <v>0</v>
      </c>
      <c r="K573" s="390">
        <v>0</v>
      </c>
      <c r="L573" s="390">
        <v>0</v>
      </c>
      <c r="M573" s="390" t="s">
        <v>83</v>
      </c>
      <c r="N573" s="461" t="s">
        <v>2539</v>
      </c>
      <c r="O573" s="487">
        <v>50</v>
      </c>
      <c r="P573" s="485" t="s">
        <v>83</v>
      </c>
    </row>
    <row r="574" spans="1:16" ht="11.25" customHeight="1">
      <c r="A574" s="390" t="s">
        <v>2540</v>
      </c>
      <c r="B574" s="390">
        <v>1</v>
      </c>
      <c r="C574" s="390" t="s">
        <v>307</v>
      </c>
      <c r="D574" s="390" t="s">
        <v>1026</v>
      </c>
      <c r="E574" s="390">
        <v>1</v>
      </c>
      <c r="F574" s="485">
        <v>0</v>
      </c>
      <c r="G574" s="485">
        <v>0</v>
      </c>
      <c r="H574" s="485">
        <v>0</v>
      </c>
      <c r="I574" s="485">
        <v>0</v>
      </c>
      <c r="J574" s="485">
        <v>0</v>
      </c>
      <c r="K574" s="485">
        <v>0</v>
      </c>
      <c r="L574" s="390">
        <v>0</v>
      </c>
      <c r="M574" s="485" t="s">
        <v>83</v>
      </c>
      <c r="N574" s="461" t="s">
        <v>2541</v>
      </c>
      <c r="O574" s="487">
        <v>150</v>
      </c>
      <c r="P574" s="485" t="s">
        <v>83</v>
      </c>
    </row>
    <row r="575" spans="1:20" s="451" customFormat="1" ht="11.25" customHeight="1">
      <c r="A575" s="390" t="s">
        <v>2542</v>
      </c>
      <c r="B575" s="390">
        <v>1</v>
      </c>
      <c r="C575" s="390" t="s">
        <v>307</v>
      </c>
      <c r="D575" s="390" t="s">
        <v>2399</v>
      </c>
      <c r="E575" s="390">
        <v>1</v>
      </c>
      <c r="F575" s="485">
        <v>0</v>
      </c>
      <c r="G575" s="485">
        <v>0</v>
      </c>
      <c r="H575" s="390">
        <v>0</v>
      </c>
      <c r="I575" s="390">
        <v>0</v>
      </c>
      <c r="J575" s="390">
        <v>0</v>
      </c>
      <c r="K575" s="390">
        <v>0</v>
      </c>
      <c r="L575" s="390">
        <v>0</v>
      </c>
      <c r="M575" s="390" t="s">
        <v>83</v>
      </c>
      <c r="N575" s="461" t="s">
        <v>2543</v>
      </c>
      <c r="O575" s="487">
        <v>150</v>
      </c>
      <c r="P575" s="485" t="s">
        <v>83</v>
      </c>
      <c r="Q575" s="390"/>
      <c r="R575" s="461"/>
      <c r="S575" s="390"/>
      <c r="T575" s="390"/>
    </row>
    <row r="576" spans="1:16" ht="11.25" customHeight="1">
      <c r="A576" s="390" t="s">
        <v>2544</v>
      </c>
      <c r="B576" s="390">
        <v>1</v>
      </c>
      <c r="C576" s="390" t="s">
        <v>307</v>
      </c>
      <c r="D576" s="390" t="s">
        <v>2430</v>
      </c>
      <c r="E576" s="390">
        <v>1</v>
      </c>
      <c r="F576" s="485">
        <v>0</v>
      </c>
      <c r="G576" s="485">
        <v>0</v>
      </c>
      <c r="H576" s="390">
        <v>0</v>
      </c>
      <c r="I576" s="390">
        <v>0</v>
      </c>
      <c r="J576" s="390">
        <v>0</v>
      </c>
      <c r="K576" s="390">
        <v>0</v>
      </c>
      <c r="L576" s="390">
        <v>0</v>
      </c>
      <c r="M576" s="390" t="s">
        <v>83</v>
      </c>
      <c r="N576" s="461" t="s">
        <v>2545</v>
      </c>
      <c r="O576" s="487">
        <v>200</v>
      </c>
      <c r="P576" s="485" t="s">
        <v>83</v>
      </c>
    </row>
    <row r="577" spans="1:16" ht="11.25" customHeight="1">
      <c r="A577" s="390" t="s">
        <v>2546</v>
      </c>
      <c r="B577" s="390">
        <v>1</v>
      </c>
      <c r="C577" s="390" t="s">
        <v>307</v>
      </c>
      <c r="D577" s="390" t="s">
        <v>2411</v>
      </c>
      <c r="E577" s="390">
        <v>1</v>
      </c>
      <c r="F577" s="485">
        <v>0</v>
      </c>
      <c r="G577" s="485">
        <v>0</v>
      </c>
      <c r="H577" s="390">
        <v>0</v>
      </c>
      <c r="I577" s="390">
        <v>0</v>
      </c>
      <c r="J577" s="390">
        <v>0</v>
      </c>
      <c r="K577" s="390">
        <v>0</v>
      </c>
      <c r="L577" s="390">
        <v>0</v>
      </c>
      <c r="M577" s="390" t="s">
        <v>83</v>
      </c>
      <c r="N577" s="461" t="s">
        <v>2547</v>
      </c>
      <c r="O577" s="487">
        <v>200</v>
      </c>
      <c r="P577" s="485" t="s">
        <v>83</v>
      </c>
    </row>
    <row r="578" spans="1:20" s="451" customFormat="1" ht="11.25" customHeight="1">
      <c r="A578" s="390" t="s">
        <v>2548</v>
      </c>
      <c r="B578" s="390">
        <v>1</v>
      </c>
      <c r="C578" s="390" t="s">
        <v>307</v>
      </c>
      <c r="D578" s="390" t="s">
        <v>2549</v>
      </c>
      <c r="E578" s="390">
        <v>1</v>
      </c>
      <c r="F578" s="485">
        <v>0</v>
      </c>
      <c r="G578" s="485">
        <v>0</v>
      </c>
      <c r="H578" s="390">
        <v>0</v>
      </c>
      <c r="I578" s="390">
        <v>0</v>
      </c>
      <c r="J578" s="390">
        <v>0</v>
      </c>
      <c r="K578" s="390">
        <v>0</v>
      </c>
      <c r="L578" s="390">
        <v>0</v>
      </c>
      <c r="M578" s="390" t="s">
        <v>83</v>
      </c>
      <c r="N578" s="461" t="s">
        <v>2550</v>
      </c>
      <c r="O578" s="487">
        <v>250</v>
      </c>
      <c r="P578" s="485" t="s">
        <v>83</v>
      </c>
      <c r="Q578" s="390"/>
      <c r="R578" s="461"/>
      <c r="S578" s="390"/>
      <c r="T578" s="390"/>
    </row>
    <row r="579" spans="1:16" ht="11.25" customHeight="1">
      <c r="A579" s="390" t="s">
        <v>306</v>
      </c>
      <c r="B579" s="390">
        <v>2</v>
      </c>
      <c r="C579" s="390" t="s">
        <v>307</v>
      </c>
      <c r="D579" s="390" t="s">
        <v>2551</v>
      </c>
      <c r="E579" s="390">
        <v>1</v>
      </c>
      <c r="F579" s="485">
        <v>0</v>
      </c>
      <c r="G579" s="485">
        <f>IF(COUNTIF(AR_SHEET_装備データ,"格闘")&gt;0,2,0)</f>
        <v>2</v>
      </c>
      <c r="H579" s="485">
        <v>0</v>
      </c>
      <c r="I579" s="485">
        <v>0</v>
      </c>
      <c r="J579" s="485">
        <v>0</v>
      </c>
      <c r="K579" s="485">
        <v>0</v>
      </c>
      <c r="L579" s="390">
        <v>0</v>
      </c>
      <c r="M579" s="485" t="s">
        <v>83</v>
      </c>
      <c r="N579" s="461" t="s">
        <v>2552</v>
      </c>
      <c r="O579" s="487">
        <v>300</v>
      </c>
      <c r="P579" s="485" t="s">
        <v>83</v>
      </c>
    </row>
    <row r="580" spans="1:16" ht="11.25" customHeight="1">
      <c r="A580" s="390" t="s">
        <v>2553</v>
      </c>
      <c r="B580" s="390">
        <v>2</v>
      </c>
      <c r="C580" s="390" t="s">
        <v>307</v>
      </c>
      <c r="D580" s="390" t="s">
        <v>2425</v>
      </c>
      <c r="E580" s="390">
        <v>1</v>
      </c>
      <c r="F580" s="485">
        <v>0</v>
      </c>
      <c r="G580" s="485">
        <v>0</v>
      </c>
      <c r="H580" s="485">
        <v>0</v>
      </c>
      <c r="I580" s="485">
        <v>0</v>
      </c>
      <c r="J580" s="485">
        <v>0</v>
      </c>
      <c r="K580" s="485">
        <v>0</v>
      </c>
      <c r="L580" s="390">
        <v>0</v>
      </c>
      <c r="M580" s="485" t="s">
        <v>83</v>
      </c>
      <c r="N580" s="461" t="s">
        <v>2554</v>
      </c>
      <c r="O580" s="487">
        <v>500</v>
      </c>
      <c r="P580" s="485" t="s">
        <v>83</v>
      </c>
    </row>
    <row r="581" spans="1:16" ht="11.25" customHeight="1">
      <c r="A581" s="390" t="s">
        <v>2555</v>
      </c>
      <c r="B581" s="390">
        <v>2</v>
      </c>
      <c r="C581" s="390" t="s">
        <v>307</v>
      </c>
      <c r="D581" s="390" t="s">
        <v>2423</v>
      </c>
      <c r="E581" s="390">
        <v>1</v>
      </c>
      <c r="F581" s="485">
        <v>0</v>
      </c>
      <c r="G581" s="485">
        <v>0</v>
      </c>
      <c r="H581" s="390">
        <v>0</v>
      </c>
      <c r="I581" s="390">
        <v>0</v>
      </c>
      <c r="J581" s="390">
        <v>0</v>
      </c>
      <c r="K581" s="390">
        <v>0</v>
      </c>
      <c r="L581" s="390">
        <v>0</v>
      </c>
      <c r="M581" s="486" t="s">
        <v>83</v>
      </c>
      <c r="N581" s="461" t="s">
        <v>2556</v>
      </c>
      <c r="O581" s="487">
        <v>500</v>
      </c>
      <c r="P581" s="485" t="s">
        <v>83</v>
      </c>
    </row>
    <row r="582" spans="1:16" ht="11.25" customHeight="1">
      <c r="A582" s="390" t="s">
        <v>2557</v>
      </c>
      <c r="B582" s="390">
        <v>3</v>
      </c>
      <c r="C582" s="390" t="s">
        <v>307</v>
      </c>
      <c r="D582" s="390" t="s">
        <v>2425</v>
      </c>
      <c r="E582" s="390">
        <v>1</v>
      </c>
      <c r="F582" s="485">
        <v>0</v>
      </c>
      <c r="G582" s="485">
        <v>0</v>
      </c>
      <c r="H582" s="390">
        <v>0</v>
      </c>
      <c r="I582" s="390">
        <v>3</v>
      </c>
      <c r="J582" s="390">
        <v>0</v>
      </c>
      <c r="K582" s="390">
        <v>0</v>
      </c>
      <c r="L582" s="390">
        <v>0</v>
      </c>
      <c r="M582" s="486" t="s">
        <v>83</v>
      </c>
      <c r="N582" s="461" t="s">
        <v>2558</v>
      </c>
      <c r="O582" s="487">
        <v>1000</v>
      </c>
      <c r="P582" s="485" t="s">
        <v>83</v>
      </c>
    </row>
    <row r="583" spans="1:16" ht="11.25" customHeight="1">
      <c r="A583" s="390" t="s">
        <v>2559</v>
      </c>
      <c r="B583" s="390">
        <v>4</v>
      </c>
      <c r="C583" s="390" t="s">
        <v>307</v>
      </c>
      <c r="D583" s="390" t="s">
        <v>2411</v>
      </c>
      <c r="E583" s="390">
        <v>1</v>
      </c>
      <c r="F583" s="485">
        <v>0</v>
      </c>
      <c r="G583" s="485">
        <v>0</v>
      </c>
      <c r="H583" s="485">
        <v>0</v>
      </c>
      <c r="I583" s="485">
        <v>0</v>
      </c>
      <c r="J583" s="485">
        <v>0</v>
      </c>
      <c r="K583" s="485">
        <v>0</v>
      </c>
      <c r="L583" s="390">
        <v>0</v>
      </c>
      <c r="M583" s="485" t="s">
        <v>83</v>
      </c>
      <c r="N583" s="461" t="s">
        <v>2560</v>
      </c>
      <c r="O583" s="487">
        <v>1500</v>
      </c>
      <c r="P583" s="485" t="s">
        <v>83</v>
      </c>
    </row>
    <row r="584" spans="1:16" ht="11.25" customHeight="1">
      <c r="A584" s="390" t="s">
        <v>2561</v>
      </c>
      <c r="B584" s="390">
        <v>5</v>
      </c>
      <c r="C584" s="390" t="s">
        <v>307</v>
      </c>
      <c r="D584" s="390" t="s">
        <v>1026</v>
      </c>
      <c r="E584" s="390">
        <v>1</v>
      </c>
      <c r="F584" s="485">
        <v>0</v>
      </c>
      <c r="G584" s="485">
        <v>0</v>
      </c>
      <c r="H584" s="485">
        <v>0</v>
      </c>
      <c r="I584" s="485">
        <v>0</v>
      </c>
      <c r="J584" s="485">
        <v>0</v>
      </c>
      <c r="K584" s="485">
        <v>0</v>
      </c>
      <c r="L584" s="390">
        <v>0</v>
      </c>
      <c r="M584" s="485" t="s">
        <v>83</v>
      </c>
      <c r="N584" s="461" t="s">
        <v>2562</v>
      </c>
      <c r="O584" s="487">
        <v>600</v>
      </c>
      <c r="P584" s="485" t="s">
        <v>83</v>
      </c>
    </row>
    <row r="585" spans="1:16" ht="11.25" customHeight="1">
      <c r="A585" s="390" t="s">
        <v>2563</v>
      </c>
      <c r="B585" s="390">
        <v>5</v>
      </c>
      <c r="C585" s="390" t="s">
        <v>307</v>
      </c>
      <c r="D585" s="390" t="s">
        <v>2551</v>
      </c>
      <c r="E585" s="390">
        <v>1</v>
      </c>
      <c r="F585" s="485">
        <v>0</v>
      </c>
      <c r="G585" s="485">
        <f>IF(COUNTIF(AR_SHEET_装備データ,"格闘")&gt;0,4,0)</f>
        <v>4</v>
      </c>
      <c r="H585" s="485">
        <v>0</v>
      </c>
      <c r="I585" s="485">
        <v>0</v>
      </c>
      <c r="J585" s="485">
        <v>0</v>
      </c>
      <c r="K585" s="485">
        <v>0</v>
      </c>
      <c r="L585" s="390">
        <v>0</v>
      </c>
      <c r="M585" s="485" t="s">
        <v>83</v>
      </c>
      <c r="N585" s="461" t="s">
        <v>2552</v>
      </c>
      <c r="O585" s="487">
        <v>1000</v>
      </c>
      <c r="P585" s="485" t="s">
        <v>83</v>
      </c>
    </row>
    <row r="586" spans="1:16" ht="11.25" customHeight="1">
      <c r="A586" s="390" t="s">
        <v>2564</v>
      </c>
      <c r="B586" s="390">
        <v>5</v>
      </c>
      <c r="C586" s="390" t="s">
        <v>307</v>
      </c>
      <c r="D586" s="390" t="s">
        <v>2423</v>
      </c>
      <c r="E586" s="390">
        <v>1</v>
      </c>
      <c r="F586" s="485">
        <v>0</v>
      </c>
      <c r="G586" s="485">
        <v>0</v>
      </c>
      <c r="H586" s="390">
        <v>0</v>
      </c>
      <c r="I586" s="390">
        <v>0</v>
      </c>
      <c r="J586" s="390">
        <v>0</v>
      </c>
      <c r="K586" s="390">
        <v>0</v>
      </c>
      <c r="L586" s="390">
        <v>0</v>
      </c>
      <c r="M586" s="486" t="s">
        <v>83</v>
      </c>
      <c r="N586" s="461" t="s">
        <v>2565</v>
      </c>
      <c r="O586" s="487">
        <v>1500</v>
      </c>
      <c r="P586" s="485" t="s">
        <v>83</v>
      </c>
    </row>
    <row r="587" spans="1:16" ht="11.25" customHeight="1">
      <c r="A587" s="390" t="s">
        <v>2566</v>
      </c>
      <c r="B587" s="390">
        <v>5</v>
      </c>
      <c r="C587" s="390" t="s">
        <v>307</v>
      </c>
      <c r="D587" s="390" t="s">
        <v>2455</v>
      </c>
      <c r="E587" s="390">
        <v>1</v>
      </c>
      <c r="F587" s="485">
        <v>0</v>
      </c>
      <c r="G587" s="485">
        <v>0</v>
      </c>
      <c r="H587" s="485">
        <v>0</v>
      </c>
      <c r="I587" s="485">
        <v>0</v>
      </c>
      <c r="J587" s="485">
        <v>0</v>
      </c>
      <c r="K587" s="485">
        <v>0</v>
      </c>
      <c r="L587" s="390">
        <v>0</v>
      </c>
      <c r="M587" s="485" t="s">
        <v>83</v>
      </c>
      <c r="N587" s="461" t="s">
        <v>2567</v>
      </c>
      <c r="O587" s="487">
        <v>2000</v>
      </c>
      <c r="P587" s="485" t="s">
        <v>83</v>
      </c>
    </row>
    <row r="588" spans="1:20" s="451" customFormat="1" ht="11.25" customHeight="1">
      <c r="A588" s="390" t="s">
        <v>2568</v>
      </c>
      <c r="B588" s="390">
        <v>5</v>
      </c>
      <c r="C588" s="390" t="s">
        <v>307</v>
      </c>
      <c r="D588" s="390" t="s">
        <v>2399</v>
      </c>
      <c r="E588" s="390">
        <v>2</v>
      </c>
      <c r="F588" s="485">
        <v>0</v>
      </c>
      <c r="G588" s="485">
        <v>0</v>
      </c>
      <c r="H588" s="390">
        <v>0</v>
      </c>
      <c r="I588" s="390">
        <v>0</v>
      </c>
      <c r="J588" s="390">
        <v>0</v>
      </c>
      <c r="K588" s="390">
        <v>0</v>
      </c>
      <c r="L588" s="390">
        <v>0</v>
      </c>
      <c r="M588" s="390" t="s">
        <v>83</v>
      </c>
      <c r="N588" s="461" t="s">
        <v>2569</v>
      </c>
      <c r="O588" s="487">
        <v>700</v>
      </c>
      <c r="P588" s="485" t="s">
        <v>83</v>
      </c>
      <c r="Q588" s="390"/>
      <c r="R588" s="461"/>
      <c r="S588" s="390"/>
      <c r="T588" s="390"/>
    </row>
    <row r="589" spans="1:20" s="451" customFormat="1" ht="11.25" customHeight="1">
      <c r="A589" s="390" t="s">
        <v>2570</v>
      </c>
      <c r="B589" s="390">
        <v>5</v>
      </c>
      <c r="C589" s="390" t="s">
        <v>307</v>
      </c>
      <c r="D589" s="390" t="s">
        <v>2427</v>
      </c>
      <c r="E589" s="390">
        <v>2</v>
      </c>
      <c r="F589" s="485">
        <v>0</v>
      </c>
      <c r="G589" s="485">
        <v>0</v>
      </c>
      <c r="H589" s="390">
        <v>0</v>
      </c>
      <c r="I589" s="390">
        <v>0</v>
      </c>
      <c r="J589" s="390">
        <v>0</v>
      </c>
      <c r="K589" s="390">
        <v>0</v>
      </c>
      <c r="L589" s="390">
        <v>0</v>
      </c>
      <c r="M589" s="390" t="s">
        <v>83</v>
      </c>
      <c r="N589" s="461" t="s">
        <v>2571</v>
      </c>
      <c r="O589" s="487">
        <v>800</v>
      </c>
      <c r="P589" s="485" t="s">
        <v>83</v>
      </c>
      <c r="Q589" s="390"/>
      <c r="R589" s="461"/>
      <c r="S589" s="390"/>
      <c r="T589" s="390"/>
    </row>
    <row r="590" spans="1:16" ht="11.25" customHeight="1">
      <c r="A590" s="390" t="s">
        <v>2572</v>
      </c>
      <c r="B590" s="390">
        <v>5</v>
      </c>
      <c r="C590" s="390" t="s">
        <v>307</v>
      </c>
      <c r="D590" s="390" t="s">
        <v>2536</v>
      </c>
      <c r="E590" s="390">
        <v>2</v>
      </c>
      <c r="F590" s="485">
        <v>0</v>
      </c>
      <c r="G590" s="485">
        <v>0</v>
      </c>
      <c r="H590" s="390">
        <v>0</v>
      </c>
      <c r="I590" s="390">
        <v>0</v>
      </c>
      <c r="J590" s="390">
        <v>0</v>
      </c>
      <c r="K590" s="390">
        <v>0</v>
      </c>
      <c r="L590" s="390">
        <v>0</v>
      </c>
      <c r="M590" s="390" t="s">
        <v>83</v>
      </c>
      <c r="N590" s="461" t="s">
        <v>2573</v>
      </c>
      <c r="O590" s="487">
        <v>900</v>
      </c>
      <c r="P590" s="485" t="s">
        <v>83</v>
      </c>
    </row>
    <row r="591" spans="1:18" s="451" customFormat="1" ht="11.25" customHeight="1">
      <c r="A591" s="390" t="s">
        <v>2574</v>
      </c>
      <c r="B591" s="390">
        <v>5</v>
      </c>
      <c r="C591" s="390" t="s">
        <v>307</v>
      </c>
      <c r="D591" s="390" t="s">
        <v>2430</v>
      </c>
      <c r="E591" s="390">
        <v>2</v>
      </c>
      <c r="F591" s="485">
        <v>0</v>
      </c>
      <c r="G591" s="485">
        <v>0</v>
      </c>
      <c r="H591" s="390">
        <v>0</v>
      </c>
      <c r="I591" s="390">
        <v>0</v>
      </c>
      <c r="J591" s="390">
        <v>0</v>
      </c>
      <c r="K591" s="390">
        <v>0</v>
      </c>
      <c r="L591" s="390">
        <v>0</v>
      </c>
      <c r="M591" s="390" t="s">
        <v>83</v>
      </c>
      <c r="N591" s="461" t="s">
        <v>449</v>
      </c>
      <c r="O591" s="487">
        <v>1000</v>
      </c>
      <c r="P591" s="485" t="s">
        <v>83</v>
      </c>
      <c r="Q591" s="390"/>
      <c r="R591" s="450"/>
    </row>
    <row r="592" spans="1:18" s="451" customFormat="1" ht="11.25" customHeight="1">
      <c r="A592" s="390" t="s">
        <v>2575</v>
      </c>
      <c r="B592" s="390">
        <v>5</v>
      </c>
      <c r="C592" s="390" t="s">
        <v>307</v>
      </c>
      <c r="D592" s="390" t="s">
        <v>2425</v>
      </c>
      <c r="E592" s="390">
        <v>2</v>
      </c>
      <c r="F592" s="485">
        <f>IF(COUNTIF(AR_SHEET_装備データ,"刀")&gt;0,1,0)</f>
        <v>0</v>
      </c>
      <c r="G592" s="485">
        <f>IF(COUNTIF(AR_SHEET_装備データ,"刀")&gt;0,1,0)</f>
        <v>0</v>
      </c>
      <c r="H592" s="390">
        <v>0</v>
      </c>
      <c r="I592" s="390">
        <v>0</v>
      </c>
      <c r="J592" s="390">
        <v>0</v>
      </c>
      <c r="K592" s="390">
        <v>0</v>
      </c>
      <c r="L592" s="390">
        <v>0</v>
      </c>
      <c r="M592" s="486" t="s">
        <v>83</v>
      </c>
      <c r="N592" s="461" t="s">
        <v>2558</v>
      </c>
      <c r="O592" s="487">
        <v>1500</v>
      </c>
      <c r="P592" s="485" t="s">
        <v>83</v>
      </c>
      <c r="Q592" s="390"/>
      <c r="R592" s="450"/>
    </row>
    <row r="593" spans="1:16" ht="11.25" customHeight="1">
      <c r="A593" s="390" t="s">
        <v>2576</v>
      </c>
      <c r="B593" s="390">
        <v>7</v>
      </c>
      <c r="C593" s="390" t="s">
        <v>307</v>
      </c>
      <c r="D593" s="390" t="s">
        <v>2425</v>
      </c>
      <c r="E593" s="390">
        <v>2</v>
      </c>
      <c r="F593" s="485">
        <v>0</v>
      </c>
      <c r="G593" s="485">
        <v>0</v>
      </c>
      <c r="H593" s="390">
        <v>0</v>
      </c>
      <c r="I593" s="390">
        <v>0</v>
      </c>
      <c r="J593" s="390">
        <v>0</v>
      </c>
      <c r="K593" s="485">
        <f>IF(COUNTIF(AR_SHEET_装備データ,"刀")&gt;0,3,0)</f>
        <v>0</v>
      </c>
      <c r="L593" s="390">
        <v>0</v>
      </c>
      <c r="M593" s="486" t="s">
        <v>83</v>
      </c>
      <c r="N593" s="461" t="s">
        <v>2558</v>
      </c>
      <c r="O593" s="487">
        <v>3000</v>
      </c>
      <c r="P593" s="485" t="s">
        <v>83</v>
      </c>
    </row>
    <row r="594" spans="1:18" s="451" customFormat="1" ht="11.25" customHeight="1">
      <c r="A594" s="390" t="s">
        <v>2577</v>
      </c>
      <c r="B594" s="390">
        <v>9</v>
      </c>
      <c r="C594" s="390" t="s">
        <v>307</v>
      </c>
      <c r="D594" s="390" t="s">
        <v>2425</v>
      </c>
      <c r="E594" s="390">
        <v>2</v>
      </c>
      <c r="F594" s="485">
        <v>0</v>
      </c>
      <c r="G594" s="485">
        <f>IF(COUNTIF(AR_SHEET_装備データ,"刀")&gt;0,5,0)</f>
        <v>0</v>
      </c>
      <c r="H594" s="390">
        <v>0</v>
      </c>
      <c r="I594" s="390">
        <v>0</v>
      </c>
      <c r="J594" s="390">
        <v>0</v>
      </c>
      <c r="K594" s="390">
        <v>0</v>
      </c>
      <c r="L594" s="390">
        <v>0</v>
      </c>
      <c r="M594" s="486" t="s">
        <v>83</v>
      </c>
      <c r="N594" s="461" t="s">
        <v>2558</v>
      </c>
      <c r="O594" s="487">
        <v>5000</v>
      </c>
      <c r="P594" s="485" t="s">
        <v>83</v>
      </c>
      <c r="Q594" s="390"/>
      <c r="R594" s="450"/>
    </row>
    <row r="595" spans="1:18" s="451" customFormat="1" ht="11.25" customHeight="1">
      <c r="A595" s="390" t="s">
        <v>2578</v>
      </c>
      <c r="B595" s="390">
        <v>10</v>
      </c>
      <c r="C595" s="390" t="s">
        <v>307</v>
      </c>
      <c r="D595" s="390" t="s">
        <v>2551</v>
      </c>
      <c r="E595" s="390">
        <v>1</v>
      </c>
      <c r="F595" s="485">
        <v>0</v>
      </c>
      <c r="G595" s="485">
        <f>IF(COUNTIF(AR_SHEET_装備データ,"格闘")&gt;0,7,0)</f>
        <v>7</v>
      </c>
      <c r="H595" s="485">
        <v>0</v>
      </c>
      <c r="I595" s="485">
        <v>0</v>
      </c>
      <c r="J595" s="485">
        <v>0</v>
      </c>
      <c r="K595" s="485">
        <v>0</v>
      </c>
      <c r="L595" s="390">
        <v>0</v>
      </c>
      <c r="M595" s="485" t="s">
        <v>83</v>
      </c>
      <c r="N595" s="461" t="s">
        <v>2552</v>
      </c>
      <c r="O595" s="487">
        <v>18000</v>
      </c>
      <c r="P595" s="485" t="s">
        <v>83</v>
      </c>
      <c r="Q595" s="390"/>
      <c r="R595" s="450"/>
    </row>
    <row r="596" spans="1:18" s="451" customFormat="1" ht="11.25" customHeight="1">
      <c r="A596" s="390" t="s">
        <v>2579</v>
      </c>
      <c r="B596" s="390">
        <v>10</v>
      </c>
      <c r="C596" s="390" t="s">
        <v>307</v>
      </c>
      <c r="D596" s="390" t="s">
        <v>2423</v>
      </c>
      <c r="E596" s="390">
        <v>1</v>
      </c>
      <c r="F596" s="485">
        <v>0</v>
      </c>
      <c r="G596" s="485">
        <v>0</v>
      </c>
      <c r="H596" s="390">
        <v>0</v>
      </c>
      <c r="I596" s="390">
        <v>0</v>
      </c>
      <c r="J596" s="390">
        <v>0</v>
      </c>
      <c r="K596" s="390">
        <v>0</v>
      </c>
      <c r="L596" s="390">
        <v>0</v>
      </c>
      <c r="M596" s="486" t="s">
        <v>83</v>
      </c>
      <c r="N596" s="461" t="s">
        <v>2580</v>
      </c>
      <c r="O596" s="487">
        <v>21000</v>
      </c>
      <c r="P596" s="485" t="s">
        <v>83</v>
      </c>
      <c r="Q596" s="390"/>
      <c r="R596" s="450"/>
    </row>
    <row r="597" spans="1:18" s="451" customFormat="1" ht="11.25" customHeight="1">
      <c r="A597" s="390" t="s">
        <v>2581</v>
      </c>
      <c r="B597" s="390">
        <v>10</v>
      </c>
      <c r="C597" s="390" t="s">
        <v>307</v>
      </c>
      <c r="D597" s="390" t="s">
        <v>2425</v>
      </c>
      <c r="E597" s="390">
        <v>3</v>
      </c>
      <c r="F597" s="485">
        <v>0</v>
      </c>
      <c r="G597" s="485">
        <v>0</v>
      </c>
      <c r="H597" s="390">
        <v>0</v>
      </c>
      <c r="I597" s="390">
        <v>0</v>
      </c>
      <c r="J597" s="390">
        <v>0</v>
      </c>
      <c r="K597" s="390">
        <v>1</v>
      </c>
      <c r="L597" s="390">
        <v>0</v>
      </c>
      <c r="M597" s="486" t="s">
        <v>83</v>
      </c>
      <c r="N597" s="461" t="s">
        <v>2582</v>
      </c>
      <c r="O597" s="487">
        <v>30000</v>
      </c>
      <c r="P597" s="485" t="s">
        <v>83</v>
      </c>
      <c r="Q597" s="390"/>
      <c r="R597" s="450"/>
    </row>
    <row r="598" spans="1:20" s="470" customFormat="1" ht="11.25" customHeight="1">
      <c r="A598" s="451" t="s">
        <v>2583</v>
      </c>
      <c r="B598" s="451">
        <v>1</v>
      </c>
      <c r="C598" s="451" t="s">
        <v>307</v>
      </c>
      <c r="D598" s="451" t="s">
        <v>2411</v>
      </c>
      <c r="E598" s="451">
        <v>1</v>
      </c>
      <c r="F598" s="498">
        <v>0</v>
      </c>
      <c r="G598" s="498">
        <v>0</v>
      </c>
      <c r="H598" s="451">
        <v>0</v>
      </c>
      <c r="I598" s="451">
        <v>0</v>
      </c>
      <c r="J598" s="451">
        <v>0</v>
      </c>
      <c r="K598" s="451">
        <v>0</v>
      </c>
      <c r="L598" s="451">
        <v>0</v>
      </c>
      <c r="M598" s="499" t="s">
        <v>83</v>
      </c>
      <c r="N598" s="450" t="s">
        <v>2584</v>
      </c>
      <c r="O598" s="500">
        <v>1000</v>
      </c>
      <c r="P598" s="498">
        <v>11</v>
      </c>
      <c r="Q598" s="451"/>
      <c r="R598" s="461"/>
      <c r="S598" s="390"/>
      <c r="T598" s="390"/>
    </row>
    <row r="599" spans="1:20" s="470" customFormat="1" ht="11.25" customHeight="1">
      <c r="A599" s="451" t="s">
        <v>2585</v>
      </c>
      <c r="B599" s="451">
        <v>4</v>
      </c>
      <c r="C599" s="451" t="s">
        <v>307</v>
      </c>
      <c r="D599" s="451" t="s">
        <v>2411</v>
      </c>
      <c r="E599" s="451">
        <v>1</v>
      </c>
      <c r="F599" s="498">
        <v>0</v>
      </c>
      <c r="G599" s="498">
        <v>0</v>
      </c>
      <c r="H599" s="451">
        <v>0</v>
      </c>
      <c r="I599" s="451">
        <v>0</v>
      </c>
      <c r="J599" s="451">
        <v>0</v>
      </c>
      <c r="K599" s="451">
        <v>0</v>
      </c>
      <c r="L599" s="451">
        <v>0</v>
      </c>
      <c r="M599" s="499" t="s">
        <v>83</v>
      </c>
      <c r="N599" s="450" t="s">
        <v>2586</v>
      </c>
      <c r="O599" s="500">
        <v>2600</v>
      </c>
      <c r="P599" s="498">
        <v>12</v>
      </c>
      <c r="Q599" s="451"/>
      <c r="R599" s="450"/>
      <c r="S599" s="390"/>
      <c r="T599" s="390"/>
    </row>
    <row r="600" spans="1:20" s="470" customFormat="1" ht="11.25" customHeight="1">
      <c r="A600" s="451" t="s">
        <v>2587</v>
      </c>
      <c r="B600" s="451">
        <v>2</v>
      </c>
      <c r="C600" s="451" t="s">
        <v>307</v>
      </c>
      <c r="D600" s="451" t="s">
        <v>2411</v>
      </c>
      <c r="E600" s="451">
        <v>1</v>
      </c>
      <c r="F600" s="498">
        <v>0</v>
      </c>
      <c r="G600" s="498">
        <v>0</v>
      </c>
      <c r="H600" s="451">
        <v>0</v>
      </c>
      <c r="I600" s="451">
        <v>0</v>
      </c>
      <c r="J600" s="451">
        <v>0</v>
      </c>
      <c r="K600" s="451">
        <v>0</v>
      </c>
      <c r="L600" s="451">
        <v>0</v>
      </c>
      <c r="M600" s="499" t="s">
        <v>83</v>
      </c>
      <c r="N600" s="450" t="s">
        <v>2588</v>
      </c>
      <c r="O600" s="500">
        <v>2000</v>
      </c>
      <c r="P600" s="498">
        <v>12</v>
      </c>
      <c r="Q600" s="451"/>
      <c r="R600" s="450"/>
      <c r="S600" s="451"/>
      <c r="T600" s="451"/>
    </row>
    <row r="601" spans="1:20" s="470" customFormat="1" ht="11.25" customHeight="1">
      <c r="A601" s="451" t="s">
        <v>2589</v>
      </c>
      <c r="B601" s="451">
        <v>5</v>
      </c>
      <c r="C601" s="451" t="s">
        <v>307</v>
      </c>
      <c r="D601" s="451" t="s">
        <v>2411</v>
      </c>
      <c r="E601" s="451">
        <v>1</v>
      </c>
      <c r="F601" s="498">
        <v>0</v>
      </c>
      <c r="G601" s="498">
        <v>0</v>
      </c>
      <c r="H601" s="451">
        <v>0</v>
      </c>
      <c r="I601" s="451">
        <v>0</v>
      </c>
      <c r="J601" s="451">
        <v>0</v>
      </c>
      <c r="K601" s="451">
        <v>0</v>
      </c>
      <c r="L601" s="451">
        <v>0</v>
      </c>
      <c r="M601" s="499" t="s">
        <v>83</v>
      </c>
      <c r="N601" s="450" t="s">
        <v>2590</v>
      </c>
      <c r="O601" s="500">
        <v>1700</v>
      </c>
      <c r="P601" s="498">
        <v>13</v>
      </c>
      <c r="Q601" s="451"/>
      <c r="R601" s="461"/>
      <c r="S601" s="390"/>
      <c r="T601" s="390"/>
    </row>
    <row r="602" spans="1:20" s="470" customFormat="1" ht="11.25" customHeight="1">
      <c r="A602" s="451" t="s">
        <v>2591</v>
      </c>
      <c r="B602" s="451">
        <v>5</v>
      </c>
      <c r="C602" s="451" t="s">
        <v>307</v>
      </c>
      <c r="D602" s="451" t="s">
        <v>2411</v>
      </c>
      <c r="E602" s="451">
        <v>1</v>
      </c>
      <c r="F602" s="498">
        <v>0</v>
      </c>
      <c r="G602" s="498">
        <v>0</v>
      </c>
      <c r="H602" s="451">
        <v>0</v>
      </c>
      <c r="I602" s="451">
        <v>0</v>
      </c>
      <c r="J602" s="451">
        <v>0</v>
      </c>
      <c r="K602" s="451">
        <v>0</v>
      </c>
      <c r="L602" s="451">
        <v>0</v>
      </c>
      <c r="M602" s="499" t="s">
        <v>83</v>
      </c>
      <c r="N602" s="450" t="s">
        <v>2592</v>
      </c>
      <c r="O602" s="500">
        <v>1700</v>
      </c>
      <c r="P602" s="498">
        <v>13</v>
      </c>
      <c r="Q602" s="451"/>
      <c r="R602" s="461"/>
      <c r="S602" s="390"/>
      <c r="T602" s="390"/>
    </row>
    <row r="603" spans="1:20" s="470" customFormat="1" ht="11.25" customHeight="1">
      <c r="A603" s="451" t="s">
        <v>2593</v>
      </c>
      <c r="B603" s="451">
        <v>5</v>
      </c>
      <c r="C603" s="451" t="s">
        <v>307</v>
      </c>
      <c r="D603" s="451" t="s">
        <v>2411</v>
      </c>
      <c r="E603" s="451">
        <v>1</v>
      </c>
      <c r="F603" s="498">
        <v>0</v>
      </c>
      <c r="G603" s="498">
        <v>0</v>
      </c>
      <c r="H603" s="451">
        <v>0</v>
      </c>
      <c r="I603" s="451">
        <v>0</v>
      </c>
      <c r="J603" s="451">
        <v>0</v>
      </c>
      <c r="K603" s="451">
        <v>0</v>
      </c>
      <c r="L603" s="451">
        <v>0</v>
      </c>
      <c r="M603" s="499" t="s">
        <v>83</v>
      </c>
      <c r="N603" s="450" t="s">
        <v>2594</v>
      </c>
      <c r="O603" s="500">
        <v>1700</v>
      </c>
      <c r="P603" s="498">
        <v>13</v>
      </c>
      <c r="Q603" s="451"/>
      <c r="R603" s="450"/>
      <c r="S603" s="390"/>
      <c r="T603" s="390"/>
    </row>
    <row r="604" spans="1:20" s="470" customFormat="1" ht="11.25" customHeight="1">
      <c r="A604" s="451" t="s">
        <v>2595</v>
      </c>
      <c r="B604" s="451">
        <v>5</v>
      </c>
      <c r="C604" s="451" t="s">
        <v>307</v>
      </c>
      <c r="D604" s="451" t="s">
        <v>2411</v>
      </c>
      <c r="E604" s="451">
        <v>1</v>
      </c>
      <c r="F604" s="498">
        <v>0</v>
      </c>
      <c r="G604" s="498">
        <v>0</v>
      </c>
      <c r="H604" s="451">
        <v>0</v>
      </c>
      <c r="I604" s="451">
        <v>0</v>
      </c>
      <c r="J604" s="451">
        <v>0</v>
      </c>
      <c r="K604" s="451">
        <v>0</v>
      </c>
      <c r="L604" s="451">
        <v>0</v>
      </c>
      <c r="M604" s="499" t="s">
        <v>83</v>
      </c>
      <c r="N604" s="450" t="s">
        <v>2596</v>
      </c>
      <c r="O604" s="500">
        <v>1700</v>
      </c>
      <c r="P604" s="498">
        <v>13</v>
      </c>
      <c r="Q604" s="451"/>
      <c r="R604" s="461"/>
      <c r="S604" s="390"/>
      <c r="T604" s="390"/>
    </row>
    <row r="605" spans="1:20" s="470" customFormat="1" ht="11.25" customHeight="1">
      <c r="A605" s="451" t="s">
        <v>2597</v>
      </c>
      <c r="B605" s="451">
        <v>5</v>
      </c>
      <c r="C605" s="451" t="s">
        <v>307</v>
      </c>
      <c r="D605" s="451" t="s">
        <v>2411</v>
      </c>
      <c r="E605" s="451">
        <v>1</v>
      </c>
      <c r="F605" s="498">
        <v>0</v>
      </c>
      <c r="G605" s="498">
        <v>0</v>
      </c>
      <c r="H605" s="451">
        <v>0</v>
      </c>
      <c r="I605" s="451">
        <v>0</v>
      </c>
      <c r="J605" s="451">
        <v>0</v>
      </c>
      <c r="K605" s="451">
        <v>0</v>
      </c>
      <c r="L605" s="451">
        <v>0</v>
      </c>
      <c r="M605" s="499" t="s">
        <v>83</v>
      </c>
      <c r="N605" s="450" t="s">
        <v>2598</v>
      </c>
      <c r="O605" s="500">
        <v>1700</v>
      </c>
      <c r="P605" s="498">
        <v>13</v>
      </c>
      <c r="Q605" s="451"/>
      <c r="R605" s="461"/>
      <c r="S605" s="390"/>
      <c r="T605" s="390"/>
    </row>
    <row r="606" spans="1:20" s="470" customFormat="1" ht="11.25" customHeight="1">
      <c r="A606" s="451" t="s">
        <v>2599</v>
      </c>
      <c r="B606" s="451">
        <v>5</v>
      </c>
      <c r="C606" s="451" t="s">
        <v>307</v>
      </c>
      <c r="D606" s="451" t="s">
        <v>2411</v>
      </c>
      <c r="E606" s="451">
        <v>1</v>
      </c>
      <c r="F606" s="498">
        <v>0</v>
      </c>
      <c r="G606" s="498">
        <v>0</v>
      </c>
      <c r="H606" s="451">
        <v>0</v>
      </c>
      <c r="I606" s="451">
        <v>0</v>
      </c>
      <c r="J606" s="451">
        <v>0</v>
      </c>
      <c r="K606" s="451">
        <v>0</v>
      </c>
      <c r="L606" s="451">
        <v>0</v>
      </c>
      <c r="M606" s="499" t="s">
        <v>83</v>
      </c>
      <c r="N606" s="450" t="s">
        <v>2600</v>
      </c>
      <c r="O606" s="500">
        <v>1700</v>
      </c>
      <c r="P606" s="498">
        <v>13</v>
      </c>
      <c r="Q606" s="451"/>
      <c r="R606" s="461"/>
      <c r="S606" s="390"/>
      <c r="T606" s="390"/>
    </row>
    <row r="607" spans="1:20" s="470" customFormat="1" ht="11.25" customHeight="1">
      <c r="A607" s="451" t="s">
        <v>2601</v>
      </c>
      <c r="B607" s="451">
        <v>6</v>
      </c>
      <c r="C607" s="451" t="s">
        <v>307</v>
      </c>
      <c r="D607" s="451" t="s">
        <v>2411</v>
      </c>
      <c r="E607" s="451">
        <v>2</v>
      </c>
      <c r="F607" s="498">
        <v>0</v>
      </c>
      <c r="G607" s="498">
        <v>0</v>
      </c>
      <c r="H607" s="451">
        <v>0</v>
      </c>
      <c r="I607" s="451">
        <v>0</v>
      </c>
      <c r="J607" s="451">
        <v>0</v>
      </c>
      <c r="K607" s="451">
        <v>0</v>
      </c>
      <c r="L607" s="451">
        <v>0</v>
      </c>
      <c r="M607" s="499" t="s">
        <v>83</v>
      </c>
      <c r="N607" s="450" t="s">
        <v>2602</v>
      </c>
      <c r="O607" s="500">
        <v>1000</v>
      </c>
      <c r="P607" s="498">
        <v>14</v>
      </c>
      <c r="Q607" s="451"/>
      <c r="R607" s="461"/>
      <c r="S607" s="390"/>
      <c r="T607" s="390"/>
    </row>
    <row r="608" spans="1:20" s="470" customFormat="1" ht="11.25" customHeight="1">
      <c r="A608" s="451" t="s">
        <v>2603</v>
      </c>
      <c r="B608" s="451">
        <v>7</v>
      </c>
      <c r="C608" s="451" t="s">
        <v>307</v>
      </c>
      <c r="D608" s="451" t="s">
        <v>2433</v>
      </c>
      <c r="E608" s="451">
        <v>1</v>
      </c>
      <c r="F608" s="498">
        <v>0</v>
      </c>
      <c r="G608" s="498">
        <v>0</v>
      </c>
      <c r="H608" s="451">
        <v>0</v>
      </c>
      <c r="I608" s="451">
        <v>0</v>
      </c>
      <c r="J608" s="451">
        <v>0</v>
      </c>
      <c r="K608" s="451">
        <v>0</v>
      </c>
      <c r="L608" s="451">
        <v>0</v>
      </c>
      <c r="M608" s="499" t="s">
        <v>83</v>
      </c>
      <c r="N608" s="450" t="s">
        <v>2604</v>
      </c>
      <c r="O608" s="500">
        <v>2500</v>
      </c>
      <c r="P608" s="498">
        <v>14</v>
      </c>
      <c r="Q608" s="451"/>
      <c r="R608" s="461"/>
      <c r="S608" s="451"/>
      <c r="T608" s="451"/>
    </row>
    <row r="609" spans="1:20" s="470" customFormat="1" ht="11.25" customHeight="1">
      <c r="A609" s="451" t="s">
        <v>2605</v>
      </c>
      <c r="B609" s="451">
        <v>8</v>
      </c>
      <c r="C609" s="451" t="s">
        <v>307</v>
      </c>
      <c r="D609" s="451" t="s">
        <v>2411</v>
      </c>
      <c r="E609" s="451">
        <v>1</v>
      </c>
      <c r="F609" s="498">
        <v>0</v>
      </c>
      <c r="G609" s="498">
        <v>0</v>
      </c>
      <c r="H609" s="451">
        <v>0</v>
      </c>
      <c r="I609" s="451">
        <v>0</v>
      </c>
      <c r="J609" s="451">
        <v>4</v>
      </c>
      <c r="K609" s="451">
        <v>0</v>
      </c>
      <c r="L609" s="451">
        <v>0</v>
      </c>
      <c r="M609" s="499" t="s">
        <v>83</v>
      </c>
      <c r="N609" s="450"/>
      <c r="O609" s="500">
        <v>3500</v>
      </c>
      <c r="P609" s="498">
        <v>15</v>
      </c>
      <c r="Q609" s="451"/>
      <c r="R609" s="461"/>
      <c r="S609" s="451"/>
      <c r="T609" s="451"/>
    </row>
    <row r="610" spans="1:20" s="470" customFormat="1" ht="11.25" customHeight="1">
      <c r="A610" s="451" t="s">
        <v>2606</v>
      </c>
      <c r="B610" s="451">
        <v>9</v>
      </c>
      <c r="C610" s="451" t="s">
        <v>307</v>
      </c>
      <c r="D610" s="451" t="s">
        <v>2411</v>
      </c>
      <c r="E610" s="451">
        <v>1</v>
      </c>
      <c r="F610" s="498">
        <v>0</v>
      </c>
      <c r="G610" s="498">
        <v>0</v>
      </c>
      <c r="H610" s="451">
        <v>0</v>
      </c>
      <c r="I610" s="451">
        <v>0</v>
      </c>
      <c r="J610" s="451">
        <v>0</v>
      </c>
      <c r="K610" s="451">
        <v>0</v>
      </c>
      <c r="L610" s="451">
        <v>0</v>
      </c>
      <c r="M610" s="499" t="s">
        <v>83</v>
      </c>
      <c r="N610" s="450" t="s">
        <v>875</v>
      </c>
      <c r="O610" s="500">
        <v>4800</v>
      </c>
      <c r="P610" s="498">
        <v>15</v>
      </c>
      <c r="Q610" s="451"/>
      <c r="R610" s="450"/>
      <c r="S610" s="451"/>
      <c r="T610" s="451"/>
    </row>
    <row r="611" spans="1:16" ht="11.25" customHeight="1">
      <c r="A611" s="390" t="s">
        <v>2607</v>
      </c>
      <c r="B611" s="390">
        <v>1</v>
      </c>
      <c r="C611" s="390" t="s">
        <v>307</v>
      </c>
      <c r="D611" s="390" t="s">
        <v>2411</v>
      </c>
      <c r="E611" s="390">
        <v>3</v>
      </c>
      <c r="F611" s="485">
        <v>0</v>
      </c>
      <c r="G611" s="485">
        <v>0</v>
      </c>
      <c r="H611" s="390">
        <v>0</v>
      </c>
      <c r="I611" s="390">
        <v>0</v>
      </c>
      <c r="J611" s="390">
        <v>0</v>
      </c>
      <c r="K611" s="390">
        <v>0</v>
      </c>
      <c r="L611" s="390">
        <v>0</v>
      </c>
      <c r="M611" s="390" t="s">
        <v>83</v>
      </c>
      <c r="O611" s="487">
        <v>5</v>
      </c>
      <c r="P611" s="485" t="s">
        <v>83</v>
      </c>
    </row>
    <row r="612" spans="1:16" ht="11.25" customHeight="1">
      <c r="A612" s="390" t="s">
        <v>2608</v>
      </c>
      <c r="B612" s="390">
        <v>2</v>
      </c>
      <c r="C612" s="390" t="s">
        <v>307</v>
      </c>
      <c r="D612" s="390" t="s">
        <v>2411</v>
      </c>
      <c r="E612" s="390">
        <v>1</v>
      </c>
      <c r="F612" s="485">
        <v>0</v>
      </c>
      <c r="G612" s="485">
        <v>0</v>
      </c>
      <c r="H612" s="390">
        <v>0</v>
      </c>
      <c r="I612" s="390">
        <v>0</v>
      </c>
      <c r="J612" s="390">
        <v>0</v>
      </c>
      <c r="K612" s="390">
        <v>0</v>
      </c>
      <c r="L612" s="390">
        <v>0</v>
      </c>
      <c r="M612" s="390" t="s">
        <v>83</v>
      </c>
      <c r="O612" s="487">
        <v>1500</v>
      </c>
      <c r="P612" s="485" t="s">
        <v>83</v>
      </c>
    </row>
    <row r="613" spans="1:17" ht="11.25" customHeight="1">
      <c r="A613" s="390" t="s">
        <v>2609</v>
      </c>
      <c r="B613" s="390">
        <v>3</v>
      </c>
      <c r="C613" s="390" t="s">
        <v>307</v>
      </c>
      <c r="D613" s="390" t="s">
        <v>2411</v>
      </c>
      <c r="E613" s="390">
        <v>1</v>
      </c>
      <c r="F613" s="485">
        <v>0</v>
      </c>
      <c r="G613" s="485">
        <v>0</v>
      </c>
      <c r="H613" s="390">
        <v>0</v>
      </c>
      <c r="I613" s="390">
        <v>0</v>
      </c>
      <c r="J613" s="390">
        <v>0</v>
      </c>
      <c r="K613" s="390">
        <v>0</v>
      </c>
      <c r="L613" s="390">
        <v>0</v>
      </c>
      <c r="M613" s="390" t="s">
        <v>83</v>
      </c>
      <c r="O613" s="487">
        <v>2000</v>
      </c>
      <c r="P613" s="485" t="s">
        <v>83</v>
      </c>
      <c r="Q613" s="451"/>
    </row>
    <row r="614" spans="1:17" ht="11.25" customHeight="1">
      <c r="A614" s="390" t="s">
        <v>2610</v>
      </c>
      <c r="B614" s="390">
        <v>3</v>
      </c>
      <c r="C614" s="390" t="s">
        <v>307</v>
      </c>
      <c r="D614" s="390" t="s">
        <v>2411</v>
      </c>
      <c r="E614" s="390">
        <v>1</v>
      </c>
      <c r="F614" s="485">
        <v>0</v>
      </c>
      <c r="G614" s="485">
        <v>0</v>
      </c>
      <c r="H614" s="390">
        <v>0</v>
      </c>
      <c r="I614" s="390">
        <v>0</v>
      </c>
      <c r="J614" s="390">
        <v>0</v>
      </c>
      <c r="K614" s="390">
        <v>0</v>
      </c>
      <c r="L614" s="390">
        <v>0</v>
      </c>
      <c r="M614" s="390" t="s">
        <v>83</v>
      </c>
      <c r="O614" s="487">
        <v>5000</v>
      </c>
      <c r="P614" s="485" t="s">
        <v>83</v>
      </c>
      <c r="Q614" s="451"/>
    </row>
    <row r="615" spans="1:17" ht="11.25" customHeight="1">
      <c r="A615" s="390" t="s">
        <v>2611</v>
      </c>
      <c r="B615" s="390">
        <v>4</v>
      </c>
      <c r="C615" s="390" t="s">
        <v>307</v>
      </c>
      <c r="D615" s="390" t="s">
        <v>2411</v>
      </c>
      <c r="E615" s="390">
        <v>1</v>
      </c>
      <c r="F615" s="485">
        <v>0</v>
      </c>
      <c r="G615" s="485">
        <v>0</v>
      </c>
      <c r="H615" s="390">
        <v>0</v>
      </c>
      <c r="I615" s="390">
        <v>0</v>
      </c>
      <c r="J615" s="390">
        <v>0</v>
      </c>
      <c r="K615" s="390">
        <v>0</v>
      </c>
      <c r="L615" s="390">
        <v>0</v>
      </c>
      <c r="M615" s="390" t="s">
        <v>83</v>
      </c>
      <c r="O615" s="487">
        <v>3000</v>
      </c>
      <c r="P615" s="485" t="s">
        <v>83</v>
      </c>
      <c r="Q615" s="451"/>
    </row>
    <row r="616" spans="1:17" ht="11.25" customHeight="1">
      <c r="A616" s="390" t="s">
        <v>2612</v>
      </c>
      <c r="B616" s="390">
        <v>5</v>
      </c>
      <c r="C616" s="390" t="s">
        <v>307</v>
      </c>
      <c r="D616" s="390" t="s">
        <v>2411</v>
      </c>
      <c r="E616" s="390">
        <v>2</v>
      </c>
      <c r="F616" s="485">
        <v>0</v>
      </c>
      <c r="G616" s="485">
        <f>IF(キャラクターシート!$H$16="両手",2,0)</f>
        <v>0</v>
      </c>
      <c r="H616" s="390">
        <v>0</v>
      </c>
      <c r="I616" s="390">
        <v>0</v>
      </c>
      <c r="J616" s="390">
        <v>0</v>
      </c>
      <c r="K616" s="390">
        <v>0</v>
      </c>
      <c r="L616" s="390">
        <v>0</v>
      </c>
      <c r="M616" s="390" t="s">
        <v>83</v>
      </c>
      <c r="O616" s="487">
        <v>3200</v>
      </c>
      <c r="P616" s="485" t="s">
        <v>83</v>
      </c>
      <c r="Q616" s="451"/>
    </row>
    <row r="617" spans="1:17" ht="11.25" customHeight="1">
      <c r="A617" s="390" t="s">
        <v>2613</v>
      </c>
      <c r="B617" s="390">
        <v>11</v>
      </c>
      <c r="C617" s="390" t="s">
        <v>307</v>
      </c>
      <c r="D617" s="390" t="s">
        <v>2411</v>
      </c>
      <c r="E617" s="390">
        <v>3</v>
      </c>
      <c r="F617" s="485">
        <v>0</v>
      </c>
      <c r="G617" s="485">
        <f>IF(キャラクターシート!$H$16="両手",5,0)</f>
        <v>0</v>
      </c>
      <c r="H617" s="390">
        <v>0</v>
      </c>
      <c r="I617" s="390">
        <v>0</v>
      </c>
      <c r="J617" s="390">
        <v>0</v>
      </c>
      <c r="K617" s="390">
        <v>0</v>
      </c>
      <c r="L617" s="390">
        <v>0</v>
      </c>
      <c r="M617" s="390" t="s">
        <v>83</v>
      </c>
      <c r="O617" s="487">
        <v>8000</v>
      </c>
      <c r="P617" s="485" t="s">
        <v>83</v>
      </c>
      <c r="Q617" s="451"/>
    </row>
    <row r="618" spans="1:17" ht="11.25" customHeight="1">
      <c r="A618" s="451" t="s">
        <v>2614</v>
      </c>
      <c r="B618" s="451">
        <v>2</v>
      </c>
      <c r="C618" s="451" t="s">
        <v>307</v>
      </c>
      <c r="D618" s="451" t="s">
        <v>2411</v>
      </c>
      <c r="E618" s="451">
        <v>1</v>
      </c>
      <c r="F618" s="498">
        <v>0</v>
      </c>
      <c r="G618" s="498">
        <v>0</v>
      </c>
      <c r="H618" s="451">
        <v>0</v>
      </c>
      <c r="I618" s="451">
        <v>0</v>
      </c>
      <c r="J618" s="451">
        <v>0</v>
      </c>
      <c r="K618" s="451">
        <v>0</v>
      </c>
      <c r="L618" s="451">
        <v>0</v>
      </c>
      <c r="M618" s="451" t="s">
        <v>83</v>
      </c>
      <c r="N618" s="450"/>
      <c r="O618" s="500">
        <v>1500</v>
      </c>
      <c r="P618" s="498">
        <v>10</v>
      </c>
      <c r="Q618" s="451"/>
    </row>
    <row r="619" spans="1:17" ht="11.25" customHeight="1">
      <c r="A619" s="451" t="s">
        <v>2615</v>
      </c>
      <c r="B619" s="451">
        <v>3</v>
      </c>
      <c r="C619" s="451" t="s">
        <v>307</v>
      </c>
      <c r="D619" s="451" t="s">
        <v>2397</v>
      </c>
      <c r="E619" s="451">
        <v>2</v>
      </c>
      <c r="F619" s="498">
        <v>0</v>
      </c>
      <c r="G619" s="498">
        <v>0</v>
      </c>
      <c r="H619" s="451">
        <v>0</v>
      </c>
      <c r="I619" s="451">
        <v>0</v>
      </c>
      <c r="J619" s="451">
        <v>0</v>
      </c>
      <c r="K619" s="451">
        <v>0</v>
      </c>
      <c r="L619" s="451">
        <v>0</v>
      </c>
      <c r="M619" s="451" t="s">
        <v>83</v>
      </c>
      <c r="N619" s="450"/>
      <c r="O619" s="500">
        <v>2500</v>
      </c>
      <c r="P619" s="498">
        <v>13</v>
      </c>
      <c r="Q619" s="451"/>
    </row>
    <row r="620" spans="1:18" s="451" customFormat="1" ht="11.25" customHeight="1">
      <c r="A620" s="451" t="s">
        <v>2616</v>
      </c>
      <c r="B620" s="451">
        <v>8</v>
      </c>
      <c r="C620" s="451" t="s">
        <v>307</v>
      </c>
      <c r="D620" s="451" t="s">
        <v>2411</v>
      </c>
      <c r="E620" s="451">
        <v>1</v>
      </c>
      <c r="F620" s="498">
        <v>1</v>
      </c>
      <c r="G620" s="498">
        <v>0</v>
      </c>
      <c r="H620" s="451">
        <v>0</v>
      </c>
      <c r="I620" s="451">
        <v>5</v>
      </c>
      <c r="J620" s="451">
        <v>0</v>
      </c>
      <c r="K620" s="451">
        <v>0</v>
      </c>
      <c r="L620" s="451">
        <v>0</v>
      </c>
      <c r="M620" s="451" t="s">
        <v>83</v>
      </c>
      <c r="N620" s="450"/>
      <c r="O620" s="500">
        <v>4200</v>
      </c>
      <c r="P620" s="498">
        <v>17</v>
      </c>
      <c r="R620" s="450"/>
    </row>
    <row r="621" spans="1:18" s="451" customFormat="1" ht="11.25" customHeight="1">
      <c r="A621" s="451" t="s">
        <v>2617</v>
      </c>
      <c r="B621" s="451">
        <v>8</v>
      </c>
      <c r="C621" s="451" t="s">
        <v>307</v>
      </c>
      <c r="D621" s="451" t="s">
        <v>2411</v>
      </c>
      <c r="E621" s="451">
        <v>3</v>
      </c>
      <c r="F621" s="498">
        <v>0</v>
      </c>
      <c r="G621" s="498">
        <v>0</v>
      </c>
      <c r="H621" s="451">
        <v>0</v>
      </c>
      <c r="I621" s="451">
        <v>0</v>
      </c>
      <c r="J621" s="451">
        <v>0</v>
      </c>
      <c r="K621" s="451">
        <v>0</v>
      </c>
      <c r="L621" s="451">
        <v>0</v>
      </c>
      <c r="M621" s="451" t="s">
        <v>83</v>
      </c>
      <c r="N621" s="450"/>
      <c r="O621" s="500">
        <v>6000</v>
      </c>
      <c r="P621" s="498">
        <v>16</v>
      </c>
      <c r="R621" s="450"/>
    </row>
    <row r="622" spans="1:17" ht="11.25" customHeight="1">
      <c r="A622" s="451"/>
      <c r="B622" s="451"/>
      <c r="C622" s="451"/>
      <c r="D622" s="451"/>
      <c r="E622" s="451"/>
      <c r="F622" s="498"/>
      <c r="G622" s="498"/>
      <c r="H622" s="451"/>
      <c r="I622" s="451"/>
      <c r="J622" s="451"/>
      <c r="K622" s="451"/>
      <c r="M622" s="499"/>
      <c r="N622" s="450"/>
      <c r="O622" s="500"/>
      <c r="P622" s="498"/>
      <c r="Q622" s="451"/>
    </row>
    <row r="623" spans="1:17" ht="11.25" customHeight="1">
      <c r="A623" s="451"/>
      <c r="B623" s="451"/>
      <c r="C623" s="451"/>
      <c r="D623" s="451"/>
      <c r="E623" s="451"/>
      <c r="F623" s="498"/>
      <c r="G623" s="498"/>
      <c r="H623" s="451"/>
      <c r="I623" s="451"/>
      <c r="J623" s="451"/>
      <c r="K623" s="451"/>
      <c r="M623" s="499"/>
      <c r="N623" s="450"/>
      <c r="O623" s="500"/>
      <c r="P623" s="498"/>
      <c r="Q623" s="451"/>
    </row>
    <row r="624" spans="1:17" ht="11.25" customHeight="1">
      <c r="A624" s="451"/>
      <c r="B624" s="451"/>
      <c r="C624" s="451"/>
      <c r="D624" s="451"/>
      <c r="E624" s="451"/>
      <c r="F624" s="498"/>
      <c r="G624" s="498"/>
      <c r="H624" s="451"/>
      <c r="I624" s="451"/>
      <c r="J624" s="451"/>
      <c r="K624" s="451"/>
      <c r="M624" s="499"/>
      <c r="N624" s="450"/>
      <c r="O624" s="500"/>
      <c r="P624" s="498"/>
      <c r="Q624" s="451"/>
    </row>
    <row r="625" spans="6:18" s="451" customFormat="1" ht="11.25" customHeight="1">
      <c r="F625" s="498"/>
      <c r="G625" s="498"/>
      <c r="L625" s="390"/>
      <c r="M625" s="499"/>
      <c r="N625" s="450"/>
      <c r="O625" s="500"/>
      <c r="P625" s="498"/>
      <c r="R625" s="450"/>
    </row>
    <row r="626" spans="6:18" s="451" customFormat="1" ht="11.25" customHeight="1">
      <c r="F626" s="498"/>
      <c r="G626" s="498"/>
      <c r="H626" s="498"/>
      <c r="I626" s="498"/>
      <c r="J626" s="498"/>
      <c r="K626" s="498"/>
      <c r="L626" s="390"/>
      <c r="M626" s="499"/>
      <c r="N626" s="450"/>
      <c r="O626" s="500"/>
      <c r="P626" s="498"/>
      <c r="R626" s="450"/>
    </row>
    <row r="627" spans="6:18" s="451" customFormat="1" ht="11.25" customHeight="1">
      <c r="F627" s="498"/>
      <c r="G627" s="498"/>
      <c r="H627" s="498"/>
      <c r="I627" s="498"/>
      <c r="J627" s="498"/>
      <c r="K627" s="498"/>
      <c r="L627" s="390"/>
      <c r="M627" s="499"/>
      <c r="N627" s="450"/>
      <c r="O627" s="500"/>
      <c r="P627" s="498"/>
      <c r="R627" s="450"/>
    </row>
    <row r="628" spans="6:18" s="451" customFormat="1" ht="11.25" customHeight="1">
      <c r="F628" s="498"/>
      <c r="G628" s="498"/>
      <c r="H628" s="498"/>
      <c r="I628" s="498"/>
      <c r="J628" s="498"/>
      <c r="K628" s="498"/>
      <c r="L628" s="390"/>
      <c r="M628" s="499"/>
      <c r="N628" s="450"/>
      <c r="O628" s="500"/>
      <c r="P628" s="498"/>
      <c r="R628" s="450"/>
    </row>
    <row r="629" spans="6:18" s="451" customFormat="1" ht="11.25" customHeight="1">
      <c r="F629" s="498"/>
      <c r="G629" s="498"/>
      <c r="H629" s="498"/>
      <c r="I629" s="498"/>
      <c r="J629" s="498"/>
      <c r="K629" s="498"/>
      <c r="L629" s="390"/>
      <c r="M629" s="499"/>
      <c r="N629" s="450"/>
      <c r="O629" s="500"/>
      <c r="P629" s="498"/>
      <c r="R629" s="450"/>
    </row>
    <row r="630" spans="1:17" ht="11.25" customHeight="1">
      <c r="A630" s="451"/>
      <c r="B630" s="451"/>
      <c r="C630" s="451"/>
      <c r="D630" s="451"/>
      <c r="E630" s="451"/>
      <c r="F630" s="498"/>
      <c r="G630" s="498"/>
      <c r="H630" s="451"/>
      <c r="I630" s="451"/>
      <c r="J630" s="451"/>
      <c r="K630" s="451"/>
      <c r="M630" s="499"/>
      <c r="N630" s="450"/>
      <c r="O630" s="500"/>
      <c r="P630" s="498"/>
      <c r="Q630" s="451"/>
    </row>
    <row r="631" spans="1:256" ht="11.25" customHeight="1">
      <c r="A631" s="451"/>
      <c r="B631" s="451"/>
      <c r="C631" s="451"/>
      <c r="D631" s="451"/>
      <c r="E631" s="451"/>
      <c r="F631" s="498"/>
      <c r="G631" s="498"/>
      <c r="H631" s="451"/>
      <c r="I631" s="451"/>
      <c r="J631" s="451"/>
      <c r="K631" s="451"/>
      <c r="M631" s="499"/>
      <c r="N631" s="450"/>
      <c r="O631" s="500"/>
      <c r="P631" s="498"/>
      <c r="Q631" s="45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</row>
    <row r="632" spans="1:256" ht="11.25" customHeight="1">
      <c r="A632" s="451"/>
      <c r="B632" s="451"/>
      <c r="C632" s="451"/>
      <c r="D632" s="451"/>
      <c r="E632" s="451"/>
      <c r="F632" s="498"/>
      <c r="G632" s="498"/>
      <c r="H632" s="451"/>
      <c r="I632" s="451"/>
      <c r="J632" s="451"/>
      <c r="K632" s="451"/>
      <c r="M632" s="499"/>
      <c r="N632" s="450"/>
      <c r="O632" s="500"/>
      <c r="P632" s="498"/>
      <c r="Q632" s="451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</row>
    <row r="633" spans="6:18" s="451" customFormat="1" ht="11.25" customHeight="1">
      <c r="F633" s="498"/>
      <c r="G633" s="498"/>
      <c r="L633" s="390"/>
      <c r="M633" s="499"/>
      <c r="N633" s="450"/>
      <c r="O633" s="500"/>
      <c r="P633" s="498"/>
      <c r="R633" s="450"/>
    </row>
    <row r="634" spans="6:18" s="451" customFormat="1" ht="11.25" customHeight="1">
      <c r="F634" s="498"/>
      <c r="G634" s="498"/>
      <c r="L634" s="390"/>
      <c r="M634" s="499"/>
      <c r="N634" s="450"/>
      <c r="O634" s="500"/>
      <c r="P634" s="498"/>
      <c r="R634" s="450"/>
    </row>
    <row r="635" spans="1:19" ht="11.25" customHeight="1">
      <c r="A635" s="46" t="s">
        <v>2618</v>
      </c>
      <c r="B635" s="489" t="s">
        <v>111</v>
      </c>
      <c r="C635" s="489" t="s">
        <v>253</v>
      </c>
      <c r="D635" s="489" t="s">
        <v>254</v>
      </c>
      <c r="E635" s="489" t="s">
        <v>255</v>
      </c>
      <c r="F635" s="490" t="s">
        <v>174</v>
      </c>
      <c r="G635" s="490" t="s">
        <v>256</v>
      </c>
      <c r="H635" s="489" t="s">
        <v>233</v>
      </c>
      <c r="I635" s="489" t="s">
        <v>257</v>
      </c>
      <c r="J635" s="489" t="s">
        <v>258</v>
      </c>
      <c r="K635" s="489" t="s">
        <v>259</v>
      </c>
      <c r="L635" s="489" t="s">
        <v>260</v>
      </c>
      <c r="M635" s="491" t="s">
        <v>261</v>
      </c>
      <c r="N635" s="489" t="s">
        <v>262</v>
      </c>
      <c r="O635" s="492" t="s">
        <v>223</v>
      </c>
      <c r="P635" s="490" t="s">
        <v>2093</v>
      </c>
      <c r="Q635" s="493" t="s">
        <v>2094</v>
      </c>
      <c r="R635" s="399" t="s">
        <v>2095</v>
      </c>
      <c r="S635" s="213"/>
    </row>
    <row r="636" spans="1:19" ht="11.25" customHeight="1">
      <c r="A636" s="508"/>
      <c r="B636" s="508"/>
      <c r="C636" s="508"/>
      <c r="D636" s="508"/>
      <c r="E636" s="508"/>
      <c r="F636" s="509"/>
      <c r="G636" s="509"/>
      <c r="H636" s="508"/>
      <c r="I636" s="508"/>
      <c r="J636" s="508"/>
      <c r="K636" s="508"/>
      <c r="L636" s="508"/>
      <c r="M636" s="510"/>
      <c r="N636" s="511"/>
      <c r="O636" s="512"/>
      <c r="P636" s="509"/>
      <c r="Q636" s="513"/>
      <c r="R636" s="399"/>
      <c r="S636" s="213"/>
    </row>
    <row r="637" spans="1:20" ht="11.25" customHeight="1">
      <c r="A637" s="390" t="s">
        <v>2619</v>
      </c>
      <c r="B637" s="390">
        <v>1</v>
      </c>
      <c r="C637" s="390" t="s">
        <v>298</v>
      </c>
      <c r="D637" s="390" t="s">
        <v>2411</v>
      </c>
      <c r="E637" s="390">
        <v>1</v>
      </c>
      <c r="F637" s="485">
        <v>0</v>
      </c>
      <c r="G637" s="485">
        <v>0</v>
      </c>
      <c r="H637" s="390">
        <f>IF(COUNTIF(AR_SHEET_スキル,"ジャストディフェンス")&gt;0,IF($S637&lt;0,0,$S637),$S637)</f>
        <v>0</v>
      </c>
      <c r="I637" s="390">
        <v>1</v>
      </c>
      <c r="J637" s="390">
        <v>0</v>
      </c>
      <c r="K637" s="390">
        <v>0</v>
      </c>
      <c r="L637" s="390">
        <f>IF(COUNTIF(AR_SHEET_スキル,"イミューンウェイト")&gt;0,IF($T637&lt;0,0,$T637),$T637)</f>
        <v>0</v>
      </c>
      <c r="M637" s="390" t="s">
        <v>83</v>
      </c>
      <c r="N637" s="514"/>
      <c r="O637" s="487">
        <v>100</v>
      </c>
      <c r="P637" s="485" t="s">
        <v>83</v>
      </c>
      <c r="S637" s="390">
        <v>0</v>
      </c>
      <c r="T637" s="390">
        <v>0</v>
      </c>
    </row>
    <row r="638" spans="1:20" ht="11.25" customHeight="1">
      <c r="A638" s="390" t="s">
        <v>2620</v>
      </c>
      <c r="B638" s="390">
        <v>1</v>
      </c>
      <c r="C638" s="390" t="s">
        <v>298</v>
      </c>
      <c r="D638" s="390" t="s">
        <v>2401</v>
      </c>
      <c r="E638" s="390">
        <v>1</v>
      </c>
      <c r="F638" s="485">
        <v>0</v>
      </c>
      <c r="G638" s="485">
        <v>0</v>
      </c>
      <c r="H638" s="390">
        <f>IF(COUNTIF(AR_SHEET_スキル,"ジャストディフェンス")&gt;0,IF($S638&lt;0,0,$S638),$S638)</f>
        <v>0</v>
      </c>
      <c r="I638" s="390">
        <v>2</v>
      </c>
      <c r="J638" s="390">
        <v>0</v>
      </c>
      <c r="K638" s="390">
        <v>0</v>
      </c>
      <c r="L638" s="390">
        <f>IF(COUNTIF(AR_SHEET_スキル,"イミューンウェイト")&gt;0,IF($T638&lt;0,0,$T638),$T638)</f>
        <v>-1</v>
      </c>
      <c r="M638" s="390" t="s">
        <v>83</v>
      </c>
      <c r="N638" s="514"/>
      <c r="O638" s="487">
        <v>150</v>
      </c>
      <c r="P638" s="485" t="s">
        <v>83</v>
      </c>
      <c r="S638" s="390">
        <v>0</v>
      </c>
      <c r="T638" s="390">
        <v>-1</v>
      </c>
    </row>
    <row r="639" spans="1:20" ht="11.25" customHeight="1">
      <c r="A639" s="390" t="s">
        <v>2621</v>
      </c>
      <c r="B639" s="390">
        <v>1</v>
      </c>
      <c r="C639" s="390" t="s">
        <v>298</v>
      </c>
      <c r="D639" s="390" t="s">
        <v>2393</v>
      </c>
      <c r="E639" s="390">
        <v>2</v>
      </c>
      <c r="F639" s="485">
        <v>0</v>
      </c>
      <c r="G639" s="485">
        <v>0</v>
      </c>
      <c r="H639" s="390">
        <f>IF(COUNTIF(AR_SHEET_スキル,"ジャストディフェンス")&gt;0,IF($S639&lt;0,0,$S639),$S639)</f>
        <v>-1</v>
      </c>
      <c r="I639" s="390">
        <v>3</v>
      </c>
      <c r="J639" s="390">
        <v>0</v>
      </c>
      <c r="K639" s="390">
        <v>0</v>
      </c>
      <c r="L639" s="390">
        <f>IF(COUNTIF(AR_SHEET_スキル,"イミューンウェイト")&gt;0,IF($T639&lt;0,0,$T639),$T639)</f>
        <v>0</v>
      </c>
      <c r="M639" s="390" t="s">
        <v>83</v>
      </c>
      <c r="N639" s="514"/>
      <c r="O639" s="487">
        <v>200</v>
      </c>
      <c r="P639" s="485" t="s">
        <v>83</v>
      </c>
      <c r="S639" s="390">
        <v>-1</v>
      </c>
      <c r="T639" s="390">
        <v>0</v>
      </c>
    </row>
    <row r="640" spans="1:20" ht="11.25" customHeight="1">
      <c r="A640" s="448" t="s">
        <v>2622</v>
      </c>
      <c r="B640" s="448">
        <v>1</v>
      </c>
      <c r="C640" s="448" t="s">
        <v>298</v>
      </c>
      <c r="D640" s="390" t="s">
        <v>2433</v>
      </c>
      <c r="E640" s="448">
        <v>2</v>
      </c>
      <c r="F640" s="502">
        <v>0</v>
      </c>
      <c r="G640" s="502">
        <v>0</v>
      </c>
      <c r="H640" s="448">
        <f>IF(COUNTIF(AR_SHEET_スキル,"ジャストディフェンス")&gt;0,IF($S640&lt;0,0,$S640),$S640)</f>
        <v>0</v>
      </c>
      <c r="I640" s="448">
        <v>0</v>
      </c>
      <c r="J640" s="448">
        <v>1</v>
      </c>
      <c r="K640" s="448">
        <v>0</v>
      </c>
      <c r="L640" s="448">
        <f>IF(COUNTIF(AR_SHEET_スキル,"イミューンウェイト")&gt;0,IF($T640&lt;0,0,$T640),$T640)</f>
        <v>-1</v>
      </c>
      <c r="M640" s="503" t="s">
        <v>83</v>
      </c>
      <c r="N640" s="515"/>
      <c r="O640" s="505">
        <v>450</v>
      </c>
      <c r="P640" s="502" t="s">
        <v>83</v>
      </c>
      <c r="Q640" s="448"/>
      <c r="R640" s="504"/>
      <c r="S640" s="448">
        <v>0</v>
      </c>
      <c r="T640" s="448">
        <v>-1</v>
      </c>
    </row>
    <row r="641" spans="1:20" s="451" customFormat="1" ht="11.25" customHeight="1">
      <c r="A641" s="390" t="s">
        <v>2623</v>
      </c>
      <c r="B641" s="390">
        <v>2</v>
      </c>
      <c r="C641" s="390" t="s">
        <v>298</v>
      </c>
      <c r="D641" s="390" t="s">
        <v>2411</v>
      </c>
      <c r="E641" s="390">
        <v>2</v>
      </c>
      <c r="F641" s="485">
        <v>0</v>
      </c>
      <c r="G641" s="485">
        <v>0</v>
      </c>
      <c r="H641" s="390">
        <f>IF(COUNTIF(AR_SHEET_スキル,"ジャストディフェンス")&gt;0,IF($S641&lt;0,0,$S641),$S641)</f>
        <v>0</v>
      </c>
      <c r="I641" s="390">
        <v>2</v>
      </c>
      <c r="J641" s="390">
        <v>0</v>
      </c>
      <c r="K641" s="390">
        <v>0</v>
      </c>
      <c r="L641" s="390">
        <f>IF(COUNTIF(AR_SHEET_スキル,"イミューンウェイト")&gt;0,IF($T641&lt;0,0,$T641),$T641)</f>
        <v>0</v>
      </c>
      <c r="M641" s="390" t="s">
        <v>83</v>
      </c>
      <c r="N641" s="514"/>
      <c r="O641" s="487">
        <v>250</v>
      </c>
      <c r="P641" s="485" t="s">
        <v>83</v>
      </c>
      <c r="Q641" s="390"/>
      <c r="R641" s="461"/>
      <c r="S641" s="390">
        <v>0</v>
      </c>
      <c r="T641" s="390">
        <v>0</v>
      </c>
    </row>
    <row r="642" spans="1:20" ht="11.25" customHeight="1">
      <c r="A642" s="390" t="s">
        <v>2624</v>
      </c>
      <c r="B642" s="390">
        <v>2</v>
      </c>
      <c r="C642" s="390" t="s">
        <v>298</v>
      </c>
      <c r="D642" s="390" t="s">
        <v>2401</v>
      </c>
      <c r="E642" s="390">
        <v>2</v>
      </c>
      <c r="F642" s="485">
        <v>0</v>
      </c>
      <c r="G642" s="485">
        <v>0</v>
      </c>
      <c r="H642" s="390">
        <f>IF(COUNTIF(AR_SHEET_スキル,"ジャストディフェンス")&gt;0,IF($S642&lt;0,0,$S642),$S642)</f>
        <v>0</v>
      </c>
      <c r="I642" s="390">
        <v>3</v>
      </c>
      <c r="J642" s="390">
        <v>0</v>
      </c>
      <c r="K642" s="390">
        <v>0</v>
      </c>
      <c r="L642" s="390">
        <f>IF(COUNTIF(AR_SHEET_スキル,"イミューンウェイト")&gt;0,IF($T642&lt;0,0,$T642),$T642)</f>
        <v>-1</v>
      </c>
      <c r="M642" s="390" t="s">
        <v>83</v>
      </c>
      <c r="N642" s="514"/>
      <c r="O642" s="487">
        <v>300</v>
      </c>
      <c r="P642" s="485" t="s">
        <v>83</v>
      </c>
      <c r="S642" s="390">
        <v>0</v>
      </c>
      <c r="T642" s="390">
        <v>-1</v>
      </c>
    </row>
    <row r="643" spans="1:20" ht="11.25" customHeight="1">
      <c r="A643" s="390" t="s">
        <v>2625</v>
      </c>
      <c r="B643" s="390">
        <v>3</v>
      </c>
      <c r="C643" s="390" t="s">
        <v>298</v>
      </c>
      <c r="D643" s="390" t="s">
        <v>2401</v>
      </c>
      <c r="E643" s="390">
        <v>2</v>
      </c>
      <c r="F643" s="485">
        <v>0</v>
      </c>
      <c r="G643" s="485">
        <v>0</v>
      </c>
      <c r="H643" s="390">
        <f>IF(COUNTIF(AR_SHEET_スキル,"ジャストディフェンス")&gt;0,IF($S643&lt;0,0,$S643),$S643)</f>
        <v>0</v>
      </c>
      <c r="I643" s="390">
        <v>4</v>
      </c>
      <c r="J643" s="390">
        <v>0</v>
      </c>
      <c r="K643" s="390">
        <v>0</v>
      </c>
      <c r="L643" s="390">
        <f>IF(COUNTIF(AR_SHEET_スキル,"イミューンウェイト")&gt;0,IF($T643&lt;0,0,$T643),$T643)</f>
        <v>-1</v>
      </c>
      <c r="M643" s="390" t="s">
        <v>83</v>
      </c>
      <c r="N643" s="514"/>
      <c r="O643" s="487">
        <v>600</v>
      </c>
      <c r="P643" s="485" t="s">
        <v>83</v>
      </c>
      <c r="S643" s="390">
        <v>0</v>
      </c>
      <c r="T643" s="390">
        <v>-1</v>
      </c>
    </row>
    <row r="644" spans="1:20" ht="11.25" customHeight="1">
      <c r="A644" s="390" t="s">
        <v>299</v>
      </c>
      <c r="B644" s="390">
        <v>3</v>
      </c>
      <c r="C644" s="390" t="s">
        <v>298</v>
      </c>
      <c r="D644" s="390" t="s">
        <v>2393</v>
      </c>
      <c r="E644" s="390">
        <v>2</v>
      </c>
      <c r="F644" s="485">
        <v>0</v>
      </c>
      <c r="G644" s="485">
        <v>0</v>
      </c>
      <c r="H644" s="390">
        <f>IF(COUNTIF(AR_SHEET_スキル,"ジャストディフェンス")&gt;0,IF($S644&lt;0,0,$S644),$S644)</f>
        <v>-1</v>
      </c>
      <c r="I644" s="390">
        <v>5</v>
      </c>
      <c r="J644" s="390">
        <v>0</v>
      </c>
      <c r="K644" s="390">
        <v>0</v>
      </c>
      <c r="L644" s="390">
        <f>IF(COUNTIF(AR_SHEET_スキル,"イミューンウェイト")&gt;0,IF($T644&lt;0,0,$T644),$T644)</f>
        <v>0</v>
      </c>
      <c r="M644" s="390" t="s">
        <v>83</v>
      </c>
      <c r="N644" s="514"/>
      <c r="O644" s="487">
        <v>550</v>
      </c>
      <c r="P644" s="485" t="s">
        <v>83</v>
      </c>
      <c r="S644" s="390">
        <v>-1</v>
      </c>
      <c r="T644" s="390">
        <v>0</v>
      </c>
    </row>
    <row r="645" spans="1:20" ht="11.25" customHeight="1">
      <c r="A645" s="390" t="s">
        <v>2626</v>
      </c>
      <c r="B645" s="390">
        <v>3</v>
      </c>
      <c r="C645" s="390" t="s">
        <v>298</v>
      </c>
      <c r="D645" s="390" t="s">
        <v>2391</v>
      </c>
      <c r="E645" s="390">
        <v>2</v>
      </c>
      <c r="F645" s="485">
        <v>0</v>
      </c>
      <c r="G645" s="485">
        <v>0</v>
      </c>
      <c r="H645" s="390">
        <f>IF(COUNTIF(AR_SHEET_スキル,"ジャストディフェンス")&gt;0,IF($S645&lt;0,0,$S645),$S645)</f>
        <v>0</v>
      </c>
      <c r="I645" s="390">
        <v>3</v>
      </c>
      <c r="J645" s="390">
        <v>0</v>
      </c>
      <c r="K645" s="390">
        <v>0</v>
      </c>
      <c r="L645" s="390">
        <f>IF(COUNTIF(AR_SHEET_スキル,"イミューンウェイト")&gt;0,IF($T645&lt;0,0,$T645),$T645)</f>
        <v>0</v>
      </c>
      <c r="M645" s="390" t="s">
        <v>83</v>
      </c>
      <c r="N645" s="514"/>
      <c r="O645" s="487">
        <v>500</v>
      </c>
      <c r="P645" s="485" t="s">
        <v>83</v>
      </c>
      <c r="S645" s="390">
        <v>0</v>
      </c>
      <c r="T645" s="390">
        <v>0</v>
      </c>
    </row>
    <row r="646" spans="1:20" s="451" customFormat="1" ht="11.25" customHeight="1">
      <c r="A646" s="390" t="s">
        <v>2627</v>
      </c>
      <c r="B646" s="390">
        <v>4</v>
      </c>
      <c r="C646" s="390" t="s">
        <v>298</v>
      </c>
      <c r="D646" s="390" t="s">
        <v>2411</v>
      </c>
      <c r="E646" s="390">
        <v>2</v>
      </c>
      <c r="F646" s="485">
        <v>0</v>
      </c>
      <c r="G646" s="485">
        <v>0</v>
      </c>
      <c r="H646" s="390">
        <f>IF(COUNTIF(AR_SHEET_スキル,"ジャストディフェンス")&gt;0,IF($S646&lt;0,0,$S646),$S646)</f>
        <v>0</v>
      </c>
      <c r="I646" s="390">
        <v>3</v>
      </c>
      <c r="J646" s="390">
        <v>0</v>
      </c>
      <c r="K646" s="390">
        <v>0</v>
      </c>
      <c r="L646" s="390">
        <f>IF(COUNTIF(AR_SHEET_スキル,"イミューンウェイト")&gt;0,IF($T646&lt;0,0,$T646),$T646)</f>
        <v>0</v>
      </c>
      <c r="M646" s="390" t="s">
        <v>83</v>
      </c>
      <c r="N646" s="514"/>
      <c r="O646" s="487">
        <v>900</v>
      </c>
      <c r="P646" s="485" t="s">
        <v>83</v>
      </c>
      <c r="Q646" s="390"/>
      <c r="R646" s="461"/>
      <c r="S646" s="390">
        <v>0</v>
      </c>
      <c r="T646" s="390">
        <v>0</v>
      </c>
    </row>
    <row r="647" spans="1:20" ht="11.25" customHeight="1">
      <c r="A647" s="390" t="s">
        <v>2628</v>
      </c>
      <c r="B647" s="390">
        <v>4</v>
      </c>
      <c r="C647" s="390" t="s">
        <v>298</v>
      </c>
      <c r="D647" s="390" t="s">
        <v>2391</v>
      </c>
      <c r="E647" s="390">
        <v>2</v>
      </c>
      <c r="F647" s="485">
        <v>0</v>
      </c>
      <c r="G647" s="485">
        <v>0</v>
      </c>
      <c r="H647" s="390">
        <f>IF(COUNTIF(AR_SHEET_スキル,"ジャストディフェンス")&gt;0,IF($S647&lt;0,0,$S647),$S647)</f>
        <v>0</v>
      </c>
      <c r="I647" s="390">
        <v>0</v>
      </c>
      <c r="J647" s="390">
        <v>0</v>
      </c>
      <c r="K647" s="390">
        <v>2</v>
      </c>
      <c r="L647" s="390">
        <f>IF(COUNTIF(AR_SHEET_スキル,"イミューンウェイト")&gt;0,IF($T647&lt;0,0,$T647),$T647)</f>
        <v>1</v>
      </c>
      <c r="M647" s="390" t="s">
        <v>83</v>
      </c>
      <c r="N647" s="514"/>
      <c r="O647" s="487">
        <v>1200</v>
      </c>
      <c r="P647" s="485" t="s">
        <v>83</v>
      </c>
      <c r="S647" s="390">
        <v>0</v>
      </c>
      <c r="T647" s="390">
        <v>1</v>
      </c>
    </row>
    <row r="648" spans="1:20" ht="11.25" customHeight="1">
      <c r="A648" s="390" t="s">
        <v>2629</v>
      </c>
      <c r="B648" s="390">
        <v>4</v>
      </c>
      <c r="C648" s="390" t="s">
        <v>298</v>
      </c>
      <c r="D648" s="390" t="s">
        <v>2433</v>
      </c>
      <c r="E648" s="390">
        <v>2</v>
      </c>
      <c r="F648" s="485">
        <v>0</v>
      </c>
      <c r="G648" s="485">
        <v>0</v>
      </c>
      <c r="H648" s="390">
        <f>IF(COUNTIF(AR_SHEET_スキル,"ジャストディフェンス")&gt;0,IF($S648&lt;0,0,$S648),$S648)</f>
        <v>0</v>
      </c>
      <c r="I648" s="390">
        <v>1</v>
      </c>
      <c r="J648" s="390">
        <v>1</v>
      </c>
      <c r="K648" s="390">
        <v>0</v>
      </c>
      <c r="L648" s="390">
        <f>IF(COUNTIF(AR_SHEET_スキル,"イミューンウェイト")&gt;0,IF($T648&lt;0,0,$T648),$T648)</f>
        <v>-1</v>
      </c>
      <c r="M648" s="390" t="s">
        <v>83</v>
      </c>
      <c r="N648" s="514"/>
      <c r="O648" s="487">
        <v>1200</v>
      </c>
      <c r="P648" s="485" t="s">
        <v>83</v>
      </c>
      <c r="S648" s="390">
        <v>0</v>
      </c>
      <c r="T648" s="390">
        <v>-1</v>
      </c>
    </row>
    <row r="649" spans="1:20" ht="11.25" customHeight="1">
      <c r="A649" s="390" t="s">
        <v>2630</v>
      </c>
      <c r="B649" s="390">
        <v>5</v>
      </c>
      <c r="C649" s="390" t="s">
        <v>298</v>
      </c>
      <c r="D649" s="390" t="s">
        <v>2401</v>
      </c>
      <c r="E649" s="390">
        <v>2</v>
      </c>
      <c r="F649" s="485">
        <v>0</v>
      </c>
      <c r="G649" s="485">
        <v>0</v>
      </c>
      <c r="H649" s="390">
        <f>IF(COUNTIF(AR_SHEET_スキル,"ジャストディフェンス")&gt;0,IF($S649&lt;0,0,$S649),$S649)</f>
        <v>0</v>
      </c>
      <c r="I649" s="390">
        <v>5</v>
      </c>
      <c r="J649" s="390">
        <v>0</v>
      </c>
      <c r="K649" s="390">
        <v>0</v>
      </c>
      <c r="L649" s="390">
        <f>IF(COUNTIF(AR_SHEET_スキル,"イミューンウェイト")&gt;0,IF($T649&lt;0,0,$T649),$T649)</f>
        <v>-1</v>
      </c>
      <c r="M649" s="390" t="s">
        <v>83</v>
      </c>
      <c r="N649" s="514"/>
      <c r="O649" s="487">
        <v>1500</v>
      </c>
      <c r="P649" s="485" t="s">
        <v>83</v>
      </c>
      <c r="S649" s="390">
        <v>0</v>
      </c>
      <c r="T649" s="390">
        <v>-1</v>
      </c>
    </row>
    <row r="650" spans="1:20" ht="11.25" customHeight="1">
      <c r="A650" s="390" t="s">
        <v>2631</v>
      </c>
      <c r="B650" s="390">
        <v>5</v>
      </c>
      <c r="C650" s="390" t="s">
        <v>298</v>
      </c>
      <c r="D650" s="390" t="s">
        <v>2393</v>
      </c>
      <c r="E650" s="390">
        <v>4</v>
      </c>
      <c r="F650" s="485">
        <v>0</v>
      </c>
      <c r="G650" s="485">
        <v>0</v>
      </c>
      <c r="H650" s="390">
        <f>IF(COUNTIF(AR_SHEET_スキル,"ジャストディフェンス")&gt;0,IF($S650&lt;0,0,$S650),$S650)</f>
        <v>-1</v>
      </c>
      <c r="I650" s="390">
        <v>6</v>
      </c>
      <c r="J650" s="390">
        <v>0</v>
      </c>
      <c r="K650" s="390">
        <v>0</v>
      </c>
      <c r="L650" s="390">
        <f>IF(COUNTIF(AR_SHEET_スキル,"イミューンウェイト")&gt;0,IF($T650&lt;0,0,$T650),$T650)</f>
        <v>-1</v>
      </c>
      <c r="M650" s="390" t="s">
        <v>83</v>
      </c>
      <c r="N650" s="514"/>
      <c r="O650" s="487">
        <v>1800</v>
      </c>
      <c r="P650" s="485" t="s">
        <v>83</v>
      </c>
      <c r="S650" s="390">
        <v>-1</v>
      </c>
      <c r="T650" s="390">
        <v>-1</v>
      </c>
    </row>
    <row r="651" spans="1:20" ht="11.25" customHeight="1">
      <c r="A651" s="390" t="s">
        <v>2632</v>
      </c>
      <c r="B651" s="390">
        <v>6</v>
      </c>
      <c r="C651" s="390" t="s">
        <v>298</v>
      </c>
      <c r="D651" s="390" t="s">
        <v>2433</v>
      </c>
      <c r="E651" s="390">
        <v>3</v>
      </c>
      <c r="F651" s="485">
        <v>0</v>
      </c>
      <c r="G651" s="485">
        <v>0</v>
      </c>
      <c r="H651" s="390">
        <f>IF(COUNTIF(AR_SHEET_スキル,"ジャストディフェンス")&gt;0,IF($S651&lt;0,0,$S651),$S651)</f>
        <v>0</v>
      </c>
      <c r="I651" s="390">
        <v>1</v>
      </c>
      <c r="J651" s="390">
        <v>2</v>
      </c>
      <c r="K651" s="390">
        <v>0</v>
      </c>
      <c r="L651" s="390">
        <f>IF(COUNTIF(AR_SHEET_スキル,"イミューンウェイト")&gt;0,IF($T651&lt;0,0,$T651),$T651)</f>
        <v>-1</v>
      </c>
      <c r="M651" s="390" t="s">
        <v>83</v>
      </c>
      <c r="N651" s="514"/>
      <c r="O651" s="487">
        <v>2200</v>
      </c>
      <c r="P651" s="485" t="s">
        <v>83</v>
      </c>
      <c r="S651" s="390">
        <v>0</v>
      </c>
      <c r="T651" s="390">
        <v>-1</v>
      </c>
    </row>
    <row r="652" spans="1:20" ht="11.25" customHeight="1">
      <c r="A652" s="390" t="s">
        <v>2633</v>
      </c>
      <c r="B652" s="390">
        <v>6</v>
      </c>
      <c r="C652" s="390" t="s">
        <v>298</v>
      </c>
      <c r="D652" s="390" t="s">
        <v>2411</v>
      </c>
      <c r="E652" s="390">
        <v>3</v>
      </c>
      <c r="F652" s="485">
        <v>0</v>
      </c>
      <c r="G652" s="485">
        <v>0</v>
      </c>
      <c r="H652" s="390">
        <f>IF(COUNTIF(AR_SHEET_スキル,"ジャストディフェンス")&gt;0,IF($S652&lt;0,0,$S652),$S652)</f>
        <v>0</v>
      </c>
      <c r="I652" s="390">
        <v>4</v>
      </c>
      <c r="J652" s="390">
        <v>0</v>
      </c>
      <c r="K652" s="390">
        <v>0</v>
      </c>
      <c r="L652" s="390">
        <f>IF(COUNTIF(AR_SHEET_スキル,"イミューンウェイト")&gt;0,IF($T652&lt;0,0,$T652),$T652)</f>
        <v>0</v>
      </c>
      <c r="M652" s="390" t="s">
        <v>83</v>
      </c>
      <c r="N652" s="514"/>
      <c r="O652" s="487">
        <v>2600</v>
      </c>
      <c r="P652" s="485" t="s">
        <v>83</v>
      </c>
      <c r="S652" s="390">
        <v>0</v>
      </c>
      <c r="T652" s="390">
        <v>0</v>
      </c>
    </row>
    <row r="653" spans="1:20" ht="11.25" customHeight="1">
      <c r="A653" s="390" t="s">
        <v>2634</v>
      </c>
      <c r="B653" s="390">
        <v>7</v>
      </c>
      <c r="C653" s="390" t="s">
        <v>298</v>
      </c>
      <c r="D653" s="390" t="s">
        <v>2401</v>
      </c>
      <c r="E653" s="390">
        <v>3</v>
      </c>
      <c r="F653" s="485">
        <v>0</v>
      </c>
      <c r="G653" s="485">
        <v>0</v>
      </c>
      <c r="H653" s="390">
        <f>IF(COUNTIF(AR_SHEET_スキル,"ジャストディフェンス")&gt;0,IF($S653&lt;0,0,$S653),$S653)</f>
        <v>0</v>
      </c>
      <c r="I653" s="390">
        <v>6</v>
      </c>
      <c r="J653" s="390">
        <v>0</v>
      </c>
      <c r="K653" s="390">
        <v>0</v>
      </c>
      <c r="L653" s="390">
        <f>IF(COUNTIF(AR_SHEET_スキル,"イミューンウェイト")&gt;0,IF($T653&lt;0,0,$T653),$T653)</f>
        <v>-1</v>
      </c>
      <c r="M653" s="390" t="s">
        <v>83</v>
      </c>
      <c r="N653" s="514"/>
      <c r="O653" s="487">
        <v>3200</v>
      </c>
      <c r="P653" s="485" t="s">
        <v>83</v>
      </c>
      <c r="S653" s="390">
        <v>0</v>
      </c>
      <c r="T653" s="390">
        <v>-1</v>
      </c>
    </row>
    <row r="654" spans="1:20" ht="11.25" customHeight="1">
      <c r="A654" s="390" t="s">
        <v>2635</v>
      </c>
      <c r="B654" s="390">
        <v>7</v>
      </c>
      <c r="C654" s="390" t="s">
        <v>298</v>
      </c>
      <c r="D654" s="390" t="s">
        <v>2393</v>
      </c>
      <c r="E654" s="390">
        <v>5</v>
      </c>
      <c r="F654" s="485">
        <v>0</v>
      </c>
      <c r="G654" s="485">
        <v>0</v>
      </c>
      <c r="H654" s="390">
        <f>IF(COUNTIF(AR_SHEET_スキル,"ジャストディフェンス")&gt;0,IF($S654&lt;0,0,$S654),$S654)</f>
        <v>-1</v>
      </c>
      <c r="I654" s="390">
        <v>7</v>
      </c>
      <c r="J654" s="390">
        <v>0</v>
      </c>
      <c r="K654" s="390">
        <v>0</v>
      </c>
      <c r="L654" s="390">
        <f>IF(COUNTIF(AR_SHEET_スキル,"イミューンウェイト")&gt;0,IF($T654&lt;0,0,$T654),$T654)</f>
        <v>-1</v>
      </c>
      <c r="M654" s="390" t="s">
        <v>83</v>
      </c>
      <c r="N654" s="514"/>
      <c r="O654" s="487">
        <v>3800</v>
      </c>
      <c r="P654" s="485" t="s">
        <v>83</v>
      </c>
      <c r="S654" s="390">
        <v>-1</v>
      </c>
      <c r="T654" s="390">
        <v>-1</v>
      </c>
    </row>
    <row r="655" spans="1:20" ht="11.25" customHeight="1">
      <c r="A655" s="390" t="s">
        <v>2636</v>
      </c>
      <c r="B655" s="390">
        <v>8</v>
      </c>
      <c r="C655" s="390" t="s">
        <v>298</v>
      </c>
      <c r="D655" s="390" t="s">
        <v>2433</v>
      </c>
      <c r="E655" s="390">
        <v>3</v>
      </c>
      <c r="F655" s="485">
        <v>0</v>
      </c>
      <c r="G655" s="485">
        <v>0</v>
      </c>
      <c r="H655" s="390">
        <f>IF(COUNTIF(AR_SHEET_スキル,"ジャストディフェンス")&gt;0,IF($S655&lt;0,0,$S655),$S655)</f>
        <v>0</v>
      </c>
      <c r="I655" s="390">
        <v>2</v>
      </c>
      <c r="J655" s="390">
        <v>2</v>
      </c>
      <c r="K655" s="390">
        <v>0</v>
      </c>
      <c r="L655" s="390">
        <f>IF(COUNTIF(AR_SHEET_スキル,"イミューンウェイト")&gt;0,IF($T655&lt;0,0,$T655),$T655)</f>
        <v>-1</v>
      </c>
      <c r="M655" s="390" t="s">
        <v>83</v>
      </c>
      <c r="N655" s="514"/>
      <c r="O655" s="487">
        <v>3200</v>
      </c>
      <c r="P655" s="485" t="s">
        <v>83</v>
      </c>
      <c r="S655" s="390">
        <v>0</v>
      </c>
      <c r="T655" s="390">
        <v>-1</v>
      </c>
    </row>
    <row r="656" spans="1:20" s="451" customFormat="1" ht="11.25" customHeight="1">
      <c r="A656" s="390" t="s">
        <v>2637</v>
      </c>
      <c r="B656" s="390">
        <v>8</v>
      </c>
      <c r="C656" s="390" t="s">
        <v>298</v>
      </c>
      <c r="D656" s="390" t="s">
        <v>2411</v>
      </c>
      <c r="E656" s="390">
        <v>4</v>
      </c>
      <c r="F656" s="485">
        <v>0</v>
      </c>
      <c r="G656" s="485">
        <v>0</v>
      </c>
      <c r="H656" s="390">
        <f>IF(COUNTIF(AR_SHEET_スキル,"ジャストディフェンス")&gt;0,IF($S656&lt;0,0,$S656),$S656)</f>
        <v>0</v>
      </c>
      <c r="I656" s="390">
        <v>3</v>
      </c>
      <c r="J656" s="390">
        <v>1</v>
      </c>
      <c r="K656" s="390">
        <v>0</v>
      </c>
      <c r="L656" s="390">
        <f>IF(COUNTIF(AR_SHEET_スキル,"イミューンウェイト")&gt;0,IF($T656&lt;0,0,$T656),$T656)</f>
        <v>0</v>
      </c>
      <c r="M656" s="390" t="s">
        <v>83</v>
      </c>
      <c r="N656" s="514"/>
      <c r="O656" s="487">
        <v>4100</v>
      </c>
      <c r="P656" s="485" t="s">
        <v>83</v>
      </c>
      <c r="Q656" s="390"/>
      <c r="R656" s="461"/>
      <c r="S656" s="390">
        <v>0</v>
      </c>
      <c r="T656" s="390">
        <v>0</v>
      </c>
    </row>
    <row r="657" spans="1:20" ht="11.25" customHeight="1">
      <c r="A657" s="390" t="s">
        <v>2638</v>
      </c>
      <c r="B657" s="390">
        <v>9</v>
      </c>
      <c r="C657" s="390" t="s">
        <v>298</v>
      </c>
      <c r="D657" s="390" t="s">
        <v>2401</v>
      </c>
      <c r="E657" s="390">
        <v>3</v>
      </c>
      <c r="F657" s="485">
        <v>0</v>
      </c>
      <c r="G657" s="485">
        <v>0</v>
      </c>
      <c r="H657" s="390">
        <f>IF(COUNTIF(AR_SHEET_スキル,"ジャストディフェンス")&gt;0,IF($S657&lt;0,0,$S657),$S657)</f>
        <v>0</v>
      </c>
      <c r="I657" s="390">
        <v>7</v>
      </c>
      <c r="J657" s="390">
        <v>0</v>
      </c>
      <c r="K657" s="390">
        <v>0</v>
      </c>
      <c r="L657" s="390">
        <f>IF(COUNTIF(AR_SHEET_スキル,"イミューンウェイト")&gt;0,IF($T657&lt;0,0,$T657),$T657)</f>
        <v>-1</v>
      </c>
      <c r="M657" s="390" t="s">
        <v>83</v>
      </c>
      <c r="N657" s="514"/>
      <c r="O657" s="487">
        <v>5500</v>
      </c>
      <c r="P657" s="485" t="s">
        <v>83</v>
      </c>
      <c r="S657" s="390">
        <v>0</v>
      </c>
      <c r="T657" s="390">
        <v>-1</v>
      </c>
    </row>
    <row r="658" spans="1:20" ht="11.25" customHeight="1">
      <c r="A658" s="390" t="s">
        <v>2639</v>
      </c>
      <c r="B658" s="390">
        <v>9</v>
      </c>
      <c r="C658" s="390" t="s">
        <v>298</v>
      </c>
      <c r="D658" s="390" t="s">
        <v>2391</v>
      </c>
      <c r="E658" s="390">
        <v>4</v>
      </c>
      <c r="F658" s="485">
        <v>0</v>
      </c>
      <c r="G658" s="485">
        <v>0</v>
      </c>
      <c r="H658" s="390">
        <f>IF(COUNTIF(AR_SHEET_スキル,"ジャストディフェンス")&gt;0,IF($S658&lt;0,0,$S658),$S658)</f>
        <v>0</v>
      </c>
      <c r="I658" s="390">
        <v>4</v>
      </c>
      <c r="J658" s="390">
        <v>0</v>
      </c>
      <c r="K658" s="390">
        <v>0</v>
      </c>
      <c r="L658" s="390">
        <f>IF(COUNTIF(AR_SHEET_スキル,"イミューンウェイト")&gt;0,IF($T658&lt;0,0,$T658),$T658)</f>
        <v>1</v>
      </c>
      <c r="M658" s="390" t="s">
        <v>83</v>
      </c>
      <c r="N658" s="514"/>
      <c r="O658" s="487">
        <v>5100</v>
      </c>
      <c r="P658" s="485" t="s">
        <v>83</v>
      </c>
      <c r="S658" s="390">
        <v>0</v>
      </c>
      <c r="T658" s="390">
        <v>1</v>
      </c>
    </row>
    <row r="659" spans="1:20" ht="11.25" customHeight="1">
      <c r="A659" s="390" t="s">
        <v>2640</v>
      </c>
      <c r="B659" s="390">
        <v>10</v>
      </c>
      <c r="C659" s="390" t="s">
        <v>298</v>
      </c>
      <c r="D659" s="390" t="s">
        <v>2411</v>
      </c>
      <c r="E659" s="390">
        <v>4</v>
      </c>
      <c r="F659" s="485">
        <v>0</v>
      </c>
      <c r="G659" s="485">
        <v>0</v>
      </c>
      <c r="H659" s="390">
        <f>IF(COUNTIF(AR_SHEET_スキル,"ジャストディフェンス")&gt;0,IF($S659&lt;0,0,$S659),$S659)</f>
        <v>0</v>
      </c>
      <c r="I659" s="390">
        <v>5</v>
      </c>
      <c r="J659" s="390">
        <v>0</v>
      </c>
      <c r="K659" s="390">
        <v>0</v>
      </c>
      <c r="L659" s="390">
        <f>IF(COUNTIF(AR_SHEET_スキル,"イミューンウェイト")&gt;0,IF($T659&lt;0,0,$T659),$T659)</f>
        <v>0</v>
      </c>
      <c r="M659" s="390" t="s">
        <v>83</v>
      </c>
      <c r="N659" s="514"/>
      <c r="O659" s="487">
        <v>6200</v>
      </c>
      <c r="P659" s="485" t="s">
        <v>83</v>
      </c>
      <c r="S659" s="390">
        <v>0</v>
      </c>
      <c r="T659" s="390">
        <v>0</v>
      </c>
    </row>
    <row r="660" spans="1:20" ht="11.25" customHeight="1">
      <c r="A660" s="390" t="s">
        <v>2641</v>
      </c>
      <c r="B660" s="390">
        <v>10</v>
      </c>
      <c r="C660" s="390" t="s">
        <v>298</v>
      </c>
      <c r="D660" s="390" t="s">
        <v>2433</v>
      </c>
      <c r="E660" s="390">
        <v>4</v>
      </c>
      <c r="F660" s="485">
        <v>0</v>
      </c>
      <c r="G660" s="485">
        <v>0</v>
      </c>
      <c r="H660" s="390">
        <f>IF(COUNTIF(AR_SHEET_スキル,"ジャストディフェンス")&gt;0,IF($S660&lt;0,0,$S660),$S660)</f>
        <v>0</v>
      </c>
      <c r="I660" s="390">
        <v>2</v>
      </c>
      <c r="J660" s="390">
        <v>3</v>
      </c>
      <c r="K660" s="390">
        <v>0</v>
      </c>
      <c r="L660" s="390">
        <f>IF(COUNTIF(AR_SHEET_スキル,"イミューンウェイト")&gt;0,IF($T660&lt;0,0,$T660),$T660)</f>
        <v>-1</v>
      </c>
      <c r="M660" s="390" t="s">
        <v>83</v>
      </c>
      <c r="N660" s="514"/>
      <c r="O660" s="487">
        <v>6500</v>
      </c>
      <c r="P660" s="485" t="s">
        <v>83</v>
      </c>
      <c r="S660" s="390">
        <v>0</v>
      </c>
      <c r="T660" s="390">
        <v>-1</v>
      </c>
    </row>
    <row r="661" spans="1:20" ht="11.25" customHeight="1">
      <c r="A661" s="390" t="s">
        <v>2642</v>
      </c>
      <c r="B661" s="390">
        <v>10</v>
      </c>
      <c r="C661" s="390" t="s">
        <v>298</v>
      </c>
      <c r="D661" s="390" t="s">
        <v>2393</v>
      </c>
      <c r="E661" s="390">
        <v>7</v>
      </c>
      <c r="F661" s="485">
        <v>0</v>
      </c>
      <c r="G661" s="485">
        <v>0</v>
      </c>
      <c r="H661" s="390">
        <f>IF(COUNTIF(AR_SHEET_スキル,"ジャストディフェンス")&gt;0,IF($S661&lt;0,0,$S661),$S661)</f>
        <v>-1</v>
      </c>
      <c r="I661" s="390">
        <v>7</v>
      </c>
      <c r="J661" s="390">
        <v>1</v>
      </c>
      <c r="K661" s="390">
        <v>0</v>
      </c>
      <c r="L661" s="390">
        <f>IF(COUNTIF(AR_SHEET_スキル,"イミューンウェイト")&gt;0,IF($T661&lt;0,0,$T661),$T661)</f>
        <v>-1</v>
      </c>
      <c r="M661" s="390" t="s">
        <v>83</v>
      </c>
      <c r="N661" s="514"/>
      <c r="O661" s="487">
        <v>7000</v>
      </c>
      <c r="P661" s="485" t="s">
        <v>83</v>
      </c>
      <c r="S661" s="390">
        <v>-1</v>
      </c>
      <c r="T661" s="390">
        <v>-1</v>
      </c>
    </row>
    <row r="662" spans="1:20" s="470" customFormat="1" ht="11.25" customHeight="1">
      <c r="A662" s="451" t="s">
        <v>2643</v>
      </c>
      <c r="B662" s="451">
        <v>1</v>
      </c>
      <c r="C662" s="451" t="s">
        <v>298</v>
      </c>
      <c r="D662" s="451" t="s">
        <v>2411</v>
      </c>
      <c r="E662" s="451">
        <v>1</v>
      </c>
      <c r="F662" s="498">
        <v>0</v>
      </c>
      <c r="G662" s="498">
        <v>0</v>
      </c>
      <c r="H662" s="451">
        <f>IF(COUNTIF(AR_SHEET_スキル,"ジャストディフェンス")&gt;0,IF($S662&lt;0,0,$S662),$S662)</f>
        <v>1</v>
      </c>
      <c r="I662" s="451">
        <v>2</v>
      </c>
      <c r="J662" s="451">
        <v>1</v>
      </c>
      <c r="K662" s="451">
        <v>0</v>
      </c>
      <c r="L662" s="451">
        <f>IF(COUNTIF(AR_SHEET_スキル,"イミューンウェイト")&gt;0,IF($T662&lt;0,0,$T662),$T662)</f>
        <v>0</v>
      </c>
      <c r="M662" s="499" t="s">
        <v>83</v>
      </c>
      <c r="N662" s="516" t="s">
        <v>2450</v>
      </c>
      <c r="O662" s="500">
        <v>2500</v>
      </c>
      <c r="P662" s="498">
        <v>16</v>
      </c>
      <c r="Q662" s="451"/>
      <c r="R662" s="461"/>
      <c r="S662" s="451">
        <v>1</v>
      </c>
      <c r="T662" s="451">
        <v>0</v>
      </c>
    </row>
    <row r="663" spans="1:20" ht="12.75" customHeight="1">
      <c r="A663" s="451" t="s">
        <v>2644</v>
      </c>
      <c r="B663" s="451">
        <v>2</v>
      </c>
      <c r="C663" s="451" t="s">
        <v>298</v>
      </c>
      <c r="D663" s="451" t="s">
        <v>2411</v>
      </c>
      <c r="E663" s="451">
        <v>2</v>
      </c>
      <c r="F663" s="498">
        <v>0</v>
      </c>
      <c r="G663" s="498">
        <v>0</v>
      </c>
      <c r="H663" s="451">
        <f>IF(COUNTIF(AR_SHEET_スキル,"ジャストディフェンス")&gt;0,IF($S663&lt;0,0,$S663),$S663)</f>
        <v>0</v>
      </c>
      <c r="I663" s="451">
        <v>0</v>
      </c>
      <c r="J663" s="451">
        <v>1</v>
      </c>
      <c r="K663" s="451">
        <v>0</v>
      </c>
      <c r="L663" s="451">
        <f>IF(COUNTIF(AR_SHEET_スキル,"イミューンウェイト")&gt;0,IF($T663&lt;0,0,$T663),$T663)</f>
        <v>0</v>
      </c>
      <c r="M663" s="499" t="s">
        <v>83</v>
      </c>
      <c r="N663" s="516" t="s">
        <v>2645</v>
      </c>
      <c r="O663" s="500">
        <v>2000</v>
      </c>
      <c r="P663" s="498">
        <v>14</v>
      </c>
      <c r="Q663" s="451"/>
      <c r="R663" s="450"/>
      <c r="S663" s="451">
        <v>0</v>
      </c>
      <c r="T663" s="451">
        <v>0</v>
      </c>
    </row>
    <row r="664" spans="1:20" ht="11.25" customHeight="1">
      <c r="A664" s="451" t="s">
        <v>2646</v>
      </c>
      <c r="B664" s="451">
        <v>2</v>
      </c>
      <c r="C664" s="451" t="s">
        <v>298</v>
      </c>
      <c r="D664" s="451" t="s">
        <v>2397</v>
      </c>
      <c r="E664" s="451">
        <v>3</v>
      </c>
      <c r="F664" s="498">
        <v>-1</v>
      </c>
      <c r="G664" s="498">
        <v>0</v>
      </c>
      <c r="H664" s="451">
        <f>IF(COUNTIF(AR_SHEET_スキル,"ジャストディフェンス")&gt;0,IF($S664&lt;0,0,$S664),$S664)</f>
        <v>-1</v>
      </c>
      <c r="I664" s="451">
        <v>4</v>
      </c>
      <c r="J664" s="451">
        <v>0</v>
      </c>
      <c r="K664" s="451">
        <v>0</v>
      </c>
      <c r="L664" s="451">
        <f>IF(COUNTIF(AR_SHEET_スキル,"イミューンウェイト")&gt;0,IF($T664&lt;0,0,$T664),$T664)</f>
        <v>0</v>
      </c>
      <c r="M664" s="499" t="s">
        <v>83</v>
      </c>
      <c r="N664" s="516" t="s">
        <v>2647</v>
      </c>
      <c r="O664" s="500">
        <v>1300</v>
      </c>
      <c r="P664" s="498">
        <v>12</v>
      </c>
      <c r="Q664" s="451"/>
      <c r="S664" s="451">
        <v>-1</v>
      </c>
      <c r="T664" s="451">
        <v>0</v>
      </c>
    </row>
    <row r="665" spans="1:20" s="470" customFormat="1" ht="11.25" customHeight="1">
      <c r="A665" s="451" t="s">
        <v>2648</v>
      </c>
      <c r="B665" s="451">
        <v>3</v>
      </c>
      <c r="C665" s="451" t="s">
        <v>298</v>
      </c>
      <c r="D665" s="451" t="s">
        <v>2401</v>
      </c>
      <c r="E665" s="451">
        <v>2</v>
      </c>
      <c r="F665" s="498">
        <v>0</v>
      </c>
      <c r="G665" s="498">
        <v>0</v>
      </c>
      <c r="H665" s="451">
        <f>IF(COUNTIF(AR_SHEET_スキル,"ジャストディフェンス")&gt;0,IF($S665&lt;0,0,$S665),$S665)</f>
        <v>1</v>
      </c>
      <c r="I665" s="451">
        <v>3</v>
      </c>
      <c r="J665" s="451">
        <v>0</v>
      </c>
      <c r="K665" s="451">
        <v>1</v>
      </c>
      <c r="L665" s="451">
        <f>IF(COUNTIF(AR_SHEET_スキル,"イミューンウェイト")&gt;0,IF($T665&lt;0,0,$T665),$T665)</f>
        <v>0</v>
      </c>
      <c r="M665" s="499" t="s">
        <v>83</v>
      </c>
      <c r="N665" s="516"/>
      <c r="O665" s="500">
        <v>1500</v>
      </c>
      <c r="P665" s="498">
        <v>15</v>
      </c>
      <c r="Q665" s="451"/>
      <c r="R665" s="461"/>
      <c r="S665" s="451">
        <v>1</v>
      </c>
      <c r="T665" s="451">
        <v>0</v>
      </c>
    </row>
    <row r="666" spans="1:20" s="470" customFormat="1" ht="11.25" customHeight="1">
      <c r="A666" s="451" t="s">
        <v>2649</v>
      </c>
      <c r="B666" s="451">
        <v>3</v>
      </c>
      <c r="C666" s="451" t="s">
        <v>298</v>
      </c>
      <c r="D666" s="451" t="s">
        <v>2551</v>
      </c>
      <c r="E666" s="451">
        <v>3</v>
      </c>
      <c r="F666" s="498">
        <v>0</v>
      </c>
      <c r="G666" s="498">
        <v>0</v>
      </c>
      <c r="H666" s="451">
        <f>IF(COUNTIF(AR_SHEET_スキル,"ジャストディフェンス")&gt;0,IF($S666&lt;0,0,$S666),$S666)</f>
        <v>-1</v>
      </c>
      <c r="I666" s="451">
        <v>3</v>
      </c>
      <c r="J666" s="451">
        <v>0</v>
      </c>
      <c r="K666" s="451">
        <v>0</v>
      </c>
      <c r="L666" s="451">
        <f>IF(COUNTIF(AR_SHEET_スキル,"イミューンウェイト")&gt;0,IF($T666&lt;0,0,$T666),$T666)</f>
        <v>0</v>
      </c>
      <c r="M666" s="499" t="s">
        <v>83</v>
      </c>
      <c r="N666" s="516" t="s">
        <v>2650</v>
      </c>
      <c r="O666" s="500">
        <v>3800</v>
      </c>
      <c r="P666" s="498">
        <v>12</v>
      </c>
      <c r="Q666" s="451"/>
      <c r="R666" s="450"/>
      <c r="S666" s="451">
        <v>-1</v>
      </c>
      <c r="T666" s="451">
        <v>0</v>
      </c>
    </row>
    <row r="667" spans="1:20" s="470" customFormat="1" ht="11.25" customHeight="1">
      <c r="A667" s="451" t="s">
        <v>2651</v>
      </c>
      <c r="B667" s="451">
        <v>5</v>
      </c>
      <c r="C667" s="451" t="s">
        <v>298</v>
      </c>
      <c r="D667" s="451" t="s">
        <v>2411</v>
      </c>
      <c r="E667" s="451">
        <v>3</v>
      </c>
      <c r="F667" s="498">
        <v>1</v>
      </c>
      <c r="G667" s="498">
        <v>0</v>
      </c>
      <c r="H667" s="451">
        <f>IF(COUNTIF(AR_SHEET_スキル,"ジャストディフェンス")&gt;0,IF($S667&lt;0,0,$S667),$S667)</f>
        <v>-1</v>
      </c>
      <c r="I667" s="451">
        <v>4</v>
      </c>
      <c r="J667" s="451">
        <v>-1</v>
      </c>
      <c r="K667" s="451">
        <v>0</v>
      </c>
      <c r="L667" s="451">
        <f>IF(COUNTIF(AR_SHEET_スキル,"イミューンウェイト")&gt;0,IF($T667&lt;0,0,$T667),$T667)</f>
        <v>0</v>
      </c>
      <c r="M667" s="451" t="s">
        <v>83</v>
      </c>
      <c r="N667" s="516"/>
      <c r="O667" s="500">
        <v>2300</v>
      </c>
      <c r="P667" s="498">
        <v>13</v>
      </c>
      <c r="Q667" s="451"/>
      <c r="R667" s="450"/>
      <c r="S667" s="451">
        <v>-1</v>
      </c>
      <c r="T667" s="451">
        <v>0</v>
      </c>
    </row>
    <row r="668" spans="1:20" s="470" customFormat="1" ht="11.25" customHeight="1">
      <c r="A668" s="451" t="s">
        <v>2652</v>
      </c>
      <c r="B668" s="451">
        <v>6</v>
      </c>
      <c r="C668" s="451" t="s">
        <v>298</v>
      </c>
      <c r="D668" s="451" t="s">
        <v>2427</v>
      </c>
      <c r="E668" s="451">
        <v>3</v>
      </c>
      <c r="F668" s="498">
        <v>0</v>
      </c>
      <c r="G668" s="498">
        <v>0</v>
      </c>
      <c r="H668" s="451">
        <f>IF(COUNTIF(AR_SHEET_スキル,"ジャストディフェンス")&gt;0,IF($S668&lt;0,0,$S668),$S668)</f>
        <v>1</v>
      </c>
      <c r="I668" s="451">
        <v>4</v>
      </c>
      <c r="J668" s="451">
        <v>0</v>
      </c>
      <c r="K668" s="451">
        <v>0</v>
      </c>
      <c r="L668" s="451">
        <f>IF(COUNTIF(AR_SHEET_スキル,"イミューンウェイト")&gt;0,IF($T668&lt;0,0,$T668),$T668)</f>
        <v>0</v>
      </c>
      <c r="M668" s="451" t="s">
        <v>83</v>
      </c>
      <c r="N668" s="516" t="s">
        <v>2653</v>
      </c>
      <c r="O668" s="500">
        <v>2500</v>
      </c>
      <c r="P668" s="498">
        <v>14</v>
      </c>
      <c r="Q668" s="451"/>
      <c r="R668" s="461"/>
      <c r="S668" s="451">
        <v>1</v>
      </c>
      <c r="T668" s="451">
        <v>0</v>
      </c>
    </row>
    <row r="669" spans="1:20" s="470" customFormat="1" ht="11.25" customHeight="1">
      <c r="A669" s="451" t="s">
        <v>2654</v>
      </c>
      <c r="B669" s="451">
        <v>8</v>
      </c>
      <c r="C669" s="451" t="s">
        <v>298</v>
      </c>
      <c r="D669" s="451" t="s">
        <v>2401</v>
      </c>
      <c r="E669" s="451">
        <v>4</v>
      </c>
      <c r="F669" s="498">
        <v>0</v>
      </c>
      <c r="G669" s="498">
        <v>0</v>
      </c>
      <c r="H669" s="451">
        <f>IF(COUNTIF(AR_SHEET_スキル,"ジャストディフェンス")&gt;0,IF($S669&lt;0,0,$S669),$S669)</f>
        <v>0</v>
      </c>
      <c r="I669" s="451">
        <v>5</v>
      </c>
      <c r="J669" s="451">
        <v>0</v>
      </c>
      <c r="K669" s="451">
        <v>0</v>
      </c>
      <c r="L669" s="451">
        <f>IF(COUNTIF(AR_SHEET_スキル,"イミューンウェイト")&gt;0,IF($T669&lt;0,0,$T669),$T669)</f>
        <v>0</v>
      </c>
      <c r="M669" s="451" t="s">
        <v>83</v>
      </c>
      <c r="N669" s="516" t="s">
        <v>2655</v>
      </c>
      <c r="O669" s="500">
        <v>6500</v>
      </c>
      <c r="P669" s="498">
        <v>15</v>
      </c>
      <c r="Q669" s="451"/>
      <c r="R669" s="461"/>
      <c r="S669" s="451">
        <v>0</v>
      </c>
      <c r="T669" s="451">
        <v>0</v>
      </c>
    </row>
    <row r="670" spans="1:20" s="470" customFormat="1" ht="11.25" customHeight="1">
      <c r="A670" s="451" t="s">
        <v>2656</v>
      </c>
      <c r="B670" s="451">
        <v>9</v>
      </c>
      <c r="C670" s="451" t="s">
        <v>298</v>
      </c>
      <c r="D670" s="451" t="s">
        <v>2433</v>
      </c>
      <c r="E670" s="451">
        <v>3</v>
      </c>
      <c r="F670" s="498">
        <v>0</v>
      </c>
      <c r="G670" s="498">
        <v>0</v>
      </c>
      <c r="H670" s="451">
        <f>IF(COUNTIF(AR_SHEET_スキル,"ジャストディフェンス")&gt;0,IF($S670&lt;0,0,$S670),$S670)</f>
        <v>0</v>
      </c>
      <c r="I670" s="451">
        <v>2</v>
      </c>
      <c r="J670" s="451">
        <v>0</v>
      </c>
      <c r="K670" s="451">
        <v>0</v>
      </c>
      <c r="L670" s="451">
        <f>IF(COUNTIF(AR_SHEET_スキル,"イミューンウェイト")&gt;0,IF($T670&lt;0,0,$T670),$T670)</f>
        <v>0</v>
      </c>
      <c r="M670" s="499" t="s">
        <v>83</v>
      </c>
      <c r="N670" s="516" t="s">
        <v>2657</v>
      </c>
      <c r="O670" s="500">
        <v>8300</v>
      </c>
      <c r="P670" s="498">
        <v>15</v>
      </c>
      <c r="Q670" s="451"/>
      <c r="R670" s="461"/>
      <c r="S670" s="451">
        <v>0</v>
      </c>
      <c r="T670" s="451">
        <v>0</v>
      </c>
    </row>
    <row r="671" spans="1:20" s="470" customFormat="1" ht="11.25" customHeight="1">
      <c r="A671" s="451" t="s">
        <v>2658</v>
      </c>
      <c r="B671" s="451">
        <v>9</v>
      </c>
      <c r="C671" s="451" t="s">
        <v>298</v>
      </c>
      <c r="D671" s="451" t="s">
        <v>2411</v>
      </c>
      <c r="E671" s="451">
        <v>7</v>
      </c>
      <c r="F671" s="498">
        <v>0</v>
      </c>
      <c r="G671" s="498">
        <v>0</v>
      </c>
      <c r="H671" s="451">
        <f>IF(COUNTIF(AR_SHEET_スキル,"ジャストディフェンス")&gt;0,IF($S671&lt;0,0,$S671),$S671)</f>
        <v>-1</v>
      </c>
      <c r="I671" s="451">
        <v>6</v>
      </c>
      <c r="J671" s="451">
        <v>3</v>
      </c>
      <c r="K671" s="451">
        <v>0</v>
      </c>
      <c r="L671" s="451">
        <f>IF(COUNTIF(AR_SHEET_スキル,"イミューンウェイト")&gt;0,IF($T671&lt;0,0,$T671),$T671)</f>
        <v>-1</v>
      </c>
      <c r="M671" s="451" t="s">
        <v>83</v>
      </c>
      <c r="N671" s="516"/>
      <c r="O671" s="500">
        <v>14000</v>
      </c>
      <c r="P671" s="498">
        <v>15</v>
      </c>
      <c r="Q671" s="451"/>
      <c r="R671" s="450"/>
      <c r="S671" s="451">
        <v>-1</v>
      </c>
      <c r="T671" s="451">
        <v>-1</v>
      </c>
    </row>
    <row r="672" spans="1:20" ht="11.25" customHeight="1">
      <c r="A672" s="451" t="s">
        <v>2659</v>
      </c>
      <c r="B672" s="451">
        <v>2</v>
      </c>
      <c r="C672" s="451" t="s">
        <v>298</v>
      </c>
      <c r="D672" s="451" t="s">
        <v>2411</v>
      </c>
      <c r="E672" s="451">
        <v>1</v>
      </c>
      <c r="F672" s="498">
        <v>0</v>
      </c>
      <c r="G672" s="498">
        <v>0</v>
      </c>
      <c r="H672" s="451">
        <f>IF(COUNTIF(AR_SHEET_スキル,"ジャストディフェンス")&gt;0,IF($S672&lt;0,0,$S672),$S672)</f>
        <v>0</v>
      </c>
      <c r="I672" s="498">
        <v>0</v>
      </c>
      <c r="J672" s="498">
        <v>0</v>
      </c>
      <c r="K672" s="498">
        <v>0</v>
      </c>
      <c r="L672" s="451">
        <f>IF(COUNTIF(AR_SHEET_スキル,"イミューンウェイト")&gt;0,IF($T672&lt;0,0,$T672),$T672)</f>
        <v>0</v>
      </c>
      <c r="M672" s="498">
        <v>0</v>
      </c>
      <c r="N672" s="516"/>
      <c r="O672" s="500">
        <v>500</v>
      </c>
      <c r="P672" s="485" t="s">
        <v>83</v>
      </c>
      <c r="Q672" s="451"/>
      <c r="S672" s="451">
        <v>0</v>
      </c>
      <c r="T672" s="451">
        <v>0</v>
      </c>
    </row>
    <row r="673" spans="1:20" ht="11.25" customHeight="1">
      <c r="A673" s="451"/>
      <c r="B673" s="451"/>
      <c r="C673" s="451"/>
      <c r="D673" s="451"/>
      <c r="E673" s="451"/>
      <c r="F673" s="498"/>
      <c r="G673" s="498"/>
      <c r="H673" s="451"/>
      <c r="I673" s="451"/>
      <c r="J673" s="451"/>
      <c r="L673" s="451"/>
      <c r="M673" s="451"/>
      <c r="N673" s="516"/>
      <c r="O673" s="500"/>
      <c r="P673" s="498"/>
      <c r="Q673" s="451"/>
      <c r="S673" s="451"/>
      <c r="T673" s="451"/>
    </row>
    <row r="674" spans="1:20" ht="11.25" customHeight="1">
      <c r="A674" s="451"/>
      <c r="B674" s="451"/>
      <c r="C674" s="451"/>
      <c r="D674" s="451"/>
      <c r="E674" s="451"/>
      <c r="F674" s="498"/>
      <c r="G674" s="498"/>
      <c r="H674" s="451"/>
      <c r="I674" s="451"/>
      <c r="J674" s="451"/>
      <c r="L674" s="451"/>
      <c r="M674" s="499"/>
      <c r="N674" s="516"/>
      <c r="O674" s="500"/>
      <c r="P674" s="498"/>
      <c r="Q674" s="451"/>
      <c r="S674" s="451"/>
      <c r="T674" s="451"/>
    </row>
    <row r="675" spans="6:18" s="451" customFormat="1" ht="11.25" customHeight="1">
      <c r="F675" s="498"/>
      <c r="G675" s="498"/>
      <c r="K675" s="390"/>
      <c r="M675" s="499"/>
      <c r="N675" s="516"/>
      <c r="O675" s="500"/>
      <c r="P675" s="498"/>
      <c r="R675" s="450"/>
    </row>
    <row r="676" spans="1:20" ht="11.25" customHeight="1">
      <c r="A676" s="451"/>
      <c r="B676" s="451"/>
      <c r="C676" s="451"/>
      <c r="D676" s="451"/>
      <c r="E676" s="451"/>
      <c r="F676" s="498"/>
      <c r="G676" s="498"/>
      <c r="H676" s="451"/>
      <c r="I676" s="451"/>
      <c r="J676" s="451"/>
      <c r="L676" s="451"/>
      <c r="M676" s="499"/>
      <c r="N676" s="516"/>
      <c r="O676" s="500"/>
      <c r="P676" s="498"/>
      <c r="Q676" s="451"/>
      <c r="S676" s="451"/>
      <c r="T676" s="451"/>
    </row>
    <row r="677" spans="6:18" s="451" customFormat="1" ht="11.25" customHeight="1">
      <c r="F677" s="498"/>
      <c r="G677" s="498"/>
      <c r="K677" s="390"/>
      <c r="N677" s="516"/>
      <c r="O677" s="500"/>
      <c r="P677" s="498"/>
      <c r="R677" s="450"/>
    </row>
    <row r="678" spans="6:19" s="451" customFormat="1" ht="11.25" customHeight="1">
      <c r="F678" s="498"/>
      <c r="G678" s="498"/>
      <c r="I678" s="498"/>
      <c r="J678" s="498"/>
      <c r="K678" s="390"/>
      <c r="N678" s="516"/>
      <c r="O678" s="500"/>
      <c r="P678" s="498"/>
      <c r="R678" s="450"/>
      <c r="S678" s="498"/>
    </row>
    <row r="679" spans="6:19" s="451" customFormat="1" ht="11.25" customHeight="1">
      <c r="F679" s="498"/>
      <c r="G679" s="498"/>
      <c r="I679" s="498"/>
      <c r="J679" s="498"/>
      <c r="K679" s="390"/>
      <c r="N679" s="516"/>
      <c r="O679" s="500"/>
      <c r="P679" s="498"/>
      <c r="R679" s="450"/>
      <c r="S679" s="498"/>
    </row>
    <row r="680" spans="6:19" s="451" customFormat="1" ht="11.25" customHeight="1">
      <c r="F680" s="498"/>
      <c r="G680" s="498"/>
      <c r="I680" s="498"/>
      <c r="J680" s="498"/>
      <c r="K680" s="390"/>
      <c r="N680" s="516"/>
      <c r="O680" s="500"/>
      <c r="P680" s="498"/>
      <c r="R680" s="450"/>
      <c r="S680" s="498"/>
    </row>
    <row r="681" spans="6:19" s="451" customFormat="1" ht="11.25" customHeight="1">
      <c r="F681" s="498"/>
      <c r="G681" s="498"/>
      <c r="I681" s="498"/>
      <c r="J681" s="498"/>
      <c r="K681" s="390"/>
      <c r="N681" s="516"/>
      <c r="O681" s="500"/>
      <c r="P681" s="498"/>
      <c r="R681" s="450"/>
      <c r="S681" s="498"/>
    </row>
    <row r="682" spans="6:19" s="451" customFormat="1" ht="11.25" customHeight="1">
      <c r="F682" s="498"/>
      <c r="G682" s="498"/>
      <c r="I682" s="498"/>
      <c r="J682" s="498"/>
      <c r="K682" s="390"/>
      <c r="N682" s="516"/>
      <c r="O682" s="500"/>
      <c r="P682" s="498"/>
      <c r="R682" s="450"/>
      <c r="S682" s="498"/>
    </row>
    <row r="683" spans="6:19" s="451" customFormat="1" ht="11.25" customHeight="1">
      <c r="F683" s="498"/>
      <c r="G683" s="498"/>
      <c r="I683" s="498"/>
      <c r="J683" s="498"/>
      <c r="K683" s="390"/>
      <c r="N683" s="516"/>
      <c r="O683" s="500"/>
      <c r="P683" s="498"/>
      <c r="R683" s="450"/>
      <c r="S683" s="498"/>
    </row>
    <row r="684" spans="6:19" s="451" customFormat="1" ht="11.25" customHeight="1">
      <c r="F684" s="498"/>
      <c r="G684" s="498"/>
      <c r="I684" s="498"/>
      <c r="J684" s="498"/>
      <c r="K684" s="390"/>
      <c r="N684" s="516"/>
      <c r="O684" s="500"/>
      <c r="P684" s="498"/>
      <c r="R684" s="450"/>
      <c r="S684" s="498"/>
    </row>
    <row r="685" spans="6:19" s="451" customFormat="1" ht="11.25" customHeight="1">
      <c r="F685" s="498"/>
      <c r="G685" s="498"/>
      <c r="I685" s="498"/>
      <c r="J685" s="498"/>
      <c r="K685" s="390"/>
      <c r="N685" s="516"/>
      <c r="O685" s="500"/>
      <c r="P685" s="498"/>
      <c r="R685" s="450"/>
      <c r="S685" s="498"/>
    </row>
    <row r="686" spans="1:20" ht="11.25" customHeight="1">
      <c r="A686" s="451"/>
      <c r="B686" s="451"/>
      <c r="C686" s="451"/>
      <c r="D686" s="451"/>
      <c r="E686" s="451"/>
      <c r="F686" s="498"/>
      <c r="G686" s="498"/>
      <c r="H686" s="451"/>
      <c r="I686" s="451"/>
      <c r="J686" s="451"/>
      <c r="L686" s="451"/>
      <c r="M686" s="499"/>
      <c r="N686" s="516"/>
      <c r="O686" s="500"/>
      <c r="P686" s="498"/>
      <c r="Q686" s="451"/>
      <c r="S686" s="451"/>
      <c r="T686" s="451"/>
    </row>
    <row r="687" spans="1:20" ht="11.25" customHeight="1">
      <c r="A687" s="451"/>
      <c r="B687" s="451"/>
      <c r="C687" s="451"/>
      <c r="D687" s="451"/>
      <c r="E687" s="451"/>
      <c r="F687" s="498"/>
      <c r="G687" s="498"/>
      <c r="H687" s="451"/>
      <c r="I687" s="451"/>
      <c r="J687" s="451"/>
      <c r="L687" s="451"/>
      <c r="M687" s="499"/>
      <c r="N687" s="516"/>
      <c r="O687" s="500"/>
      <c r="P687" s="498"/>
      <c r="Q687" s="451"/>
      <c r="S687" s="451"/>
      <c r="T687" s="451"/>
    </row>
    <row r="688" spans="1:20" ht="11.25" customHeight="1">
      <c r="A688" s="451"/>
      <c r="B688" s="451"/>
      <c r="C688" s="451"/>
      <c r="D688" s="451"/>
      <c r="E688" s="451"/>
      <c r="F688" s="498"/>
      <c r="G688" s="498"/>
      <c r="H688" s="451"/>
      <c r="I688" s="451"/>
      <c r="J688" s="451"/>
      <c r="L688" s="451"/>
      <c r="M688" s="499"/>
      <c r="N688" s="516"/>
      <c r="O688" s="500"/>
      <c r="P688" s="498"/>
      <c r="Q688" s="451"/>
      <c r="R688" s="450"/>
      <c r="S688" s="451"/>
      <c r="T688" s="451"/>
    </row>
    <row r="689" spans="1:20" ht="11.25" customHeight="1">
      <c r="A689" s="451"/>
      <c r="B689" s="451"/>
      <c r="C689" s="451"/>
      <c r="D689" s="451"/>
      <c r="E689" s="451"/>
      <c r="F689" s="498"/>
      <c r="G689" s="498"/>
      <c r="H689" s="451"/>
      <c r="I689" s="451"/>
      <c r="J689" s="451"/>
      <c r="L689" s="451"/>
      <c r="M689" s="499"/>
      <c r="N689" s="516"/>
      <c r="O689" s="500"/>
      <c r="P689" s="498"/>
      <c r="Q689" s="451"/>
      <c r="R689" s="450"/>
      <c r="S689" s="451"/>
      <c r="T689" s="451"/>
    </row>
    <row r="690" spans="1:20" ht="11.25" customHeight="1">
      <c r="A690" s="451"/>
      <c r="B690" s="451"/>
      <c r="C690" s="451"/>
      <c r="D690" s="451"/>
      <c r="E690" s="451"/>
      <c r="F690" s="498"/>
      <c r="G690" s="498"/>
      <c r="H690" s="451"/>
      <c r="I690" s="451"/>
      <c r="J690" s="451"/>
      <c r="L690" s="451"/>
      <c r="M690" s="499"/>
      <c r="N690" s="516"/>
      <c r="O690" s="500"/>
      <c r="P690" s="498"/>
      <c r="Q690" s="451"/>
      <c r="R690" s="450"/>
      <c r="S690" s="451"/>
      <c r="T690" s="451"/>
    </row>
    <row r="691" spans="1:20" ht="11.25" customHeight="1">
      <c r="A691" s="451"/>
      <c r="B691" s="451"/>
      <c r="C691" s="451"/>
      <c r="D691" s="451"/>
      <c r="E691" s="451"/>
      <c r="F691" s="498"/>
      <c r="G691" s="498"/>
      <c r="H691" s="451"/>
      <c r="I691" s="451"/>
      <c r="J691" s="451"/>
      <c r="L691" s="451"/>
      <c r="M691" s="499"/>
      <c r="N691" s="516"/>
      <c r="O691" s="500"/>
      <c r="P691" s="498"/>
      <c r="Q691" s="451"/>
      <c r="R691" s="450"/>
      <c r="S691" s="451"/>
      <c r="T691" s="451"/>
    </row>
    <row r="692" spans="1:20" ht="11.25" customHeight="1">
      <c r="A692" s="451"/>
      <c r="B692" s="451"/>
      <c r="C692" s="451"/>
      <c r="D692" s="451"/>
      <c r="E692" s="451"/>
      <c r="F692" s="498"/>
      <c r="G692" s="498"/>
      <c r="H692" s="451"/>
      <c r="I692" s="451"/>
      <c r="J692" s="451"/>
      <c r="L692" s="451"/>
      <c r="M692" s="499"/>
      <c r="N692" s="516"/>
      <c r="O692" s="500"/>
      <c r="P692" s="498"/>
      <c r="Q692" s="451"/>
      <c r="R692" s="450"/>
      <c r="S692" s="451"/>
      <c r="T692" s="451"/>
    </row>
    <row r="693" spans="1:20" ht="11.25" customHeight="1">
      <c r="A693" s="451"/>
      <c r="B693" s="451"/>
      <c r="C693" s="451"/>
      <c r="D693" s="451"/>
      <c r="E693" s="451"/>
      <c r="F693" s="498"/>
      <c r="G693" s="498"/>
      <c r="H693" s="451"/>
      <c r="I693" s="451"/>
      <c r="J693" s="451"/>
      <c r="L693" s="451"/>
      <c r="M693" s="499"/>
      <c r="N693" s="516"/>
      <c r="O693" s="500"/>
      <c r="P693" s="498"/>
      <c r="Q693" s="451"/>
      <c r="R693" s="450"/>
      <c r="S693" s="451"/>
      <c r="T693" s="451"/>
    </row>
    <row r="694" spans="1:20" ht="11.25" customHeight="1">
      <c r="A694" s="451"/>
      <c r="B694" s="451"/>
      <c r="C694" s="451"/>
      <c r="D694" s="451"/>
      <c r="E694" s="451"/>
      <c r="F694" s="498"/>
      <c r="G694" s="498"/>
      <c r="H694" s="451"/>
      <c r="I694" s="451"/>
      <c r="J694" s="451"/>
      <c r="L694" s="451"/>
      <c r="M694" s="499"/>
      <c r="N694" s="516"/>
      <c r="O694" s="500"/>
      <c r="P694" s="498"/>
      <c r="Q694" s="451"/>
      <c r="R694" s="450"/>
      <c r="S694" s="451"/>
      <c r="T694" s="451"/>
    </row>
    <row r="695" spans="1:20" ht="11.25" customHeight="1">
      <c r="A695" s="451"/>
      <c r="B695" s="451"/>
      <c r="C695" s="451"/>
      <c r="D695" s="451"/>
      <c r="E695" s="451"/>
      <c r="F695" s="498"/>
      <c r="G695" s="498"/>
      <c r="H695" s="451"/>
      <c r="I695" s="498"/>
      <c r="J695" s="498"/>
      <c r="L695" s="451"/>
      <c r="M695" s="499"/>
      <c r="N695" s="516"/>
      <c r="O695" s="500"/>
      <c r="P695" s="498"/>
      <c r="Q695" s="451"/>
      <c r="R695" s="450"/>
      <c r="S695" s="498"/>
      <c r="T695" s="451"/>
    </row>
    <row r="696" spans="1:19" ht="11.25" customHeight="1">
      <c r="A696" s="46" t="s">
        <v>272</v>
      </c>
      <c r="B696" s="489" t="s">
        <v>111</v>
      </c>
      <c r="C696" s="489" t="s">
        <v>253</v>
      </c>
      <c r="D696" s="489" t="s">
        <v>254</v>
      </c>
      <c r="E696" s="489" t="s">
        <v>255</v>
      </c>
      <c r="F696" s="490" t="s">
        <v>174</v>
      </c>
      <c r="G696" s="490" t="s">
        <v>256</v>
      </c>
      <c r="H696" s="489" t="s">
        <v>233</v>
      </c>
      <c r="I696" s="489" t="s">
        <v>257</v>
      </c>
      <c r="J696" s="489" t="s">
        <v>258</v>
      </c>
      <c r="K696" s="489" t="s">
        <v>259</v>
      </c>
      <c r="L696" s="489" t="s">
        <v>260</v>
      </c>
      <c r="M696" s="491" t="s">
        <v>261</v>
      </c>
      <c r="N696" s="489" t="s">
        <v>262</v>
      </c>
      <c r="O696" s="492" t="s">
        <v>223</v>
      </c>
      <c r="P696" s="490" t="s">
        <v>2093</v>
      </c>
      <c r="Q696" s="493" t="s">
        <v>2094</v>
      </c>
      <c r="R696" s="399"/>
      <c r="S696" s="213"/>
    </row>
    <row r="697" spans="1:19" ht="11.25" customHeight="1">
      <c r="A697" s="213"/>
      <c r="B697" s="213"/>
      <c r="C697" s="213"/>
      <c r="D697" s="213"/>
      <c r="E697" s="213"/>
      <c r="F697" s="311"/>
      <c r="G697" s="311"/>
      <c r="H697" s="213"/>
      <c r="I697" s="213"/>
      <c r="J697" s="213"/>
      <c r="K697" s="213"/>
      <c r="L697" s="213"/>
      <c r="M697" s="494"/>
      <c r="N697" s="213"/>
      <c r="O697" s="221"/>
      <c r="P697" s="311"/>
      <c r="R697" s="399"/>
      <c r="S697" s="213"/>
    </row>
    <row r="698" spans="1:20" s="470" customFormat="1" ht="11.25" customHeight="1">
      <c r="A698" s="448" t="s">
        <v>2660</v>
      </c>
      <c r="B698" s="448">
        <v>1</v>
      </c>
      <c r="C698" s="448" t="s">
        <v>168</v>
      </c>
      <c r="D698" s="448" t="s">
        <v>83</v>
      </c>
      <c r="E698" s="448">
        <v>1</v>
      </c>
      <c r="F698" s="502">
        <v>0</v>
      </c>
      <c r="G698" s="502">
        <v>0</v>
      </c>
      <c r="H698" s="502">
        <v>0</v>
      </c>
      <c r="I698" s="502">
        <v>0</v>
      </c>
      <c r="J698" s="502">
        <v>0</v>
      </c>
      <c r="K698" s="502">
        <v>0</v>
      </c>
      <c r="L698" s="448">
        <v>0</v>
      </c>
      <c r="M698" s="502" t="s">
        <v>83</v>
      </c>
      <c r="N698" s="504"/>
      <c r="O698" s="505">
        <v>1</v>
      </c>
      <c r="P698" s="502" t="s">
        <v>83</v>
      </c>
      <c r="Q698" s="448"/>
      <c r="R698" s="450"/>
      <c r="S698" s="451"/>
      <c r="T698" s="451"/>
    </row>
    <row r="699" spans="1:17" ht="11.25" customHeight="1">
      <c r="A699" s="448" t="s">
        <v>2661</v>
      </c>
      <c r="B699" s="448">
        <v>1</v>
      </c>
      <c r="C699" s="448" t="s">
        <v>168</v>
      </c>
      <c r="D699" s="448" t="s">
        <v>83</v>
      </c>
      <c r="E699" s="448">
        <v>1</v>
      </c>
      <c r="F699" s="502">
        <v>0</v>
      </c>
      <c r="G699" s="502">
        <v>0</v>
      </c>
      <c r="H699" s="448">
        <v>0</v>
      </c>
      <c r="I699" s="448">
        <v>0</v>
      </c>
      <c r="J699" s="448">
        <v>0</v>
      </c>
      <c r="K699" s="448">
        <v>0</v>
      </c>
      <c r="L699" s="448">
        <v>0</v>
      </c>
      <c r="M699" s="448" t="s">
        <v>83</v>
      </c>
      <c r="N699" s="504"/>
      <c r="O699" s="505">
        <v>1</v>
      </c>
      <c r="P699" s="502" t="s">
        <v>83</v>
      </c>
      <c r="Q699" s="448"/>
    </row>
    <row r="700" spans="1:20" s="470" customFormat="1" ht="11.25" customHeight="1">
      <c r="A700" s="448" t="s">
        <v>2662</v>
      </c>
      <c r="B700" s="448">
        <v>1</v>
      </c>
      <c r="C700" s="448" t="s">
        <v>168</v>
      </c>
      <c r="D700" s="448" t="s">
        <v>83</v>
      </c>
      <c r="E700" s="448">
        <v>1</v>
      </c>
      <c r="F700" s="502">
        <v>0</v>
      </c>
      <c r="G700" s="502">
        <v>0</v>
      </c>
      <c r="H700" s="502">
        <v>0</v>
      </c>
      <c r="I700" s="502">
        <v>0</v>
      </c>
      <c r="J700" s="502">
        <v>0</v>
      </c>
      <c r="K700" s="502">
        <v>0</v>
      </c>
      <c r="L700" s="448">
        <v>0</v>
      </c>
      <c r="M700" s="502" t="s">
        <v>83</v>
      </c>
      <c r="N700" s="504"/>
      <c r="O700" s="505">
        <v>1</v>
      </c>
      <c r="P700" s="502" t="s">
        <v>83</v>
      </c>
      <c r="Q700" s="448"/>
      <c r="R700" s="461"/>
      <c r="S700" s="451"/>
      <c r="T700" s="451"/>
    </row>
    <row r="701" spans="1:20" s="470" customFormat="1" ht="11.25" customHeight="1">
      <c r="A701" s="448" t="s">
        <v>2663</v>
      </c>
      <c r="B701" s="448">
        <v>1</v>
      </c>
      <c r="C701" s="448" t="s">
        <v>168</v>
      </c>
      <c r="D701" s="448" t="s">
        <v>83</v>
      </c>
      <c r="E701" s="448">
        <v>1</v>
      </c>
      <c r="F701" s="502">
        <v>0</v>
      </c>
      <c r="G701" s="502">
        <v>0</v>
      </c>
      <c r="H701" s="502">
        <v>0</v>
      </c>
      <c r="I701" s="502">
        <v>0</v>
      </c>
      <c r="J701" s="502">
        <v>0</v>
      </c>
      <c r="K701" s="502">
        <v>0</v>
      </c>
      <c r="L701" s="448">
        <v>0</v>
      </c>
      <c r="M701" s="502" t="s">
        <v>83</v>
      </c>
      <c r="N701" s="504"/>
      <c r="O701" s="505">
        <v>1</v>
      </c>
      <c r="P701" s="502" t="s">
        <v>83</v>
      </c>
      <c r="Q701" s="448"/>
      <c r="R701" s="461"/>
      <c r="S701" s="451"/>
      <c r="T701" s="451"/>
    </row>
    <row r="702" spans="1:20" s="451" customFormat="1" ht="11.25" customHeight="1">
      <c r="A702" s="448" t="s">
        <v>2664</v>
      </c>
      <c r="B702" s="448">
        <v>1</v>
      </c>
      <c r="C702" s="448" t="s">
        <v>168</v>
      </c>
      <c r="D702" s="448" t="s">
        <v>83</v>
      </c>
      <c r="E702" s="448">
        <v>1</v>
      </c>
      <c r="F702" s="502">
        <v>0</v>
      </c>
      <c r="G702" s="502">
        <v>0</v>
      </c>
      <c r="H702" s="448">
        <v>0</v>
      </c>
      <c r="I702" s="448">
        <v>0</v>
      </c>
      <c r="J702" s="448">
        <v>0</v>
      </c>
      <c r="K702" s="448">
        <v>0</v>
      </c>
      <c r="L702" s="448">
        <v>0</v>
      </c>
      <c r="M702" s="448" t="s">
        <v>83</v>
      </c>
      <c r="N702" s="504"/>
      <c r="O702" s="505">
        <v>3</v>
      </c>
      <c r="P702" s="502" t="s">
        <v>83</v>
      </c>
      <c r="Q702" s="448"/>
      <c r="R702" s="450"/>
      <c r="S702" s="390"/>
      <c r="T702" s="390"/>
    </row>
    <row r="703" spans="1:20" s="451" customFormat="1" ht="11.25" customHeight="1">
      <c r="A703" s="448" t="s">
        <v>2665</v>
      </c>
      <c r="B703" s="448">
        <v>1</v>
      </c>
      <c r="C703" s="448" t="s">
        <v>168</v>
      </c>
      <c r="D703" s="448" t="s">
        <v>83</v>
      </c>
      <c r="E703" s="448">
        <v>1</v>
      </c>
      <c r="F703" s="502">
        <v>0</v>
      </c>
      <c r="G703" s="502">
        <v>0</v>
      </c>
      <c r="H703" s="448">
        <v>0</v>
      </c>
      <c r="I703" s="448">
        <v>0</v>
      </c>
      <c r="J703" s="448">
        <v>0</v>
      </c>
      <c r="K703" s="448">
        <v>0</v>
      </c>
      <c r="L703" s="448">
        <v>0</v>
      </c>
      <c r="M703" s="448" t="s">
        <v>83</v>
      </c>
      <c r="N703" s="504"/>
      <c r="O703" s="505">
        <v>5</v>
      </c>
      <c r="P703" s="502" t="s">
        <v>83</v>
      </c>
      <c r="Q703" s="448"/>
      <c r="R703" s="461"/>
      <c r="S703" s="390"/>
      <c r="T703" s="390"/>
    </row>
    <row r="704" spans="1:17" ht="11.25" customHeight="1">
      <c r="A704" s="448" t="s">
        <v>2666</v>
      </c>
      <c r="B704" s="448">
        <v>1</v>
      </c>
      <c r="C704" s="448" t="s">
        <v>168</v>
      </c>
      <c r="D704" s="448" t="s">
        <v>83</v>
      </c>
      <c r="E704" s="448">
        <v>1</v>
      </c>
      <c r="F704" s="502">
        <v>0</v>
      </c>
      <c r="G704" s="502">
        <v>0</v>
      </c>
      <c r="H704" s="448">
        <v>0</v>
      </c>
      <c r="I704" s="448">
        <v>0</v>
      </c>
      <c r="J704" s="448">
        <v>0</v>
      </c>
      <c r="K704" s="448">
        <v>0</v>
      </c>
      <c r="L704" s="448">
        <v>0</v>
      </c>
      <c r="M704" s="448" t="s">
        <v>83</v>
      </c>
      <c r="N704" s="504"/>
      <c r="O704" s="505">
        <v>750</v>
      </c>
      <c r="P704" s="502" t="s">
        <v>83</v>
      </c>
      <c r="Q704" s="448"/>
    </row>
    <row r="705" spans="1:18" ht="11.25" customHeight="1">
      <c r="A705" s="448" t="s">
        <v>2667</v>
      </c>
      <c r="B705" s="448">
        <v>1</v>
      </c>
      <c r="C705" s="448" t="s">
        <v>168</v>
      </c>
      <c r="D705" s="448" t="s">
        <v>83</v>
      </c>
      <c r="E705" s="448">
        <v>2</v>
      </c>
      <c r="F705" s="502">
        <v>0</v>
      </c>
      <c r="G705" s="502">
        <v>0</v>
      </c>
      <c r="H705" s="448">
        <v>0</v>
      </c>
      <c r="I705" s="448">
        <v>0</v>
      </c>
      <c r="J705" s="448">
        <v>0</v>
      </c>
      <c r="K705" s="448">
        <v>0</v>
      </c>
      <c r="L705" s="448">
        <v>0</v>
      </c>
      <c r="M705" s="448" t="s">
        <v>83</v>
      </c>
      <c r="N705" s="504"/>
      <c r="O705" s="505">
        <v>3</v>
      </c>
      <c r="P705" s="502" t="s">
        <v>83</v>
      </c>
      <c r="Q705" s="448"/>
      <c r="R705" s="450"/>
    </row>
    <row r="706" spans="1:20" s="470" customFormat="1" ht="11.25" customHeight="1">
      <c r="A706" s="448" t="s">
        <v>2668</v>
      </c>
      <c r="B706" s="448">
        <v>1</v>
      </c>
      <c r="C706" s="448" t="s">
        <v>168</v>
      </c>
      <c r="D706" s="448" t="s">
        <v>83</v>
      </c>
      <c r="E706" s="448">
        <v>2</v>
      </c>
      <c r="F706" s="502">
        <v>0</v>
      </c>
      <c r="G706" s="502">
        <v>0</v>
      </c>
      <c r="H706" s="502">
        <v>0</v>
      </c>
      <c r="I706" s="502">
        <v>0</v>
      </c>
      <c r="J706" s="502">
        <v>0</v>
      </c>
      <c r="K706" s="502">
        <v>0</v>
      </c>
      <c r="L706" s="448">
        <v>0</v>
      </c>
      <c r="M706" s="502" t="s">
        <v>83</v>
      </c>
      <c r="N706" s="504"/>
      <c r="O706" s="505">
        <v>20</v>
      </c>
      <c r="P706" s="502" t="s">
        <v>83</v>
      </c>
      <c r="Q706" s="448"/>
      <c r="R706" s="461"/>
      <c r="S706" s="451"/>
      <c r="T706" s="451"/>
    </row>
    <row r="707" spans="1:18" ht="11.25" customHeight="1">
      <c r="A707" s="448" t="s">
        <v>282</v>
      </c>
      <c r="B707" s="448">
        <v>1</v>
      </c>
      <c r="C707" s="448" t="s">
        <v>168</v>
      </c>
      <c r="D707" s="448" t="s">
        <v>83</v>
      </c>
      <c r="E707" s="448">
        <v>5</v>
      </c>
      <c r="F707" s="502">
        <v>0</v>
      </c>
      <c r="G707" s="502">
        <v>0</v>
      </c>
      <c r="H707" s="448">
        <v>0</v>
      </c>
      <c r="I707" s="448">
        <v>0</v>
      </c>
      <c r="J707" s="448">
        <v>0</v>
      </c>
      <c r="K707" s="448">
        <v>0</v>
      </c>
      <c r="L707" s="448">
        <v>0</v>
      </c>
      <c r="M707" s="448" t="s">
        <v>83</v>
      </c>
      <c r="N707" s="504"/>
      <c r="O707" s="505">
        <v>10</v>
      </c>
      <c r="P707" s="502" t="s">
        <v>83</v>
      </c>
      <c r="Q707" s="448"/>
      <c r="R707" s="450"/>
    </row>
    <row r="708" spans="1:20" s="470" customFormat="1" ht="11.25" customHeight="1">
      <c r="A708" s="448" t="s">
        <v>302</v>
      </c>
      <c r="B708" s="448">
        <v>1</v>
      </c>
      <c r="C708" s="448" t="s">
        <v>2669</v>
      </c>
      <c r="D708" s="448" t="s">
        <v>83</v>
      </c>
      <c r="E708" s="448">
        <v>1</v>
      </c>
      <c r="F708" s="502">
        <v>0</v>
      </c>
      <c r="G708" s="502">
        <v>0</v>
      </c>
      <c r="H708" s="448">
        <v>0</v>
      </c>
      <c r="I708" s="448">
        <v>0</v>
      </c>
      <c r="J708" s="448">
        <v>0</v>
      </c>
      <c r="K708" s="448">
        <v>0</v>
      </c>
      <c r="L708" s="448">
        <v>0</v>
      </c>
      <c r="M708" s="448" t="s">
        <v>83</v>
      </c>
      <c r="N708" s="504"/>
      <c r="O708" s="505">
        <v>30</v>
      </c>
      <c r="P708" s="502" t="s">
        <v>83</v>
      </c>
      <c r="Q708" s="448"/>
      <c r="R708" s="450"/>
      <c r="S708" s="498"/>
      <c r="T708" s="451"/>
    </row>
    <row r="709" spans="1:20" s="470" customFormat="1" ht="11.25" customHeight="1">
      <c r="A709" s="448" t="s">
        <v>2670</v>
      </c>
      <c r="B709" s="448">
        <v>1</v>
      </c>
      <c r="C709" s="448" t="s">
        <v>2669</v>
      </c>
      <c r="D709" s="448" t="s">
        <v>83</v>
      </c>
      <c r="E709" s="448">
        <v>1</v>
      </c>
      <c r="F709" s="502">
        <v>0</v>
      </c>
      <c r="G709" s="502">
        <v>0</v>
      </c>
      <c r="H709" s="448">
        <v>0</v>
      </c>
      <c r="I709" s="448">
        <v>0</v>
      </c>
      <c r="J709" s="448">
        <v>0</v>
      </c>
      <c r="K709" s="448">
        <v>0</v>
      </c>
      <c r="L709" s="448">
        <v>0</v>
      </c>
      <c r="M709" s="448" t="s">
        <v>83</v>
      </c>
      <c r="N709" s="504"/>
      <c r="O709" s="505">
        <v>200</v>
      </c>
      <c r="P709" s="502" t="s">
        <v>83</v>
      </c>
      <c r="Q709" s="448"/>
      <c r="R709" s="450"/>
      <c r="S709" s="451"/>
      <c r="T709" s="451"/>
    </row>
    <row r="710" spans="1:20" s="470" customFormat="1" ht="11.25" customHeight="1">
      <c r="A710" s="448" t="s">
        <v>309</v>
      </c>
      <c r="B710" s="448">
        <v>1</v>
      </c>
      <c r="C710" s="448" t="s">
        <v>2669</v>
      </c>
      <c r="D710" s="448" t="s">
        <v>83</v>
      </c>
      <c r="E710" s="448">
        <v>1</v>
      </c>
      <c r="F710" s="502">
        <v>0</v>
      </c>
      <c r="G710" s="502">
        <v>0</v>
      </c>
      <c r="H710" s="448">
        <v>0</v>
      </c>
      <c r="I710" s="448">
        <v>0</v>
      </c>
      <c r="J710" s="448">
        <v>0</v>
      </c>
      <c r="K710" s="448">
        <v>0</v>
      </c>
      <c r="L710" s="448">
        <v>0</v>
      </c>
      <c r="M710" s="448" t="s">
        <v>83</v>
      </c>
      <c r="N710" s="504"/>
      <c r="O710" s="505">
        <v>50</v>
      </c>
      <c r="P710" s="502" t="s">
        <v>83</v>
      </c>
      <c r="Q710" s="448"/>
      <c r="R710" s="461"/>
      <c r="S710" s="451"/>
      <c r="T710" s="451"/>
    </row>
    <row r="711" spans="1:20" s="470" customFormat="1" ht="11.25" customHeight="1">
      <c r="A711" s="448" t="s">
        <v>2671</v>
      </c>
      <c r="B711" s="448">
        <v>1</v>
      </c>
      <c r="C711" s="448" t="s">
        <v>2669</v>
      </c>
      <c r="D711" s="448" t="s">
        <v>83</v>
      </c>
      <c r="E711" s="448">
        <v>1</v>
      </c>
      <c r="F711" s="502">
        <v>0</v>
      </c>
      <c r="G711" s="502">
        <v>0</v>
      </c>
      <c r="H711" s="448">
        <v>0</v>
      </c>
      <c r="I711" s="448">
        <v>0</v>
      </c>
      <c r="J711" s="448">
        <v>0</v>
      </c>
      <c r="K711" s="448">
        <v>0</v>
      </c>
      <c r="L711" s="448">
        <v>0</v>
      </c>
      <c r="M711" s="448" t="s">
        <v>83</v>
      </c>
      <c r="N711" s="504"/>
      <c r="O711" s="505">
        <v>300</v>
      </c>
      <c r="P711" s="502" t="s">
        <v>83</v>
      </c>
      <c r="Q711" s="448"/>
      <c r="R711" s="450"/>
      <c r="S711" s="451"/>
      <c r="T711" s="451"/>
    </row>
    <row r="712" spans="1:20" s="470" customFormat="1" ht="11.25" customHeight="1">
      <c r="A712" s="448" t="s">
        <v>318</v>
      </c>
      <c r="B712" s="448">
        <v>1</v>
      </c>
      <c r="C712" s="448" t="s">
        <v>2669</v>
      </c>
      <c r="D712" s="448" t="s">
        <v>83</v>
      </c>
      <c r="E712" s="448">
        <v>1</v>
      </c>
      <c r="F712" s="502">
        <v>0</v>
      </c>
      <c r="G712" s="502">
        <v>0</v>
      </c>
      <c r="H712" s="448">
        <v>0</v>
      </c>
      <c r="I712" s="448">
        <v>0</v>
      </c>
      <c r="J712" s="448">
        <v>0</v>
      </c>
      <c r="K712" s="448">
        <v>0</v>
      </c>
      <c r="L712" s="448">
        <v>0</v>
      </c>
      <c r="M712" s="448" t="s">
        <v>83</v>
      </c>
      <c r="N712" s="504"/>
      <c r="O712" s="505">
        <v>10</v>
      </c>
      <c r="P712" s="502" t="s">
        <v>83</v>
      </c>
      <c r="Q712" s="448"/>
      <c r="R712" s="450"/>
      <c r="S712" s="451"/>
      <c r="T712" s="451"/>
    </row>
    <row r="713" spans="1:20" s="470" customFormat="1" ht="11.25" customHeight="1">
      <c r="A713" s="448" t="s">
        <v>2672</v>
      </c>
      <c r="B713" s="448">
        <v>1</v>
      </c>
      <c r="C713" s="448" t="s">
        <v>2669</v>
      </c>
      <c r="D713" s="448" t="s">
        <v>83</v>
      </c>
      <c r="E713" s="448">
        <v>1</v>
      </c>
      <c r="F713" s="502">
        <v>0</v>
      </c>
      <c r="G713" s="502">
        <v>0</v>
      </c>
      <c r="H713" s="448">
        <v>0</v>
      </c>
      <c r="I713" s="448">
        <v>0</v>
      </c>
      <c r="J713" s="448">
        <v>0</v>
      </c>
      <c r="K713" s="448">
        <v>0</v>
      </c>
      <c r="L713" s="448">
        <v>0</v>
      </c>
      <c r="M713" s="448" t="s">
        <v>83</v>
      </c>
      <c r="N713" s="504"/>
      <c r="O713" s="505">
        <v>300</v>
      </c>
      <c r="P713" s="502" t="s">
        <v>83</v>
      </c>
      <c r="Q713" s="448"/>
      <c r="R713" s="450"/>
      <c r="S713" s="451"/>
      <c r="T713" s="451"/>
    </row>
    <row r="714" spans="1:20" s="470" customFormat="1" ht="11.25" customHeight="1">
      <c r="A714" s="448" t="s">
        <v>2673</v>
      </c>
      <c r="B714" s="448">
        <v>1</v>
      </c>
      <c r="C714" s="448" t="s">
        <v>2674</v>
      </c>
      <c r="D714" s="448" t="s">
        <v>83</v>
      </c>
      <c r="E714" s="448">
        <v>1</v>
      </c>
      <c r="F714" s="502">
        <v>0</v>
      </c>
      <c r="G714" s="502">
        <v>0</v>
      </c>
      <c r="H714" s="448">
        <v>0</v>
      </c>
      <c r="I714" s="448">
        <v>0</v>
      </c>
      <c r="J714" s="448">
        <v>0</v>
      </c>
      <c r="K714" s="448">
        <v>0</v>
      </c>
      <c r="L714" s="448">
        <v>0</v>
      </c>
      <c r="M714" s="448" t="s">
        <v>83</v>
      </c>
      <c r="N714" s="504"/>
      <c r="O714" s="505">
        <v>20</v>
      </c>
      <c r="P714" s="502" t="s">
        <v>83</v>
      </c>
      <c r="Q714" s="448"/>
      <c r="R714" s="461"/>
      <c r="S714" s="451"/>
      <c r="T714" s="451"/>
    </row>
    <row r="715" spans="1:20" s="470" customFormat="1" ht="11.25" customHeight="1">
      <c r="A715" s="448" t="s">
        <v>2675</v>
      </c>
      <c r="B715" s="448">
        <v>1</v>
      </c>
      <c r="C715" s="448" t="s">
        <v>2674</v>
      </c>
      <c r="D715" s="448" t="s">
        <v>83</v>
      </c>
      <c r="E715" s="448">
        <v>1</v>
      </c>
      <c r="F715" s="502">
        <v>0</v>
      </c>
      <c r="G715" s="502">
        <v>0</v>
      </c>
      <c r="H715" s="448">
        <v>0</v>
      </c>
      <c r="I715" s="448">
        <v>0</v>
      </c>
      <c r="J715" s="448">
        <v>0</v>
      </c>
      <c r="K715" s="448">
        <v>0</v>
      </c>
      <c r="L715" s="448">
        <v>0</v>
      </c>
      <c r="M715" s="448" t="s">
        <v>83</v>
      </c>
      <c r="N715" s="504"/>
      <c r="O715" s="505">
        <v>20</v>
      </c>
      <c r="P715" s="502" t="s">
        <v>83</v>
      </c>
      <c r="Q715" s="448"/>
      <c r="R715" s="461"/>
      <c r="S715" s="451"/>
      <c r="T715" s="451"/>
    </row>
    <row r="716" spans="1:20" s="470" customFormat="1" ht="11.25" customHeight="1">
      <c r="A716" s="448" t="s">
        <v>2676</v>
      </c>
      <c r="B716" s="448">
        <v>1</v>
      </c>
      <c r="C716" s="448" t="s">
        <v>2674</v>
      </c>
      <c r="D716" s="448" t="s">
        <v>83</v>
      </c>
      <c r="E716" s="448">
        <v>1</v>
      </c>
      <c r="F716" s="502">
        <v>0</v>
      </c>
      <c r="G716" s="502">
        <v>0</v>
      </c>
      <c r="H716" s="448">
        <v>0</v>
      </c>
      <c r="I716" s="448">
        <v>0</v>
      </c>
      <c r="J716" s="448">
        <v>0</v>
      </c>
      <c r="K716" s="448">
        <v>0</v>
      </c>
      <c r="L716" s="448">
        <v>0</v>
      </c>
      <c r="M716" s="448" t="s">
        <v>83</v>
      </c>
      <c r="N716" s="504"/>
      <c r="O716" s="505">
        <v>30</v>
      </c>
      <c r="P716" s="502" t="s">
        <v>83</v>
      </c>
      <c r="Q716" s="448"/>
      <c r="R716" s="461"/>
      <c r="S716" s="451"/>
      <c r="T716" s="451"/>
    </row>
    <row r="717" spans="1:20" ht="11.25" customHeight="1">
      <c r="A717" s="448" t="s">
        <v>295</v>
      </c>
      <c r="B717" s="448">
        <v>1</v>
      </c>
      <c r="C717" s="448" t="s">
        <v>2677</v>
      </c>
      <c r="D717" s="448" t="s">
        <v>83</v>
      </c>
      <c r="E717" s="448">
        <v>0</v>
      </c>
      <c r="F717" s="502">
        <v>0</v>
      </c>
      <c r="G717" s="502">
        <v>0</v>
      </c>
      <c r="H717" s="448">
        <v>0</v>
      </c>
      <c r="I717" s="448">
        <v>0</v>
      </c>
      <c r="J717" s="448">
        <v>0</v>
      </c>
      <c r="K717" s="448">
        <v>0</v>
      </c>
      <c r="L717" s="448">
        <v>0</v>
      </c>
      <c r="M717" s="448" t="s">
        <v>83</v>
      </c>
      <c r="N717" s="504" t="s">
        <v>2678</v>
      </c>
      <c r="O717" s="505">
        <v>15</v>
      </c>
      <c r="P717" s="502" t="s">
        <v>83</v>
      </c>
      <c r="Q717" s="448"/>
      <c r="R717" s="450"/>
      <c r="S717" s="451"/>
      <c r="T717" s="451"/>
    </row>
    <row r="718" spans="1:20" ht="11.25" customHeight="1">
      <c r="A718" s="448" t="s">
        <v>277</v>
      </c>
      <c r="B718" s="448">
        <v>1</v>
      </c>
      <c r="C718" s="448" t="s">
        <v>2677</v>
      </c>
      <c r="D718" s="448" t="s">
        <v>83</v>
      </c>
      <c r="E718" s="448">
        <v>0</v>
      </c>
      <c r="F718" s="502">
        <v>0</v>
      </c>
      <c r="G718" s="502">
        <v>0</v>
      </c>
      <c r="H718" s="448">
        <v>0</v>
      </c>
      <c r="I718" s="448">
        <v>0</v>
      </c>
      <c r="J718" s="448">
        <v>0</v>
      </c>
      <c r="K718" s="448">
        <v>0</v>
      </c>
      <c r="L718" s="448">
        <v>0</v>
      </c>
      <c r="M718" s="448" t="s">
        <v>83</v>
      </c>
      <c r="N718" s="504" t="s">
        <v>2679</v>
      </c>
      <c r="O718" s="505">
        <v>30</v>
      </c>
      <c r="P718" s="502" t="s">
        <v>83</v>
      </c>
      <c r="Q718" s="448"/>
      <c r="R718" s="450"/>
      <c r="S718" s="451"/>
      <c r="T718" s="451"/>
    </row>
    <row r="719" spans="1:20" s="470" customFormat="1" ht="11.25" customHeight="1">
      <c r="A719" s="448" t="s">
        <v>2680</v>
      </c>
      <c r="B719" s="448">
        <v>1</v>
      </c>
      <c r="C719" s="448" t="s">
        <v>2681</v>
      </c>
      <c r="D719" s="448" t="s">
        <v>83</v>
      </c>
      <c r="E719" s="448">
        <v>1</v>
      </c>
      <c r="F719" s="502">
        <v>0</v>
      </c>
      <c r="G719" s="502">
        <v>0</v>
      </c>
      <c r="H719" s="502">
        <v>0</v>
      </c>
      <c r="I719" s="502">
        <v>0</v>
      </c>
      <c r="J719" s="502">
        <v>0</v>
      </c>
      <c r="K719" s="502">
        <v>0</v>
      </c>
      <c r="L719" s="448">
        <v>0</v>
      </c>
      <c r="M719" s="502" t="s">
        <v>83</v>
      </c>
      <c r="N719" s="504" t="s">
        <v>2682</v>
      </c>
      <c r="O719" s="505">
        <v>50</v>
      </c>
      <c r="P719" s="502" t="s">
        <v>83</v>
      </c>
      <c r="Q719" s="448"/>
      <c r="R719" s="450"/>
      <c r="S719" s="451"/>
      <c r="T719" s="451"/>
    </row>
    <row r="720" spans="1:17" ht="11.25" customHeight="1">
      <c r="A720" s="448" t="s">
        <v>2683</v>
      </c>
      <c r="B720" s="448">
        <v>1</v>
      </c>
      <c r="C720" s="448" t="s">
        <v>2684</v>
      </c>
      <c r="D720" s="448" t="s">
        <v>83</v>
      </c>
      <c r="E720" s="448">
        <v>1</v>
      </c>
      <c r="F720" s="502">
        <v>0</v>
      </c>
      <c r="G720" s="502">
        <v>0</v>
      </c>
      <c r="H720" s="448">
        <v>0</v>
      </c>
      <c r="I720" s="448">
        <v>0</v>
      </c>
      <c r="J720" s="448">
        <v>0</v>
      </c>
      <c r="K720" s="448">
        <v>0</v>
      </c>
      <c r="L720" s="448">
        <v>0</v>
      </c>
      <c r="M720" s="448" t="s">
        <v>83</v>
      </c>
      <c r="N720" s="504"/>
      <c r="O720" s="505">
        <v>3</v>
      </c>
      <c r="P720" s="502" t="s">
        <v>83</v>
      </c>
      <c r="Q720" s="448"/>
    </row>
    <row r="721" spans="1:20" s="470" customFormat="1" ht="11.25" customHeight="1">
      <c r="A721" s="448" t="s">
        <v>2685</v>
      </c>
      <c r="B721" s="448">
        <v>1</v>
      </c>
      <c r="C721" s="448" t="s">
        <v>2684</v>
      </c>
      <c r="D721" s="448" t="s">
        <v>83</v>
      </c>
      <c r="E721" s="448">
        <v>1</v>
      </c>
      <c r="F721" s="502">
        <v>0</v>
      </c>
      <c r="G721" s="502">
        <v>0</v>
      </c>
      <c r="H721" s="448">
        <v>0</v>
      </c>
      <c r="I721" s="448">
        <v>0</v>
      </c>
      <c r="J721" s="448">
        <v>0</v>
      </c>
      <c r="K721" s="448">
        <v>0</v>
      </c>
      <c r="L721" s="448">
        <v>0</v>
      </c>
      <c r="M721" s="448" t="s">
        <v>83</v>
      </c>
      <c r="N721" s="504"/>
      <c r="O721" s="505">
        <v>4</v>
      </c>
      <c r="P721" s="502" t="s">
        <v>83</v>
      </c>
      <c r="Q721" s="448"/>
      <c r="R721"/>
      <c r="S721" s="451"/>
      <c r="T721" s="451"/>
    </row>
    <row r="722" spans="1:20" s="470" customFormat="1" ht="11.25" customHeight="1">
      <c r="A722" s="448" t="s">
        <v>2686</v>
      </c>
      <c r="B722" s="448">
        <v>1</v>
      </c>
      <c r="C722" s="448" t="s">
        <v>2684</v>
      </c>
      <c r="D722" s="448" t="s">
        <v>83</v>
      </c>
      <c r="E722" s="448">
        <v>1</v>
      </c>
      <c r="F722" s="502">
        <v>0</v>
      </c>
      <c r="G722" s="502">
        <v>0</v>
      </c>
      <c r="H722" s="448">
        <v>0</v>
      </c>
      <c r="I722" s="448">
        <v>0</v>
      </c>
      <c r="J722" s="448">
        <v>0</v>
      </c>
      <c r="K722" s="448">
        <v>0</v>
      </c>
      <c r="L722" s="448">
        <v>0</v>
      </c>
      <c r="M722" s="448" t="s">
        <v>83</v>
      </c>
      <c r="N722" s="504"/>
      <c r="O722" s="505">
        <v>5</v>
      </c>
      <c r="P722" s="502" t="s">
        <v>83</v>
      </c>
      <c r="Q722" s="448"/>
      <c r="R722"/>
      <c r="S722" s="451"/>
      <c r="T722" s="451"/>
    </row>
    <row r="723" spans="1:17" ht="11.25" customHeight="1">
      <c r="A723" s="448" t="s">
        <v>2687</v>
      </c>
      <c r="B723" s="448">
        <v>1</v>
      </c>
      <c r="C723" s="448" t="s">
        <v>2684</v>
      </c>
      <c r="D723" s="448" t="s">
        <v>83</v>
      </c>
      <c r="E723" s="448">
        <v>1</v>
      </c>
      <c r="F723" s="502">
        <v>0</v>
      </c>
      <c r="G723" s="502">
        <v>0</v>
      </c>
      <c r="H723" s="448">
        <v>0</v>
      </c>
      <c r="I723" s="448">
        <v>0</v>
      </c>
      <c r="J723" s="448">
        <v>0</v>
      </c>
      <c r="K723" s="448">
        <v>0</v>
      </c>
      <c r="L723" s="448">
        <v>0</v>
      </c>
      <c r="M723" s="448" t="s">
        <v>83</v>
      </c>
      <c r="N723" s="504"/>
      <c r="O723" s="505">
        <v>10</v>
      </c>
      <c r="P723" s="502" t="s">
        <v>83</v>
      </c>
      <c r="Q723" s="448"/>
    </row>
    <row r="724" spans="1:18" s="451" customFormat="1" ht="11.25" customHeight="1">
      <c r="A724" s="448" t="s">
        <v>2688</v>
      </c>
      <c r="B724" s="448">
        <v>1</v>
      </c>
      <c r="C724" s="448" t="s">
        <v>2684</v>
      </c>
      <c r="D724" s="448" t="s">
        <v>83</v>
      </c>
      <c r="E724" s="448">
        <v>1</v>
      </c>
      <c r="F724" s="502">
        <v>0</v>
      </c>
      <c r="G724" s="502">
        <v>0</v>
      </c>
      <c r="H724" s="448">
        <v>0</v>
      </c>
      <c r="I724" s="448">
        <v>0</v>
      </c>
      <c r="J724" s="448">
        <v>0</v>
      </c>
      <c r="K724" s="448">
        <v>0</v>
      </c>
      <c r="L724" s="448">
        <v>0</v>
      </c>
      <c r="M724" s="448" t="s">
        <v>83</v>
      </c>
      <c r="N724" s="504"/>
      <c r="O724" s="505">
        <v>15</v>
      </c>
      <c r="P724" s="502" t="s">
        <v>83</v>
      </c>
      <c r="Q724" s="448"/>
      <c r="R724" s="450"/>
    </row>
    <row r="725" spans="1:20" s="470" customFormat="1" ht="11.25" customHeight="1">
      <c r="A725" s="448" t="s">
        <v>2689</v>
      </c>
      <c r="B725" s="448">
        <v>1</v>
      </c>
      <c r="C725" s="448" t="s">
        <v>2690</v>
      </c>
      <c r="D725" s="448" t="s">
        <v>83</v>
      </c>
      <c r="E725" s="448">
        <v>0</v>
      </c>
      <c r="F725" s="502">
        <v>0</v>
      </c>
      <c r="G725" s="502">
        <v>0</v>
      </c>
      <c r="H725" s="448">
        <v>0</v>
      </c>
      <c r="I725" s="448">
        <v>0</v>
      </c>
      <c r="J725" s="448">
        <v>0</v>
      </c>
      <c r="K725" s="448">
        <v>0</v>
      </c>
      <c r="L725" s="448">
        <v>0</v>
      </c>
      <c r="M725" s="448" t="s">
        <v>83</v>
      </c>
      <c r="N725" s="504"/>
      <c r="O725" s="505">
        <v>0</v>
      </c>
      <c r="P725" s="502" t="s">
        <v>83</v>
      </c>
      <c r="Q725" s="448"/>
      <c r="R725"/>
      <c r="S725" s="451"/>
      <c r="T725" s="451"/>
    </row>
    <row r="726" spans="1:20" s="470" customFormat="1" ht="11.25" customHeight="1">
      <c r="A726" s="448" t="s">
        <v>2691</v>
      </c>
      <c r="B726" s="448">
        <v>1</v>
      </c>
      <c r="C726" s="448" t="s">
        <v>2690</v>
      </c>
      <c r="D726" s="448" t="s">
        <v>83</v>
      </c>
      <c r="E726" s="448">
        <v>0</v>
      </c>
      <c r="F726" s="502">
        <v>0</v>
      </c>
      <c r="G726" s="502">
        <v>0</v>
      </c>
      <c r="H726" s="448">
        <v>0</v>
      </c>
      <c r="I726" s="448">
        <v>0</v>
      </c>
      <c r="J726" s="448">
        <v>0</v>
      </c>
      <c r="K726" s="448">
        <v>0</v>
      </c>
      <c r="L726" s="448">
        <v>0</v>
      </c>
      <c r="M726" s="448" t="s">
        <v>83</v>
      </c>
      <c r="N726" s="504"/>
      <c r="O726" s="505">
        <v>0</v>
      </c>
      <c r="P726" s="502" t="s">
        <v>83</v>
      </c>
      <c r="Q726" s="448"/>
      <c r="R726"/>
      <c r="S726" s="451"/>
      <c r="T726" s="451"/>
    </row>
    <row r="727" spans="1:20" s="470" customFormat="1" ht="11.25" customHeight="1">
      <c r="A727" s="448" t="s">
        <v>2692</v>
      </c>
      <c r="B727" s="448">
        <v>1</v>
      </c>
      <c r="C727" s="448" t="s">
        <v>2690</v>
      </c>
      <c r="D727" s="448" t="s">
        <v>83</v>
      </c>
      <c r="E727" s="448">
        <v>0</v>
      </c>
      <c r="F727" s="502">
        <v>0</v>
      </c>
      <c r="G727" s="502">
        <v>0</v>
      </c>
      <c r="H727" s="448">
        <v>0</v>
      </c>
      <c r="I727" s="448">
        <v>0</v>
      </c>
      <c r="J727" s="448">
        <v>0</v>
      </c>
      <c r="K727" s="448">
        <v>0</v>
      </c>
      <c r="L727" s="448">
        <v>0</v>
      </c>
      <c r="M727" s="448" t="s">
        <v>83</v>
      </c>
      <c r="N727" s="504"/>
      <c r="O727" s="505">
        <v>2</v>
      </c>
      <c r="P727" s="502" t="s">
        <v>83</v>
      </c>
      <c r="Q727" s="448"/>
      <c r="R727" s="450"/>
      <c r="S727" s="451"/>
      <c r="T727" s="451"/>
    </row>
    <row r="728" spans="1:20" s="470" customFormat="1" ht="11.25" customHeight="1">
      <c r="A728" s="448" t="s">
        <v>2693</v>
      </c>
      <c r="B728" s="448">
        <v>1</v>
      </c>
      <c r="C728" s="448" t="s">
        <v>2690</v>
      </c>
      <c r="D728" s="448" t="s">
        <v>83</v>
      </c>
      <c r="E728" s="448">
        <v>0</v>
      </c>
      <c r="F728" s="502">
        <v>0</v>
      </c>
      <c r="G728" s="502">
        <v>0</v>
      </c>
      <c r="H728" s="448">
        <v>0</v>
      </c>
      <c r="I728" s="448">
        <v>0</v>
      </c>
      <c r="J728" s="448">
        <v>0</v>
      </c>
      <c r="K728" s="448">
        <v>0</v>
      </c>
      <c r="L728" s="448">
        <v>0</v>
      </c>
      <c r="M728" s="448" t="s">
        <v>83</v>
      </c>
      <c r="N728" s="504"/>
      <c r="O728" s="505">
        <v>5</v>
      </c>
      <c r="P728" s="502" t="s">
        <v>83</v>
      </c>
      <c r="Q728" s="448"/>
      <c r="R728"/>
      <c r="S728" s="451"/>
      <c r="T728" s="451"/>
    </row>
    <row r="729" spans="1:20" s="470" customFormat="1" ht="11.25" customHeight="1">
      <c r="A729" s="448" t="s">
        <v>2694</v>
      </c>
      <c r="B729" s="448">
        <v>1</v>
      </c>
      <c r="C729" s="448" t="s">
        <v>2690</v>
      </c>
      <c r="D729" s="448" t="s">
        <v>83</v>
      </c>
      <c r="E729" s="448">
        <v>0</v>
      </c>
      <c r="F729" s="502">
        <v>0</v>
      </c>
      <c r="G729" s="502">
        <v>0</v>
      </c>
      <c r="H729" s="448">
        <v>0</v>
      </c>
      <c r="I729" s="448">
        <v>0</v>
      </c>
      <c r="J729" s="448">
        <v>0</v>
      </c>
      <c r="K729" s="448">
        <v>0</v>
      </c>
      <c r="L729" s="448">
        <v>0</v>
      </c>
      <c r="M729" s="448" t="s">
        <v>83</v>
      </c>
      <c r="N729" s="504"/>
      <c r="O729" s="505">
        <v>5</v>
      </c>
      <c r="P729" s="502" t="s">
        <v>83</v>
      </c>
      <c r="Q729" s="448"/>
      <c r="R729"/>
      <c r="S729" s="451"/>
      <c r="T729" s="451"/>
    </row>
    <row r="730" spans="1:20" s="470" customFormat="1" ht="11.25" customHeight="1">
      <c r="A730" s="448" t="s">
        <v>2695</v>
      </c>
      <c r="B730" s="448">
        <v>1</v>
      </c>
      <c r="C730" s="448" t="s">
        <v>2690</v>
      </c>
      <c r="D730" s="448" t="s">
        <v>83</v>
      </c>
      <c r="E730" s="448">
        <v>0</v>
      </c>
      <c r="F730" s="502">
        <v>0</v>
      </c>
      <c r="G730" s="502">
        <v>0</v>
      </c>
      <c r="H730" s="448">
        <v>0</v>
      </c>
      <c r="I730" s="448">
        <v>0</v>
      </c>
      <c r="J730" s="448">
        <v>0</v>
      </c>
      <c r="K730" s="448">
        <v>0</v>
      </c>
      <c r="L730" s="448">
        <v>0</v>
      </c>
      <c r="M730" s="448" t="s">
        <v>83</v>
      </c>
      <c r="N730" s="504"/>
      <c r="O730" s="505">
        <v>10</v>
      </c>
      <c r="P730" s="502" t="s">
        <v>83</v>
      </c>
      <c r="Q730" s="448"/>
      <c r="R730"/>
      <c r="S730" s="451"/>
      <c r="T730" s="451"/>
    </row>
    <row r="731" spans="1:20" s="470" customFormat="1" ht="11.25" customHeight="1">
      <c r="A731" s="448" t="s">
        <v>2696</v>
      </c>
      <c r="B731" s="448">
        <v>1</v>
      </c>
      <c r="C731" s="448" t="s">
        <v>2690</v>
      </c>
      <c r="D731" s="448" t="s">
        <v>83</v>
      </c>
      <c r="E731" s="448">
        <v>0</v>
      </c>
      <c r="F731" s="502">
        <v>0</v>
      </c>
      <c r="G731" s="502">
        <v>0</v>
      </c>
      <c r="H731" s="448">
        <v>0</v>
      </c>
      <c r="I731" s="448">
        <v>0</v>
      </c>
      <c r="J731" s="448">
        <v>0</v>
      </c>
      <c r="K731" s="448">
        <v>0</v>
      </c>
      <c r="L731" s="448">
        <v>0</v>
      </c>
      <c r="M731" s="448" t="s">
        <v>83</v>
      </c>
      <c r="N731" s="504" t="s">
        <v>2697</v>
      </c>
      <c r="O731" s="505">
        <v>25</v>
      </c>
      <c r="P731" s="502" t="s">
        <v>83</v>
      </c>
      <c r="Q731" s="448"/>
      <c r="R731" s="461"/>
      <c r="S731" s="451"/>
      <c r="T731" s="451"/>
    </row>
    <row r="732" spans="1:17" ht="11.25" customHeight="1">
      <c r="A732" s="448" t="s">
        <v>2698</v>
      </c>
      <c r="B732" s="448">
        <v>1</v>
      </c>
      <c r="C732" s="448" t="s">
        <v>2690</v>
      </c>
      <c r="D732" s="448" t="s">
        <v>83</v>
      </c>
      <c r="E732" s="448">
        <v>0</v>
      </c>
      <c r="F732" s="502">
        <v>0</v>
      </c>
      <c r="G732" s="502">
        <v>0</v>
      </c>
      <c r="H732" s="448">
        <v>0</v>
      </c>
      <c r="I732" s="448">
        <v>0</v>
      </c>
      <c r="J732" s="448">
        <v>0</v>
      </c>
      <c r="K732" s="448">
        <v>0</v>
      </c>
      <c r="L732" s="448">
        <v>0</v>
      </c>
      <c r="M732" s="448" t="s">
        <v>83</v>
      </c>
      <c r="N732" s="504"/>
      <c r="O732" s="505">
        <v>30</v>
      </c>
      <c r="P732" s="502" t="s">
        <v>83</v>
      </c>
      <c r="Q732" s="448"/>
    </row>
    <row r="733" spans="1:20" s="470" customFormat="1" ht="11.25" customHeight="1">
      <c r="A733" s="390" t="s">
        <v>2699</v>
      </c>
      <c r="B733" s="448">
        <v>1</v>
      </c>
      <c r="C733" s="390" t="s">
        <v>168</v>
      </c>
      <c r="D733" s="390" t="s">
        <v>83</v>
      </c>
      <c r="E733" s="390">
        <v>5</v>
      </c>
      <c r="F733" s="485">
        <v>0</v>
      </c>
      <c r="G733" s="485">
        <v>0</v>
      </c>
      <c r="H733" s="485">
        <v>0</v>
      </c>
      <c r="I733" s="485">
        <v>0</v>
      </c>
      <c r="J733" s="485">
        <v>0</v>
      </c>
      <c r="K733" s="485">
        <v>0</v>
      </c>
      <c r="L733" s="390">
        <v>0</v>
      </c>
      <c r="M733" s="485" t="s">
        <v>83</v>
      </c>
      <c r="N733" s="461"/>
      <c r="O733" s="487">
        <v>500</v>
      </c>
      <c r="P733" s="485" t="s">
        <v>83</v>
      </c>
      <c r="Q733" s="390"/>
      <c r="R733" s="450"/>
      <c r="S733" s="451"/>
      <c r="T733" s="451"/>
    </row>
    <row r="734" spans="1:20" s="470" customFormat="1" ht="11.25" customHeight="1">
      <c r="A734" s="390" t="s">
        <v>2700</v>
      </c>
      <c r="B734" s="448">
        <v>1</v>
      </c>
      <c r="C734" s="390" t="s">
        <v>168</v>
      </c>
      <c r="D734" s="390" t="s">
        <v>83</v>
      </c>
      <c r="E734" s="390">
        <v>1</v>
      </c>
      <c r="F734" s="485">
        <v>0</v>
      </c>
      <c r="G734" s="485">
        <v>0</v>
      </c>
      <c r="H734" s="485">
        <v>0</v>
      </c>
      <c r="I734" s="485">
        <v>0</v>
      </c>
      <c r="J734" s="485">
        <v>0</v>
      </c>
      <c r="K734" s="485">
        <v>0</v>
      </c>
      <c r="L734" s="390">
        <v>0</v>
      </c>
      <c r="M734" s="485" t="s">
        <v>83</v>
      </c>
      <c r="N734" s="461"/>
      <c r="O734" s="487">
        <v>600</v>
      </c>
      <c r="P734" s="485" t="s">
        <v>83</v>
      </c>
      <c r="Q734" s="390"/>
      <c r="R734" s="450"/>
      <c r="S734" s="498"/>
      <c r="T734" s="451"/>
    </row>
    <row r="735" spans="1:20" s="470" customFormat="1" ht="11.25" customHeight="1">
      <c r="A735" s="390" t="s">
        <v>2701</v>
      </c>
      <c r="B735" s="448">
        <v>1</v>
      </c>
      <c r="C735" s="390" t="s">
        <v>168</v>
      </c>
      <c r="D735" s="390" t="s">
        <v>83</v>
      </c>
      <c r="E735" s="390">
        <v>1</v>
      </c>
      <c r="F735" s="485">
        <v>0</v>
      </c>
      <c r="G735" s="485">
        <v>0</v>
      </c>
      <c r="H735" s="485">
        <v>0</v>
      </c>
      <c r="I735" s="485">
        <v>0</v>
      </c>
      <c r="J735" s="485">
        <v>0</v>
      </c>
      <c r="K735" s="485">
        <v>0</v>
      </c>
      <c r="L735" s="390">
        <v>0</v>
      </c>
      <c r="M735" s="485" t="s">
        <v>83</v>
      </c>
      <c r="N735" s="461"/>
      <c r="O735" s="487">
        <v>600</v>
      </c>
      <c r="P735" s="485" t="s">
        <v>83</v>
      </c>
      <c r="Q735" s="390"/>
      <c r="R735" s="450"/>
      <c r="S735" s="498"/>
      <c r="T735" s="451"/>
    </row>
    <row r="736" spans="1:20" s="451" customFormat="1" ht="11.25" customHeight="1">
      <c r="A736" s="390" t="s">
        <v>2702</v>
      </c>
      <c r="B736" s="448">
        <v>1</v>
      </c>
      <c r="C736" s="390" t="s">
        <v>168</v>
      </c>
      <c r="D736" s="390" t="s">
        <v>83</v>
      </c>
      <c r="E736" s="390">
        <v>1</v>
      </c>
      <c r="F736" s="485">
        <v>0</v>
      </c>
      <c r="G736" s="485">
        <v>0</v>
      </c>
      <c r="H736" s="390">
        <v>0</v>
      </c>
      <c r="I736" s="390">
        <v>0</v>
      </c>
      <c r="J736" s="390">
        <v>0</v>
      </c>
      <c r="K736" s="390">
        <v>0</v>
      </c>
      <c r="L736" s="390">
        <v>0</v>
      </c>
      <c r="M736" s="390" t="s">
        <v>83</v>
      </c>
      <c r="N736" s="461"/>
      <c r="O736" s="487">
        <v>1500</v>
      </c>
      <c r="P736" s="485" t="s">
        <v>83</v>
      </c>
      <c r="Q736" s="390"/>
      <c r="R736" s="461"/>
      <c r="S736" s="390"/>
      <c r="T736" s="390"/>
    </row>
    <row r="737" spans="1:16" ht="11.25" customHeight="1">
      <c r="A737" s="390" t="s">
        <v>2703</v>
      </c>
      <c r="B737" s="448">
        <v>1</v>
      </c>
      <c r="C737" s="390" t="s">
        <v>168</v>
      </c>
      <c r="D737" s="390" t="s">
        <v>83</v>
      </c>
      <c r="E737" s="390">
        <v>0</v>
      </c>
      <c r="F737" s="485">
        <v>0</v>
      </c>
      <c r="G737" s="485">
        <v>0</v>
      </c>
      <c r="H737" s="390">
        <v>0</v>
      </c>
      <c r="I737" s="390">
        <v>0</v>
      </c>
      <c r="J737" s="390">
        <v>0</v>
      </c>
      <c r="K737" s="390">
        <v>0</v>
      </c>
      <c r="L737" s="390">
        <v>0</v>
      </c>
      <c r="M737" s="390" t="s">
        <v>83</v>
      </c>
      <c r="O737" s="487">
        <v>0</v>
      </c>
      <c r="P737" s="485" t="s">
        <v>83</v>
      </c>
    </row>
    <row r="738" spans="1:16" ht="11.25" customHeight="1">
      <c r="A738" s="390" t="s">
        <v>2704</v>
      </c>
      <c r="B738" s="448">
        <v>1</v>
      </c>
      <c r="C738" s="390" t="s">
        <v>168</v>
      </c>
      <c r="D738" s="390" t="s">
        <v>83</v>
      </c>
      <c r="E738" s="390">
        <v>0</v>
      </c>
      <c r="F738" s="485">
        <v>0</v>
      </c>
      <c r="G738" s="485">
        <v>0</v>
      </c>
      <c r="H738" s="390">
        <v>0</v>
      </c>
      <c r="I738" s="390">
        <v>0</v>
      </c>
      <c r="J738" s="390">
        <v>0</v>
      </c>
      <c r="K738" s="390">
        <v>0</v>
      </c>
      <c r="L738" s="390">
        <v>0</v>
      </c>
      <c r="M738" s="390" t="s">
        <v>83</v>
      </c>
      <c r="O738" s="487">
        <v>0</v>
      </c>
      <c r="P738" s="485" t="s">
        <v>83</v>
      </c>
    </row>
    <row r="739" spans="1:16" ht="11.25" customHeight="1">
      <c r="A739" s="390" t="s">
        <v>2705</v>
      </c>
      <c r="B739" s="448">
        <v>1</v>
      </c>
      <c r="C739" s="390" t="s">
        <v>168</v>
      </c>
      <c r="D739" s="390" t="s">
        <v>83</v>
      </c>
      <c r="E739" s="390">
        <v>0</v>
      </c>
      <c r="F739" s="485">
        <v>0</v>
      </c>
      <c r="G739" s="485">
        <v>0</v>
      </c>
      <c r="H739" s="390">
        <v>0</v>
      </c>
      <c r="I739" s="390">
        <v>0</v>
      </c>
      <c r="J739" s="390">
        <v>0</v>
      </c>
      <c r="K739" s="390">
        <v>0</v>
      </c>
      <c r="L739" s="390">
        <v>0</v>
      </c>
      <c r="M739" s="390" t="s">
        <v>83</v>
      </c>
      <c r="O739" s="487">
        <v>0</v>
      </c>
      <c r="P739" s="485" t="s">
        <v>83</v>
      </c>
    </row>
    <row r="740" spans="1:16" ht="11.25" customHeight="1">
      <c r="A740" s="390" t="s">
        <v>2706</v>
      </c>
      <c r="B740" s="448">
        <v>1</v>
      </c>
      <c r="C740" s="390" t="s">
        <v>168</v>
      </c>
      <c r="D740" s="390" t="s">
        <v>83</v>
      </c>
      <c r="E740" s="390">
        <v>0</v>
      </c>
      <c r="F740" s="485">
        <v>0</v>
      </c>
      <c r="G740" s="485">
        <v>0</v>
      </c>
      <c r="H740" s="390">
        <v>0</v>
      </c>
      <c r="I740" s="390">
        <v>0</v>
      </c>
      <c r="J740" s="390">
        <v>0</v>
      </c>
      <c r="K740" s="390">
        <v>0</v>
      </c>
      <c r="L740" s="390">
        <v>0</v>
      </c>
      <c r="M740" s="390" t="s">
        <v>83</v>
      </c>
      <c r="O740" s="487">
        <v>0</v>
      </c>
      <c r="P740" s="485" t="s">
        <v>83</v>
      </c>
    </row>
    <row r="741" spans="1:16" ht="11.25" customHeight="1">
      <c r="A741" s="390" t="s">
        <v>2707</v>
      </c>
      <c r="B741" s="448">
        <v>1</v>
      </c>
      <c r="C741" s="390" t="s">
        <v>168</v>
      </c>
      <c r="D741" s="390" t="s">
        <v>83</v>
      </c>
      <c r="E741" s="390">
        <v>0</v>
      </c>
      <c r="F741" s="485">
        <v>0</v>
      </c>
      <c r="G741" s="485">
        <v>0</v>
      </c>
      <c r="H741" s="390">
        <v>0</v>
      </c>
      <c r="I741" s="390">
        <v>0</v>
      </c>
      <c r="J741" s="390">
        <v>0</v>
      </c>
      <c r="K741" s="390">
        <v>0</v>
      </c>
      <c r="L741" s="390">
        <v>0</v>
      </c>
      <c r="M741" s="390" t="s">
        <v>83</v>
      </c>
      <c r="O741" s="487">
        <v>0</v>
      </c>
      <c r="P741" s="485" t="s">
        <v>83</v>
      </c>
    </row>
    <row r="742" spans="1:16" ht="11.25" customHeight="1">
      <c r="A742" s="390" t="s">
        <v>2708</v>
      </c>
      <c r="B742" s="448">
        <v>1</v>
      </c>
      <c r="C742" s="390" t="s">
        <v>168</v>
      </c>
      <c r="D742" s="390" t="s">
        <v>83</v>
      </c>
      <c r="E742" s="390">
        <v>0</v>
      </c>
      <c r="F742" s="485">
        <v>0</v>
      </c>
      <c r="G742" s="485">
        <v>0</v>
      </c>
      <c r="H742" s="390">
        <v>0</v>
      </c>
      <c r="I742" s="390">
        <v>0</v>
      </c>
      <c r="J742" s="390">
        <v>0</v>
      </c>
      <c r="K742" s="390">
        <v>0</v>
      </c>
      <c r="L742" s="390">
        <v>0</v>
      </c>
      <c r="M742" s="390" t="s">
        <v>83</v>
      </c>
      <c r="O742" s="487">
        <v>0</v>
      </c>
      <c r="P742" s="485" t="s">
        <v>83</v>
      </c>
    </row>
    <row r="743" spans="1:16" ht="11.25" customHeight="1">
      <c r="A743" s="390" t="s">
        <v>2709</v>
      </c>
      <c r="B743" s="448">
        <v>1</v>
      </c>
      <c r="C743" s="390" t="s">
        <v>168</v>
      </c>
      <c r="D743" s="390" t="s">
        <v>83</v>
      </c>
      <c r="E743" s="390">
        <v>0</v>
      </c>
      <c r="F743" s="485">
        <v>0</v>
      </c>
      <c r="G743" s="485">
        <v>0</v>
      </c>
      <c r="H743" s="390">
        <v>0</v>
      </c>
      <c r="I743" s="390">
        <v>0</v>
      </c>
      <c r="J743" s="390">
        <v>0</v>
      </c>
      <c r="K743" s="390">
        <v>0</v>
      </c>
      <c r="L743" s="390">
        <v>0</v>
      </c>
      <c r="M743" s="390" t="s">
        <v>83</v>
      </c>
      <c r="O743" s="487">
        <v>0</v>
      </c>
      <c r="P743" s="485" t="s">
        <v>83</v>
      </c>
    </row>
    <row r="744" spans="1:16" ht="11.25" customHeight="1">
      <c r="A744" s="390" t="s">
        <v>2710</v>
      </c>
      <c r="B744" s="390">
        <v>2</v>
      </c>
      <c r="C744" s="390" t="s">
        <v>168</v>
      </c>
      <c r="D744" s="390" t="s">
        <v>83</v>
      </c>
      <c r="E744" s="390">
        <v>1</v>
      </c>
      <c r="F744" s="485">
        <v>0</v>
      </c>
      <c r="G744" s="485">
        <v>0</v>
      </c>
      <c r="H744" s="390">
        <v>0</v>
      </c>
      <c r="I744" s="390">
        <v>0</v>
      </c>
      <c r="J744" s="390">
        <v>0</v>
      </c>
      <c r="K744" s="390">
        <v>0</v>
      </c>
      <c r="L744" s="390">
        <v>0</v>
      </c>
      <c r="M744" s="390" t="s">
        <v>83</v>
      </c>
      <c r="O744" s="487">
        <v>100</v>
      </c>
      <c r="P744" s="485" t="s">
        <v>83</v>
      </c>
    </row>
    <row r="745" spans="1:16" ht="11.25" customHeight="1">
      <c r="A745" s="390" t="s">
        <v>2711</v>
      </c>
      <c r="B745" s="390">
        <v>2</v>
      </c>
      <c r="C745" s="390" t="s">
        <v>168</v>
      </c>
      <c r="D745" s="390" t="s">
        <v>83</v>
      </c>
      <c r="E745" s="390">
        <v>1</v>
      </c>
      <c r="F745" s="485">
        <v>0</v>
      </c>
      <c r="G745" s="485">
        <v>0</v>
      </c>
      <c r="H745" s="390">
        <v>0</v>
      </c>
      <c r="I745" s="390">
        <v>0</v>
      </c>
      <c r="J745" s="390">
        <v>0</v>
      </c>
      <c r="K745" s="390">
        <v>0</v>
      </c>
      <c r="L745" s="390">
        <v>0</v>
      </c>
      <c r="M745" s="390" t="s">
        <v>548</v>
      </c>
      <c r="O745" s="487">
        <v>1000</v>
      </c>
      <c r="P745" s="485" t="s">
        <v>83</v>
      </c>
    </row>
    <row r="746" spans="1:16" ht="11.25" customHeight="1">
      <c r="A746" s="390" t="s">
        <v>2712</v>
      </c>
      <c r="B746" s="390">
        <v>3</v>
      </c>
      <c r="C746" s="390" t="s">
        <v>168</v>
      </c>
      <c r="D746" s="390" t="s">
        <v>83</v>
      </c>
      <c r="E746" s="390">
        <v>1</v>
      </c>
      <c r="F746" s="485">
        <v>0</v>
      </c>
      <c r="G746" s="485">
        <v>0</v>
      </c>
      <c r="H746" s="390">
        <v>0</v>
      </c>
      <c r="I746" s="390">
        <v>0</v>
      </c>
      <c r="J746" s="390">
        <v>0</v>
      </c>
      <c r="K746" s="390">
        <v>0</v>
      </c>
      <c r="L746" s="390">
        <v>0</v>
      </c>
      <c r="M746" s="486" t="s">
        <v>83</v>
      </c>
      <c r="O746" s="487">
        <v>1000</v>
      </c>
      <c r="P746" s="485" t="s">
        <v>83</v>
      </c>
    </row>
    <row r="747" spans="1:20" s="470" customFormat="1" ht="11.25" customHeight="1">
      <c r="A747" s="390" t="s">
        <v>2713</v>
      </c>
      <c r="B747" s="448">
        <v>1</v>
      </c>
      <c r="C747" s="390" t="s">
        <v>168</v>
      </c>
      <c r="D747" s="390" t="s">
        <v>83</v>
      </c>
      <c r="E747" s="390">
        <v>1</v>
      </c>
      <c r="F747" s="485">
        <v>0</v>
      </c>
      <c r="G747" s="485">
        <v>0</v>
      </c>
      <c r="H747" s="485">
        <v>0</v>
      </c>
      <c r="I747" s="485">
        <v>0</v>
      </c>
      <c r="J747" s="485">
        <v>0</v>
      </c>
      <c r="K747" s="485">
        <v>0</v>
      </c>
      <c r="L747" s="390">
        <v>0</v>
      </c>
      <c r="M747" s="485" t="s">
        <v>83</v>
      </c>
      <c r="N747" s="461"/>
      <c r="O747" s="487">
        <v>5</v>
      </c>
      <c r="P747" s="485" t="s">
        <v>83</v>
      </c>
      <c r="Q747" s="390"/>
      <c r="R747" s="450"/>
      <c r="S747" s="498"/>
      <c r="T747" s="451"/>
    </row>
    <row r="748" spans="1:20" s="470" customFormat="1" ht="11.25" customHeight="1">
      <c r="A748" s="390" t="s">
        <v>2714</v>
      </c>
      <c r="B748" s="448">
        <v>1</v>
      </c>
      <c r="C748" s="390" t="s">
        <v>168</v>
      </c>
      <c r="D748" s="390" t="s">
        <v>83</v>
      </c>
      <c r="E748" s="390">
        <v>1</v>
      </c>
      <c r="F748" s="485">
        <v>0</v>
      </c>
      <c r="G748" s="485">
        <v>0</v>
      </c>
      <c r="H748" s="485">
        <v>0</v>
      </c>
      <c r="I748" s="485">
        <v>0</v>
      </c>
      <c r="J748" s="485">
        <v>0</v>
      </c>
      <c r="K748" s="485">
        <v>0</v>
      </c>
      <c r="L748" s="390">
        <v>0</v>
      </c>
      <c r="M748" s="485" t="s">
        <v>83</v>
      </c>
      <c r="N748" s="461"/>
      <c r="O748" s="487">
        <v>5</v>
      </c>
      <c r="P748" s="485" t="s">
        <v>83</v>
      </c>
      <c r="Q748" s="390"/>
      <c r="R748" s="450"/>
      <c r="S748" s="498"/>
      <c r="T748" s="451"/>
    </row>
    <row r="749" spans="1:20" s="470" customFormat="1" ht="11.25" customHeight="1">
      <c r="A749" s="390" t="s">
        <v>2715</v>
      </c>
      <c r="B749" s="448">
        <v>1</v>
      </c>
      <c r="C749" s="390" t="s">
        <v>168</v>
      </c>
      <c r="D749" s="390" t="s">
        <v>83</v>
      </c>
      <c r="E749" s="390">
        <v>0</v>
      </c>
      <c r="F749" s="485">
        <v>0</v>
      </c>
      <c r="G749" s="485">
        <v>0</v>
      </c>
      <c r="H749" s="485">
        <v>0</v>
      </c>
      <c r="I749" s="485">
        <v>0</v>
      </c>
      <c r="J749" s="485">
        <v>0</v>
      </c>
      <c r="K749" s="485">
        <v>0</v>
      </c>
      <c r="L749" s="390">
        <v>0</v>
      </c>
      <c r="M749" s="485" t="s">
        <v>83</v>
      </c>
      <c r="N749" s="461"/>
      <c r="O749" s="487">
        <v>5</v>
      </c>
      <c r="P749" s="485" t="s">
        <v>83</v>
      </c>
      <c r="Q749" s="390"/>
      <c r="R749" s="450"/>
      <c r="S749" s="498"/>
      <c r="T749" s="451"/>
    </row>
    <row r="750" spans="1:20" s="470" customFormat="1" ht="11.25" customHeight="1">
      <c r="A750" s="390" t="s">
        <v>2716</v>
      </c>
      <c r="B750" s="448">
        <v>1</v>
      </c>
      <c r="C750" s="390" t="s">
        <v>168</v>
      </c>
      <c r="D750" s="390" t="s">
        <v>83</v>
      </c>
      <c r="E750" s="390">
        <v>5</v>
      </c>
      <c r="F750" s="485">
        <v>0</v>
      </c>
      <c r="G750" s="485">
        <v>0</v>
      </c>
      <c r="H750" s="485">
        <v>0</v>
      </c>
      <c r="I750" s="485">
        <v>0</v>
      </c>
      <c r="J750" s="485">
        <v>0</v>
      </c>
      <c r="K750" s="485">
        <v>0</v>
      </c>
      <c r="L750" s="390">
        <v>0</v>
      </c>
      <c r="M750" s="485" t="s">
        <v>83</v>
      </c>
      <c r="N750" s="461"/>
      <c r="O750" s="487">
        <v>10</v>
      </c>
      <c r="P750" s="485" t="s">
        <v>83</v>
      </c>
      <c r="Q750" s="390"/>
      <c r="R750" s="461"/>
      <c r="S750" s="451"/>
      <c r="T750" s="451"/>
    </row>
    <row r="751" spans="1:20" s="470" customFormat="1" ht="11.25" customHeight="1">
      <c r="A751" s="390" t="s">
        <v>2717</v>
      </c>
      <c r="B751" s="448">
        <v>1</v>
      </c>
      <c r="C751" s="390" t="s">
        <v>168</v>
      </c>
      <c r="D751" s="390" t="s">
        <v>83</v>
      </c>
      <c r="E751" s="390">
        <v>1</v>
      </c>
      <c r="F751" s="485">
        <v>0</v>
      </c>
      <c r="G751" s="485">
        <v>0</v>
      </c>
      <c r="H751" s="485">
        <v>0</v>
      </c>
      <c r="I751" s="485">
        <v>0</v>
      </c>
      <c r="J751" s="485">
        <v>0</v>
      </c>
      <c r="K751" s="485">
        <v>0</v>
      </c>
      <c r="L751" s="390">
        <v>0</v>
      </c>
      <c r="M751" s="485" t="s">
        <v>83</v>
      </c>
      <c r="N751" s="461"/>
      <c r="O751" s="487">
        <v>50</v>
      </c>
      <c r="P751" s="485" t="s">
        <v>83</v>
      </c>
      <c r="Q751" s="390"/>
      <c r="R751" s="450"/>
      <c r="S751" s="498"/>
      <c r="T751" s="451"/>
    </row>
    <row r="752" spans="1:20" s="470" customFormat="1" ht="11.25" customHeight="1">
      <c r="A752" s="390" t="s">
        <v>2718</v>
      </c>
      <c r="B752" s="448">
        <v>1</v>
      </c>
      <c r="C752" s="390" t="s">
        <v>168</v>
      </c>
      <c r="D752" s="390" t="s">
        <v>83</v>
      </c>
      <c r="E752" s="390">
        <v>3</v>
      </c>
      <c r="F752" s="485">
        <v>0</v>
      </c>
      <c r="G752" s="485">
        <v>0</v>
      </c>
      <c r="H752" s="485">
        <v>0</v>
      </c>
      <c r="I752" s="485">
        <v>0</v>
      </c>
      <c r="J752" s="485">
        <v>0</v>
      </c>
      <c r="K752" s="485">
        <v>0</v>
      </c>
      <c r="L752" s="390">
        <v>0</v>
      </c>
      <c r="M752" s="485" t="s">
        <v>83</v>
      </c>
      <c r="N752" s="461"/>
      <c r="O752" s="487">
        <v>100</v>
      </c>
      <c r="P752" s="485" t="s">
        <v>83</v>
      </c>
      <c r="Q752" s="390"/>
      <c r="R752" s="450"/>
      <c r="S752" s="451"/>
      <c r="T752" s="451"/>
    </row>
    <row r="753" spans="1:20" s="470" customFormat="1" ht="11.25" customHeight="1">
      <c r="A753" s="390" t="s">
        <v>2719</v>
      </c>
      <c r="B753" s="448">
        <v>1</v>
      </c>
      <c r="C753" s="390" t="s">
        <v>168</v>
      </c>
      <c r="D753" s="390" t="s">
        <v>83</v>
      </c>
      <c r="E753" s="390">
        <v>1</v>
      </c>
      <c r="F753" s="485">
        <v>0</v>
      </c>
      <c r="G753" s="485">
        <v>0</v>
      </c>
      <c r="H753" s="485">
        <v>0</v>
      </c>
      <c r="I753" s="485">
        <v>0</v>
      </c>
      <c r="J753" s="485">
        <v>0</v>
      </c>
      <c r="K753" s="485">
        <v>0</v>
      </c>
      <c r="L753" s="390">
        <v>0</v>
      </c>
      <c r="M753" s="485" t="s">
        <v>83</v>
      </c>
      <c r="N753" s="461"/>
      <c r="O753" s="487">
        <v>400</v>
      </c>
      <c r="P753" s="485" t="s">
        <v>83</v>
      </c>
      <c r="Q753" s="390"/>
      <c r="R753" s="450"/>
      <c r="S753" s="451"/>
      <c r="T753" s="451"/>
    </row>
    <row r="754" spans="1:20" s="451" customFormat="1" ht="11.25" customHeight="1">
      <c r="A754" s="390" t="s">
        <v>2720</v>
      </c>
      <c r="B754" s="448">
        <v>1</v>
      </c>
      <c r="C754" s="390" t="s">
        <v>168</v>
      </c>
      <c r="D754" s="390" t="s">
        <v>83</v>
      </c>
      <c r="E754" s="390">
        <v>1</v>
      </c>
      <c r="F754" s="485">
        <v>0</v>
      </c>
      <c r="G754" s="485">
        <v>0</v>
      </c>
      <c r="H754" s="390">
        <v>0</v>
      </c>
      <c r="I754" s="390">
        <v>0</v>
      </c>
      <c r="J754" s="390">
        <v>0</v>
      </c>
      <c r="K754" s="390">
        <v>0</v>
      </c>
      <c r="L754" s="390">
        <v>0</v>
      </c>
      <c r="M754" s="390" t="s">
        <v>83</v>
      </c>
      <c r="N754" s="461"/>
      <c r="O754" s="487">
        <v>400</v>
      </c>
      <c r="P754" s="485" t="s">
        <v>83</v>
      </c>
      <c r="Q754" s="390"/>
      <c r="R754" s="461"/>
      <c r="S754" s="390"/>
      <c r="T754" s="390"/>
    </row>
    <row r="755" spans="1:20" s="470" customFormat="1" ht="11.25" customHeight="1">
      <c r="A755" s="390" t="s">
        <v>2721</v>
      </c>
      <c r="B755" s="390">
        <v>3</v>
      </c>
      <c r="C755" s="448" t="s">
        <v>2669</v>
      </c>
      <c r="D755" s="390" t="s">
        <v>83</v>
      </c>
      <c r="E755" s="390">
        <v>2</v>
      </c>
      <c r="F755" s="485">
        <v>0</v>
      </c>
      <c r="G755" s="485">
        <v>0</v>
      </c>
      <c r="H755" s="390">
        <v>0</v>
      </c>
      <c r="I755" s="390">
        <v>0</v>
      </c>
      <c r="J755" s="390">
        <v>0</v>
      </c>
      <c r="K755" s="390">
        <v>0</v>
      </c>
      <c r="L755" s="390">
        <v>0</v>
      </c>
      <c r="M755" s="390" t="s">
        <v>83</v>
      </c>
      <c r="N755" s="461" t="s">
        <v>2722</v>
      </c>
      <c r="O755" s="487">
        <v>1000</v>
      </c>
      <c r="P755" s="485" t="s">
        <v>83</v>
      </c>
      <c r="Q755" s="390"/>
      <c r="R755"/>
      <c r="S755" s="451"/>
      <c r="T755" s="451"/>
    </row>
    <row r="756" spans="1:20" s="470" customFormat="1" ht="11.25" customHeight="1">
      <c r="A756" s="448" t="s">
        <v>2723</v>
      </c>
      <c r="B756" s="448">
        <v>3</v>
      </c>
      <c r="C756" s="448" t="s">
        <v>2669</v>
      </c>
      <c r="D756" s="448" t="s">
        <v>83</v>
      </c>
      <c r="E756" s="448">
        <v>5</v>
      </c>
      <c r="F756" s="502">
        <v>0</v>
      </c>
      <c r="G756" s="502">
        <v>0</v>
      </c>
      <c r="H756" s="448">
        <v>0</v>
      </c>
      <c r="I756" s="448">
        <v>0</v>
      </c>
      <c r="J756" s="448">
        <v>0</v>
      </c>
      <c r="K756" s="448">
        <v>0</v>
      </c>
      <c r="L756" s="448">
        <v>0</v>
      </c>
      <c r="M756" s="448" t="s">
        <v>83</v>
      </c>
      <c r="N756" s="504"/>
      <c r="O756" s="505">
        <v>1000</v>
      </c>
      <c r="P756" s="485" t="s">
        <v>83</v>
      </c>
      <c r="Q756" s="448"/>
      <c r="R756" s="450"/>
      <c r="S756" s="498"/>
      <c r="T756" s="451"/>
    </row>
    <row r="757" spans="1:20" ht="11.25" customHeight="1">
      <c r="A757" s="390" t="s">
        <v>2724</v>
      </c>
      <c r="B757" s="390">
        <v>1</v>
      </c>
      <c r="C757" s="390" t="s">
        <v>2677</v>
      </c>
      <c r="D757" s="390" t="s">
        <v>83</v>
      </c>
      <c r="E757" s="390">
        <v>0</v>
      </c>
      <c r="F757" s="485">
        <v>0</v>
      </c>
      <c r="G757" s="485">
        <v>0</v>
      </c>
      <c r="H757" s="485">
        <v>0</v>
      </c>
      <c r="I757" s="485">
        <v>0</v>
      </c>
      <c r="J757" s="485">
        <v>0</v>
      </c>
      <c r="K757" s="485">
        <v>0</v>
      </c>
      <c r="L757" s="390">
        <v>0</v>
      </c>
      <c r="M757" s="485" t="s">
        <v>83</v>
      </c>
      <c r="N757" s="461" t="s">
        <v>2725</v>
      </c>
      <c r="O757" s="487">
        <v>20</v>
      </c>
      <c r="P757" s="485" t="s">
        <v>83</v>
      </c>
      <c r="R757" s="450"/>
      <c r="S757" s="451"/>
      <c r="T757" s="451"/>
    </row>
    <row r="758" spans="1:20" ht="11.25" customHeight="1">
      <c r="A758" s="390" t="s">
        <v>2726</v>
      </c>
      <c r="B758" s="390">
        <v>1</v>
      </c>
      <c r="C758" s="390" t="s">
        <v>2677</v>
      </c>
      <c r="D758" s="390" t="s">
        <v>83</v>
      </c>
      <c r="E758" s="390">
        <v>0</v>
      </c>
      <c r="F758" s="485">
        <v>0</v>
      </c>
      <c r="G758" s="485">
        <v>0</v>
      </c>
      <c r="H758" s="485">
        <v>0</v>
      </c>
      <c r="I758" s="485">
        <v>0</v>
      </c>
      <c r="J758" s="485">
        <v>0</v>
      </c>
      <c r="K758" s="485">
        <v>0</v>
      </c>
      <c r="L758" s="390">
        <v>0</v>
      </c>
      <c r="M758" s="485" t="s">
        <v>83</v>
      </c>
      <c r="O758" s="487">
        <v>100</v>
      </c>
      <c r="P758" s="485" t="s">
        <v>83</v>
      </c>
      <c r="R758" s="450"/>
      <c r="S758" s="451"/>
      <c r="T758" s="451"/>
    </row>
    <row r="759" spans="1:20" ht="11.25" customHeight="1">
      <c r="A759" s="390" t="s">
        <v>2727</v>
      </c>
      <c r="B759" s="390">
        <v>1</v>
      </c>
      <c r="C759" s="390" t="s">
        <v>2677</v>
      </c>
      <c r="D759" s="390" t="s">
        <v>83</v>
      </c>
      <c r="E759" s="390">
        <v>0</v>
      </c>
      <c r="F759" s="485">
        <v>0</v>
      </c>
      <c r="G759" s="485">
        <v>0</v>
      </c>
      <c r="H759" s="485">
        <v>0</v>
      </c>
      <c r="I759" s="485">
        <v>0</v>
      </c>
      <c r="J759" s="485">
        <v>0</v>
      </c>
      <c r="K759" s="485">
        <v>0</v>
      </c>
      <c r="L759" s="390">
        <v>0</v>
      </c>
      <c r="M759" s="485" t="s">
        <v>83</v>
      </c>
      <c r="O759" s="487">
        <v>150</v>
      </c>
      <c r="P759" s="485" t="s">
        <v>83</v>
      </c>
      <c r="R759" s="450"/>
      <c r="S759" s="451"/>
      <c r="T759" s="451"/>
    </row>
    <row r="760" spans="1:20" ht="11.25" customHeight="1">
      <c r="A760" s="390" t="s">
        <v>2728</v>
      </c>
      <c r="B760" s="390">
        <v>1</v>
      </c>
      <c r="C760" s="390" t="s">
        <v>2677</v>
      </c>
      <c r="D760" s="390" t="s">
        <v>83</v>
      </c>
      <c r="E760" s="390">
        <v>0</v>
      </c>
      <c r="F760" s="485">
        <v>0</v>
      </c>
      <c r="G760" s="485">
        <v>0</v>
      </c>
      <c r="H760" s="485">
        <v>0</v>
      </c>
      <c r="I760" s="485">
        <v>0</v>
      </c>
      <c r="J760" s="485">
        <v>0</v>
      </c>
      <c r="K760" s="485">
        <v>0</v>
      </c>
      <c r="L760" s="390">
        <v>0</v>
      </c>
      <c r="M760" s="485" t="s">
        <v>83</v>
      </c>
      <c r="N760" s="461" t="s">
        <v>2729</v>
      </c>
      <c r="O760" s="487">
        <v>200</v>
      </c>
      <c r="P760" s="485" t="s">
        <v>83</v>
      </c>
      <c r="R760" s="450"/>
      <c r="S760" s="451"/>
      <c r="T760" s="451"/>
    </row>
    <row r="761" spans="1:20" s="470" customFormat="1" ht="11.25" customHeight="1">
      <c r="A761" s="451" t="s">
        <v>2730</v>
      </c>
      <c r="B761" s="451">
        <v>1</v>
      </c>
      <c r="C761" s="451" t="s">
        <v>2677</v>
      </c>
      <c r="D761" s="451" t="s">
        <v>83</v>
      </c>
      <c r="E761" s="451">
        <v>0</v>
      </c>
      <c r="F761" s="498">
        <v>0</v>
      </c>
      <c r="G761" s="498">
        <v>0</v>
      </c>
      <c r="H761" s="451">
        <v>0</v>
      </c>
      <c r="I761" s="451">
        <v>0</v>
      </c>
      <c r="J761" s="451">
        <v>0</v>
      </c>
      <c r="K761" s="451">
        <v>0</v>
      </c>
      <c r="L761" s="390">
        <v>0</v>
      </c>
      <c r="M761" s="499" t="s">
        <v>83</v>
      </c>
      <c r="N761" s="450"/>
      <c r="O761" s="500">
        <v>2000</v>
      </c>
      <c r="P761" s="485" t="s">
        <v>83</v>
      </c>
      <c r="Q761" s="451"/>
      <c r="R761" s="461"/>
      <c r="S761" s="451"/>
      <c r="T761" s="451"/>
    </row>
    <row r="762" spans="1:20" ht="11.25" customHeight="1">
      <c r="A762" s="390" t="s">
        <v>2731</v>
      </c>
      <c r="B762" s="390">
        <v>1</v>
      </c>
      <c r="C762" s="390" t="s">
        <v>2677</v>
      </c>
      <c r="D762" s="390" t="s">
        <v>83</v>
      </c>
      <c r="E762" s="390">
        <v>0</v>
      </c>
      <c r="F762" s="485">
        <v>0</v>
      </c>
      <c r="G762" s="485">
        <v>0</v>
      </c>
      <c r="H762" s="485">
        <v>0</v>
      </c>
      <c r="I762" s="485">
        <v>0</v>
      </c>
      <c r="J762" s="485">
        <v>0</v>
      </c>
      <c r="K762" s="485">
        <v>0</v>
      </c>
      <c r="L762" s="390">
        <v>0</v>
      </c>
      <c r="M762" s="485" t="s">
        <v>83</v>
      </c>
      <c r="N762" s="461" t="s">
        <v>2729</v>
      </c>
      <c r="O762" s="487">
        <v>58000</v>
      </c>
      <c r="P762" s="485" t="s">
        <v>83</v>
      </c>
      <c r="R762" s="450"/>
      <c r="S762" s="451"/>
      <c r="T762" s="451"/>
    </row>
    <row r="763" spans="1:20" s="470" customFormat="1" ht="11.25" customHeight="1">
      <c r="A763" s="390" t="s">
        <v>2732</v>
      </c>
      <c r="B763" s="390">
        <v>1</v>
      </c>
      <c r="C763" s="448" t="s">
        <v>2669</v>
      </c>
      <c r="D763" s="390" t="s">
        <v>83</v>
      </c>
      <c r="E763" s="390">
        <v>2</v>
      </c>
      <c r="F763" s="485">
        <v>0</v>
      </c>
      <c r="G763" s="485">
        <v>0</v>
      </c>
      <c r="H763" s="390">
        <v>0</v>
      </c>
      <c r="I763" s="390">
        <v>0</v>
      </c>
      <c r="J763" s="390">
        <v>0</v>
      </c>
      <c r="K763" s="390">
        <v>0</v>
      </c>
      <c r="L763" s="390">
        <v>0</v>
      </c>
      <c r="M763" s="390" t="s">
        <v>83</v>
      </c>
      <c r="N763" s="461"/>
      <c r="O763" s="487">
        <v>300</v>
      </c>
      <c r="P763" s="485" t="s">
        <v>83</v>
      </c>
      <c r="Q763" s="390"/>
      <c r="R763" s="461"/>
      <c r="S763" s="451"/>
      <c r="T763" s="451"/>
    </row>
    <row r="764" spans="1:20" s="470" customFormat="1" ht="11.25" customHeight="1">
      <c r="A764" s="390" t="s">
        <v>2733</v>
      </c>
      <c r="B764" s="390">
        <v>1</v>
      </c>
      <c r="C764" s="448" t="s">
        <v>2669</v>
      </c>
      <c r="D764" s="390" t="s">
        <v>83</v>
      </c>
      <c r="E764" s="390">
        <v>3</v>
      </c>
      <c r="F764" s="485">
        <v>0</v>
      </c>
      <c r="G764" s="485">
        <v>0</v>
      </c>
      <c r="H764" s="390">
        <v>0</v>
      </c>
      <c r="I764" s="390">
        <v>0</v>
      </c>
      <c r="J764" s="390">
        <v>0</v>
      </c>
      <c r="K764" s="390">
        <v>0</v>
      </c>
      <c r="L764" s="390">
        <v>0</v>
      </c>
      <c r="M764" s="390" t="s">
        <v>83</v>
      </c>
      <c r="N764" s="461"/>
      <c r="O764" s="487">
        <v>300</v>
      </c>
      <c r="P764" s="485" t="s">
        <v>83</v>
      </c>
      <c r="Q764" s="390"/>
      <c r="R764" s="461"/>
      <c r="S764" s="451"/>
      <c r="T764" s="451"/>
    </row>
    <row r="765" spans="1:20" s="470" customFormat="1" ht="11.25" customHeight="1">
      <c r="A765" s="390" t="s">
        <v>2734</v>
      </c>
      <c r="B765" s="390">
        <v>1</v>
      </c>
      <c r="C765" s="448" t="s">
        <v>2669</v>
      </c>
      <c r="D765" s="390" t="s">
        <v>83</v>
      </c>
      <c r="E765" s="390">
        <v>1</v>
      </c>
      <c r="F765" s="485">
        <v>0</v>
      </c>
      <c r="G765" s="485">
        <v>0</v>
      </c>
      <c r="H765" s="390">
        <v>0</v>
      </c>
      <c r="I765" s="390">
        <v>0</v>
      </c>
      <c r="J765" s="390">
        <v>0</v>
      </c>
      <c r="K765" s="390">
        <v>0</v>
      </c>
      <c r="L765" s="390">
        <v>0</v>
      </c>
      <c r="M765" s="390" t="s">
        <v>83</v>
      </c>
      <c r="N765" s="461"/>
      <c r="O765" s="487">
        <v>400</v>
      </c>
      <c r="P765" s="485" t="s">
        <v>83</v>
      </c>
      <c r="Q765" s="390"/>
      <c r="R765" s="461"/>
      <c r="S765" s="451"/>
      <c r="T765" s="451"/>
    </row>
    <row r="766" spans="1:20" s="470" customFormat="1" ht="11.25" customHeight="1">
      <c r="A766" s="390" t="s">
        <v>2735</v>
      </c>
      <c r="B766" s="390">
        <v>1</v>
      </c>
      <c r="C766" s="448" t="s">
        <v>2669</v>
      </c>
      <c r="D766" s="390" t="s">
        <v>83</v>
      </c>
      <c r="E766" s="390">
        <v>2</v>
      </c>
      <c r="F766" s="485">
        <v>0</v>
      </c>
      <c r="G766" s="485">
        <v>0</v>
      </c>
      <c r="H766" s="390">
        <v>0</v>
      </c>
      <c r="I766" s="390">
        <v>0</v>
      </c>
      <c r="J766" s="390">
        <v>0</v>
      </c>
      <c r="K766" s="390">
        <v>0</v>
      </c>
      <c r="L766" s="390">
        <v>0</v>
      </c>
      <c r="M766" s="390" t="s">
        <v>83</v>
      </c>
      <c r="N766" s="461"/>
      <c r="O766" s="487">
        <v>500</v>
      </c>
      <c r="P766" s="485" t="s">
        <v>83</v>
      </c>
      <c r="Q766" s="390"/>
      <c r="R766"/>
      <c r="S766" s="451"/>
      <c r="T766" s="451"/>
    </row>
    <row r="767" spans="1:20" s="470" customFormat="1" ht="11.25" customHeight="1">
      <c r="A767" s="390" t="s">
        <v>2736</v>
      </c>
      <c r="B767" s="390">
        <v>1</v>
      </c>
      <c r="C767" s="448" t="s">
        <v>2669</v>
      </c>
      <c r="D767" s="390" t="s">
        <v>83</v>
      </c>
      <c r="E767" s="390">
        <v>3</v>
      </c>
      <c r="F767" s="485">
        <v>0</v>
      </c>
      <c r="G767" s="485">
        <v>0</v>
      </c>
      <c r="H767" s="390">
        <v>0</v>
      </c>
      <c r="I767" s="390">
        <v>0</v>
      </c>
      <c r="J767" s="390">
        <v>0</v>
      </c>
      <c r="K767" s="390">
        <v>0</v>
      </c>
      <c r="L767" s="390">
        <v>0</v>
      </c>
      <c r="M767" s="390" t="s">
        <v>83</v>
      </c>
      <c r="N767" s="461"/>
      <c r="O767" s="487">
        <v>500</v>
      </c>
      <c r="P767" s="485" t="s">
        <v>83</v>
      </c>
      <c r="Q767" s="390"/>
      <c r="R767"/>
      <c r="S767" s="451"/>
      <c r="T767" s="451"/>
    </row>
    <row r="768" spans="1:20" s="470" customFormat="1" ht="11.25" customHeight="1">
      <c r="A768" s="390" t="s">
        <v>2737</v>
      </c>
      <c r="B768" s="390">
        <v>1</v>
      </c>
      <c r="C768" s="448" t="s">
        <v>2669</v>
      </c>
      <c r="D768" s="390" t="s">
        <v>83</v>
      </c>
      <c r="E768" s="390">
        <v>1</v>
      </c>
      <c r="F768" s="485">
        <v>0</v>
      </c>
      <c r="G768" s="485">
        <v>0</v>
      </c>
      <c r="H768" s="390">
        <v>0</v>
      </c>
      <c r="I768" s="390">
        <v>0</v>
      </c>
      <c r="J768" s="390">
        <v>0</v>
      </c>
      <c r="K768" s="390">
        <v>0</v>
      </c>
      <c r="L768" s="390">
        <v>0</v>
      </c>
      <c r="M768" s="390" t="s">
        <v>83</v>
      </c>
      <c r="N768" s="461"/>
      <c r="O768" s="487">
        <v>15000</v>
      </c>
      <c r="P768" s="485" t="s">
        <v>83</v>
      </c>
      <c r="Q768" s="390"/>
      <c r="R768"/>
      <c r="S768" s="451"/>
      <c r="T768" s="451"/>
    </row>
    <row r="769" spans="1:20" s="470" customFormat="1" ht="11.25" customHeight="1">
      <c r="A769" s="390" t="s">
        <v>2738</v>
      </c>
      <c r="B769" s="390">
        <v>2</v>
      </c>
      <c r="C769" s="448" t="s">
        <v>2669</v>
      </c>
      <c r="D769" s="390" t="s">
        <v>83</v>
      </c>
      <c r="E769" s="390">
        <v>1</v>
      </c>
      <c r="F769" s="485">
        <v>0</v>
      </c>
      <c r="G769" s="485">
        <v>0</v>
      </c>
      <c r="H769" s="390">
        <v>0</v>
      </c>
      <c r="I769" s="390">
        <v>0</v>
      </c>
      <c r="J769" s="390">
        <v>0</v>
      </c>
      <c r="K769" s="390">
        <v>0</v>
      </c>
      <c r="L769" s="390">
        <v>0</v>
      </c>
      <c r="M769" s="390" t="s">
        <v>83</v>
      </c>
      <c r="N769" s="461"/>
      <c r="O769" s="487">
        <v>900</v>
      </c>
      <c r="P769" s="485" t="s">
        <v>83</v>
      </c>
      <c r="Q769" s="390"/>
      <c r="R769"/>
      <c r="S769" s="451"/>
      <c r="T769" s="451"/>
    </row>
    <row r="770" spans="1:20" s="470" customFormat="1" ht="11.25" customHeight="1">
      <c r="A770" s="390" t="s">
        <v>2739</v>
      </c>
      <c r="B770" s="390">
        <v>2</v>
      </c>
      <c r="C770" s="390" t="s">
        <v>2740</v>
      </c>
      <c r="D770" s="390" t="s">
        <v>83</v>
      </c>
      <c r="E770" s="390">
        <v>1</v>
      </c>
      <c r="F770" s="485">
        <v>0</v>
      </c>
      <c r="G770" s="485">
        <v>0</v>
      </c>
      <c r="H770" s="390">
        <v>0</v>
      </c>
      <c r="I770" s="390">
        <v>0</v>
      </c>
      <c r="J770" s="390">
        <v>0</v>
      </c>
      <c r="K770" s="390">
        <v>0</v>
      </c>
      <c r="L770" s="390">
        <v>0</v>
      </c>
      <c r="M770" s="390" t="s">
        <v>83</v>
      </c>
      <c r="N770" s="461"/>
      <c r="O770" s="487">
        <v>2000</v>
      </c>
      <c r="P770" s="485" t="s">
        <v>83</v>
      </c>
      <c r="Q770" s="390"/>
      <c r="R770" s="450"/>
      <c r="S770" s="451"/>
      <c r="T770" s="451"/>
    </row>
    <row r="771" spans="1:20" s="470" customFormat="1" ht="11.25" customHeight="1">
      <c r="A771" s="390" t="s">
        <v>2741</v>
      </c>
      <c r="B771" s="390">
        <v>2</v>
      </c>
      <c r="C771" s="390" t="s">
        <v>2740</v>
      </c>
      <c r="D771" s="390" t="s">
        <v>83</v>
      </c>
      <c r="E771" s="390">
        <v>1</v>
      </c>
      <c r="F771" s="485">
        <v>0</v>
      </c>
      <c r="G771" s="485">
        <v>0</v>
      </c>
      <c r="H771" s="390">
        <v>0</v>
      </c>
      <c r="I771" s="390">
        <v>0</v>
      </c>
      <c r="J771" s="390">
        <v>0</v>
      </c>
      <c r="K771" s="390">
        <v>0</v>
      </c>
      <c r="L771" s="390">
        <v>0</v>
      </c>
      <c r="M771" s="390" t="s">
        <v>83</v>
      </c>
      <c r="N771" s="461"/>
      <c r="O771" s="487">
        <v>4000</v>
      </c>
      <c r="P771" s="485" t="s">
        <v>83</v>
      </c>
      <c r="Q771" s="390"/>
      <c r="R771" s="450"/>
      <c r="S771" s="451"/>
      <c r="T771" s="451"/>
    </row>
    <row r="772" spans="1:20" s="470" customFormat="1" ht="11.25" customHeight="1">
      <c r="A772" s="390" t="s">
        <v>2742</v>
      </c>
      <c r="B772" s="390">
        <v>3</v>
      </c>
      <c r="C772" s="390" t="s">
        <v>2740</v>
      </c>
      <c r="D772" s="390" t="s">
        <v>83</v>
      </c>
      <c r="E772" s="390">
        <v>2</v>
      </c>
      <c r="F772" s="485">
        <v>0</v>
      </c>
      <c r="G772" s="485">
        <v>0</v>
      </c>
      <c r="H772" s="390">
        <v>0</v>
      </c>
      <c r="I772" s="390">
        <v>0</v>
      </c>
      <c r="J772" s="390">
        <v>0</v>
      </c>
      <c r="K772" s="390">
        <v>0</v>
      </c>
      <c r="L772" s="390">
        <v>0</v>
      </c>
      <c r="M772" s="390" t="s">
        <v>83</v>
      </c>
      <c r="N772" s="461" t="s">
        <v>2743</v>
      </c>
      <c r="O772" s="487">
        <v>500</v>
      </c>
      <c r="P772" s="485" t="s">
        <v>83</v>
      </c>
      <c r="Q772" s="390"/>
      <c r="R772"/>
      <c r="S772" s="451"/>
      <c r="T772" s="451"/>
    </row>
    <row r="773" spans="1:20" s="470" customFormat="1" ht="11.25" customHeight="1">
      <c r="A773" s="448" t="s">
        <v>2744</v>
      </c>
      <c r="B773" s="448">
        <v>3</v>
      </c>
      <c r="C773" s="448" t="s">
        <v>2681</v>
      </c>
      <c r="D773" s="448" t="s">
        <v>83</v>
      </c>
      <c r="E773" s="448">
        <v>1</v>
      </c>
      <c r="F773" s="502">
        <v>0</v>
      </c>
      <c r="G773" s="502">
        <v>0</v>
      </c>
      <c r="H773" s="502">
        <v>0</v>
      </c>
      <c r="I773" s="502">
        <v>0</v>
      </c>
      <c r="J773" s="502">
        <v>0</v>
      </c>
      <c r="K773" s="502">
        <v>0</v>
      </c>
      <c r="L773" s="448">
        <v>0</v>
      </c>
      <c r="M773" s="502" t="s">
        <v>83</v>
      </c>
      <c r="N773" s="504"/>
      <c r="O773" s="505">
        <v>150</v>
      </c>
      <c r="P773" s="485" t="s">
        <v>83</v>
      </c>
      <c r="Q773" s="448"/>
      <c r="R773" s="450"/>
      <c r="S773" s="451"/>
      <c r="T773" s="451"/>
    </row>
    <row r="774" spans="1:20" s="470" customFormat="1" ht="11.25" customHeight="1">
      <c r="A774" s="448" t="s">
        <v>2745</v>
      </c>
      <c r="B774" s="448">
        <v>3</v>
      </c>
      <c r="C774" s="448" t="s">
        <v>2681</v>
      </c>
      <c r="D774" s="448" t="s">
        <v>83</v>
      </c>
      <c r="E774" s="448">
        <v>1</v>
      </c>
      <c r="F774" s="502">
        <v>0</v>
      </c>
      <c r="G774" s="502">
        <v>0</v>
      </c>
      <c r="H774" s="502">
        <v>0</v>
      </c>
      <c r="I774" s="502">
        <v>0</v>
      </c>
      <c r="J774" s="502">
        <v>0</v>
      </c>
      <c r="K774" s="502">
        <v>0</v>
      </c>
      <c r="L774" s="448">
        <v>0</v>
      </c>
      <c r="M774" s="502" t="s">
        <v>83</v>
      </c>
      <c r="N774" s="504"/>
      <c r="O774" s="505">
        <v>200</v>
      </c>
      <c r="P774" s="485" t="s">
        <v>83</v>
      </c>
      <c r="Q774" s="448"/>
      <c r="R774" s="450"/>
      <c r="S774" s="451"/>
      <c r="T774" s="451"/>
    </row>
    <row r="775" spans="1:20" s="470" customFormat="1" ht="11.25" customHeight="1">
      <c r="A775" s="448" t="s">
        <v>2746</v>
      </c>
      <c r="B775" s="448">
        <v>4</v>
      </c>
      <c r="C775" s="448" t="s">
        <v>2681</v>
      </c>
      <c r="D775" s="448" t="s">
        <v>83</v>
      </c>
      <c r="E775" s="448">
        <v>1</v>
      </c>
      <c r="F775" s="502">
        <v>0</v>
      </c>
      <c r="G775" s="502">
        <v>0</v>
      </c>
      <c r="H775" s="502">
        <v>0</v>
      </c>
      <c r="I775" s="502">
        <v>0</v>
      </c>
      <c r="J775" s="502">
        <v>0</v>
      </c>
      <c r="K775" s="502">
        <v>0</v>
      </c>
      <c r="L775" s="448">
        <v>0</v>
      </c>
      <c r="M775" s="502" t="s">
        <v>83</v>
      </c>
      <c r="N775" s="504"/>
      <c r="O775" s="505">
        <v>800</v>
      </c>
      <c r="P775" s="485" t="s">
        <v>83</v>
      </c>
      <c r="Q775" s="448"/>
      <c r="R775" s="450"/>
      <c r="S775" s="451"/>
      <c r="T775" s="451"/>
    </row>
    <row r="776" spans="1:20" s="470" customFormat="1" ht="11.25" customHeight="1">
      <c r="A776" s="448" t="s">
        <v>2747</v>
      </c>
      <c r="B776" s="448">
        <v>5</v>
      </c>
      <c r="C776" s="448" t="s">
        <v>2681</v>
      </c>
      <c r="D776" s="448" t="s">
        <v>83</v>
      </c>
      <c r="E776" s="448">
        <v>1</v>
      </c>
      <c r="F776" s="502">
        <v>0</v>
      </c>
      <c r="G776" s="502">
        <v>0</v>
      </c>
      <c r="H776" s="502">
        <v>0</v>
      </c>
      <c r="I776" s="502">
        <v>0</v>
      </c>
      <c r="J776" s="502">
        <v>0</v>
      </c>
      <c r="K776" s="502">
        <v>0</v>
      </c>
      <c r="L776" s="448">
        <v>0</v>
      </c>
      <c r="M776" s="502" t="s">
        <v>83</v>
      </c>
      <c r="N776" s="504"/>
      <c r="O776" s="505">
        <v>700</v>
      </c>
      <c r="P776" s="485" t="s">
        <v>83</v>
      </c>
      <c r="Q776" s="448"/>
      <c r="R776" s="450"/>
      <c r="S776" s="451"/>
      <c r="T776" s="451"/>
    </row>
    <row r="777" spans="1:20" s="470" customFormat="1" ht="11.25" customHeight="1">
      <c r="A777" s="448" t="s">
        <v>2748</v>
      </c>
      <c r="B777" s="448">
        <v>10</v>
      </c>
      <c r="C777" s="448" t="s">
        <v>2681</v>
      </c>
      <c r="D777" s="448" t="s">
        <v>83</v>
      </c>
      <c r="E777" s="448">
        <v>1</v>
      </c>
      <c r="F777" s="502">
        <v>0</v>
      </c>
      <c r="G777" s="502">
        <v>0</v>
      </c>
      <c r="H777" s="502">
        <v>0</v>
      </c>
      <c r="I777" s="502">
        <v>0</v>
      </c>
      <c r="J777" s="502">
        <v>0</v>
      </c>
      <c r="K777" s="502">
        <v>0</v>
      </c>
      <c r="L777" s="448">
        <v>0</v>
      </c>
      <c r="M777" s="502" t="s">
        <v>83</v>
      </c>
      <c r="N777" s="504"/>
      <c r="O777" s="505">
        <v>1000</v>
      </c>
      <c r="P777" s="485" t="s">
        <v>83</v>
      </c>
      <c r="Q777" s="448"/>
      <c r="R777" s="450"/>
      <c r="S777" s="451"/>
      <c r="T777" s="451"/>
    </row>
    <row r="778" spans="1:20" s="470" customFormat="1" ht="11.25" customHeight="1">
      <c r="A778" s="448" t="s">
        <v>2749</v>
      </c>
      <c r="B778" s="448">
        <v>10</v>
      </c>
      <c r="C778" s="448" t="s">
        <v>2681</v>
      </c>
      <c r="D778" s="448" t="s">
        <v>83</v>
      </c>
      <c r="E778" s="448">
        <v>2</v>
      </c>
      <c r="F778" s="502">
        <v>0</v>
      </c>
      <c r="G778" s="502">
        <v>0</v>
      </c>
      <c r="H778" s="502">
        <v>0</v>
      </c>
      <c r="I778" s="502">
        <v>0</v>
      </c>
      <c r="J778" s="502">
        <v>0</v>
      </c>
      <c r="K778" s="502">
        <v>0</v>
      </c>
      <c r="L778" s="448">
        <v>0</v>
      </c>
      <c r="M778" s="502" t="s">
        <v>83</v>
      </c>
      <c r="N778" s="504"/>
      <c r="O778" s="505">
        <v>7000</v>
      </c>
      <c r="P778" s="485" t="s">
        <v>83</v>
      </c>
      <c r="Q778" s="448"/>
      <c r="R778" s="450"/>
      <c r="S778" s="451"/>
      <c r="T778" s="451"/>
    </row>
    <row r="779" spans="1:20" s="470" customFormat="1" ht="11.25" customHeight="1">
      <c r="A779" s="448" t="s">
        <v>2750</v>
      </c>
      <c r="B779" s="448">
        <v>15</v>
      </c>
      <c r="C779" s="448" t="s">
        <v>2681</v>
      </c>
      <c r="D779" s="448" t="s">
        <v>83</v>
      </c>
      <c r="E779" s="448">
        <v>1</v>
      </c>
      <c r="F779" s="502">
        <v>0</v>
      </c>
      <c r="G779" s="502">
        <v>0</v>
      </c>
      <c r="H779" s="502">
        <v>0</v>
      </c>
      <c r="I779" s="502">
        <v>0</v>
      </c>
      <c r="J779" s="502">
        <v>0</v>
      </c>
      <c r="K779" s="502">
        <v>0</v>
      </c>
      <c r="L779" s="448">
        <v>0</v>
      </c>
      <c r="M779" s="502" t="s">
        <v>83</v>
      </c>
      <c r="N779" s="504"/>
      <c r="O779" s="505">
        <v>3000</v>
      </c>
      <c r="P779" s="485" t="s">
        <v>83</v>
      </c>
      <c r="Q779" s="451"/>
      <c r="R779"/>
      <c r="S779" s="451"/>
      <c r="T779" s="451"/>
    </row>
    <row r="780" spans="1:20" s="470" customFormat="1" ht="11.25" customHeight="1">
      <c r="A780" s="448" t="s">
        <v>2751</v>
      </c>
      <c r="B780" s="448">
        <v>1</v>
      </c>
      <c r="C780" s="448" t="s">
        <v>2752</v>
      </c>
      <c r="D780" s="448" t="s">
        <v>83</v>
      </c>
      <c r="E780" s="448">
        <v>0</v>
      </c>
      <c r="F780" s="502">
        <v>0</v>
      </c>
      <c r="G780" s="502">
        <v>0</v>
      </c>
      <c r="H780" s="448">
        <v>0</v>
      </c>
      <c r="I780" s="448">
        <v>0</v>
      </c>
      <c r="J780" s="448">
        <v>0</v>
      </c>
      <c r="K780" s="448">
        <v>0</v>
      </c>
      <c r="L780" s="448">
        <v>0</v>
      </c>
      <c r="M780" s="448" t="s">
        <v>83</v>
      </c>
      <c r="N780" s="504"/>
      <c r="O780" s="505">
        <v>500</v>
      </c>
      <c r="P780" s="502" t="s">
        <v>83</v>
      </c>
      <c r="Q780" s="448"/>
      <c r="R780"/>
      <c r="S780" s="451"/>
      <c r="T780" s="451"/>
    </row>
    <row r="781" spans="1:20" s="470" customFormat="1" ht="11.25" customHeight="1">
      <c r="A781" s="448" t="s">
        <v>2753</v>
      </c>
      <c r="B781" s="448">
        <v>1</v>
      </c>
      <c r="C781" s="448" t="s">
        <v>2752</v>
      </c>
      <c r="D781" s="448" t="s">
        <v>83</v>
      </c>
      <c r="E781" s="448">
        <v>0</v>
      </c>
      <c r="F781" s="502">
        <v>0</v>
      </c>
      <c r="G781" s="502">
        <v>0</v>
      </c>
      <c r="H781" s="448">
        <v>0</v>
      </c>
      <c r="I781" s="448">
        <v>0</v>
      </c>
      <c r="J781" s="448">
        <v>0</v>
      </c>
      <c r="K781" s="448">
        <v>0</v>
      </c>
      <c r="L781" s="448">
        <v>0</v>
      </c>
      <c r="M781" s="448" t="s">
        <v>83</v>
      </c>
      <c r="N781" s="504"/>
      <c r="O781" s="505">
        <v>800</v>
      </c>
      <c r="P781" s="502" t="s">
        <v>83</v>
      </c>
      <c r="Q781" s="448"/>
      <c r="R781" s="450"/>
      <c r="S781" s="451"/>
      <c r="T781" s="451"/>
    </row>
    <row r="782" spans="1:20" s="470" customFormat="1" ht="11.25" customHeight="1">
      <c r="A782" s="448" t="s">
        <v>2754</v>
      </c>
      <c r="B782" s="448">
        <v>1</v>
      </c>
      <c r="C782" s="448" t="s">
        <v>2752</v>
      </c>
      <c r="D782" s="448" t="s">
        <v>83</v>
      </c>
      <c r="E782" s="448">
        <v>0</v>
      </c>
      <c r="F782" s="502">
        <v>0</v>
      </c>
      <c r="G782" s="502">
        <v>0</v>
      </c>
      <c r="H782" s="448">
        <v>0</v>
      </c>
      <c r="I782" s="448">
        <v>0</v>
      </c>
      <c r="J782" s="448">
        <v>0</v>
      </c>
      <c r="K782" s="448">
        <v>0</v>
      </c>
      <c r="L782" s="448">
        <v>0</v>
      </c>
      <c r="M782" s="448" t="s">
        <v>83</v>
      </c>
      <c r="N782" s="504"/>
      <c r="O782" s="505">
        <v>8000</v>
      </c>
      <c r="P782" s="502" t="s">
        <v>83</v>
      </c>
      <c r="Q782" s="448"/>
      <c r="R782" s="461"/>
      <c r="S782" s="451"/>
      <c r="T782" s="451"/>
    </row>
    <row r="783" spans="1:20" s="470" customFormat="1" ht="11.25" customHeight="1">
      <c r="A783" s="448" t="s">
        <v>2755</v>
      </c>
      <c r="B783" s="448">
        <v>5</v>
      </c>
      <c r="C783" s="448" t="s">
        <v>2752</v>
      </c>
      <c r="D783" s="448" t="s">
        <v>83</v>
      </c>
      <c r="E783" s="448">
        <v>0</v>
      </c>
      <c r="F783" s="502">
        <v>0</v>
      </c>
      <c r="G783" s="502">
        <v>0</v>
      </c>
      <c r="H783" s="448">
        <v>0</v>
      </c>
      <c r="I783" s="448">
        <v>0</v>
      </c>
      <c r="J783" s="448">
        <v>0</v>
      </c>
      <c r="K783" s="448">
        <v>0</v>
      </c>
      <c r="L783" s="448">
        <v>0</v>
      </c>
      <c r="M783" s="448" t="s">
        <v>83</v>
      </c>
      <c r="N783" s="504"/>
      <c r="O783" s="505">
        <v>1000</v>
      </c>
      <c r="P783" s="502" t="s">
        <v>83</v>
      </c>
      <c r="Q783" s="448"/>
      <c r="R783" s="461"/>
      <c r="S783" s="451"/>
      <c r="T783" s="451"/>
    </row>
    <row r="784" spans="1:20" s="470" customFormat="1" ht="11.25" customHeight="1">
      <c r="A784" s="448" t="s">
        <v>2756</v>
      </c>
      <c r="B784" s="448">
        <v>5</v>
      </c>
      <c r="C784" s="448" t="s">
        <v>2752</v>
      </c>
      <c r="D784" s="448" t="s">
        <v>83</v>
      </c>
      <c r="E784" s="448">
        <v>0</v>
      </c>
      <c r="F784" s="502">
        <v>0</v>
      </c>
      <c r="G784" s="502">
        <v>0</v>
      </c>
      <c r="H784" s="448">
        <v>0</v>
      </c>
      <c r="I784" s="448">
        <v>0</v>
      </c>
      <c r="J784" s="448">
        <v>0</v>
      </c>
      <c r="K784" s="448">
        <v>0</v>
      </c>
      <c r="L784" s="448">
        <v>0</v>
      </c>
      <c r="M784" s="503" t="s">
        <v>83</v>
      </c>
      <c r="N784" s="504"/>
      <c r="O784" s="505">
        <v>8000</v>
      </c>
      <c r="P784" s="502" t="s">
        <v>83</v>
      </c>
      <c r="Q784" s="448"/>
      <c r="R784" s="450"/>
      <c r="S784" s="451"/>
      <c r="T784" s="451"/>
    </row>
    <row r="785" spans="1:20" s="470" customFormat="1" ht="11.25" customHeight="1">
      <c r="A785" s="448" t="s">
        <v>2757</v>
      </c>
      <c r="B785" s="448">
        <v>7</v>
      </c>
      <c r="C785" s="448" t="s">
        <v>2752</v>
      </c>
      <c r="D785" s="448" t="s">
        <v>83</v>
      </c>
      <c r="E785" s="448">
        <v>0</v>
      </c>
      <c r="F785" s="502">
        <v>0</v>
      </c>
      <c r="G785" s="502">
        <v>0</v>
      </c>
      <c r="H785" s="448">
        <v>0</v>
      </c>
      <c r="I785" s="448">
        <v>0</v>
      </c>
      <c r="J785" s="448">
        <v>0</v>
      </c>
      <c r="K785" s="448">
        <v>0</v>
      </c>
      <c r="L785" s="448">
        <v>0</v>
      </c>
      <c r="M785" s="503" t="s">
        <v>83</v>
      </c>
      <c r="N785" s="504"/>
      <c r="O785" s="505">
        <v>2000</v>
      </c>
      <c r="P785" s="502" t="s">
        <v>83</v>
      </c>
      <c r="Q785" s="448"/>
      <c r="R785"/>
      <c r="S785" s="451"/>
      <c r="T785" s="451"/>
    </row>
    <row r="786" spans="1:20" s="470" customFormat="1" ht="11.25" customHeight="1">
      <c r="A786" s="448" t="s">
        <v>2758</v>
      </c>
      <c r="B786" s="448">
        <v>5</v>
      </c>
      <c r="C786" s="448" t="s">
        <v>2752</v>
      </c>
      <c r="D786" s="448" t="s">
        <v>83</v>
      </c>
      <c r="E786" s="448">
        <v>0</v>
      </c>
      <c r="F786" s="502">
        <v>0</v>
      </c>
      <c r="G786" s="502">
        <v>0</v>
      </c>
      <c r="H786" s="448">
        <v>0</v>
      </c>
      <c r="I786" s="448">
        <v>0</v>
      </c>
      <c r="J786" s="448">
        <v>0</v>
      </c>
      <c r="K786" s="448">
        <v>0</v>
      </c>
      <c r="L786" s="448">
        <v>0</v>
      </c>
      <c r="M786" s="448" t="s">
        <v>83</v>
      </c>
      <c r="N786" s="504"/>
      <c r="O786" s="505">
        <v>36000</v>
      </c>
      <c r="P786" s="502" t="s">
        <v>83</v>
      </c>
      <c r="Q786" s="448"/>
      <c r="R786"/>
      <c r="S786" s="451"/>
      <c r="T786" s="451"/>
    </row>
    <row r="787" spans="1:20" s="470" customFormat="1" ht="11.25" customHeight="1">
      <c r="A787" s="448" t="s">
        <v>2759</v>
      </c>
      <c r="B787" s="448">
        <v>10</v>
      </c>
      <c r="C787" s="448" t="s">
        <v>2752</v>
      </c>
      <c r="D787" s="448" t="s">
        <v>83</v>
      </c>
      <c r="E787" s="448">
        <v>0</v>
      </c>
      <c r="F787" s="502">
        <v>0</v>
      </c>
      <c r="G787" s="502">
        <v>0</v>
      </c>
      <c r="H787" s="448">
        <v>0</v>
      </c>
      <c r="I787" s="448">
        <v>0</v>
      </c>
      <c r="J787" s="448">
        <v>0</v>
      </c>
      <c r="K787" s="448">
        <v>0</v>
      </c>
      <c r="L787" s="448">
        <v>0</v>
      </c>
      <c r="M787" s="448" t="s">
        <v>83</v>
      </c>
      <c r="N787" s="504"/>
      <c r="O787" s="505">
        <v>40000</v>
      </c>
      <c r="P787" s="502" t="s">
        <v>83</v>
      </c>
      <c r="Q787" s="448"/>
      <c r="R787" s="450"/>
      <c r="S787" s="451"/>
      <c r="T787" s="451"/>
    </row>
    <row r="788" spans="1:20" s="470" customFormat="1" ht="11.25" customHeight="1">
      <c r="A788" s="448" t="s">
        <v>2760</v>
      </c>
      <c r="B788" s="448">
        <v>10</v>
      </c>
      <c r="C788" s="448" t="s">
        <v>2752</v>
      </c>
      <c r="D788" s="448" t="s">
        <v>83</v>
      </c>
      <c r="E788" s="448">
        <v>0</v>
      </c>
      <c r="F788" s="502">
        <v>0</v>
      </c>
      <c r="G788" s="502">
        <v>0</v>
      </c>
      <c r="H788" s="448">
        <v>0</v>
      </c>
      <c r="I788" s="448">
        <v>0</v>
      </c>
      <c r="J788" s="448">
        <v>0</v>
      </c>
      <c r="K788" s="448">
        <v>0</v>
      </c>
      <c r="L788" s="448">
        <v>0</v>
      </c>
      <c r="M788" s="448" t="s">
        <v>83</v>
      </c>
      <c r="N788" s="504"/>
      <c r="O788" s="505">
        <v>60000</v>
      </c>
      <c r="P788" s="502" t="s">
        <v>83</v>
      </c>
      <c r="Q788" s="448"/>
      <c r="R788" s="461"/>
      <c r="S788" s="451"/>
      <c r="T788" s="451"/>
    </row>
    <row r="789" spans="1:20" s="470" customFormat="1" ht="11.25" customHeight="1">
      <c r="A789" s="448" t="s">
        <v>2761</v>
      </c>
      <c r="B789" s="448">
        <v>15</v>
      </c>
      <c r="C789" s="448" t="s">
        <v>2752</v>
      </c>
      <c r="D789" s="448" t="s">
        <v>83</v>
      </c>
      <c r="E789" s="448">
        <v>0</v>
      </c>
      <c r="F789" s="502">
        <v>0</v>
      </c>
      <c r="G789" s="502">
        <v>0</v>
      </c>
      <c r="H789" s="448">
        <v>0</v>
      </c>
      <c r="I789" s="448">
        <v>0</v>
      </c>
      <c r="J789" s="448">
        <v>0</v>
      </c>
      <c r="K789" s="448">
        <v>0</v>
      </c>
      <c r="L789" s="448">
        <v>0</v>
      </c>
      <c r="M789" s="448" t="s">
        <v>83</v>
      </c>
      <c r="N789" s="504"/>
      <c r="O789" s="505">
        <v>160000</v>
      </c>
      <c r="P789" s="502" t="s">
        <v>83</v>
      </c>
      <c r="Q789" s="448"/>
      <c r="R789" s="461"/>
      <c r="S789" s="451"/>
      <c r="T789" s="451"/>
    </row>
    <row r="790" spans="1:20" s="470" customFormat="1" ht="11.25" customHeight="1">
      <c r="A790" s="448" t="s">
        <v>2762</v>
      </c>
      <c r="B790" s="448">
        <v>1</v>
      </c>
      <c r="C790" s="448" t="s">
        <v>2763</v>
      </c>
      <c r="D790" s="448" t="s">
        <v>83</v>
      </c>
      <c r="E790" s="448">
        <v>1</v>
      </c>
      <c r="F790" s="502">
        <v>0</v>
      </c>
      <c r="G790" s="502">
        <v>0</v>
      </c>
      <c r="H790" s="448">
        <v>0</v>
      </c>
      <c r="I790" s="448">
        <v>0</v>
      </c>
      <c r="J790" s="448">
        <v>0</v>
      </c>
      <c r="K790" s="448">
        <v>0</v>
      </c>
      <c r="L790" s="448">
        <v>0</v>
      </c>
      <c r="M790" s="448" t="s">
        <v>83</v>
      </c>
      <c r="N790" s="504"/>
      <c r="O790" s="505">
        <v>0</v>
      </c>
      <c r="P790" s="502" t="s">
        <v>83</v>
      </c>
      <c r="Q790" s="448"/>
      <c r="R790" s="450"/>
      <c r="S790" s="451"/>
      <c r="T790" s="451"/>
    </row>
    <row r="791" spans="1:20" s="470" customFormat="1" ht="11.25" customHeight="1">
      <c r="A791" s="448" t="s">
        <v>2764</v>
      </c>
      <c r="B791" s="448">
        <v>4</v>
      </c>
      <c r="C791" s="448" t="s">
        <v>2763</v>
      </c>
      <c r="D791" s="448" t="s">
        <v>83</v>
      </c>
      <c r="E791" s="448">
        <v>1</v>
      </c>
      <c r="F791" s="502">
        <v>0</v>
      </c>
      <c r="G791" s="502">
        <v>0</v>
      </c>
      <c r="H791" s="448">
        <v>0</v>
      </c>
      <c r="I791" s="448">
        <v>0</v>
      </c>
      <c r="J791" s="448">
        <v>0</v>
      </c>
      <c r="K791" s="448">
        <v>0</v>
      </c>
      <c r="L791" s="448">
        <v>0</v>
      </c>
      <c r="M791" s="448" t="s">
        <v>83</v>
      </c>
      <c r="N791" s="504"/>
      <c r="O791" s="505">
        <v>0</v>
      </c>
      <c r="P791" s="502" t="s">
        <v>83</v>
      </c>
      <c r="Q791" s="448"/>
      <c r="R791" s="450"/>
      <c r="S791" s="451"/>
      <c r="T791" s="451"/>
    </row>
    <row r="792" spans="1:20" s="470" customFormat="1" ht="11.25" customHeight="1">
      <c r="A792" s="448" t="s">
        <v>2765</v>
      </c>
      <c r="B792" s="448">
        <v>5</v>
      </c>
      <c r="C792" s="448" t="s">
        <v>2763</v>
      </c>
      <c r="D792" s="448" t="s">
        <v>83</v>
      </c>
      <c r="E792" s="448">
        <v>3</v>
      </c>
      <c r="F792" s="502">
        <v>0</v>
      </c>
      <c r="G792" s="502">
        <v>0</v>
      </c>
      <c r="H792" s="448">
        <v>0</v>
      </c>
      <c r="I792" s="448">
        <v>0</v>
      </c>
      <c r="J792" s="448">
        <v>0</v>
      </c>
      <c r="K792" s="448">
        <v>0</v>
      </c>
      <c r="L792" s="448">
        <v>0</v>
      </c>
      <c r="M792" s="448" t="s">
        <v>83</v>
      </c>
      <c r="N792" s="504"/>
      <c r="O792" s="505">
        <v>0</v>
      </c>
      <c r="P792" s="502" t="s">
        <v>83</v>
      </c>
      <c r="Q792" s="448"/>
      <c r="R792" s="450"/>
      <c r="S792" s="451"/>
      <c r="T792" s="451"/>
    </row>
    <row r="793" spans="1:20" s="470" customFormat="1" ht="11.25" customHeight="1">
      <c r="A793" s="448" t="s">
        <v>2766</v>
      </c>
      <c r="B793" s="448">
        <v>5</v>
      </c>
      <c r="C793" s="448" t="s">
        <v>2763</v>
      </c>
      <c r="D793" s="448" t="s">
        <v>83</v>
      </c>
      <c r="E793" s="448">
        <v>3</v>
      </c>
      <c r="F793" s="502">
        <v>0</v>
      </c>
      <c r="G793" s="502">
        <v>0</v>
      </c>
      <c r="H793" s="448">
        <v>0</v>
      </c>
      <c r="I793" s="448">
        <v>0</v>
      </c>
      <c r="J793" s="448">
        <v>0</v>
      </c>
      <c r="K793" s="448">
        <v>0</v>
      </c>
      <c r="L793" s="448">
        <v>0</v>
      </c>
      <c r="M793" s="448" t="s">
        <v>83</v>
      </c>
      <c r="N793" s="504"/>
      <c r="O793" s="505">
        <v>0</v>
      </c>
      <c r="P793" s="502" t="s">
        <v>83</v>
      </c>
      <c r="Q793" s="448"/>
      <c r="R793" s="450"/>
      <c r="S793" s="451"/>
      <c r="T793" s="451"/>
    </row>
    <row r="794" spans="1:20" s="470" customFormat="1" ht="11.25" customHeight="1">
      <c r="A794" s="448" t="s">
        <v>2767</v>
      </c>
      <c r="B794" s="448">
        <v>5</v>
      </c>
      <c r="C794" s="448" t="s">
        <v>2763</v>
      </c>
      <c r="D794" s="448" t="s">
        <v>83</v>
      </c>
      <c r="E794" s="448">
        <v>3</v>
      </c>
      <c r="F794" s="502">
        <v>0</v>
      </c>
      <c r="G794" s="502">
        <v>0</v>
      </c>
      <c r="H794" s="448">
        <v>0</v>
      </c>
      <c r="I794" s="448">
        <v>0</v>
      </c>
      <c r="J794" s="448">
        <v>0</v>
      </c>
      <c r="K794" s="448">
        <v>0</v>
      </c>
      <c r="L794" s="448">
        <v>0</v>
      </c>
      <c r="M794" s="448" t="s">
        <v>83</v>
      </c>
      <c r="N794" s="504"/>
      <c r="O794" s="505">
        <v>0</v>
      </c>
      <c r="P794" s="502" t="s">
        <v>83</v>
      </c>
      <c r="Q794" s="448"/>
      <c r="R794" s="450"/>
      <c r="S794" s="451"/>
      <c r="T794" s="451"/>
    </row>
    <row r="795" spans="1:20" s="470" customFormat="1" ht="11.25" customHeight="1">
      <c r="A795" s="448" t="s">
        <v>940</v>
      </c>
      <c r="B795" s="448">
        <v>5</v>
      </c>
      <c r="C795" s="448" t="s">
        <v>2763</v>
      </c>
      <c r="D795" s="448" t="s">
        <v>83</v>
      </c>
      <c r="E795" s="448">
        <v>3</v>
      </c>
      <c r="F795" s="502">
        <v>0</v>
      </c>
      <c r="G795" s="502">
        <v>0</v>
      </c>
      <c r="H795" s="448">
        <v>0</v>
      </c>
      <c r="I795" s="448">
        <v>0</v>
      </c>
      <c r="J795" s="448">
        <v>0</v>
      </c>
      <c r="K795" s="448">
        <v>0</v>
      </c>
      <c r="L795" s="448">
        <v>0</v>
      </c>
      <c r="M795" s="448" t="s">
        <v>83</v>
      </c>
      <c r="N795" s="504"/>
      <c r="O795" s="505">
        <v>0</v>
      </c>
      <c r="P795" s="502" t="s">
        <v>83</v>
      </c>
      <c r="Q795" s="448"/>
      <c r="R795" s="450"/>
      <c r="S795" s="451"/>
      <c r="T795" s="451"/>
    </row>
    <row r="796" spans="1:20" s="470" customFormat="1" ht="11.25" customHeight="1">
      <c r="A796" s="448" t="s">
        <v>2768</v>
      </c>
      <c r="B796" s="448">
        <v>7</v>
      </c>
      <c r="C796" s="448" t="s">
        <v>2763</v>
      </c>
      <c r="D796" s="448" t="s">
        <v>83</v>
      </c>
      <c r="E796" s="448">
        <v>1</v>
      </c>
      <c r="F796" s="502">
        <v>0</v>
      </c>
      <c r="G796" s="502">
        <v>0</v>
      </c>
      <c r="H796" s="448">
        <v>0</v>
      </c>
      <c r="I796" s="448">
        <v>0</v>
      </c>
      <c r="J796" s="448">
        <v>0</v>
      </c>
      <c r="K796" s="448">
        <v>0</v>
      </c>
      <c r="L796" s="448">
        <v>0</v>
      </c>
      <c r="M796" s="448" t="s">
        <v>83</v>
      </c>
      <c r="N796" s="504"/>
      <c r="O796" s="505">
        <v>0</v>
      </c>
      <c r="P796" s="502" t="s">
        <v>83</v>
      </c>
      <c r="Q796" s="448"/>
      <c r="R796" s="450"/>
      <c r="S796" s="451"/>
      <c r="T796" s="451"/>
    </row>
    <row r="797" spans="1:20" s="470" customFormat="1" ht="11.25" customHeight="1">
      <c r="A797" s="448" t="s">
        <v>2769</v>
      </c>
      <c r="B797" s="448">
        <v>13</v>
      </c>
      <c r="C797" s="448" t="s">
        <v>2763</v>
      </c>
      <c r="D797" s="448" t="s">
        <v>83</v>
      </c>
      <c r="E797" s="448">
        <v>1</v>
      </c>
      <c r="F797" s="502">
        <v>0</v>
      </c>
      <c r="G797" s="502">
        <v>0</v>
      </c>
      <c r="H797" s="448">
        <v>0</v>
      </c>
      <c r="I797" s="448">
        <v>0</v>
      </c>
      <c r="J797" s="448">
        <v>0</v>
      </c>
      <c r="K797" s="448">
        <v>0</v>
      </c>
      <c r="L797" s="448">
        <v>0</v>
      </c>
      <c r="M797" s="448" t="s">
        <v>83</v>
      </c>
      <c r="N797" s="504"/>
      <c r="O797" s="505">
        <v>0</v>
      </c>
      <c r="P797" s="502" t="s">
        <v>83</v>
      </c>
      <c r="Q797" s="448"/>
      <c r="R797" s="450"/>
      <c r="S797" s="451"/>
      <c r="T797" s="451"/>
    </row>
    <row r="798" spans="1:20" s="470" customFormat="1" ht="11.25" customHeight="1">
      <c r="A798" s="448" t="s">
        <v>2770</v>
      </c>
      <c r="B798" s="448">
        <v>19</v>
      </c>
      <c r="C798" s="448" t="s">
        <v>2763</v>
      </c>
      <c r="D798" s="448" t="s">
        <v>83</v>
      </c>
      <c r="E798" s="448">
        <v>1</v>
      </c>
      <c r="F798" s="502">
        <v>0</v>
      </c>
      <c r="G798" s="502">
        <v>0</v>
      </c>
      <c r="H798" s="448">
        <v>0</v>
      </c>
      <c r="I798" s="448">
        <v>0</v>
      </c>
      <c r="J798" s="448">
        <v>0</v>
      </c>
      <c r="K798" s="448">
        <v>0</v>
      </c>
      <c r="L798" s="448">
        <v>0</v>
      </c>
      <c r="M798" s="448" t="s">
        <v>83</v>
      </c>
      <c r="N798" s="504"/>
      <c r="O798" s="505">
        <v>0</v>
      </c>
      <c r="P798" s="502" t="s">
        <v>83</v>
      </c>
      <c r="Q798" s="448"/>
      <c r="R798" s="450"/>
      <c r="S798" s="451"/>
      <c r="T798" s="451"/>
    </row>
    <row r="799" spans="1:20" s="470" customFormat="1" ht="11.25" customHeight="1">
      <c r="A799" s="448" t="s">
        <v>2665</v>
      </c>
      <c r="B799" s="448">
        <v>1</v>
      </c>
      <c r="C799" s="448" t="s">
        <v>168</v>
      </c>
      <c r="D799" s="448" t="s">
        <v>83</v>
      </c>
      <c r="E799" s="448">
        <v>1</v>
      </c>
      <c r="F799" s="502">
        <v>0</v>
      </c>
      <c r="G799" s="502">
        <v>0</v>
      </c>
      <c r="H799" s="448">
        <v>0</v>
      </c>
      <c r="I799" s="448">
        <v>0</v>
      </c>
      <c r="J799" s="448">
        <v>0</v>
      </c>
      <c r="K799" s="448">
        <v>0</v>
      </c>
      <c r="L799" s="448">
        <v>0</v>
      </c>
      <c r="M799" s="448" t="s">
        <v>83</v>
      </c>
      <c r="N799" s="504"/>
      <c r="O799" s="505">
        <v>5</v>
      </c>
      <c r="P799" s="502" t="s">
        <v>83</v>
      </c>
      <c r="Q799" s="448"/>
      <c r="R799" s="450"/>
      <c r="S799" s="451"/>
      <c r="T799" s="451"/>
    </row>
    <row r="800" spans="1:20" s="470" customFormat="1" ht="11.25" customHeight="1">
      <c r="A800" s="448" t="s">
        <v>2771</v>
      </c>
      <c r="B800" s="448">
        <v>1</v>
      </c>
      <c r="C800" s="448" t="s">
        <v>168</v>
      </c>
      <c r="D800" s="448" t="s">
        <v>83</v>
      </c>
      <c r="E800" s="448">
        <v>1</v>
      </c>
      <c r="F800" s="502">
        <v>0</v>
      </c>
      <c r="G800" s="502">
        <v>0</v>
      </c>
      <c r="H800" s="448">
        <v>0</v>
      </c>
      <c r="I800" s="448">
        <v>0</v>
      </c>
      <c r="J800" s="448">
        <v>0</v>
      </c>
      <c r="K800" s="448">
        <v>0</v>
      </c>
      <c r="L800" s="448">
        <v>0</v>
      </c>
      <c r="M800" s="448" t="s">
        <v>83</v>
      </c>
      <c r="N800" s="504"/>
      <c r="O800" s="505">
        <v>30</v>
      </c>
      <c r="P800" s="502" t="s">
        <v>83</v>
      </c>
      <c r="Q800" s="448"/>
      <c r="R800" s="450"/>
      <c r="S800" s="451"/>
      <c r="T800" s="451"/>
    </row>
    <row r="801" spans="1:20" s="470" customFormat="1" ht="11.25" customHeight="1">
      <c r="A801" s="448" t="s">
        <v>2772</v>
      </c>
      <c r="B801" s="448">
        <v>1</v>
      </c>
      <c r="C801" s="448" t="s">
        <v>168</v>
      </c>
      <c r="D801" s="448" t="s">
        <v>83</v>
      </c>
      <c r="E801" s="448">
        <v>0</v>
      </c>
      <c r="F801" s="502">
        <v>0</v>
      </c>
      <c r="G801" s="502">
        <v>0</v>
      </c>
      <c r="H801" s="448">
        <v>0</v>
      </c>
      <c r="I801" s="448">
        <v>0</v>
      </c>
      <c r="J801" s="448">
        <v>0</v>
      </c>
      <c r="K801" s="448">
        <v>0</v>
      </c>
      <c r="L801" s="448">
        <v>0</v>
      </c>
      <c r="M801" s="448" t="s">
        <v>83</v>
      </c>
      <c r="N801" s="504"/>
      <c r="O801" s="505">
        <v>0</v>
      </c>
      <c r="P801" s="502" t="s">
        <v>83</v>
      </c>
      <c r="Q801" s="448"/>
      <c r="R801" s="450"/>
      <c r="S801" s="451"/>
      <c r="T801" s="451"/>
    </row>
    <row r="802" spans="1:20" s="470" customFormat="1" ht="11.25" customHeight="1">
      <c r="A802" s="448" t="s">
        <v>2773</v>
      </c>
      <c r="B802" s="448">
        <v>1</v>
      </c>
      <c r="C802" s="448" t="s">
        <v>168</v>
      </c>
      <c r="D802" s="448" t="s">
        <v>83</v>
      </c>
      <c r="E802" s="448">
        <v>0</v>
      </c>
      <c r="F802" s="502">
        <v>0</v>
      </c>
      <c r="G802" s="502">
        <v>0</v>
      </c>
      <c r="H802" s="448">
        <v>0</v>
      </c>
      <c r="I802" s="448">
        <v>0</v>
      </c>
      <c r="J802" s="448">
        <v>0</v>
      </c>
      <c r="K802" s="448">
        <v>0</v>
      </c>
      <c r="L802" s="448">
        <v>0</v>
      </c>
      <c r="M802" s="448" t="s">
        <v>83</v>
      </c>
      <c r="N802" s="504"/>
      <c r="O802" s="505">
        <v>0</v>
      </c>
      <c r="P802" s="502" t="s">
        <v>83</v>
      </c>
      <c r="Q802" s="448"/>
      <c r="R802" s="450"/>
      <c r="S802" s="451"/>
      <c r="T802" s="451"/>
    </row>
    <row r="803" spans="1:20" s="470" customFormat="1" ht="11.25" customHeight="1">
      <c r="A803" s="448" t="s">
        <v>2774</v>
      </c>
      <c r="B803" s="448">
        <v>1</v>
      </c>
      <c r="C803" s="448" t="s">
        <v>168</v>
      </c>
      <c r="D803" s="448" t="s">
        <v>83</v>
      </c>
      <c r="E803" s="448">
        <v>0</v>
      </c>
      <c r="F803" s="502">
        <v>0</v>
      </c>
      <c r="G803" s="502">
        <v>0</v>
      </c>
      <c r="H803" s="448">
        <v>0</v>
      </c>
      <c r="I803" s="448">
        <v>0</v>
      </c>
      <c r="J803" s="448">
        <v>0</v>
      </c>
      <c r="K803" s="448">
        <v>0</v>
      </c>
      <c r="L803" s="448">
        <v>0</v>
      </c>
      <c r="M803" s="448" t="s">
        <v>83</v>
      </c>
      <c r="N803" s="504"/>
      <c r="O803" s="505">
        <v>0</v>
      </c>
      <c r="P803" s="502" t="s">
        <v>83</v>
      </c>
      <c r="Q803" s="448"/>
      <c r="R803" s="450"/>
      <c r="S803" s="451"/>
      <c r="T803" s="451"/>
    </row>
    <row r="804" spans="1:20" s="470" customFormat="1" ht="11.25" customHeight="1">
      <c r="A804" s="448" t="s">
        <v>2775</v>
      </c>
      <c r="B804" s="448">
        <v>1</v>
      </c>
      <c r="C804" s="448" t="s">
        <v>168</v>
      </c>
      <c r="D804" s="448" t="s">
        <v>83</v>
      </c>
      <c r="E804" s="448">
        <v>0</v>
      </c>
      <c r="F804" s="502">
        <v>0</v>
      </c>
      <c r="G804" s="502">
        <v>0</v>
      </c>
      <c r="H804" s="448">
        <v>0</v>
      </c>
      <c r="I804" s="448">
        <v>0</v>
      </c>
      <c r="J804" s="448">
        <v>0</v>
      </c>
      <c r="K804" s="448">
        <v>0</v>
      </c>
      <c r="L804" s="448">
        <v>0</v>
      </c>
      <c r="M804" s="448" t="s">
        <v>83</v>
      </c>
      <c r="N804" s="504"/>
      <c r="O804" s="505">
        <v>0</v>
      </c>
      <c r="P804" s="502" t="s">
        <v>83</v>
      </c>
      <c r="Q804" s="448"/>
      <c r="R804" s="450"/>
      <c r="S804" s="451"/>
      <c r="T804" s="451"/>
    </row>
    <row r="805" spans="1:20" s="470" customFormat="1" ht="11.25" customHeight="1">
      <c r="A805" s="448" t="s">
        <v>2776</v>
      </c>
      <c r="B805" s="448">
        <v>1</v>
      </c>
      <c r="C805" s="448" t="s">
        <v>168</v>
      </c>
      <c r="D805" s="448" t="s">
        <v>83</v>
      </c>
      <c r="E805" s="448">
        <v>0</v>
      </c>
      <c r="F805" s="502">
        <v>0</v>
      </c>
      <c r="G805" s="502">
        <v>0</v>
      </c>
      <c r="H805" s="448">
        <v>0</v>
      </c>
      <c r="I805" s="448">
        <v>0</v>
      </c>
      <c r="J805" s="448">
        <v>0</v>
      </c>
      <c r="K805" s="448">
        <v>0</v>
      </c>
      <c r="L805" s="448">
        <v>0</v>
      </c>
      <c r="M805" s="448" t="s">
        <v>83</v>
      </c>
      <c r="N805" s="504"/>
      <c r="O805" s="505">
        <v>0</v>
      </c>
      <c r="P805" s="502" t="s">
        <v>83</v>
      </c>
      <c r="Q805" s="448"/>
      <c r="R805" s="450"/>
      <c r="S805" s="451"/>
      <c r="T805" s="451"/>
    </row>
    <row r="806" spans="1:20" s="470" customFormat="1" ht="11.25" customHeight="1">
      <c r="A806" s="448" t="s">
        <v>2777</v>
      </c>
      <c r="B806" s="448">
        <v>1</v>
      </c>
      <c r="C806" s="448" t="s">
        <v>168</v>
      </c>
      <c r="D806" s="448" t="s">
        <v>83</v>
      </c>
      <c r="E806" s="448">
        <v>0</v>
      </c>
      <c r="F806" s="502">
        <v>0</v>
      </c>
      <c r="G806" s="502">
        <v>0</v>
      </c>
      <c r="H806" s="448">
        <v>0</v>
      </c>
      <c r="I806" s="448">
        <v>0</v>
      </c>
      <c r="J806" s="448">
        <v>0</v>
      </c>
      <c r="K806" s="448">
        <v>0</v>
      </c>
      <c r="L806" s="448">
        <v>0</v>
      </c>
      <c r="M806" s="448" t="s">
        <v>83</v>
      </c>
      <c r="N806" s="504"/>
      <c r="O806" s="505">
        <v>0</v>
      </c>
      <c r="P806" s="502" t="s">
        <v>83</v>
      </c>
      <c r="Q806" s="448"/>
      <c r="R806" s="450"/>
      <c r="S806" s="451"/>
      <c r="T806" s="451"/>
    </row>
    <row r="807" spans="1:20" s="470" customFormat="1" ht="11.25" customHeight="1">
      <c r="A807" s="448" t="s">
        <v>2778</v>
      </c>
      <c r="B807" s="448">
        <v>7</v>
      </c>
      <c r="C807" s="448" t="s">
        <v>168</v>
      </c>
      <c r="D807" s="448" t="s">
        <v>83</v>
      </c>
      <c r="E807" s="448">
        <v>0</v>
      </c>
      <c r="F807" s="502">
        <v>0</v>
      </c>
      <c r="G807" s="502">
        <v>0</v>
      </c>
      <c r="H807" s="448">
        <v>0</v>
      </c>
      <c r="I807" s="448">
        <v>0</v>
      </c>
      <c r="J807" s="448">
        <v>0</v>
      </c>
      <c r="K807" s="448">
        <v>0</v>
      </c>
      <c r="L807" s="448">
        <v>0</v>
      </c>
      <c r="M807" s="448" t="s">
        <v>83</v>
      </c>
      <c r="N807" s="504"/>
      <c r="O807" s="505">
        <v>10000</v>
      </c>
      <c r="P807" s="502">
        <v>15</v>
      </c>
      <c r="Q807" s="448"/>
      <c r="R807" s="450"/>
      <c r="S807" s="451"/>
      <c r="T807" s="451"/>
    </row>
    <row r="808" spans="1:20" s="470" customFormat="1" ht="11.25" customHeight="1">
      <c r="A808" s="448" t="s">
        <v>2779</v>
      </c>
      <c r="B808" s="448">
        <v>7</v>
      </c>
      <c r="C808" s="448" t="s">
        <v>168</v>
      </c>
      <c r="D808" s="448" t="s">
        <v>83</v>
      </c>
      <c r="E808" s="448">
        <v>0</v>
      </c>
      <c r="F808" s="502">
        <v>0</v>
      </c>
      <c r="G808" s="502">
        <v>0</v>
      </c>
      <c r="H808" s="448">
        <v>0</v>
      </c>
      <c r="I808" s="448">
        <v>0</v>
      </c>
      <c r="J808" s="448">
        <v>0</v>
      </c>
      <c r="K808" s="448">
        <v>0</v>
      </c>
      <c r="L808" s="448">
        <v>0</v>
      </c>
      <c r="M808" s="448" t="s">
        <v>83</v>
      </c>
      <c r="N808" s="504"/>
      <c r="O808" s="505">
        <v>10000</v>
      </c>
      <c r="P808" s="502">
        <v>15</v>
      </c>
      <c r="Q808" s="448"/>
      <c r="R808" s="450"/>
      <c r="S808" s="451"/>
      <c r="T808" s="451"/>
    </row>
    <row r="809" spans="1:20" s="470" customFormat="1" ht="11.25" customHeight="1">
      <c r="A809" s="448"/>
      <c r="B809" s="448"/>
      <c r="C809" s="448"/>
      <c r="D809" s="448"/>
      <c r="E809" s="448"/>
      <c r="F809" s="502"/>
      <c r="G809" s="502"/>
      <c r="H809" s="502"/>
      <c r="I809" s="502"/>
      <c r="J809" s="502"/>
      <c r="K809" s="502"/>
      <c r="L809" s="448"/>
      <c r="M809" s="502"/>
      <c r="N809" s="504"/>
      <c r="O809" s="505"/>
      <c r="P809" s="502"/>
      <c r="Q809" s="448"/>
      <c r="R809" s="450"/>
      <c r="S809" s="451"/>
      <c r="T809" s="451"/>
    </row>
    <row r="810" spans="1:20" s="470" customFormat="1" ht="11.25" customHeight="1">
      <c r="A810" s="448"/>
      <c r="B810" s="448"/>
      <c r="C810" s="448"/>
      <c r="D810" s="448"/>
      <c r="E810" s="448"/>
      <c r="F810" s="502"/>
      <c r="G810" s="502"/>
      <c r="H810" s="502"/>
      <c r="I810" s="502"/>
      <c r="J810" s="502"/>
      <c r="K810" s="502"/>
      <c r="L810" s="448"/>
      <c r="M810" s="502"/>
      <c r="N810" s="504"/>
      <c r="O810" s="505"/>
      <c r="P810" s="502"/>
      <c r="Q810" s="448"/>
      <c r="R810" s="450"/>
      <c r="S810" s="451"/>
      <c r="T810" s="451"/>
    </row>
    <row r="811" spans="1:20" s="470" customFormat="1" ht="11.25" customHeight="1">
      <c r="A811" s="448"/>
      <c r="B811" s="448"/>
      <c r="C811" s="448"/>
      <c r="D811" s="448"/>
      <c r="E811" s="448"/>
      <c r="F811" s="502"/>
      <c r="G811" s="502"/>
      <c r="H811" s="502"/>
      <c r="I811" s="502"/>
      <c r="J811" s="502"/>
      <c r="K811" s="502"/>
      <c r="L811" s="448"/>
      <c r="M811" s="502"/>
      <c r="N811" s="504"/>
      <c r="O811" s="505"/>
      <c r="P811" s="502"/>
      <c r="Q811" s="448"/>
      <c r="R811" s="450"/>
      <c r="S811" s="451"/>
      <c r="T811" s="451"/>
    </row>
    <row r="812" spans="1:20" s="470" customFormat="1" ht="11.25" customHeight="1">
      <c r="A812" s="448"/>
      <c r="B812" s="448"/>
      <c r="C812" s="448"/>
      <c r="D812" s="448"/>
      <c r="E812" s="448"/>
      <c r="F812" s="502"/>
      <c r="G812" s="502"/>
      <c r="H812" s="502"/>
      <c r="I812" s="502"/>
      <c r="J812" s="502"/>
      <c r="K812" s="502"/>
      <c r="L812" s="448"/>
      <c r="M812" s="502"/>
      <c r="N812" s="504"/>
      <c r="O812" s="505"/>
      <c r="P812" s="502"/>
      <c r="Q812" s="448"/>
      <c r="R812" s="450"/>
      <c r="S812" s="451"/>
      <c r="T812" s="451"/>
    </row>
    <row r="813" spans="1:20" s="470" customFormat="1" ht="11.25" customHeight="1">
      <c r="A813" s="448"/>
      <c r="B813" s="448"/>
      <c r="C813" s="448"/>
      <c r="D813" s="448"/>
      <c r="E813" s="448"/>
      <c r="F813" s="502"/>
      <c r="G813" s="502"/>
      <c r="H813" s="502"/>
      <c r="I813" s="502"/>
      <c r="J813" s="502"/>
      <c r="K813" s="502"/>
      <c r="L813" s="448"/>
      <c r="M813" s="502"/>
      <c r="N813" s="504"/>
      <c r="O813" s="505"/>
      <c r="P813" s="502"/>
      <c r="Q813" s="448"/>
      <c r="R813" s="450"/>
      <c r="S813" s="451"/>
      <c r="T813" s="451"/>
    </row>
    <row r="814" spans="1:20" s="470" customFormat="1" ht="11.25" customHeight="1">
      <c r="A814" s="448"/>
      <c r="B814" s="448"/>
      <c r="C814" s="448"/>
      <c r="D814" s="448"/>
      <c r="E814" s="448"/>
      <c r="F814" s="502"/>
      <c r="G814" s="502"/>
      <c r="H814" s="502"/>
      <c r="I814" s="502"/>
      <c r="J814" s="502"/>
      <c r="K814" s="502"/>
      <c r="L814" s="448"/>
      <c r="M814" s="502"/>
      <c r="N814" s="504"/>
      <c r="O814" s="505"/>
      <c r="P814" s="502"/>
      <c r="Q814" s="448"/>
      <c r="R814" s="450"/>
      <c r="S814" s="451"/>
      <c r="T814" s="451"/>
    </row>
    <row r="815" spans="1:20" s="470" customFormat="1" ht="11.25" customHeight="1">
      <c r="A815" s="448"/>
      <c r="B815" s="448"/>
      <c r="C815" s="448"/>
      <c r="D815" s="448"/>
      <c r="E815" s="448"/>
      <c r="F815" s="502"/>
      <c r="G815" s="502"/>
      <c r="H815" s="502"/>
      <c r="I815" s="502"/>
      <c r="J815" s="502"/>
      <c r="K815" s="502"/>
      <c r="L815" s="448"/>
      <c r="M815" s="502"/>
      <c r="N815" s="504"/>
      <c r="O815" s="505"/>
      <c r="P815" s="502"/>
      <c r="Q815" s="448"/>
      <c r="R815" s="450"/>
      <c r="S815" s="451"/>
      <c r="T815" s="451"/>
    </row>
    <row r="816" spans="1:20" s="470" customFormat="1" ht="11.25" customHeight="1">
      <c r="A816" s="448"/>
      <c r="B816" s="448"/>
      <c r="C816" s="448"/>
      <c r="D816" s="448"/>
      <c r="E816" s="448"/>
      <c r="F816" s="502"/>
      <c r="G816" s="502"/>
      <c r="H816" s="502"/>
      <c r="I816" s="502"/>
      <c r="J816" s="502"/>
      <c r="K816" s="502"/>
      <c r="L816" s="448"/>
      <c r="M816" s="502"/>
      <c r="N816" s="504"/>
      <c r="O816" s="505"/>
      <c r="P816" s="502"/>
      <c r="Q816" s="448"/>
      <c r="R816" s="450"/>
      <c r="S816" s="451"/>
      <c r="T816" s="451"/>
    </row>
    <row r="817" spans="1:20" s="470" customFormat="1" ht="11.25" customHeight="1">
      <c r="A817" s="448"/>
      <c r="B817" s="448"/>
      <c r="C817" s="448"/>
      <c r="D817" s="448"/>
      <c r="E817" s="448"/>
      <c r="F817" s="502"/>
      <c r="G817" s="502"/>
      <c r="H817" s="502"/>
      <c r="I817" s="502"/>
      <c r="J817" s="502"/>
      <c r="K817" s="502"/>
      <c r="L817" s="448"/>
      <c r="M817" s="502"/>
      <c r="N817" s="504"/>
      <c r="O817" s="505"/>
      <c r="P817" s="502"/>
      <c r="Q817" s="448"/>
      <c r="R817" s="450"/>
      <c r="S817" s="451"/>
      <c r="T817" s="451"/>
    </row>
    <row r="818" spans="1:20" s="470" customFormat="1" ht="11.25" customHeight="1">
      <c r="A818" s="448"/>
      <c r="B818" s="448"/>
      <c r="C818" s="448"/>
      <c r="D818" s="448"/>
      <c r="E818" s="448"/>
      <c r="F818" s="502"/>
      <c r="G818" s="502"/>
      <c r="H818" s="502"/>
      <c r="I818" s="502"/>
      <c r="J818" s="502"/>
      <c r="K818" s="502"/>
      <c r="L818" s="448"/>
      <c r="M818" s="502"/>
      <c r="N818" s="504"/>
      <c r="O818" s="505"/>
      <c r="P818" s="502"/>
      <c r="Q818" s="448"/>
      <c r="R818" s="450"/>
      <c r="S818" s="451"/>
      <c r="T818" s="451"/>
    </row>
    <row r="819" spans="1:20" s="470" customFormat="1" ht="11.25" customHeight="1">
      <c r="A819" s="448"/>
      <c r="B819" s="448"/>
      <c r="C819" s="448"/>
      <c r="D819" s="448"/>
      <c r="E819" s="448"/>
      <c r="F819" s="502"/>
      <c r="G819" s="502"/>
      <c r="H819" s="502"/>
      <c r="I819" s="502"/>
      <c r="J819" s="502"/>
      <c r="K819" s="502"/>
      <c r="L819" s="448"/>
      <c r="M819" s="502"/>
      <c r="N819" s="504"/>
      <c r="O819" s="505"/>
      <c r="P819" s="502"/>
      <c r="Q819" s="448"/>
      <c r="R819" s="450"/>
      <c r="S819" s="451"/>
      <c r="T819" s="451"/>
    </row>
    <row r="820" spans="1:20" s="470" customFormat="1" ht="11.25" customHeight="1">
      <c r="A820" s="448"/>
      <c r="B820" s="448"/>
      <c r="C820" s="448"/>
      <c r="D820" s="448"/>
      <c r="E820" s="448"/>
      <c r="F820" s="502"/>
      <c r="G820" s="502"/>
      <c r="H820" s="502"/>
      <c r="I820" s="502"/>
      <c r="J820" s="502"/>
      <c r="K820" s="502"/>
      <c r="L820" s="448"/>
      <c r="M820" s="502"/>
      <c r="N820" s="504"/>
      <c r="O820" s="505"/>
      <c r="P820" s="502"/>
      <c r="Q820" s="448"/>
      <c r="R820" s="450"/>
      <c r="S820" s="451"/>
      <c r="T820" s="451"/>
    </row>
    <row r="821" spans="1:20" s="470" customFormat="1" ht="11.25" customHeight="1">
      <c r="A821" s="448"/>
      <c r="B821" s="448"/>
      <c r="C821" s="448"/>
      <c r="D821" s="448"/>
      <c r="E821" s="448"/>
      <c r="F821" s="502"/>
      <c r="G821" s="502"/>
      <c r="H821" s="502"/>
      <c r="I821" s="502"/>
      <c r="J821" s="502"/>
      <c r="K821" s="502"/>
      <c r="L821" s="448"/>
      <c r="M821" s="502"/>
      <c r="N821" s="504"/>
      <c r="O821" s="505"/>
      <c r="P821" s="502"/>
      <c r="Q821" s="448"/>
      <c r="R821" s="450"/>
      <c r="S821" s="451"/>
      <c r="T821" s="451"/>
    </row>
    <row r="822" spans="6:18" s="451" customFormat="1" ht="11.25" customHeight="1">
      <c r="F822" s="498"/>
      <c r="G822" s="498"/>
      <c r="L822" s="390"/>
      <c r="M822" s="499"/>
      <c r="N822" s="450"/>
      <c r="O822" s="500"/>
      <c r="P822" s="498"/>
      <c r="R822" s="450"/>
    </row>
    <row r="823" ht="11.25" customHeight="1"/>
    <row r="824" spans="1:19" ht="11.25" customHeight="1">
      <c r="A824" s="46" t="s">
        <v>2780</v>
      </c>
      <c r="B824" s="489" t="s">
        <v>111</v>
      </c>
      <c r="C824" s="489" t="s">
        <v>253</v>
      </c>
      <c r="D824" s="489" t="s">
        <v>254</v>
      </c>
      <c r="E824" s="489" t="s">
        <v>255</v>
      </c>
      <c r="F824" s="490" t="s">
        <v>174</v>
      </c>
      <c r="G824" s="490" t="s">
        <v>256</v>
      </c>
      <c r="H824" s="489" t="s">
        <v>233</v>
      </c>
      <c r="I824" s="489" t="s">
        <v>257</v>
      </c>
      <c r="J824" s="489" t="s">
        <v>258</v>
      </c>
      <c r="K824" s="489" t="s">
        <v>259</v>
      </c>
      <c r="L824" s="489" t="s">
        <v>260</v>
      </c>
      <c r="M824" s="491" t="s">
        <v>261</v>
      </c>
      <c r="N824" s="489" t="s">
        <v>262</v>
      </c>
      <c r="O824" s="492" t="s">
        <v>223</v>
      </c>
      <c r="P824" s="490" t="s">
        <v>2093</v>
      </c>
      <c r="Q824" s="493" t="s">
        <v>2094</v>
      </c>
      <c r="R824" s="399"/>
      <c r="S824" s="213"/>
    </row>
    <row r="825" ht="11.25" customHeight="1"/>
  </sheetData>
  <autoFilter ref="A3:Q823"/>
  <mergeCells count="1">
    <mergeCell ref="A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ARIANRHOD CHARACTER SHEET</dc:title>
  <dc:subject>アリアンロッド自動計算キャラクターシート</dc:subject>
  <dc:creator>L.Leixun</dc:creator>
  <cp:keywords/>
  <dc:description/>
  <cp:lastModifiedBy/>
  <cp:lastPrinted>2005-12-05T10:44:04Z</cp:lastPrinted>
  <dcterms:created xsi:type="dcterms:W3CDTF">1997-01-08T22:48:59Z</dcterms:created>
  <dcterms:modified xsi:type="dcterms:W3CDTF">2011-10-27T15:25:13Z</dcterms:modified>
  <cp:category/>
  <cp:version/>
  <cp:contentType/>
  <cp:contentStatus/>
  <cp:revision>697</cp:revision>
</cp:coreProperties>
</file>