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708" activeTab="5"/>
  </bookViews>
  <sheets>
    <sheet name="Readme" sheetId="1" r:id="rId1"/>
    <sheet name="①コンストラクション" sheetId="2" r:id="rId2"/>
    <sheet name="②成長点記録・ギルドレベル" sheetId="3" r:id="rId3"/>
    <sheet name="③レベルアップ" sheetId="4" r:id="rId4"/>
    <sheet name="④スキル履歴" sheetId="5" r:id="rId5"/>
    <sheet name="キャラクターシート" sheetId="6" r:id="rId6"/>
    <sheet name="キャラクターシート2" sheetId="7" r:id="rId7"/>
    <sheet name="スキル" sheetId="8" r:id="rId8"/>
    <sheet name="アイテム" sheetId="9" r:id="rId9"/>
    <sheet name="ライフパス" sheetId="10" r:id="rId10"/>
    <sheet name="リファレンス" sheetId="11" r:id="rId11"/>
  </sheets>
  <definedNames>
    <definedName name="_xlnm._FilterDatabase" localSheetId="8" hidden="1">'アイテム'!$A$3:$P$593</definedName>
    <definedName name="_xlnm._FilterDatabase" localSheetId="7" hidden="1">'スキル'!$A$2:$K$795</definedName>
    <definedName name="_1st_2nd">#REF!</definedName>
    <definedName name="_アコライト">'リファレンス'!$J$71:$J$94</definedName>
    <definedName name="_アルケミスト">'リファレンス'!$R$71:$R$88</definedName>
    <definedName name="_ウォーリア">'リファレンス'!$I$71:$I$88</definedName>
    <definedName name="_ガンスリンガー">'リファレンス'!$S$71:$S$88</definedName>
    <definedName name="_サムライ">'リファレンス'!$M$71:$M$88</definedName>
    <definedName name="_サモナー">'リファレンス'!$O$71:$O$88</definedName>
    <definedName name="_シーフ">'リファレンス'!$L$71:$L$88</definedName>
    <definedName name="_セージ">'リファレンス'!$T$71:$T$88</definedName>
    <definedName name="_ダンサー">'リファレンス'!$V$71:$V$88</definedName>
    <definedName name="_テイマー">'リファレンス'!$AF$71:$AF$88</definedName>
    <definedName name="_ドラグーン">'リファレンス'!$AE$71:$AE$103</definedName>
    <definedName name="_ニンジャ">'リファレンス'!$U$71:$U$88</definedName>
    <definedName name="_バード">'リファレンス'!$Q$71:$Q$88</definedName>
    <definedName name="_メイジ">'リファレンス'!$K$71:$K$91</definedName>
    <definedName name="_モンク">'リファレンス'!$N$71:$N$88</definedName>
    <definedName name="_レンジャー">'リファレンス'!$P$71:$P$101</definedName>
    <definedName name="_ウィザード">'リファレンス'!$AA$71:$AA$96</definedName>
    <definedName name="_ウォーロード">'リファレンス'!$W$71:$W$107</definedName>
    <definedName name="_エクスプローラー">'リファレンス'!$AC$71:$AC$96</definedName>
    <definedName name="_スカウト">'リファレンス'!$AD$71:$AD$96</definedName>
    <definedName name="_ソーサラー">'リファレンス'!$AB$71:$AB$96</definedName>
    <definedName name="_ナイト">'リファレンス'!$X$71:$X$107</definedName>
    <definedName name="_パラディン">'リファレンス'!$Z$71:$Z$96</definedName>
    <definedName name="_プリースト">'リファレンス'!$Y$71:$Y$96</definedName>
    <definedName name="_ヴァーナ">'リファレンス'!$F$111:$F$113</definedName>
    <definedName name="_エルダナーン">'リファレンス'!$C$111:$C$114</definedName>
    <definedName name="_ドゥアン">'リファレンス'!$G$111:$G$113</definedName>
    <definedName name="_ネヴァーフ">'リファレンス'!$D$111:$D$116</definedName>
    <definedName name="_ヒューリン">'リファレンス'!$B$111:$B$113</definedName>
    <definedName name="_フィルボル">'リファレンス'!$E$111:$E$116</definedName>
    <definedName name="A_Kライダー">#REF!</definedName>
    <definedName name="AR_SHEET_ギルドスキル">'キャラクターシート'!$W$38:$AC$65</definedName>
    <definedName name="AR_SHEET_スキル">'キャラクターシート'!$B$24:$E$65</definedName>
    <definedName name="AR_SHEET_装備">'キャラクターシート'!$C$16:$E$21</definedName>
    <definedName name="AR_アイテム">'アイテム'!$A:$P</definedName>
    <definedName name="AR_ギルドスキル">'リファレンス'!$AX$71:$AX$150</definedName>
    <definedName name="AR_サブクラス">'リファレンス'!$B$1:$B$11</definedName>
    <definedName name="AR_サポートクラス">'リファレンス'!$B$1:$B$17</definedName>
    <definedName name="AR_サポートクラス初期">'リファレンス'!$B$1:$B$15</definedName>
    <definedName name="AR_スキル">'リファレンス'!$A$70:$AW$70</definedName>
    <definedName name="AR_スキルSL">'キャラクターシート'!$B$24:$H$65</definedName>
    <definedName name="AR_スキル効果">'リファレンス'!$F$37:$F$37</definedName>
    <definedName name="AR_メイン_サポート">'リファレンス'!$F$36:$F$39</definedName>
    <definedName name="AR_メインクラス">'リファレンス'!$A$1:$A$5</definedName>
    <definedName name="AR_運命">'ライフパス'!$A$84:$A$120</definedName>
    <definedName name="AR_各種効果">'キャラクターシート'!$BC$2:$BC$69</definedName>
    <definedName name="AR_獲得済ギルドスキル">'キャラクターシート2'!$B$5:$B$29</definedName>
    <definedName name="AR_境遇">'ライフパス'!$A$46:$A$82</definedName>
    <definedName name="AR_種族">'リファレンス'!$A$27:$A$33</definedName>
    <definedName name="AR_出自">'ライフパス'!$A$3:$A$44</definedName>
    <definedName name="AR_上級クラス">'リファレンス'!$N$2:$N$13</definedName>
    <definedName name="AR_装備レベル選択">'リファレンス'!$C$36:$C$56</definedName>
    <definedName name="AR_能力値選択">'リファレンス'!$A$52:$A$59</definedName>
    <definedName name="AR_武器種別">'リファレンス'!$D$36:$D$50</definedName>
    <definedName name="AR_武器種別2">'キャラクターシート'!$AH$14:$AH$26</definedName>
    <definedName name="AR_部族">'リファレンス'!$A$36:$A$44</definedName>
    <definedName name="ROC_D6">#REF!</definedName>
    <definedName name="ROC_D66">#REF!</definedName>
    <definedName name="アーチャー">#REF!</definedName>
    <definedName name="ヴァーナ">'リファレンス'!$F$71:$F$76</definedName>
    <definedName name="ウォーリア">#REF!</definedName>
    <definedName name="ｴｸｽﾌﾟﾛｰﾗｰ">#REF!</definedName>
    <definedName name="ｴｸｾﾚﾝﾄｳｫｰﾘｱ">#REF!</definedName>
    <definedName name="エネミー専用">'リファレンス'!$AW$71:$AW$121</definedName>
    <definedName name="エルダナーン">'リファレンス'!$C$71:$C$76</definedName>
    <definedName name="エルフ">#REF!</definedName>
    <definedName name="エンジェル">#REF!</definedName>
    <definedName name="ｶﾞｰﾃﾞｨｱﾝｴﾝｼﾞｪﾙ">#REF!</definedName>
    <definedName name="クラスレベルアップ">#REF!</definedName>
    <definedName name="グラップラー">#REF!</definedName>
    <definedName name="クレリック">#REF!</definedName>
    <definedName name="コネクション_D66">#REF!</definedName>
    <definedName name="コマンダー">#REF!</definedName>
    <definedName name="サモナー">#REF!</definedName>
    <definedName name="サラマンダー">#REF!</definedName>
    <definedName name="シャドウ">#REF!</definedName>
    <definedName name="スキルレベル選択">'リファレンス'!$B$52:$B$58</definedName>
    <definedName name="ストライダー">#REF!</definedName>
    <definedName name="ｾﾝﾄ_ﾌﾟﾘﾝｾｽ">#REF!</definedName>
    <definedName name="ソーサラー">#REF!</definedName>
    <definedName name="ソードマスター">#REF!</definedName>
    <definedName name="チャンピオン">#REF!</definedName>
    <definedName name="ディヴァイン">#REF!</definedName>
    <definedName name="ドゥアン">'リファレンス'!$G$71:$G$76</definedName>
    <definedName name="トータス">#REF!</definedName>
    <definedName name="トレント">#REF!</definedName>
    <definedName name="ナイト">#REF!</definedName>
    <definedName name="ﾅｲﾄｳｨｻﾞｰﾄﾞ">#REF!</definedName>
    <definedName name="ネヴァーフ">'リファレンス'!$D$71:$D$76</definedName>
    <definedName name="バード">#REF!</definedName>
    <definedName name="ビショップ">#REF!</definedName>
    <definedName name="ヒューリン">'リファレンス'!$B$71:$B$82</definedName>
    <definedName name="フィルボル">'リファレンス'!$E$71:$E$76</definedName>
    <definedName name="フェイ">#REF!</definedName>
    <definedName name="ﾌｫｰﾁｭﾝﾃﾗｰ">#REF!</definedName>
    <definedName name="ぷち">#REF!</definedName>
    <definedName name="プリースト">#REF!</definedName>
    <definedName name="プリンセス">#REF!</definedName>
    <definedName name="ヘヴィアームズ">#REF!</definedName>
    <definedName name="マジックナイト">#REF!</definedName>
    <definedName name="マッドマン">#REF!</definedName>
    <definedName name="メイジ">#REF!</definedName>
    <definedName name="メインクラス選択">#REF!</definedName>
    <definedName name="メタルゴーレム">#REF!</definedName>
    <definedName name="ライトアーマー">#REF!</definedName>
    <definedName name="ルーン">#REF!</definedName>
    <definedName name="レベル選択">'リファレンス'!$A$48:$A$49</definedName>
    <definedName name="ﾚﾘｯｸﾕｰｻﾞｰ">#REF!</definedName>
    <definedName name="レンジャー">#REF!</definedName>
    <definedName name="闇">#REF!</definedName>
    <definedName name="一般スキル">'リファレンス'!$H$71:$H$82</definedName>
    <definedName name="陰陽師">#REF!</definedName>
    <definedName name="炎">#REF!</definedName>
    <definedName name="火">#REF!</definedName>
    <definedName name="海">#REF!</definedName>
    <definedName name="格闘">'アイテム'!$A$4:$A$27</definedName>
    <definedName name="格闘用コンボ">'リファレンス'!$AG$71:$AG$73</definedName>
    <definedName name="基本能力値選択">'リファレンス'!$A$52:$A$59</definedName>
    <definedName name="吸血鬼">#REF!</definedName>
    <definedName name="弓">'アイテム'!$A$251:$A$277</definedName>
    <definedName name="弓用コンボ">'リファレンス'!$AP$71:$AP$73</definedName>
    <definedName name="虚">#REF!</definedName>
    <definedName name="強化人間">#REF!</definedName>
    <definedName name="金">#REF!</definedName>
    <definedName name="空">#REF!</definedName>
    <definedName name="剣技_攻撃">#REF!</definedName>
    <definedName name="剣技_汎用">#REF!</definedName>
    <definedName name="剣技_防御">#REF!</definedName>
    <definedName name="幻">#REF!</definedName>
    <definedName name="使徒">#REF!</definedName>
    <definedName name="呪歌用コンボ">'リファレンス'!$AT$71:$AT$73</definedName>
    <definedName name="銃">'アイテム'!$A$278:$A$288</definedName>
    <definedName name="銃用コンボ">'リファレンス'!$AQ$71:$AQ$73</definedName>
    <definedName name="出身世界">#REF!</definedName>
    <definedName name="盾">'アイテム'!$A$298:$A$324</definedName>
    <definedName name="盾用コンボ">'リファレンス'!$AU$71:$AU$73</definedName>
    <definedName name="所持品">'アイテム'!$A$512:$A$592</definedName>
    <definedName name="森">#REF!</definedName>
    <definedName name="人造人間">#REF!</definedName>
    <definedName name="人狼">#REF!</definedName>
    <definedName name="水">#REF!</definedName>
    <definedName name="成長時選択可能スキル">'リファレンス'!$A$110:$X$110</definedName>
    <definedName name="生まれ">#REF!</definedName>
    <definedName name="聖職者">#REF!</definedName>
    <definedName name="槍">'アイテム'!$A$225:$A$250</definedName>
    <definedName name="槍用コンボ">'リファレンス'!$AO$71:$AO$73</definedName>
    <definedName name="装身">'アイテム'!$A$427:$A$510</definedName>
    <definedName name="装備">#REF!</definedName>
    <definedName name="属性">#REF!</definedName>
    <definedName name="他">'アイテム'!$A$294:$A$296</definedName>
    <definedName name="打撃">'アイテム'!$A$181:$A$224</definedName>
    <definedName name="打撃用コンボ">'リファレンス'!$AN$71:$AN$73</definedName>
    <definedName name="大いなる者">#REF!</definedName>
    <definedName name="第一世界">#REF!</definedName>
    <definedName name="第一世界メインクラス">#REF!</definedName>
    <definedName name="第一世界第2クラス">#REF!</definedName>
    <definedName name="第五世界">#REF!</definedName>
    <definedName name="第五世界メインクラス">#REF!</definedName>
    <definedName name="第五世界第2クラス">#REF!</definedName>
    <definedName name="第三世界">#REF!</definedName>
    <definedName name="第三世界メインクラス">#REF!</definedName>
    <definedName name="第三世界第2クラス">#REF!</definedName>
    <definedName name="第八世界">#REF!</definedName>
    <definedName name="第八世界メインクラス">#REF!</definedName>
    <definedName name="第八世界第2クラス">#REF!</definedName>
    <definedName name="短剣">'アイテム'!$A$28:$A$63</definedName>
    <definedName name="短剣用コンボ">'リファレンス'!$AH$71:$AH$73</definedName>
    <definedName name="地">#REF!</definedName>
    <definedName name="長剣">'アイテム'!$A$64:$A$103</definedName>
    <definedName name="長剣用コンボ">'リファレンス'!$AI$71:$AI$73</definedName>
    <definedName name="天">#REF!</definedName>
    <definedName name="転職選択">'リファレンス'!$B$48:$B$50</definedName>
    <definedName name="転生者">#REF!</definedName>
    <definedName name="土">#REF!</definedName>
    <definedName name="刀">'アイテム'!$A$131:$A$141</definedName>
    <definedName name="刀用コンボ">'リファレンス'!$AK$71:$AK$73</definedName>
    <definedName name="頭防">'アイテム'!$A$326:$A$364</definedName>
    <definedName name="闘気法_攻撃">#REF!</definedName>
    <definedName name="闘気法_汎用">#REF!</definedName>
    <definedName name="闘気法_防御">#REF!</definedName>
    <definedName name="胴防">'アイテム'!$A$366:$A$425</definedName>
    <definedName name="特殊能力">#REF!</definedName>
    <definedName name="特徴">#REF!</definedName>
    <definedName name="忍者">#REF!</definedName>
    <definedName name="氷">#REF!</definedName>
    <definedName name="斧">'アイテム'!$A$154:$A$180</definedName>
    <definedName name="斧用コンボ">'リファレンス'!$AM$71:$AM$73</definedName>
    <definedName name="武器">#REF!</definedName>
    <definedName name="風">#REF!</definedName>
    <definedName name="別記">'アイテム'!$A$292:$A$293</definedName>
    <definedName name="鞭">'アイテム'!$A$142:$A$153</definedName>
    <definedName name="鞭用コンボ">'リファレンス'!$AL$71:$AL$73</definedName>
    <definedName name="魔剣使い">#REF!</definedName>
    <definedName name="魔術師">#REF!</definedName>
    <definedName name="魔術用コンボ">'リファレンス'!$AV$71:$AV$79</definedName>
    <definedName name="魔導銃">'アイテム'!$A$289:$A$291</definedName>
    <definedName name="魔導銃用コンボ">'リファレンス'!$AR$71:$AR$73</definedName>
    <definedName name="魔物使い">#REF!</definedName>
    <definedName name="夢使い">#REF!</definedName>
    <definedName name="冥">#REF!</definedName>
    <definedName name="木">#REF!</definedName>
    <definedName name="勇者">#REF!</definedName>
    <definedName name="龍使い">#REF!</definedName>
    <definedName name="両手剣">'アイテム'!$A$104:$A$130</definedName>
    <definedName name="両手剣用コンボ">'リファレンス'!$AJ$71:$AJ$73</definedName>
    <definedName name="錬金術用コンボ">'リファレンス'!$AS$71:$AS$73</definedName>
  </definedNames>
  <calcPr fullCalcOnLoad="1"/>
</workbook>
</file>

<file path=xl/comments2.xml><?xml version="1.0" encoding="utf-8"?>
<comments xmlns="http://schemas.openxmlformats.org/spreadsheetml/2006/main">
  <authors>
    <author>wa</author>
  </authors>
  <commentList>
    <comment ref="F8" authorId="0">
      <text>
        <r>
          <rPr>
            <b/>
            <sz val="9"/>
            <color indexed="8"/>
            <rFont val="ＭＳ Ｐゴシック"/>
            <family val="3"/>
          </rPr>
          <t>5点のボーナスを割り振ってください。
初期の能力基本値の上限は13です。
ただし、ライフパス等で上限を超えてもかまいません。</t>
        </r>
      </text>
    </comment>
    <comment ref="T8" authorId="0">
      <text>
        <r>
          <rPr>
            <b/>
            <sz val="9"/>
            <color indexed="8"/>
            <rFont val="ＭＳ Ｐゴシック"/>
            <family val="3"/>
          </rPr>
          <t>転職しても、この欄の数値は変更されません。キャラクターシートには反映されます。</t>
        </r>
      </text>
    </comment>
  </commentList>
</comments>
</file>

<file path=xl/comments4.xml><?xml version="1.0" encoding="utf-8"?>
<comments xmlns="http://schemas.openxmlformats.org/spreadsheetml/2006/main">
  <authors>
    <author>wa</author>
  </authors>
  <commentList>
    <comment ref="O17" authorId="0">
      <text>
        <r>
          <rPr>
            <sz val="9"/>
            <color indexed="8"/>
            <rFont val="ＭＳ Ｐゴシック"/>
            <family val="3"/>
          </rPr>
          <t>上級職への転職を行ったら、この欄に「◎」を記入してください。
上級職へ転職する場合は、サポートクラスへの転職とはと違い、A列の転職欄に★を記入しないで、メインクラス欄のみを変更してください。
（自動獲得スキルがないにもかかわらず、スキル取得数が増えてしまいます）</t>
        </r>
      </text>
    </comment>
  </commentList>
</comments>
</file>

<file path=xl/comments6.xml><?xml version="1.0" encoding="utf-8"?>
<comments xmlns="http://schemas.openxmlformats.org/spreadsheetml/2006/main">
  <authors>
    <author>wa</author>
  </authors>
  <commentList>
    <comment ref="M5" authorId="0">
      <text>
        <r>
          <rPr>
            <b/>
            <sz val="9"/>
            <color indexed="8"/>
            <rFont val="ＭＳ Ｐゴシック"/>
            <family val="3"/>
          </rPr>
          <t>ギルドメンバー内でもっとも高いレベルのメンバーのキャラクターレベルです。
暫定的に本人のCLを参照しています。
本人以外にもっと高レベルのメンバーが存在する場合、そのキャラクターのレベルを記入してください。</t>
        </r>
      </text>
    </comment>
    <comment ref="B15" authorId="0">
      <text>
        <r>
          <rPr>
            <b/>
            <sz val="9"/>
            <color indexed="8"/>
            <rFont val="ＭＳ Ｐゴシック"/>
            <family val="3"/>
          </rPr>
          <t>●基本的に、武器は右手に装備するものとして計算式を設定しています。
●左利きのキャラクターや、両手を使用する武器を装備する場合も、便宜上右手に武器を装備してください。</t>
        </r>
      </text>
    </comment>
    <comment ref="I18" authorId="0">
      <text>
        <r>
          <rPr>
            <b/>
            <sz val="9"/>
            <color indexed="8"/>
            <rFont val="ＭＳ Ｐゴシック"/>
            <family val="3"/>
          </rPr>
          <t>予備装備欄の重量は所持品のほうに加算されます。状況によって調整してください。</t>
        </r>
      </text>
    </comment>
    <comment ref="J22" authorId="0">
      <text>
        <r>
          <rPr>
            <b/>
            <sz val="9"/>
            <color indexed="8"/>
            <rFont val="ＭＳ Ｐゴシック"/>
            <family val="3"/>
          </rPr>
          <t>●右手と頭部・胴部・装身具の[命中修正]を足しています。
●《アンビデクスタリティ》《ツインウェポン》を修得していた場合、左手の装備の[命中修正]も加算します。左手の装備が「盾」の場合や、《アンビデクスタリティ》のみを修得していて「短剣」以外の装備をしている場合にも、左手の[命中修正]が加算されてしまいますのでご注意ください。
●《グラディエイト》「深紅の腕輪」による修正が加算されます。《アンビデクスタリティ》《ツインウェポン》を修得していた場合、左手の装備の[命中修正]にも修正を加算します。</t>
        </r>
      </text>
    </comment>
    <comment ref="K22" authorId="0">
      <text>
        <r>
          <rPr>
            <b/>
            <sz val="9"/>
            <color indexed="8"/>
            <rFont val="ＭＳ Ｐゴシック"/>
            <family val="3"/>
          </rPr>
          <t xml:space="preserve">●右手と頭部・胴部・装身具の[攻撃力]を足しています。
●《アンビデクスタリティ》《ツインウェポン》を修得していた場合、左手の装備の[攻撃力]も加算します。《アンビデクスタリティ》のみを修得していて「短剣」以外の装備をしている場合にも、左手の[攻撃力]が加算されてしまいますのでご注意ください。
</t>
        </r>
      </text>
    </comment>
    <comment ref="P22" authorId="0">
      <text>
        <r>
          <rPr>
            <b/>
            <sz val="9"/>
            <color indexed="8"/>
            <rFont val="ＭＳ Ｐゴシック"/>
            <family val="3"/>
          </rPr>
          <t>●左右の手と頭部・胴部・装身具の[行動修正]を足しています。
●《スピードショット》を修得している場合、右手の装備に修正が加算されます。
射撃武器でない場合にも加算されてしまいますので、ご注意ください。</t>
        </r>
      </text>
    </comment>
    <comment ref="I23" authorId="0">
      <text>
        <r>
          <rPr>
            <sz val="9"/>
            <color indexed="8"/>
            <rFont val="ＭＳ Ｐゴシック"/>
            <family val="3"/>
          </rPr>
          <t>&lt;略語&gt;
DR：ダメージロール
BS：バッドステータス
MA：マイナーアクション
○○R：○○判定
--------------------
&lt;注意&gt;
ｼﾅﾘｵ：ｼﾅﾘｵ開始時のこと</t>
        </r>
      </text>
    </comment>
    <comment ref="P23" authorId="0">
      <text>
        <r>
          <rPr>
            <b/>
            <sz val="9"/>
            <color indexed="8"/>
            <rFont val="ＭＳ Ｐゴシック"/>
            <family val="3"/>
          </rPr>
          <t>スキルの使用回数です。特に記述がない場合は、シナリオ中における使用回数になります。</t>
        </r>
      </text>
    </comment>
    <comment ref="V23" authorId="0">
      <text>
        <r>
          <rPr>
            <b/>
            <sz val="9"/>
            <color indexed="8"/>
            <rFont val="ＭＳ Ｐゴシック"/>
            <family val="3"/>
          </rPr>
          <t>スキル修得数をカウントしています。
《ハーフブラッド》を選択した場合、便宜上修得可能数が1増えますので、そのぶん種族スキルを選んでください。
転職した際もカウントが増えますので、自動取得スキルを選択してください。</t>
        </r>
      </text>
    </comment>
    <comment ref="I47" authorId="0">
      <text>
        <r>
          <rPr>
            <sz val="9"/>
            <color indexed="8"/>
            <rFont val="ＭＳ Ｐゴシック"/>
            <family val="3"/>
          </rPr>
          <t>&lt;略語&gt;
DR：ダメージロール
BS：バッドステータス
MA：マイナーアクション
○○R：○○判定
--------------------
&lt;注意&gt;
ｼﾅﾘｵ：ｼﾅﾘｵ開始時のこと</t>
        </r>
      </text>
    </comment>
    <comment ref="P47" authorId="0">
      <text>
        <r>
          <rPr>
            <b/>
            <sz val="9"/>
            <color indexed="8"/>
            <rFont val="ＭＳ Ｐゴシック"/>
            <family val="3"/>
          </rPr>
          <t>スキルの使用回数です。特に記述がない場合は、シナリオ中における使用回数になります。</t>
        </r>
      </text>
    </comment>
  </commentList>
</comments>
</file>

<file path=xl/comments7.xml><?xml version="1.0" encoding="utf-8"?>
<comments xmlns="http://schemas.openxmlformats.org/spreadsheetml/2006/main">
  <authors>
    <author>wa</author>
  </authors>
  <commentList>
    <comment ref="E68" authorId="0">
      <text>
        <r>
          <rPr>
            <sz val="9"/>
            <color indexed="8"/>
            <rFont val="ＭＳ Ｐゴシック"/>
            <family val="3"/>
          </rPr>
          <t>&lt;略語&gt;
DR：ダメージロール
BS：バッドステータス
MA：マイナーアクション
○○R：○○判定
--------------------
&lt;注意&gt;
ｼﾅﾘｵ：ｼﾅﾘｵ開始時のこと</t>
        </r>
      </text>
    </comment>
  </commentList>
</comments>
</file>

<file path=xl/sharedStrings.xml><?xml version="1.0" encoding="utf-8"?>
<sst xmlns="http://schemas.openxmlformats.org/spreadsheetml/2006/main" count="11998" uniqueCount="2303">
  <si>
    <t>有限会社ファーイースト・アミューズメント・リサーチの著作物に関する同人誌及びウェブサイト（ホームページ）などにおける掲載規約</t>
  </si>
  <si>
    <t>により、著作権を明示します。</t>
  </si>
  <si>
    <t>●以下の書籍は有限会社ファー・イースト・アミューズメント・リサーチの著作物です。</t>
  </si>
  <si>
    <t>□アリアンロッドRPGルールブック</t>
  </si>
  <si>
    <t>ISBN4-8291-4395-9</t>
  </si>
  <si>
    <t>□アリアンロッドRPG上級ルールブック</t>
  </si>
  <si>
    <t>ISBN4-907792-74-3</t>
  </si>
  <si>
    <t>□アリアンロッドシナリオ集(1)ファーストクエスト</t>
  </si>
  <si>
    <t xml:space="preserve">ISBN4-907792-72-7 </t>
  </si>
  <si>
    <t>□アリアンロッドシナリオ集(2)ダブルイメージ</t>
  </si>
  <si>
    <t>ISBN4-907792-80-8</t>
  </si>
  <si>
    <t>□アリアンロッドシナリオ集(3)ドレッドダンジョン</t>
  </si>
  <si>
    <t>ISBN4-907792-90-5</t>
  </si>
  <si>
    <t>□アリアンロッド拡張データブック リインフォース</t>
  </si>
  <si>
    <t>ISBN4-907792-94-8</t>
  </si>
  <si>
    <t>このキャラクターシートは、上記書籍よりデータを引用して制作されています。</t>
  </si>
  <si>
    <t>基本的に、引用したデータは簡略化・省略しており、ルールブックを読まないと理解することは難しい内容になっています。</t>
  </si>
  <si>
    <t>規約により、文面そのままの転載は不可能であり、当方としましてもルールブックの売り上げに影響を与える意図はないため、</t>
  </si>
  <si>
    <t>あえて一見してデータの内容が把握できるようには制作していません。あくまで、ルールブックを所持している方のための補助ツールです。</t>
  </si>
  <si>
    <t>ARIANRHOD CHARACTER CONSTRUCTION SHEET No.1 【 コンストラクション 】</t>
  </si>
  <si>
    <t>① クラスの決定</t>
  </si>
  <si>
    <t>② 種族の決定</t>
  </si>
  <si>
    <t>メインクラス</t>
  </si>
  <si>
    <t>■ウォーリア</t>
  </si>
  <si>
    <t>種族</t>
  </si>
  <si>
    <t>ヴァーナ</t>
  </si>
  <si>
    <t>サポートクラス</t>
  </si>
  <si>
    <t>□サムライ</t>
  </si>
  <si>
    <t>③ 能力値の決定</t>
  </si>
  <si>
    <t>種族能力</t>
  </si>
  <si>
    <t>ﾎﾞｰﾅｽ</t>
  </si>
  <si>
    <t>ｽｷﾙ</t>
  </si>
  <si>
    <t>初期能力</t>
  </si>
  <si>
    <t>能力</t>
  </si>
  <si>
    <t>Mｸﾗｽ</t>
  </si>
  <si>
    <t>Sｸﾗｽ</t>
  </si>
  <si>
    <t>能力値</t>
  </si>
  <si>
    <t>基本値</t>
  </si>
  <si>
    <t>(5点)</t>
  </si>
  <si>
    <t>修正</t>
  </si>
  <si>
    <t>筋力</t>
  </si>
  <si>
    <t>＋</t>
  </si>
  <si>
    <t>＝</t>
  </si>
  <si>
    <t>÷3=</t>
  </si>
  <si>
    <t>器用</t>
  </si>
  <si>
    <t>敏捷</t>
  </si>
  <si>
    <t>知力</t>
  </si>
  <si>
    <t>感知</t>
  </si>
  <si>
    <t>精神</t>
  </si>
  <si>
    <t>幸運</t>
  </si>
  <si>
    <t>※　④ スキルの取得はキャラクターシートに直接記入します。</t>
  </si>
  <si>
    <t>⑤ HPの決定</t>
  </si>
  <si>
    <t>⑥ MPの決定</t>
  </si>
  <si>
    <t>最大HP</t>
  </si>
  <si>
    <t>最大MP</t>
  </si>
  <si>
    <t>⑦ フェイトの決定</t>
  </si>
  <si>
    <t>⑧ ギルドの決定</t>
  </si>
  <si>
    <t>ｽｷﾙ修正</t>
  </si>
  <si>
    <t>フェイト</t>
  </si>
  <si>
    <t>ギルド名を決めてください</t>
  </si>
  <si>
    <t>+</t>
  </si>
  <si>
    <t>=</t>
  </si>
  <si>
    <t>サンバルカン</t>
  </si>
  <si>
    <t>⑨ アイテムの決定</t>
  </si>
  <si>
    <t>⑩ 行動値の決定</t>
  </si>
  <si>
    <t>初期値</t>
  </si>
  <si>
    <t>GM修正</t>
  </si>
  <si>
    <t>所持金</t>
  </si>
  <si>
    <t>【敏捷】</t>
  </si>
  <si>
    <t>【感知】</t>
  </si>
  <si>
    <t>行動値</t>
  </si>
  <si>
    <t>※装備の購入はキャラクターシートに直接記入します。</t>
  </si>
  <si>
    <t>※最終的には装備修正が加わります。</t>
  </si>
  <si>
    <t>⑪ ライフパスの決定</t>
  </si>
  <si>
    <t>D66 ROC</t>
  </si>
  <si>
    <t>出自</t>
  </si>
  <si>
    <t>邪神の祝福</t>
  </si>
  <si>
    <t>&gt; 特徴</t>
  </si>
  <si>
    <t>境遇</t>
  </si>
  <si>
    <t>策謀</t>
  </si>
  <si>
    <t>運命</t>
  </si>
  <si>
    <t>旅立ち</t>
  </si>
  <si>
    <t>⑫ パーソナルデータの決定</t>
  </si>
  <si>
    <t>キャラクターシートに直接記入してください。</t>
  </si>
  <si>
    <t>ARIANRHOD CHARACTER CONSTRUCTION SHEET No.2 【 成長点記録・ギルドレベル 】</t>
  </si>
  <si>
    <t>成長点54</t>
  </si>
  <si>
    <t>ｾｯｼｮﾝ</t>
  </si>
  <si>
    <t>日付</t>
  </si>
  <si>
    <t>獲得成長点</t>
  </si>
  <si>
    <t>提供成長点(CL)</t>
  </si>
  <si>
    <t>成長点</t>
  </si>
  <si>
    <t>ギルド成長</t>
  </si>
  <si>
    <t>初期</t>
  </si>
  <si>
    <t>-</t>
  </si>
  <si>
    <t>初期ギルドレベル</t>
  </si>
  <si>
    <t>現在ギルドレベル</t>
  </si>
  <si>
    <t>消費成長点</t>
  </si>
  <si>
    <t>未使用成長点</t>
  </si>
  <si>
    <t>◎</t>
  </si>
  <si>
    <t>成長点合計</t>
  </si>
  <si>
    <t>ギルドへ提供した成長点</t>
  </si>
  <si>
    <t>他のキャラクターが提供した成長点</t>
  </si>
  <si>
    <t>ギルドへ提供した成長点　総計</t>
  </si>
  <si>
    <t>ARIANRHOD CHARACTER CONSTRUCTION SHEET No.3 【 レベルアップ 】</t>
  </si>
  <si>
    <t>レベルアップ･転職</t>
  </si>
  <si>
    <t>基本能力値成長</t>
  </si>
  <si>
    <t>現在Lv</t>
  </si>
  <si>
    <t>Lv</t>
  </si>
  <si>
    <t>メイン</t>
  </si>
  <si>
    <t>HP上昇</t>
  </si>
  <si>
    <t>MP上昇</t>
  </si>
  <si>
    <t>サポート</t>
  </si>
  <si>
    <t>基本能力成長</t>
  </si>
  <si>
    <t>上昇値</t>
  </si>
  <si>
    <t>能力基本値</t>
  </si>
  <si>
    <t>Lv毎</t>
  </si>
  <si>
    <t>合計</t>
  </si>
  <si>
    <t>クラス</t>
  </si>
  <si>
    <t>転職</t>
  </si>
  <si>
    <t>■シーフ</t>
  </si>
  <si>
    <t>成長履歴</t>
  </si>
  <si>
    <t>CL</t>
  </si>
  <si>
    <t>転職回数</t>
  </si>
  <si>
    <t>上級職への転職</t>
  </si>
  <si>
    <t>自動取得スキルを得ない転職</t>
  </si>
  <si>
    <t>消費済成長点</t>
  </si>
  <si>
    <t>HP上昇値</t>
  </si>
  <si>
    <t>MP上昇値</t>
  </si>
  <si>
    <t>スキル取得数</t>
  </si>
  <si>
    <t>フェイト成長</t>
  </si>
  <si>
    <t>初期フェイト最大値：</t>
  </si>
  <si>
    <t>現在フェイト最大値：</t>
  </si>
  <si>
    <t>ARIANRHOD CHARACTER CONSTRUCTION SHEET No.4 【 スキル履歴 】</t>
  </si>
  <si>
    <t>※スキル履歴シートでスキルを選択しても、「キャラクターシート」には反映されません。改めて「キャラクターシート」へ記入してください。</t>
  </si>
  <si>
    <t>現在CL</t>
  </si>
  <si>
    <t>修得</t>
  </si>
  <si>
    <t>スキル種別</t>
  </si>
  <si>
    <t>種族/クラス等</t>
  </si>
  <si>
    <t>スキル名</t>
  </si>
  <si>
    <t>●</t>
  </si>
  <si>
    <t>種族スキル</t>
  </si>
  <si>
    <t>メインクラス(自)</t>
  </si>
  <si>
    <t>サポートクラス(自)</t>
  </si>
  <si>
    <t>《ハーフブラッド》</t>
  </si>
  <si>
    <t>種族を選択</t>
  </si>
  <si>
    <t>パーソナルデータ</t>
  </si>
  <si>
    <t>ライフパス</t>
  </si>
  <si>
    <t>戦闘</t>
  </si>
  <si>
    <t>[白兵攻撃]</t>
  </si>
  <si>
    <t>[射撃攻撃]</t>
  </si>
  <si>
    <t>刀</t>
  </si>
  <si>
    <t>他</t>
  </si>
  <si>
    <t>最終値</t>
  </si>
  <si>
    <t>容貌</t>
  </si>
  <si>
    <t>身体的特徴</t>
  </si>
  <si>
    <t>計算</t>
  </si>
  <si>
    <t>計算式</t>
  </si>
  <si>
    <t>値</t>
  </si>
  <si>
    <t>D6</t>
  </si>
  <si>
    <t>スキル</t>
  </si>
  <si>
    <t>装備</t>
  </si>
  <si>
    <t>小計</t>
  </si>
  <si>
    <t>スキル/装備効果</t>
  </si>
  <si>
    <t>- ARIANRHOD CHARACTER SHEET Version 3.34 -</t>
  </si>
  <si>
    <t>名前</t>
  </si>
  <si>
    <t>アルマス・オケーニ</t>
  </si>
  <si>
    <t>命中</t>
  </si>
  <si>
    <t>髪の色</t>
  </si>
  <si>
    <t>命中判定</t>
  </si>
  <si>
    <t>【器用】+装備</t>
  </si>
  <si>
    <t>白兵攻撃</t>
  </si>
  <si>
    <t>プレイヤー</t>
  </si>
  <si>
    <t>わぽ</t>
  </si>
  <si>
    <t>部族</t>
  </si>
  <si>
    <t>アルリク(猫族)</t>
  </si>
  <si>
    <t>特徴</t>
  </si>
  <si>
    <t>判定</t>
  </si>
  <si>
    <t>瞳の色</t>
  </si>
  <si>
    <t>射撃攻撃</t>
  </si>
  <si>
    <t>ﾎﾟｰｼｮﾝ効果</t>
  </si>
  <si>
    <t>ﾒｲﾝｸﾗｽ</t>
  </si>
  <si>
    <t>成長</t>
  </si>
  <si>
    <t>髪/瞳/肌/身</t>
  </si>
  <si>
    <t>物理</t>
  </si>
  <si>
    <t>肌の色</t>
  </si>
  <si>
    <t>物理ﾀﾞﾒｰｼﾞ</t>
  </si>
  <si>
    <t>ｸﾞﾚﾈｰﾄﾞﾀﾞﾒｰｼﾞ</t>
  </si>
  <si>
    <t>ｻﾎﾟｰﾄｸﾗｽ</t>
  </si>
  <si>
    <t>性別</t>
  </si>
  <si>
    <t>年齢</t>
  </si>
  <si>
    <t>ギルド</t>
  </si>
  <si>
    <t>メンバーMAXレベル</t>
  </si>
  <si>
    <t>ﾀﾞﾒｰｼﾞ</t>
  </si>
  <si>
    <t>身長</t>
  </si>
  <si>
    <t>攻撃対象[回避]</t>
  </si>
  <si>
    <t>ギルド名</t>
  </si>
  <si>
    <t>Gﾚﾍﾞﾙ</t>
  </si>
  <si>
    <t>防御力</t>
  </si>
  <si>
    <t>[物理-]</t>
  </si>
  <si>
    <t>[魔法-]</t>
  </si>
  <si>
    <t>通常時</t>
  </si>
  <si>
    <t>騎乗時</t>
  </si>
  <si>
    <t>所持金計算</t>
  </si>
  <si>
    <t>対武器[回避判定]</t>
  </si>
  <si>
    <t>【敏捷】+装備</t>
  </si>
  <si>
    <t>魔術効果</t>
  </si>
  <si>
    <t>ﾒｲﾝ</t>
  </si>
  <si>
    <t>ｻﾎﾟｰﾄ</t>
  </si>
  <si>
    <t>ｷﾞﾙﾄﾞﾏｽﾀｰ</t>
  </si>
  <si>
    <t>装備品</t>
  </si>
  <si>
    <t>価格</t>
  </si>
  <si>
    <t>対魔法[回避判定]</t>
  </si>
  <si>
    <t>魔術効果(ｻﾓﾅｰ)</t>
  </si>
  <si>
    <t>HP / MP/ フェイト</t>
  </si>
  <si>
    <t>D軽減</t>
  </si>
  <si>
    <t>移動力</t>
  </si>
  <si>
    <t>[物理防御力]</t>
  </si>
  <si>
    <t>《ﾌﾟﾛﾃｸｼｮﾝ》効果</t>
  </si>
  <si>
    <t>HP</t>
  </si>
  <si>
    <t>蓄積値8</t>
  </si>
  <si>
    <t>回避</t>
  </si>
  <si>
    <t>対武器</t>
  </si>
  <si>
    <t>対魔術</t>
  </si>
  <si>
    <t>[魔法防御力]</t>
  </si>
  <si>
    <t>【精神】+装備</t>
  </si>
  <si>
    <t>《ヒール》効果</t>
  </si>
  <si>
    <t>【敏捷+感知】+装備</t>
  </si>
  <si>
    <t>魔法ﾀﾞﾒｰｼﾞ</t>
  </si>
  <si>
    <t>MP</t>
  </si>
  <si>
    <t>行動値+5</t>
  </si>
  <si>
    <t>&lt;地&gt;魔法ﾀﾞﾒｰｼﾞ</t>
  </si>
  <si>
    <t>&lt;水&gt;魔法ﾀﾞﾒｰｼﾞ</t>
  </si>
  <si>
    <t>追加</t>
  </si>
  <si>
    <t>武器別命中修正</t>
  </si>
  <si>
    <t>&lt;火&gt;魔法ﾀﾞﾒｰｼﾞ</t>
  </si>
  <si>
    <t>ﾌｪｲﾄ</t>
  </si>
  <si>
    <t>□□□□□□□□□□□□□□□□</t>
  </si>
  <si>
    <t>所持品</t>
  </si>
  <si>
    <t>武器種別</t>
  </si>
  <si>
    <t>&lt;風&gt;魔法ﾀﾞﾒｰｼﾞ</t>
  </si>
  <si>
    <t>ﾚﾍﾞﾙ</t>
  </si>
  <si>
    <t>種別</t>
  </si>
  <si>
    <t>制限</t>
  </si>
  <si>
    <t>重量</t>
  </si>
  <si>
    <t>攻撃</t>
  </si>
  <si>
    <t>防御</t>
  </si>
  <si>
    <t>魔防</t>
  </si>
  <si>
    <t>行動</t>
  </si>
  <si>
    <t>射程</t>
  </si>
  <si>
    <t>備考</t>
  </si>
  <si>
    <t>特殊な判定</t>
  </si>
  <si>
    <t>格闘</t>
  </si>
  <si>
    <t>&lt;光&gt;魔法ﾀﾞﾒｰｼﾞ</t>
  </si>
  <si>
    <t>右手</t>
  </si>
  <si>
    <t>菊一文字</t>
  </si>
  <si>
    <t>【感】ﾄﾗｯﾌﾟ探知※</t>
  </si>
  <si>
    <t>短剣</t>
  </si>
  <si>
    <t>&lt;闇&gt;魔法ﾀﾞﾒｰｼﾞ</t>
  </si>
  <si>
    <t>左手</t>
  </si>
  <si>
    <t>バックラー</t>
  </si>
  <si>
    <t>【器】ﾄﾗｯﾌﾟ解除</t>
  </si>
  <si>
    <t>長剣</t>
  </si>
  <si>
    <t>魔法ﾀﾞﾒｰｼﾞ(ｱｺﾗｲﾄ)</t>
  </si>
  <si>
    <t>予備</t>
  </si>
  <si>
    <t>【感】危険感知</t>
  </si>
  <si>
    <t>両手剣</t>
  </si>
  <si>
    <t>対抗属性ﾀﾞﾒｰｼﾞ</t>
  </si>
  <si>
    <t>頭部</t>
  </si>
  <si>
    <t>魔性面</t>
  </si>
  <si>
    <t>頭防</t>
  </si>
  <si>
    <t>【知】ｴﾈﾐｰ識別</t>
  </si>
  <si>
    <t>対&lt;地&gt;防御力</t>
  </si>
  <si>
    <t>胴部</t>
  </si>
  <si>
    <t>シルバーチェイン</t>
  </si>
  <si>
    <t>胴防</t>
  </si>
  <si>
    <t>【知】ｱｲﾃﾑ鑑定</t>
  </si>
  <si>
    <t>鞭</t>
  </si>
  <si>
    <t>対&lt;水&gt;防御力</t>
  </si>
  <si>
    <t>装身具</t>
  </si>
  <si>
    <t>金剛の鞘</t>
  </si>
  <si>
    <t>装身</t>
  </si>
  <si>
    <t>【知】魔術判定※</t>
  </si>
  <si>
    <t>斧</t>
  </si>
  <si>
    <t>対&lt;火&gt;防御力</t>
  </si>
  <si>
    <t>重量 [</t>
  </si>
  <si>
    <t>]  &gt;&gt;</t>
  </si>
  <si>
    <t>武/盾:</t>
  </si>
  <si>
    <t>防/装:</t>
  </si>
  <si>
    <t>【精】呪歌判定※</t>
  </si>
  <si>
    <t>打撃</t>
  </si>
  <si>
    <t>対&lt;風&gt;防御力</t>
  </si>
  <si>
    <t>●　アリアンロッド キャラクターシート　●</t>
  </si>
  <si>
    <t>クラス・種族</t>
  </si>
  <si>
    <t>SL</t>
  </si>
  <si>
    <t>タイミング</t>
  </si>
  <si>
    <t>対象</t>
  </si>
  <si>
    <t>コスト</t>
  </si>
  <si>
    <t>効果</t>
  </si>
  <si>
    <t>&gt; [ ｽｷﾙ修得済:</t>
  </si>
  <si>
    <t>【器】錬金術判定※</t>
  </si>
  <si>
    <t>槍</t>
  </si>
  <si>
    <t>対&lt;光&gt;防御力</t>
  </si>
  <si>
    <t>アクロバット</t>
  </si>
  <si>
    <t>/</t>
  </si>
  <si>
    <t>弓</t>
  </si>
  <si>
    <t>対&lt;闇&gt;防御力</t>
  </si>
  <si>
    <t>ボルテクスアタック</t>
  </si>
  <si>
    <t>冒険者セット</t>
  </si>
  <si>
    <t>銃</t>
  </si>
  <si>
    <t>対&lt;地&gt;D軽減</t>
  </si>
  <si>
    <t>カタナマスタリー</t>
  </si>
  <si>
    <t>ベルトポーチ</t>
  </si>
  <si>
    <t>魔導銃</t>
  </si>
  <si>
    <t>対&lt;水&gt;D軽減</t>
  </si>
  <si>
    <t>バッシュ</t>
  </si>
  <si>
    <t>HPポーション</t>
  </si>
  <si>
    <t>対&lt;火&gt;D軽減</t>
  </si>
  <si>
    <t>トルネードブラスト</t>
  </si>
  <si>
    <t>MPポーション</t>
  </si>
  <si>
    <t>武器別ﾀﾞﾒｰｼﾞ修正</t>
  </si>
  <si>
    <t>対&lt;風&gt;D軽減</t>
  </si>
  <si>
    <t>フェイタルブロウ</t>
  </si>
  <si>
    <t>対&lt;光&gt;D軽減</t>
  </si>
  <si>
    <t>スピリット・オブ・サムライ</t>
  </si>
  <si>
    <t>対&lt;闇&gt;D軽減</t>
  </si>
  <si>
    <t>レイジ</t>
  </si>
  <si>
    <t>命中：植物</t>
  </si>
  <si>
    <t>トゥーハンドアタック</t>
  </si>
  <si>
    <t>命中：動物</t>
  </si>
  <si>
    <t>インヴィジブルアタック</t>
  </si>
  <si>
    <t>命中：人間</t>
  </si>
  <si>
    <t>バタフライダンス</t>
  </si>
  <si>
    <t>命中：妖精</t>
  </si>
  <si>
    <t>命中：妖魔</t>
  </si>
  <si>
    <t>命中：ｱﾝﾃﾞｯﾄﾞ</t>
  </si>
  <si>
    <t>ギルドスキル</t>
  </si>
  <si>
    <t>[選択済:</t>
  </si>
  <si>
    <t>命中：精霊</t>
  </si>
  <si>
    <t>ﾀｲﾐﾝｸﾞ</t>
  </si>
  <si>
    <t>重</t>
  </si>
  <si>
    <t>命中：人造生物</t>
  </si>
  <si>
    <t>初期所持金</t>
  </si>
  <si>
    <t>命中：機械</t>
  </si>
  <si>
    <t>残金</t>
  </si>
  <si>
    <t>命中：魔獣</t>
  </si>
  <si>
    <t>命中：霊獣</t>
  </si>
  <si>
    <t>封印解除した</t>
  </si>
  <si>
    <t>命中：巨人</t>
  </si>
  <si>
    <t>自動取得スキル数</t>
  </si>
  <si>
    <t>命中：竜</t>
  </si>
  <si>
    <t>245G</t>
  </si>
  <si>
    <t>命中：魔族</t>
  </si>
  <si>
    <t>ヒール</t>
  </si>
  <si>
    <t>M1</t>
  </si>
  <si>
    <t>対&lt;地&gt;ダメージ</t>
  </si>
  <si>
    <t>スキル(追加欄）</t>
  </si>
  <si>
    <t>ギルドスキル(追加欄)</t>
  </si>
  <si>
    <t>マジックフォージ</t>
  </si>
  <si>
    <t>H1</t>
  </si>
  <si>
    <t>対&lt;水&gt;ダメージ</t>
  </si>
  <si>
    <t>ファインドトラップ</t>
  </si>
  <si>
    <t>対&lt;火&gt;ダメージ</t>
  </si>
  <si>
    <t>対&lt;風&gt;ダメージ</t>
  </si>
  <si>
    <t>インテンション</t>
  </si>
  <si>
    <t>対&lt;光&gt;ダメージ</t>
  </si>
  <si>
    <t>ファミリア</t>
  </si>
  <si>
    <t>対&lt;闇&gt;ダメージ</t>
  </si>
  <si>
    <t>ブルズアイ</t>
  </si>
  <si>
    <t>ﾀﾞﾒｰｼﾞ：植物</t>
  </si>
  <si>
    <t>ディスコード</t>
  </si>
  <si>
    <t>ﾀﾞﾒｰｼﾞ：動物</t>
  </si>
  <si>
    <t>ファーマシー</t>
  </si>
  <si>
    <t>ﾀﾞﾒｰｼﾞ：人間</t>
  </si>
  <si>
    <t>キャリバー</t>
  </si>
  <si>
    <t>ﾀﾞﾒｰｼﾞ：妖精</t>
  </si>
  <si>
    <t>エンサイクロペディア</t>
  </si>
  <si>
    <t>ﾀﾞﾒｰｼﾞ：妖魔</t>
  </si>
  <si>
    <t>バーストブレイク</t>
  </si>
  <si>
    <t>ﾀﾞﾒｰｼﾞ：ｱﾝﾃﾞｯﾄﾞ</t>
  </si>
  <si>
    <t>ダンシングヒーロー</t>
  </si>
  <si>
    <t>ﾀﾞﾒｰｼﾞ：精霊</t>
  </si>
  <si>
    <t>ﾀﾞﾒｰｼﾞ：人造生物</t>
  </si>
  <si>
    <t>ﾀﾞﾒｰｼﾞ：機械</t>
  </si>
  <si>
    <t>ﾀﾞﾒｰｼﾞ：魔獣</t>
  </si>
  <si>
    <t>ﾀﾞﾒｰｼﾞ：霊獣</t>
  </si>
  <si>
    <t>ﾀﾞﾒｰｼﾞ：巨人</t>
  </si>
  <si>
    <t>ﾀﾞﾒｰｼﾞ：竜</t>
  </si>
  <si>
    <t>ﾀﾞﾒｰｼﾞ：魔族</t>
  </si>
  <si>
    <t>識別敵ﾀﾞﾒｰｼﾞ</t>
  </si>
  <si>
    <t>[C]時ダメージ</t>
  </si>
  <si>
    <t>[C]時対象防御力</t>
  </si>
  <si>
    <t>[毒]ダメージ</t>
  </si>
  <si>
    <t>ﾄﾞﾛｯﾌﾟ品ﾛｰﾙ</t>
  </si>
  <si>
    <t>●　アリアンロッド 追加シート 1　●</t>
  </si>
  <si>
    <t>ギルドシート</t>
  </si>
  <si>
    <t>ギルドレベル</t>
  </si>
  <si>
    <t>成長点総計</t>
  </si>
  <si>
    <t>ギルドマスター</t>
  </si>
  <si>
    <t>ギルドメンバー</t>
  </si>
  <si>
    <t>獲得ギルドスキル</t>
  </si>
  <si>
    <t>重複</t>
  </si>
  <si>
    <t>初</t>
  </si>
  <si>
    <t>選択ギルドスキル</t>
  </si>
  <si>
    <t>[ 選択ｽｷﾙﾚﾍﾞﾙ合計 / ﾒﾝﾊﾞｰMAXﾚﾍﾞﾙ：</t>
  </si>
  <si>
    <t>]</t>
  </si>
  <si>
    <t>●　アリアンロッド 追加シート 2　●</t>
  </si>
  <si>
    <t>スキルシート</t>
  </si>
  <si>
    <t>ARIANRHOD REFERENCE SHEET 【 スキル 】</t>
  </si>
  <si>
    <t>ヒューリン</t>
  </si>
  <si>
    <t>参照</t>
  </si>
  <si>
    <t>コンバットマスタリー</t>
  </si>
  <si>
    <t>★</t>
  </si>
  <si>
    <t>パッシヴ</t>
  </si>
  <si>
    <t>自身</t>
  </si>
  <si>
    <t>基本P082</t>
  </si>
  <si>
    <t>ハーフブラッド</t>
  </si>
  <si>
    <t>メイキング</t>
  </si>
  <si>
    <t>プロヴィデンス</t>
  </si>
  <si>
    <t>オールラウンド：筋力</t>
  </si>
  <si>
    <t>上級P060</t>
  </si>
  <si>
    <t>オールラウンド：器用</t>
  </si>
  <si>
    <t>オールラウンド：敏捷</t>
  </si>
  <si>
    <t>オールラウンド：知力</t>
  </si>
  <si>
    <t>オールラウンド：感知</t>
  </si>
  <si>
    <t>オールラウンド：精神</t>
  </si>
  <si>
    <t>オールラウンド：幸運</t>
  </si>
  <si>
    <t>ギフト</t>
  </si>
  <si>
    <t>判定直前</t>
  </si>
  <si>
    <t>別記</t>
  </si>
  <si>
    <t>エルダナーン</t>
  </si>
  <si>
    <t>イモータリティ</t>
  </si>
  <si>
    <t>基本P083</t>
  </si>
  <si>
    <t>フォティテュード</t>
  </si>
  <si>
    <t>マジックマスタリー</t>
  </si>
  <si>
    <t>オフェンシブセンス</t>
  </si>
  <si>
    <t>マジックセンス</t>
  </si>
  <si>
    <t>ネヴァーフ</t>
  </si>
  <si>
    <t>アダマント</t>
  </si>
  <si>
    <t>基本P084</t>
  </si>
  <si>
    <t>アックスマスタリー</t>
  </si>
  <si>
    <t>マスターハンド</t>
  </si>
  <si>
    <t>自動</t>
  </si>
  <si>
    <t>テクニックマスター</t>
  </si>
  <si>
    <t>ラーニングポーション</t>
  </si>
  <si>
    <t>フィルボル</t>
  </si>
  <si>
    <t>トリックスター</t>
  </si>
  <si>
    <t>効果参照</t>
  </si>
  <si>
    <t>基本P085</t>
  </si>
  <si>
    <t>マジックレジスト</t>
  </si>
  <si>
    <t>ラッキースター</t>
  </si>
  <si>
    <t>ニンブル</t>
  </si>
  <si>
    <t>上級P061</t>
  </si>
  <si>
    <t>リラックス</t>
  </si>
  <si>
    <t>基本P086</t>
  </si>
  <si>
    <t>オーバーパス</t>
  </si>
  <si>
    <t>ハイジャンプ</t>
  </si>
  <si>
    <t>ジャッジメント</t>
  </si>
  <si>
    <t>ワイルドセンス</t>
  </si>
  <si>
    <t>ドゥアン</t>
  </si>
  <si>
    <t>ウィング</t>
  </si>
  <si>
    <t>マイナー</t>
  </si>
  <si>
    <t>基本P087</t>
  </si>
  <si>
    <t>タフネス</t>
  </si>
  <si>
    <t>ナチュラルウェポン</t>
  </si>
  <si>
    <t>ステッドファスト</t>
  </si>
  <si>
    <t>ストロング</t>
  </si>
  <si>
    <t>一般スキル</t>
  </si>
  <si>
    <t>サクセション</t>
  </si>
  <si>
    <t>上級P066</t>
  </si>
  <si>
    <t>トレーニング：筋力</t>
  </si>
  <si>
    <t>トレーニング：器用</t>
  </si>
  <si>
    <t>トレーニング：敏捷</t>
  </si>
  <si>
    <t>トレーニング：知力</t>
  </si>
  <si>
    <t>トレーニング：感知</t>
  </si>
  <si>
    <t>トレーニング：精神</t>
  </si>
  <si>
    <t>トレーニング：幸運</t>
  </si>
  <si>
    <t>ハンティング</t>
  </si>
  <si>
    <t>メジャー</t>
  </si>
  <si>
    <t>フィッシング</t>
  </si>
  <si>
    <t>レストタイム</t>
  </si>
  <si>
    <t>SL+2</t>
  </si>
  <si>
    <t>DR直前</t>
  </si>
  <si>
    <t>基本P088</t>
  </si>
  <si>
    <t>アイアンクラッド</t>
  </si>
  <si>
    <t>DR直後</t>
  </si>
  <si>
    <t>エンラージリミット</t>
  </si>
  <si>
    <t>基本P089</t>
  </si>
  <si>
    <t>オートガード</t>
  </si>
  <si>
    <t>カバーリング</t>
  </si>
  <si>
    <t>単体</t>
  </si>
  <si>
    <t>至近</t>
  </si>
  <si>
    <t>スピアマスタリー</t>
  </si>
  <si>
    <t>スマッシュ</t>
  </si>
  <si>
    <t>基本P090</t>
  </si>
  <si>
    <t>ソードマスタリー</t>
  </si>
  <si>
    <t>トゥーハンドソードマスタリー</t>
  </si>
  <si>
    <t>バーサーク</t>
  </si>
  <si>
    <t>武器</t>
  </si>
  <si>
    <t>基本P091</t>
  </si>
  <si>
    <t>パリィ</t>
  </si>
  <si>
    <t>ブランディッシュ</t>
  </si>
  <si>
    <t>範選</t>
  </si>
  <si>
    <t>プロヴォック</t>
  </si>
  <si>
    <t>ｾｯﾄｱｯﾌﾟ</t>
  </si>
  <si>
    <t>10m</t>
  </si>
  <si>
    <t>ディフェンダー</t>
  </si>
  <si>
    <t>上級P062</t>
  </si>
  <si>
    <t>パンプアップ</t>
  </si>
  <si>
    <t>■アコライト</t>
  </si>
  <si>
    <t>魔術</t>
  </si>
  <si>
    <t>20m</t>
  </si>
  <si>
    <t>アンデッドベイン</t>
  </si>
  <si>
    <t>インヴォーク</t>
  </si>
  <si>
    <t>キュア</t>
  </si>
  <si>
    <t>スロー</t>
  </si>
  <si>
    <t>テレポート</t>
  </si>
  <si>
    <t>ブリンク</t>
  </si>
  <si>
    <t>ブレッシング</t>
  </si>
  <si>
    <t>プロテクション</t>
  </si>
  <si>
    <t>ヘイスト</t>
  </si>
  <si>
    <t>ホーリーウェポン</t>
  </si>
  <si>
    <t>ホーリーライト</t>
  </si>
  <si>
    <t>メイスマスタリー</t>
  </si>
  <si>
    <t>リジェネレーション</t>
  </si>
  <si>
    <t>レイズ</t>
  </si>
  <si>
    <t>アフェクション</t>
  </si>
  <si>
    <t>フェイス：アーケンラーヴ</t>
  </si>
  <si>
    <t>フェイス：アエマ</t>
  </si>
  <si>
    <t>《ﾋｰﾙ》時</t>
  </si>
  <si>
    <t>フェイス：グランアイン</t>
  </si>
  <si>
    <t>フェイス：ゴヴァノン</t>
  </si>
  <si>
    <t>フェイス：ダグデモア</t>
  </si>
  <si>
    <t>判定直後</t>
  </si>
  <si>
    <t>フェイス：ダナン</t>
  </si>
  <si>
    <t>フェイス：ブリガンティア</t>
  </si>
  <si>
    <t>■メイジ</t>
  </si>
  <si>
    <t>アースウェポン</t>
  </si>
  <si>
    <t>アースブレット</t>
  </si>
  <si>
    <t>ウォーターウェポン</t>
  </si>
  <si>
    <t>ウォータースピア</t>
  </si>
  <si>
    <t>エアリアルウェポン</t>
  </si>
  <si>
    <t>エアリアルスラッシュ</t>
  </si>
  <si>
    <t>コンセントレイション</t>
  </si>
  <si>
    <t>センスマジック</t>
  </si>
  <si>
    <t>視界</t>
  </si>
  <si>
    <t>ファイアウェポン</t>
  </si>
  <si>
    <t>ファイアボルト</t>
  </si>
  <si>
    <t>フライト</t>
  </si>
  <si>
    <t>マジックキャンドル</t>
  </si>
  <si>
    <t>マジックブラスト</t>
  </si>
  <si>
    <t>マジックロック</t>
  </si>
  <si>
    <t>アースシェイカー</t>
  </si>
  <si>
    <t>アクアマスター</t>
  </si>
  <si>
    <t>ウィンドセイバー</t>
  </si>
  <si>
    <t>エキスパート</t>
  </si>
  <si>
    <t>フレイムロード</t>
  </si>
  <si>
    <t>アンビデクスタリティ</t>
  </si>
  <si>
    <t>インタラプト</t>
  </si>
  <si>
    <t>インベナム</t>
  </si>
  <si>
    <t>ヴィジランテ</t>
  </si>
  <si>
    <t>エンタングル</t>
  </si>
  <si>
    <t>サプライザル</t>
  </si>
  <si>
    <t>シャドウストーク</t>
  </si>
  <si>
    <t>スティール</t>
  </si>
  <si>
    <t>敵単</t>
  </si>
  <si>
    <t>ストリートワイズ</t>
  </si>
  <si>
    <t>ダガーマスタリー</t>
  </si>
  <si>
    <t>フェイント</t>
  </si>
  <si>
    <t>フルスピード</t>
  </si>
  <si>
    <t>リムーヴトラップ</t>
  </si>
  <si>
    <t>サーチリスク</t>
  </si>
  <si>
    <t>ストライクスロー</t>
  </si>
  <si>
    <t>自動取得/[CL+1]以下のモブ殲滅</t>
  </si>
  <si>
    <t>基本P104</t>
  </si>
  <si>
    <t>アーマーブレイク</t>
  </si>
  <si>
    <t>[武器攻撃]/1ｼｰﾝ対象の[物防]-[SL]</t>
  </si>
  <si>
    <t>アウトストリップ</t>
  </si>
  <si>
    <t>「刀」[白兵攻撃]/対象の[回避]-1D6</t>
  </si>
  <si>
    <t>「種別：刀」の[武器攻撃][命中判定]+1D6</t>
  </si>
  <si>
    <t>基本P105</t>
  </si>
  <si>
    <t>コンバットセンス</t>
  </si>
  <si>
    <t>行動値にかかわらず、最初にﾒｲﾝﾌﾟﾛｾｽを行う</t>
  </si>
  <si>
    <t>ストライクバック</t>
  </si>
  <si>
    <t>ﾘｱｸｼｮﾝ</t>
  </si>
  <si>
    <t>[白兵攻撃]へ反撃/ﾀﾞﾒｰｼﾞ+[(SL)D6]</t>
  </si>
  <si>
    <t>「種別：刀」の武器入手</t>
  </si>
  <si>
    <t>ソニックブーム</t>
  </si>
  <si>
    <t>[射程:10m]で[白兵攻撃]を行う</t>
  </si>
  <si>
    <t>基本P106</t>
  </si>
  <si>
    <t>「刀」のみ装備時/ﾀﾞﾒｰｼﾞ+[(SL)D6]</t>
  </si>
  <si>
    <t>ナーヴブレイク</t>
  </si>
  <si>
    <t>[HPﾀﾞﾒｰｼﾞ]を与えるとR中対象の[回避]-[SL×2]</t>
  </si>
  <si>
    <t>パワーブレイク</t>
  </si>
  <si>
    <t>[武器攻撃]で[HPﾀﾞﾒｰｼﾞ]を与えると[転倒]させる</t>
  </si>
  <si>
    <t>[武器攻撃]で[HPﾀﾞﾒｰｼﾞ]を与えると[放心]させる</t>
  </si>
  <si>
    <t>基本P107</t>
  </si>
  <si>
    <t>プレッシャー</t>
  </si>
  <si>
    <t>[武器攻撃]で[HPﾀﾞﾒｰｼﾞ]を与えると[重圧]にする</t>
  </si>
  <si>
    <t>リフレクション</t>
  </si>
  <si>
    <t>[射撃攻撃]に対し[対決]勝利で攻撃対象を攻撃者に</t>
  </si>
  <si>
    <t>[ﾒｲﾝﾌﾟﾛｾｽ]中ﾀﾞﾒｰｼﾞ+[【最大HP】-【HP】]</t>
  </si>
  <si>
    <t>クリアマインド</t>
  </si>
  <si>
    <t>[ﾒｲﾝﾌﾟﾛｾｽ]に使用するｽｷﾙｺｽﾄ0</t>
  </si>
  <si>
    <t>上級P064</t>
  </si>
  <si>
    <t>トゥルーアイ</t>
  </si>
  <si>
    <t>[魔術]に対する[回避判定]+[SL]</t>
  </si>
  <si>
    <t>□モンク</t>
  </si>
  <si>
    <t>自動取得/【最大HP】+[CL×5]</t>
  </si>
  <si>
    <t>アイアンフィスト</t>
  </si>
  <si>
    <t>インデュア</t>
  </si>
  <si>
    <t>BS直後</t>
  </si>
  <si>
    <t>6-SL</t>
  </si>
  <si>
    <t>ヴァイタルフォース</t>
  </si>
  <si>
    <t>コンフロントマスタリー</t>
  </si>
  <si>
    <t>スタンアタック</t>
  </si>
  <si>
    <t>セルフヒーリング</t>
  </si>
  <si>
    <t>ソウルバスター</t>
  </si>
  <si>
    <t>トリプルブロウ</t>
  </si>
  <si>
    <t>ハードマッスル</t>
  </si>
  <si>
    <t>ペネトレイトブロウ</t>
  </si>
  <si>
    <t>レジスト・アース</t>
  </si>
  <si>
    <t>レジスト・エア</t>
  </si>
  <si>
    <t>レジスト・ウォーター</t>
  </si>
  <si>
    <t>レジスト・ファイア</t>
  </si>
  <si>
    <t>エナジーフロウ</t>
  </si>
  <si>
    <t>マインドクラッシュ</t>
  </si>
  <si>
    <t>□サモナー</t>
  </si>
  <si>
    <t>自動取得/【最大MP】+[CL×10]/使い魔</t>
  </si>
  <si>
    <t>アニマルエンパシー</t>
  </si>
  <si>
    <t>アニマルコントロール</t>
  </si>
  <si>
    <t>ガーディアン</t>
  </si>
  <si>
    <t>サモン・アラクネ</t>
  </si>
  <si>
    <t>サモン・カトブレパス</t>
  </si>
  <si>
    <t>サモン・シームルグ</t>
  </si>
  <si>
    <t>サモン・ファーヴニル</t>
  </si>
  <si>
    <t>サモン・フェンリル</t>
  </si>
  <si>
    <t>サモン・ヨルムンガンド</t>
  </si>
  <si>
    <t>サモン・リヴァイアサン</t>
  </si>
  <si>
    <t>ビーストベイン</t>
  </si>
  <si>
    <t>ファミリアアタック</t>
  </si>
  <si>
    <t>ブラッドパクト</t>
  </si>
  <si>
    <t>マジックサークル</t>
  </si>
  <si>
    <t>クウェリイ</t>
  </si>
  <si>
    <t>ハイサモナー</t>
  </si>
  <si>
    <t>□レンジャー</t>
  </si>
  <si>
    <t>アローシャワー</t>
  </si>
  <si>
    <t>ウェポンチェンジ</t>
  </si>
  <si>
    <t>MA直前</t>
  </si>
  <si>
    <t>クローズショット</t>
  </si>
  <si>
    <t>シックスセンス</t>
  </si>
  <si>
    <t>ストライダー</t>
  </si>
  <si>
    <t>スピードショット</t>
  </si>
  <si>
    <t>ダブルショット</t>
  </si>
  <si>
    <t>ディスアピア</t>
  </si>
  <si>
    <t>ファーストエイド</t>
  </si>
  <si>
    <t>ブービートラップ</t>
  </si>
  <si>
    <t>ボウマスタリー</t>
  </si>
  <si>
    <t>ホークアイ</t>
  </si>
  <si>
    <t>モンスターロア</t>
  </si>
  <si>
    <t>ロングレンジショット</t>
  </si>
  <si>
    <t>イーグルアイ</t>
  </si>
  <si>
    <t>スレイヤー：植物</t>
  </si>
  <si>
    <t>スレイヤー：動物</t>
  </si>
  <si>
    <t>スレイヤー：人間</t>
  </si>
  <si>
    <t>スレイヤー：妖精</t>
  </si>
  <si>
    <t>スレイヤー：妖魔</t>
  </si>
  <si>
    <t>スレイヤー：アンデット</t>
  </si>
  <si>
    <t>スレイヤー：精霊</t>
  </si>
  <si>
    <t>スレイヤー：人造生物</t>
  </si>
  <si>
    <t>スレイヤー：機械</t>
  </si>
  <si>
    <t>スレイヤー：魔獣</t>
  </si>
  <si>
    <t>スレイヤー：霊獣</t>
  </si>
  <si>
    <t>スレイヤー：巨人</t>
  </si>
  <si>
    <t>スレイヤー：竜</t>
  </si>
  <si>
    <t>スレイヤー：魔族</t>
  </si>
  <si>
    <t>□バード</t>
  </si>
  <si>
    <t>アンセム</t>
  </si>
  <si>
    <t>呪歌</t>
  </si>
  <si>
    <t>範囲</t>
  </si>
  <si>
    <t>カノン</t>
  </si>
  <si>
    <t>ガルドル</t>
  </si>
  <si>
    <t>グレープヴァイン</t>
  </si>
  <si>
    <t>ジョイフル・ジョイフル</t>
  </si>
  <si>
    <t>1/R</t>
  </si>
  <si>
    <t>シルヴァリィソング</t>
  </si>
  <si>
    <t>バスカー</t>
  </si>
  <si>
    <t>バラード</t>
  </si>
  <si>
    <t>ファイトソング</t>
  </si>
  <si>
    <t>マーチ</t>
  </si>
  <si>
    <t>ラウドボイス</t>
  </si>
  <si>
    <t>ラストソング</t>
  </si>
  <si>
    <t>ララバイ</t>
  </si>
  <si>
    <t>レクイエム</t>
  </si>
  <si>
    <t>カロル</t>
  </si>
  <si>
    <t>スレノディ</t>
  </si>
  <si>
    <t>□アルケミスト</t>
  </si>
  <si>
    <t>アイデンティファイア</t>
  </si>
  <si>
    <t>アルケミカルサークル</t>
  </si>
  <si>
    <t>ウェポンクリエイト</t>
  </si>
  <si>
    <t>ウェポンフォージ</t>
  </si>
  <si>
    <t>練金</t>
  </si>
  <si>
    <t>エリクサー</t>
  </si>
  <si>
    <t>ガンスミス</t>
  </si>
  <si>
    <t>ガンマスタリー</t>
  </si>
  <si>
    <t>シンセサイゼーション</t>
  </si>
  <si>
    <t>スタングレネード</t>
  </si>
  <si>
    <t>ハンドグレネード</t>
  </si>
  <si>
    <t>ポイズングレネード</t>
  </si>
  <si>
    <t>ポーションピッチ</t>
  </si>
  <si>
    <t>マシンリム</t>
  </si>
  <si>
    <t>ラピス・フィロソフォルム</t>
  </si>
  <si>
    <t>グレネードマテリアル</t>
  </si>
  <si>
    <t>マグニフィケーション</t>
  </si>
  <si>
    <t>□ガンスリンガー</t>
  </si>
  <si>
    <t>インターセプト</t>
  </si>
  <si>
    <t>エクシードショット</t>
  </si>
  <si>
    <t>カリキュレイト</t>
  </si>
  <si>
    <t>ｲﾆｼｱﾁﾌﾞ</t>
  </si>
  <si>
    <t>ガンパード</t>
  </si>
  <si>
    <t>キャリバーマスタリー</t>
  </si>
  <si>
    <t>クイックドロウ</t>
  </si>
  <si>
    <t>スナイピング</t>
  </si>
  <si>
    <t>スペルブレット</t>
  </si>
  <si>
    <t>ｼﾅﾘｵ</t>
  </si>
  <si>
    <t>デスターゲット</t>
  </si>
  <si>
    <t>ファニング</t>
  </si>
  <si>
    <t>フェイドアウェイ</t>
  </si>
  <si>
    <t>フォールダウン</t>
  </si>
  <si>
    <t>ブレットレイブ</t>
  </si>
  <si>
    <t>マジックブレット</t>
  </si>
  <si>
    <t>ラストリゾート</t>
  </si>
  <si>
    <t>ワンコインショット</t>
  </si>
  <si>
    <t>□セージ</t>
  </si>
  <si>
    <t>アドヴァイス</t>
  </si>
  <si>
    <t>アトリビュート</t>
  </si>
  <si>
    <t>ウィークポイント</t>
  </si>
  <si>
    <t>エグザマイン</t>
  </si>
  <si>
    <t>エフィシエント</t>
  </si>
  <si>
    <t>エルディダイト</t>
  </si>
  <si>
    <t>オピニオン</t>
  </si>
  <si>
    <t>タクティクス</t>
  </si>
  <si>
    <t>場選</t>
  </si>
  <si>
    <t>ディスマントル</t>
  </si>
  <si>
    <t>トレジャーマニア</t>
  </si>
  <si>
    <t>ハイウィズダム</t>
  </si>
  <si>
    <t>マジカルハーブ</t>
  </si>
  <si>
    <t>マジックオペレーション</t>
  </si>
  <si>
    <t>マジックノウリッジ</t>
  </si>
  <si>
    <t>メモリコンプリート</t>
  </si>
  <si>
    <t>リバーサル</t>
  </si>
  <si>
    <t>□ニンジャ</t>
  </si>
  <si>
    <t>イメージボディ</t>
  </si>
  <si>
    <t>ヴァイオレントウィンド</t>
  </si>
  <si>
    <t>ウェポンシュート</t>
  </si>
  <si>
    <t>エンハンススペル</t>
  </si>
  <si>
    <t>コンシールアタック</t>
  </si>
  <si>
    <t>シークレットアーツ</t>
  </si>
  <si>
    <t>命中直後</t>
  </si>
  <si>
    <t>スタントフライング</t>
  </si>
  <si>
    <t>ソアスポット</t>
  </si>
  <si>
    <t>ダイ・アナザーデイ</t>
  </si>
  <si>
    <t>トラブルセンス</t>
  </si>
  <si>
    <t>ファイアクラップ</t>
  </si>
  <si>
    <t>ブラッディフィート</t>
  </si>
  <si>
    <t>ブロウアップ</t>
  </si>
  <si>
    <t>ポイゾネスミスト</t>
  </si>
  <si>
    <t>マーダースキル</t>
  </si>
  <si>
    <t>ランドフィッシャー</t>
  </si>
  <si>
    <t>□ダンサー</t>
  </si>
  <si>
    <t>アースステップ</t>
  </si>
  <si>
    <t>アヴォイドダンス</t>
  </si>
  <si>
    <t>アプリケイション</t>
  </si>
  <si>
    <t>ウォーターステップ</t>
  </si>
  <si>
    <t>エアリアルステップ</t>
  </si>
  <si>
    <t>エアリアルレイブ</t>
  </si>
  <si>
    <t>エンカレッジ</t>
  </si>
  <si>
    <t>クイックステップ</t>
  </si>
  <si>
    <t>ソードダンス</t>
  </si>
  <si>
    <t>ダンスマカブル</t>
  </si>
  <si>
    <t>トリックステップ</t>
  </si>
  <si>
    <t>パフォーマンス</t>
  </si>
  <si>
    <t>ファイアステップ</t>
  </si>
  <si>
    <t>フェザータップ</t>
  </si>
  <si>
    <t>マタドール</t>
  </si>
  <si>
    <t>ミステリアスダンス</t>
  </si>
  <si>
    <t>□ドラグーン</t>
  </si>
  <si>
    <t>アーティラリィマジック</t>
  </si>
  <si>
    <t>RF-P028</t>
  </si>
  <si>
    <t>イモータルブラッド</t>
  </si>
  <si>
    <t>エイルフォーム</t>
  </si>
  <si>
    <t>エレメンタルパワー：地</t>
  </si>
  <si>
    <t>エレメンタルパワー：水</t>
  </si>
  <si>
    <t>エレメンタルパワー：火</t>
  </si>
  <si>
    <t>エレメンタルパワー：風</t>
  </si>
  <si>
    <t>エレメンタルパワー：光</t>
  </si>
  <si>
    <t>エレメンタルパワー：闇</t>
  </si>
  <si>
    <t>エンハンスブレス：地</t>
  </si>
  <si>
    <t>エンハンスブレス：水</t>
  </si>
  <si>
    <t>エンハンスブレス：火</t>
  </si>
  <si>
    <t>エンハンスブレス：風</t>
  </si>
  <si>
    <t>エンハンスブレス：光</t>
  </si>
  <si>
    <t>エンハンスブレス：闇</t>
  </si>
  <si>
    <t>グラスホップ</t>
  </si>
  <si>
    <t>グランドバスター</t>
  </si>
  <si>
    <t>ジュエルスキン：地</t>
  </si>
  <si>
    <t>ジュエルスキン：水</t>
  </si>
  <si>
    <t>ジュエルスキン：火</t>
  </si>
  <si>
    <t>ジュエルスキン：風</t>
  </si>
  <si>
    <t>ジュエルスキン：光</t>
  </si>
  <si>
    <t>ジュエルスキン：闇</t>
  </si>
  <si>
    <t>スピリットリンク</t>
  </si>
  <si>
    <t>SL+1</t>
  </si>
  <si>
    <t>RF-P029</t>
  </si>
  <si>
    <t>チェンジスケイル</t>
  </si>
  <si>
    <t>チェンジファング</t>
  </si>
  <si>
    <t>ドラゴンソウル</t>
  </si>
  <si>
    <t>ドラゴンバスター</t>
  </si>
  <si>
    <t>ドラゴンファクター</t>
  </si>
  <si>
    <t>ドラゴンブレイズ</t>
  </si>
  <si>
    <t>バトルブレイン</t>
  </si>
  <si>
    <t>レジェンド</t>
  </si>
  <si>
    <t>□テイマー</t>
  </si>
  <si>
    <t>ウィップマスタリー</t>
  </si>
  <si>
    <t>RF-P030</t>
  </si>
  <si>
    <t>ウィップアロー</t>
  </si>
  <si>
    <t>オーバーリーチ</t>
  </si>
  <si>
    <t>コールサーヴァント</t>
  </si>
  <si>
    <t>サーヴァントウェイブ</t>
  </si>
  <si>
    <t>シールドサーヴァント</t>
  </si>
  <si>
    <t>シミュラクラム</t>
  </si>
  <si>
    <t>スネイクビート</t>
  </si>
  <si>
    <t>トライヒット</t>
  </si>
  <si>
    <t>RF-P031</t>
  </si>
  <si>
    <t>トリプルヘッド</t>
  </si>
  <si>
    <t>ビーストキラー</t>
  </si>
  <si>
    <t>フライハイ</t>
  </si>
  <si>
    <t>ブラインドサイド</t>
  </si>
  <si>
    <t>マジックサーヴァント</t>
  </si>
  <si>
    <t>マニピュレイト</t>
  </si>
  <si>
    <t>マリオネット</t>
  </si>
  <si>
    <t>ライドオン</t>
  </si>
  <si>
    <t>◆ウォーロード</t>
  </si>
  <si>
    <t>アームズロジック：格闘</t>
  </si>
  <si>
    <t>アームズロジック：短剣</t>
  </si>
  <si>
    <t>アームズロジック：長剣</t>
  </si>
  <si>
    <t>アームズロジック：両手剣</t>
  </si>
  <si>
    <t>アームズロジック：刀</t>
  </si>
  <si>
    <t>アームズロジック：鞭</t>
  </si>
  <si>
    <t>アームズロジック：斧</t>
  </si>
  <si>
    <t>アームズロジック：打撃</t>
  </si>
  <si>
    <t>アームズロジック：槍</t>
  </si>
  <si>
    <t>アームズロジック：弓</t>
  </si>
  <si>
    <t>アームズロジック：銃</t>
  </si>
  <si>
    <t>アームズロジック：魔導銃</t>
  </si>
  <si>
    <t>ウォークライ</t>
  </si>
  <si>
    <t>オーヴァドライブ</t>
  </si>
  <si>
    <t>オンスロート</t>
  </si>
  <si>
    <t>クロススラッシュ</t>
  </si>
  <si>
    <t>ツインウェポン</t>
  </si>
  <si>
    <t>ディフェンスライン</t>
  </si>
  <si>
    <t>デスペラード</t>
  </si>
  <si>
    <t>パーフェクトボディ</t>
  </si>
  <si>
    <t>ハイパーゲイン</t>
  </si>
  <si>
    <t>ハイボルテージ</t>
  </si>
  <si>
    <t>ビルドアップフォース</t>
  </si>
  <si>
    <t>ファイティングロウ</t>
  </si>
  <si>
    <t>ファストセット</t>
  </si>
  <si>
    <t>ブラッドヒート</t>
  </si>
  <si>
    <t>フルスイング</t>
  </si>
  <si>
    <t>ブレイクダウン</t>
  </si>
  <si>
    <t>ストームアタック</t>
  </si>
  <si>
    <t>RF-P032</t>
  </si>
  <si>
    <t>ストラグルクラッシュ</t>
  </si>
  <si>
    <t>バーストスラッシュ</t>
  </si>
  <si>
    <t>バトルコンプリート</t>
  </si>
  <si>
    <t>メルトダウン</t>
  </si>
  <si>
    <t>アルティメットボディ</t>
  </si>
  <si>
    <t>ヴァイオレントヒット</t>
  </si>
  <si>
    <t>クロックアップフォース</t>
  </si>
  <si>
    <t>◆ナイト</t>
  </si>
  <si>
    <t>アサルトダッシュ</t>
  </si>
  <si>
    <t>アラウンドカバー</t>
  </si>
  <si>
    <t>インヴァルネラブル</t>
  </si>
  <si>
    <t>ウェポンエキスパート：格闘</t>
  </si>
  <si>
    <t>ウェポンエキスパート：短剣</t>
  </si>
  <si>
    <t>ウェポンエキスパート：長剣</t>
  </si>
  <si>
    <t>ウェポンエキスパート：両手剣</t>
  </si>
  <si>
    <t>ウェポンエキスパート：刀</t>
  </si>
  <si>
    <t>ウェポンエキスパート：鞭</t>
  </si>
  <si>
    <t>ウェポンエキスパート：斧</t>
  </si>
  <si>
    <t>ウェポンエキスパート：打撃</t>
  </si>
  <si>
    <t>ウェポンエキスパート：槍</t>
  </si>
  <si>
    <t>ウェポンエキスパート：弓</t>
  </si>
  <si>
    <t>ウェポンエキスパート：銃</t>
  </si>
  <si>
    <t>ウェポンエキスパート：魔導銃</t>
  </si>
  <si>
    <t>グラディエイト</t>
  </si>
  <si>
    <t>グランディア</t>
  </si>
  <si>
    <t>スティールクラッド</t>
  </si>
  <si>
    <t>ハイパーシールド</t>
  </si>
  <si>
    <t>盾以外の装備を左手に装備して、その装備に物理防御力がある場合、効果が適用されてしまいます。</t>
  </si>
  <si>
    <t>パワーアーム</t>
  </si>
  <si>
    <t>ファイナルガード</t>
  </si>
  <si>
    <t>ブーストダッシュ</t>
  </si>
  <si>
    <t>フォートレス</t>
  </si>
  <si>
    <t>ブレイクスラッシュ</t>
  </si>
  <si>
    <t>マイティスラッシュ</t>
  </si>
  <si>
    <t>ライディング</t>
  </si>
  <si>
    <t>ラッシュ</t>
  </si>
  <si>
    <t>レッドラグ</t>
  </si>
  <si>
    <t>アタックチャージ</t>
  </si>
  <si>
    <t>RF-P033</t>
  </si>
  <si>
    <t>スペシャルカバー</t>
  </si>
  <si>
    <t>パーフェクトシールド</t>
  </si>
  <si>
    <t>便宜上、効果は盾の防御力欄ではなく、キャラクターの防御力に直接加算されます。盾を持っていなくても適用されてしまいますのでご注意ください。</t>
  </si>
  <si>
    <t>フロンタルアサルト</t>
  </si>
  <si>
    <t>1/ｼｰﾝ</t>
  </si>
  <si>
    <t>ヘヴィアタック</t>
  </si>
  <si>
    <t>アグランダイズ</t>
  </si>
  <si>
    <t>インプラグナブル</t>
  </si>
  <si>
    <t>サジタリウス</t>
  </si>
  <si>
    <t>◆プリースト</t>
  </si>
  <si>
    <t>ヴィジテイション</t>
  </si>
  <si>
    <t>キャストフォース</t>
  </si>
  <si>
    <t>キュアオール</t>
  </si>
  <si>
    <t>グッドラック</t>
  </si>
  <si>
    <t>サンクチュアリ</t>
  </si>
  <si>
    <t>スピリチュアルウェポン</t>
  </si>
  <si>
    <t>セイントブレッシング</t>
  </si>
  <si>
    <t>ディヴァインライト</t>
  </si>
  <si>
    <t>ハイプロテクション</t>
  </si>
  <si>
    <t>パトロナイズ</t>
  </si>
  <si>
    <t>バリア</t>
  </si>
  <si>
    <t>パリペイティア</t>
  </si>
  <si>
    <t>ヒールプラス</t>
  </si>
  <si>
    <t>マンテレット</t>
  </si>
  <si>
    <t>メンタルリンク</t>
  </si>
  <si>
    <t>リヴァイヴァ</t>
  </si>
  <si>
    <t>リデュース</t>
  </si>
  <si>
    <t>シーリィ</t>
  </si>
  <si>
    <t>RF-P034</t>
  </si>
  <si>
    <t>デヴォディジョン</t>
  </si>
  <si>
    <t>フリップフロップ</t>
  </si>
  <si>
    <t>ポストヘイスト</t>
  </si>
  <si>
    <t>トランセンド</t>
  </si>
  <si>
    <t>SL+1/ｼ</t>
  </si>
  <si>
    <t>プリペアード</t>
  </si>
  <si>
    <t>ホロウライト</t>
  </si>
  <si>
    <t>ラース</t>
  </si>
  <si>
    <t>◆パラディン</t>
  </si>
  <si>
    <t>ウィッシュ</t>
  </si>
  <si>
    <t>エクソシズム</t>
  </si>
  <si>
    <t>グレイスフォース</t>
  </si>
  <si>
    <t>コマンドスタイル</t>
  </si>
  <si>
    <t>サンクション</t>
  </si>
  <si>
    <t>シャインストライク</t>
  </si>
  <si>
    <t>ジャッジアタック</t>
  </si>
  <si>
    <t>ターンアンデッド</t>
  </si>
  <si>
    <t>ディグニティ</t>
  </si>
  <si>
    <t>ネメシス</t>
  </si>
  <si>
    <t>パニッシャー</t>
  </si>
  <si>
    <t>フラッシュブリンク</t>
  </si>
  <si>
    <t>ブルヒット</t>
  </si>
  <si>
    <t>ホーリーアタック</t>
  </si>
  <si>
    <t>レギリアス</t>
  </si>
  <si>
    <t>レストレイション</t>
  </si>
  <si>
    <t>ワイドプロテクション</t>
  </si>
  <si>
    <t>インペレイティブ</t>
  </si>
  <si>
    <t>RF-P035</t>
  </si>
  <si>
    <t>クラッシュインパクト</t>
  </si>
  <si>
    <t>ゴースロー</t>
  </si>
  <si>
    <t>セルフサクリファイス</t>
  </si>
  <si>
    <t>ホーリーフィールド</t>
  </si>
  <si>
    <t>ヴァニッシュパワー</t>
  </si>
  <si>
    <t>あらゆるﾀﾞﾒｰｼﾞに効果があるとの記述があるので、武器・魔術・ｸﾞﾚﾈｰﾄﾞのﾀﾞﾒｰｼﾞ欄に効果を反映させています。</t>
  </si>
  <si>
    <t>ディヴァイト</t>
  </si>
  <si>
    <t>ハイパニッシャー</t>
  </si>
  <si>
    <t>◆ウィザード</t>
  </si>
  <si>
    <t>アーマーダウン</t>
  </si>
  <si>
    <t>アヴェンジ</t>
  </si>
  <si>
    <t>インフェルノ</t>
  </si>
  <si>
    <t>カーススペル</t>
  </si>
  <si>
    <t>カウンタースペル</t>
  </si>
  <si>
    <t>クエイク</t>
  </si>
  <si>
    <t>コキュートス</t>
  </si>
  <si>
    <t>シャドウスフィア</t>
  </si>
  <si>
    <t>スナッチ</t>
  </si>
  <si>
    <t>セレスチャルスター</t>
  </si>
  <si>
    <t>ダークウェポン</t>
  </si>
  <si>
    <t>チャージマジック</t>
  </si>
  <si>
    <t>テンペスト</t>
  </si>
  <si>
    <t>ブライトウェポン</t>
  </si>
  <si>
    <t>ブラインドフォールド</t>
  </si>
  <si>
    <t>ホロコースト</t>
  </si>
  <si>
    <t>マジックウェポン</t>
  </si>
  <si>
    <t>インクリーズデバイス</t>
  </si>
  <si>
    <t>RF-P036</t>
  </si>
  <si>
    <t>スウィフトウェポン</t>
  </si>
  <si>
    <t>デュアルエフェクト</t>
  </si>
  <si>
    <t>マジックエッジ</t>
  </si>
  <si>
    <t>ミッドナイトサン</t>
  </si>
  <si>
    <t>フレイムクラック</t>
  </si>
  <si>
    <t>30m</t>
  </si>
  <si>
    <t>フロストプリズム</t>
  </si>
  <si>
    <t>ルインストーム</t>
  </si>
  <si>
    <t>◆ソーサラー</t>
  </si>
  <si>
    <t>アンプリフィケイション</t>
  </si>
  <si>
    <t>ヴォイドマジック</t>
  </si>
  <si>
    <t>エインミングフォージ</t>
  </si>
  <si>
    <t>クラッシュバリア</t>
  </si>
  <si>
    <t>コンデンス</t>
  </si>
  <si>
    <t>コンバート</t>
  </si>
  <si>
    <t>シフトエナジー</t>
  </si>
  <si>
    <t>ストームソーサリィ</t>
  </si>
  <si>
    <t>ダブルキャスト</t>
  </si>
  <si>
    <t>チートマジック</t>
  </si>
  <si>
    <t>ディスペル</t>
  </si>
  <si>
    <t>ファストドロウ</t>
  </si>
  <si>
    <t>ブーストフォース</t>
  </si>
  <si>
    <t>マテリアルアタック</t>
  </si>
  <si>
    <t>ランニングセット</t>
  </si>
  <si>
    <t>リミットブレイク</t>
  </si>
  <si>
    <t>レインボーカラー</t>
  </si>
  <si>
    <t>オールウェポン</t>
  </si>
  <si>
    <t>RF-P037</t>
  </si>
  <si>
    <t>ソウルスティール</t>
  </si>
  <si>
    <t>デモンズウェブ</t>
  </si>
  <si>
    <t>ニゲイト</t>
  </si>
  <si>
    <t>リポストベイン</t>
  </si>
  <si>
    <t>アグレッシブマジック</t>
  </si>
  <si>
    <t>セットオフガード</t>
  </si>
  <si>
    <t>ファインアート</t>
  </si>
  <si>
    <t>◆エクスプローラー</t>
  </si>
  <si>
    <t>アンチトラップ</t>
  </si>
  <si>
    <t>インテュイション</t>
  </si>
  <si>
    <t>ヴォーパルアーツ</t>
  </si>
  <si>
    <t>クイックムーブ</t>
  </si>
  <si>
    <t>ゲイルスラッシュ</t>
  </si>
  <si>
    <t>サポートストライク</t>
  </si>
  <si>
    <t>シャドウハイド</t>
  </si>
  <si>
    <t>タイムマジック</t>
  </si>
  <si>
    <t>ダッシュアタック</t>
  </si>
  <si>
    <t>ツインフェンサー</t>
  </si>
  <si>
    <t>ディテクト</t>
  </si>
  <si>
    <t>デスゲイル</t>
  </si>
  <si>
    <t>トップスピード</t>
  </si>
  <si>
    <t>ピンポイントアタック</t>
  </si>
  <si>
    <t>ブーメランショット</t>
  </si>
  <si>
    <t>ブラインドスポット</t>
  </si>
  <si>
    <t>フリッカースラッシュ</t>
  </si>
  <si>
    <t>アフターイメージ</t>
  </si>
  <si>
    <t>RF-P038</t>
  </si>
  <si>
    <t>ゴーストアタック</t>
  </si>
  <si>
    <t>コンストレイン</t>
  </si>
  <si>
    <t>ジャグリングアタック</t>
  </si>
  <si>
    <t>ストップトラップ</t>
  </si>
  <si>
    <t>アクセルヒット</t>
  </si>
  <si>
    <t>トップギア</t>
  </si>
  <si>
    <t>ブラッドエッジ</t>
  </si>
  <si>
    <t>SL/ｼ</t>
  </si>
  <si>
    <t>◆スカウト</t>
  </si>
  <si>
    <t>アキュレイト</t>
  </si>
  <si>
    <t>インセンサブル</t>
  </si>
  <si>
    <t>インターフィアレンス</t>
  </si>
  <si>
    <t>エイミングショット</t>
  </si>
  <si>
    <t>カッティングプラン</t>
  </si>
  <si>
    <t>スピリットブレイク</t>
  </si>
  <si>
    <t>スリップ</t>
  </si>
  <si>
    <t>デッドリーポイズン</t>
  </si>
  <si>
    <t>トリックアタック</t>
  </si>
  <si>
    <t>ニンブルスティール</t>
  </si>
  <si>
    <t>ハードラック</t>
  </si>
  <si>
    <t>フィールドワーク</t>
  </si>
  <si>
    <t>フォーチュンヒット</t>
  </si>
  <si>
    <t>ホロウショット</t>
  </si>
  <si>
    <t>マークスマン</t>
  </si>
  <si>
    <t>ライトニングショット</t>
  </si>
  <si>
    <t>レストリクトアタック</t>
  </si>
  <si>
    <t>アデンダム</t>
  </si>
  <si>
    <t>RF-P039</t>
  </si>
  <si>
    <t>ストレイトショット</t>
  </si>
  <si>
    <t>ゼロイン</t>
  </si>
  <si>
    <t>ディフェンストリック</t>
  </si>
  <si>
    <t>フラッシュショット</t>
  </si>
  <si>
    <t>スーパートリック</t>
  </si>
  <si>
    <t>デッドショット</t>
  </si>
  <si>
    <t>ブロブポイズン</t>
  </si>
  <si>
    <t>格闘用コンボ</t>
  </si>
  <si>
    <t>シャドウブロウ</t>
  </si>
  <si>
    <t>単※</t>
  </si>
  <si>
    <t>RF-P040</t>
  </si>
  <si>
    <t>ロッククラッシュ</t>
  </si>
  <si>
    <t>短剣用コンボ</t>
  </si>
  <si>
    <t>シャイニングスラッシュ</t>
  </si>
  <si>
    <t>ダーククロス</t>
  </si>
  <si>
    <t>長剣用コンボ</t>
  </si>
  <si>
    <t>シャインブレイド</t>
  </si>
  <si>
    <t>ホワイトアウト</t>
  </si>
  <si>
    <t>両手剣用コンボ</t>
  </si>
  <si>
    <t>アースラヴェイジ</t>
  </si>
  <si>
    <t>RF-P041</t>
  </si>
  <si>
    <t>フレイムバースト</t>
  </si>
  <si>
    <t>刀用コンボ</t>
  </si>
  <si>
    <t>アースブレイク</t>
  </si>
  <si>
    <t>ブレイズドレイン</t>
  </si>
  <si>
    <t>鞭用コンボ</t>
  </si>
  <si>
    <t>シャドウプレッシャー</t>
  </si>
  <si>
    <t>スピニングツイスト</t>
  </si>
  <si>
    <t>斧用コンボ</t>
  </si>
  <si>
    <t>ブラックハウリング</t>
  </si>
  <si>
    <t>RF-P042</t>
  </si>
  <si>
    <t>ローリングファイア</t>
  </si>
  <si>
    <t>打撃用コンボ</t>
  </si>
  <si>
    <t>ダイダルウェイブ</t>
  </si>
  <si>
    <t>ハリケーンブラスト</t>
  </si>
  <si>
    <t>槍用コンボ</t>
  </si>
  <si>
    <t>スプラッシュスピア</t>
  </si>
  <si>
    <t>ミラージュピアッシング</t>
  </si>
  <si>
    <t>弓用コンボ</t>
  </si>
  <si>
    <t>トルネードアロー</t>
  </si>
  <si>
    <t>RF-P043</t>
  </si>
  <si>
    <t>ヴェナムブラスト</t>
  </si>
  <si>
    <t>銃用コンボ</t>
  </si>
  <si>
    <t>シャイニングショット</t>
  </si>
  <si>
    <t>スネイクバイト</t>
  </si>
  <si>
    <t>魔導銃用コンボ</t>
  </si>
  <si>
    <t>ウィンドブラスト</t>
  </si>
  <si>
    <t>スターライトブリット</t>
  </si>
  <si>
    <t>錬金術用コンボ</t>
  </si>
  <si>
    <t>バーニングゲイザー</t>
  </si>
  <si>
    <t>錬金</t>
  </si>
  <si>
    <t>RF-P044</t>
  </si>
  <si>
    <t>スプラッシュウェイブ</t>
  </si>
  <si>
    <t>呪歌用コンボ</t>
  </si>
  <si>
    <t>マジックフルート</t>
  </si>
  <si>
    <t>カーニバル</t>
  </si>
  <si>
    <t>盾用コンボ</t>
  </si>
  <si>
    <t>シールドブーメラン</t>
  </si>
  <si>
    <t>シールドラッシュ</t>
  </si>
  <si>
    <t>魔術用コンボ</t>
  </si>
  <si>
    <t>アーススパイク</t>
  </si>
  <si>
    <t>RF-P045</t>
  </si>
  <si>
    <t>ファイアピラー</t>
  </si>
  <si>
    <t>エアリアルブレイド</t>
  </si>
  <si>
    <t>ウォーターボール</t>
  </si>
  <si>
    <t>セレスチャルシャワー</t>
  </si>
  <si>
    <t>シャドウファング</t>
  </si>
  <si>
    <t>マジックストライク</t>
  </si>
  <si>
    <t>ソウルドレイン</t>
  </si>
  <si>
    <t>エネミー専用</t>
  </si>
  <si>
    <t>脚止め</t>
  </si>
  <si>
    <t>ウィルブレス</t>
  </si>
  <si>
    <t>苦痛耐性</t>
  </si>
  <si>
    <t>豪腕</t>
  </si>
  <si>
    <t>再生能力</t>
  </si>
  <si>
    <t>邪神の力</t>
  </si>
  <si>
    <t>集団統率</t>
  </si>
  <si>
    <t>精神攻撃</t>
  </si>
  <si>
    <t>超絶魔力</t>
  </si>
  <si>
    <t>バッドステータス無効</t>
  </si>
  <si>
    <t>範囲攻撃</t>
  </si>
  <si>
    <t>飛行能力</t>
  </si>
  <si>
    <t>ブレス</t>
  </si>
  <si>
    <t>保護色</t>
  </si>
  <si>
    <t>魅了</t>
  </si>
  <si>
    <t>無限の力</t>
  </si>
  <si>
    <t>連続攻撃</t>
  </si>
  <si>
    <t>暗視</t>
  </si>
  <si>
    <t>遠隔攻撃</t>
  </si>
  <si>
    <t>完全隠密</t>
  </si>
  <si>
    <t>看破能力</t>
  </si>
  <si>
    <t>グレートブレス</t>
  </si>
  <si>
    <t>幻惑の霧</t>
  </si>
  <si>
    <t>識別不能</t>
  </si>
  <si>
    <t>条件無視</t>
  </si>
  <si>
    <t>水陸両用</t>
  </si>
  <si>
    <t>石化の魔眼</t>
  </si>
  <si>
    <t>抵抗性</t>
  </si>
  <si>
    <t>トラップ無効</t>
  </si>
  <si>
    <t>引き寄せ</t>
  </si>
  <si>
    <t>変身能力</t>
  </si>
  <si>
    <t>崩壊</t>
  </si>
  <si>
    <t>間合い</t>
  </si>
  <si>
    <t>猛毒</t>
  </si>
  <si>
    <t>援護</t>
  </si>
  <si>
    <t>RF-P071</t>
  </si>
  <si>
    <t>完全耐性</t>
  </si>
  <si>
    <t>司令塔</t>
  </si>
  <si>
    <t>属性攻撃</t>
  </si>
  <si>
    <t>ドレインパワー</t>
  </si>
  <si>
    <t>二回行動</t>
  </si>
  <si>
    <t>フェイス：インディマ</t>
  </si>
  <si>
    <t>フェイス：トリアラク</t>
  </si>
  <si>
    <t>フェイス：ブレーグ</t>
  </si>
  <si>
    <t>フェイス：マハディルグ</t>
  </si>
  <si>
    <t>フェイス：ミーヴァル</t>
  </si>
  <si>
    <t>フェイス：モーリアン</t>
  </si>
  <si>
    <t>武器耐性</t>
  </si>
  <si>
    <t>吹き飛ばし</t>
  </si>
  <si>
    <t>妨害</t>
  </si>
  <si>
    <t>融合</t>
  </si>
  <si>
    <t>援助金</t>
  </si>
  <si>
    <t>開始時に各50Gを得る</t>
  </si>
  <si>
    <t>命の滴</t>
  </si>
  <si>
    <t>ﾒｼﾞｬｰ</t>
  </si>
  <si>
    <t>全員1回HP/MP3D6回復</t>
  </si>
  <si>
    <t>加護</t>
  </si>
  <si>
    <t>ﾊﾟｯｼｳﾞ</t>
  </si>
  <si>
    <t>[HPﾀﾞﾒｰｼﾞ]-2</t>
  </si>
  <si>
    <t>限界突破</t>
  </si>
  <si>
    <t>ｾｯﾄUP</t>
  </si>
  <si>
    <t>1回/ﾗｳﾝﾄﾞ中判定+CL</t>
  </si>
  <si>
    <t>祝福</t>
  </si>
  <si>
    <t>1回/いつでも/【MP】全快</t>
  </si>
  <si>
    <t>最後の力</t>
  </si>
  <si>
    <t>全員【フェイト】+1</t>
  </si>
  <si>
    <t>蘇生</t>
  </si>
  <si>
    <t>1回/いつでも/【HP】全快</t>
  </si>
  <si>
    <t>天啓</t>
  </si>
  <si>
    <t>1回/GMに質問できる</t>
  </si>
  <si>
    <t>目利き</t>
  </si>
  <si>
    <t>ドロップ品ロール+1D6</t>
  </si>
  <si>
    <t>値引き</t>
  </si>
  <si>
    <t>アイテム価格10%引き</t>
  </si>
  <si>
    <t>火の紋章</t>
  </si>
  <si>
    <t>水属性へのダメージ+1D6</t>
  </si>
  <si>
    <t>水の紋章</t>
  </si>
  <si>
    <t>火属性へのダメージ+1D6</t>
  </si>
  <si>
    <t>風の紋章</t>
  </si>
  <si>
    <t>地属性へのダメージ+1D6</t>
  </si>
  <si>
    <t>地の紋章</t>
  </si>
  <si>
    <t>風属性へのダメージ+1D6</t>
  </si>
  <si>
    <t>光の紋章</t>
  </si>
  <si>
    <t>闇属性へのダメージ+1D6</t>
  </si>
  <si>
    <t>闇の紋章</t>
  </si>
  <si>
    <t>光属性へのダメージ+1D6</t>
  </si>
  <si>
    <t>運命の手</t>
  </si>
  <si>
    <t>1回/R中ﾌｪｲﾄ制限解除</t>
  </si>
  <si>
    <t>上級P144</t>
  </si>
  <si>
    <t>陣形</t>
  </si>
  <si>
    <t>3回/各自1度ずつ[移動]</t>
  </si>
  <si>
    <t>派遣販売</t>
  </si>
  <si>
    <t>1回/アイテムの売買</t>
  </si>
  <si>
    <t>容量拡大</t>
  </si>
  <si>
    <t>[所持品]可能[重量]+5</t>
  </si>
  <si>
    <t>ギルドハウス</t>
  </si>
  <si>
    <t>3回/任意ｱｲﾃﾑを転送</t>
  </si>
  <si>
    <t>RF-P070</t>
  </si>
  <si>
    <t>クアハウス</t>
  </si>
  <si>
    <t>要GH/【最大HP】+5</t>
  </si>
  <si>
    <t>サルーン</t>
  </si>
  <si>
    <t>要GH/【最大MP】+5</t>
  </si>
  <si>
    <t>宿敵：植物</t>
  </si>
  <si>
    <t>対象へ[命中判定]+1D6</t>
  </si>
  <si>
    <t>宿敵：動物</t>
  </si>
  <si>
    <t>宿敵：人間</t>
  </si>
  <si>
    <t>宿敵：妖精</t>
  </si>
  <si>
    <t>宿敵：妖魔</t>
  </si>
  <si>
    <t>宿敵：ｱﾝﾃﾞｯﾄﾞ</t>
  </si>
  <si>
    <t>宿敵：精霊</t>
  </si>
  <si>
    <t>宿敵：人造生物</t>
  </si>
  <si>
    <t>宿敵：機械</t>
  </si>
  <si>
    <t>宿敵：魔獣</t>
  </si>
  <si>
    <t>宿敵：霊獣</t>
  </si>
  <si>
    <t>宿敵：巨人</t>
  </si>
  <si>
    <t>宿敵：竜</t>
  </si>
  <si>
    <t>アリーナ</t>
  </si>
  <si>
    <t>要GH/自動取得ｽｷﾙ+1扱</t>
  </si>
  <si>
    <t>GH:ｷﾞﾙﾄﾞﾊｳｽの略</t>
  </si>
  <si>
    <t>ガーデン</t>
  </si>
  <si>
    <t>要GH/指定属性[魔防]+5</t>
  </si>
  <si>
    <t>神々の戒め</t>
  </si>
  <si>
    <t>1回/任意対象にﾊﾞｯﾄﾞｽﾃｰﾀｽ</t>
  </si>
  <si>
    <t>合体攻撃</t>
  </si>
  <si>
    <t>1回/ルールブック参照</t>
  </si>
  <si>
    <t>強化：攻撃</t>
  </si>
  <si>
    <t>[攻撃/物防/魔防]1つ+3</t>
  </si>
  <si>
    <t>強化：物防</t>
  </si>
  <si>
    <t>強化：魔防</t>
  </si>
  <si>
    <t>耐性：重圧</t>
  </si>
  <si>
    <t>[重圧]無効</t>
  </si>
  <si>
    <t>耐性：転倒</t>
  </si>
  <si>
    <t>[転倒]無効</t>
  </si>
  <si>
    <t>耐性：毒</t>
  </si>
  <si>
    <t>[毒]無効</t>
  </si>
  <si>
    <t>耐性：マヒ</t>
  </si>
  <si>
    <t>[マヒ]無効</t>
  </si>
  <si>
    <t>耐性：放心</t>
  </si>
  <si>
    <t>[放心]無効</t>
  </si>
  <si>
    <t>連係攻撃</t>
  </si>
  <si>
    <t>ルールブック参照</t>
  </si>
  <si>
    <t>命の泉</t>
  </si>
  <si>
    <t>1回/【HP・MP】10D6回復</t>
  </si>
  <si>
    <t>要ギルドレベル10</t>
  </si>
  <si>
    <t>手探り</t>
  </si>
  <si>
    <t>ﾄﾞﾛｯﾌﾟ品を1段階上下</t>
  </si>
  <si>
    <t>テンプル</t>
  </si>
  <si>
    <t>要GH/ﾒﾝﾊﾞｰへ《ﾋｰﾙ》+2D6</t>
  </si>
  <si>
    <t>背水の陣</t>
  </si>
  <si>
    <t>1回/R中全員防御力0</t>
  </si>
  <si>
    <t>バイヤー</t>
  </si>
  <si>
    <t>要GH/ﾄﾞﾛｯﾌﾟ品売値+20%</t>
  </si>
  <si>
    <t>装備・一般ｱｲﾃﾑ・ﾏｼﾞｯｸｱｲﾃﾑを除く</t>
  </si>
  <si>
    <t>ライブラリー</t>
  </si>
  <si>
    <t>要GH/知力判定+1D6(除魔術)</t>
  </si>
  <si>
    <t>クローゼット</t>
  </si>
  <si>
    <t>自動取得ｽｷﾙを封印解除</t>
  </si>
  <si>
    <t>結束</t>
  </si>
  <si>
    <t>他人の判定にﾌｪｲﾄ1点使用</t>
  </si>
  <si>
    <t>上級P145</t>
  </si>
  <si>
    <t>再行動</t>
  </si>
  <si>
    <t>1回/全員が[未行動]に</t>
  </si>
  <si>
    <t>自己犠牲</t>
  </si>
  <si>
    <t>修練：筋力</t>
  </si>
  <si>
    <t>【筋力】を使用する判定+1D6</t>
  </si>
  <si>
    <t>修練：器用</t>
  </si>
  <si>
    <t>【器用】を使用する判定+1D6</t>
  </si>
  <si>
    <t>修練：敏捷</t>
  </si>
  <si>
    <t>【敏捷】を使用する判定+1D6</t>
  </si>
  <si>
    <t>修練：知力</t>
  </si>
  <si>
    <t>【知力】を使用する判定+1D6</t>
  </si>
  <si>
    <t>修練：感知</t>
  </si>
  <si>
    <t>【感知】を使用する判定+1D6</t>
  </si>
  <si>
    <t>修練：精神</t>
  </si>
  <si>
    <t>【精神】を使用する判定+1D6</t>
  </si>
  <si>
    <t>修練：幸運</t>
  </si>
  <si>
    <t>【幸運】を使用する判定+1D6</t>
  </si>
  <si>
    <t>力の泉</t>
  </si>
  <si>
    <t>各自1つのｽｷﾙｺｽﾄ1/2</t>
  </si>
  <si>
    <t>疾風怒濤</t>
  </si>
  <si>
    <t>1回/全員ﾒｲﾝﾌﾟﾛｾｽを行う</t>
  </si>
  <si>
    <t>精霊王の導き：地</t>
  </si>
  <si>
    <t>1回/R中指定属性ﾀﾞﾒｰｼﾞ+3D6</t>
  </si>
  <si>
    <t>精霊王の導き：水</t>
  </si>
  <si>
    <t>精霊王の導き：火</t>
  </si>
  <si>
    <t>精霊王の導き：風</t>
  </si>
  <si>
    <t>精霊王の導き：光</t>
  </si>
  <si>
    <t>精霊王の導き：闇</t>
  </si>
  <si>
    <t>祝福2</t>
  </si>
  <si>
    <t>潜在能力</t>
  </si>
  <si>
    <t>1回/R中ﾀﾞﾒｰｼﾞ+2D6</t>
  </si>
  <si>
    <t>蘇生2</t>
  </si>
  <si>
    <t>復活</t>
  </si>
  <si>
    <t>1回/いつでも/【ﾌｪｲﾄ】全快</t>
  </si>
  <si>
    <t>魂の再臨</t>
  </si>
  <si>
    <t>1回/ｼｰﾝ中の死亡者を全快</t>
  </si>
  <si>
    <t>エクセル管理用</t>
  </si>
  <si>
    <t>※編集しないでください</t>
  </si>
  <si>
    <t>ARIANRHOD REFERENCE SHEET 【 アイテム 】</t>
  </si>
  <si>
    <t>装備品／武器</t>
  </si>
  <si>
    <t>鑑定値</t>
  </si>
  <si>
    <t>参考</t>
  </si>
  <si>
    <t>素手</t>
  </si>
  <si>
    <t>基本P131</t>
  </si>
  <si>
    <t>アイアンナックル</t>
  </si>
  <si>
    <t>両手</t>
  </si>
  <si>
    <t>バグナウ</t>
  </si>
  <si>
    <t>ナックルガード</t>
  </si>
  <si>
    <t>アイアンクロー</t>
  </si>
  <si>
    <t>クラッチクロウ</t>
  </si>
  <si>
    <t>DD-P032</t>
  </si>
  <si>
    <t>怪力の籠手</t>
  </si>
  <si>
    <t>FQ-P082</t>
  </si>
  <si>
    <t>竜巻の籠手</t>
  </si>
  <si>
    <t>DI-P090</t>
  </si>
  <si>
    <t>ミスリルクロー</t>
  </si>
  <si>
    <t>上級P067</t>
  </si>
  <si>
    <t>覚醒の爪</t>
  </si>
  <si>
    <t>RF-P046</t>
  </si>
  <si>
    <t>神魔の手甲</t>
  </si>
  <si>
    <t>上級P071</t>
  </si>
  <si>
    <t>クンフーマスター</t>
  </si>
  <si>
    <t>増力の籠手</t>
  </si>
  <si>
    <t>ミスリルバグナウ</t>
  </si>
  <si>
    <t>ミスリルナックル</t>
  </si>
  <si>
    <t>天秤の拳</t>
  </si>
  <si>
    <t>フック</t>
  </si>
  <si>
    <t>ガードナーアーム</t>
  </si>
  <si>
    <t>アダマンチウムクロー</t>
  </si>
  <si>
    <t>ｱﾀﾞﾏﾝﾁｳﾑﾊﾞｸﾞﾅｳ</t>
  </si>
  <si>
    <t>鮮紅手</t>
  </si>
  <si>
    <t>オーラナックル</t>
  </si>
  <si>
    <t>ダイヤナックル</t>
  </si>
  <si>
    <t>ナイフ</t>
  </si>
  <si>
    <t>片手</t>
  </si>
  <si>
    <t>ダガー</t>
  </si>
  <si>
    <t>バゼラード</t>
  </si>
  <si>
    <t>シュリケン</t>
  </si>
  <si>
    <t>ジェミニナイフ(一刀)</t>
  </si>
  <si>
    <t>ジェミニナイフ(二刀)</t>
  </si>
  <si>
    <t>三徳包丁</t>
  </si>
  <si>
    <t>カタール</t>
  </si>
  <si>
    <t>クナイ</t>
  </si>
  <si>
    <t>スターシャイン</t>
  </si>
  <si>
    <t>バイパーファング(短剣)</t>
  </si>
  <si>
    <t>ファインダガー</t>
  </si>
  <si>
    <t>ダンシングナイフ</t>
  </si>
  <si>
    <t>精霊のナイフ</t>
  </si>
  <si>
    <t>チェインダガー(短剣)</t>
  </si>
  <si>
    <t>ダーク</t>
  </si>
  <si>
    <t>モノブレード</t>
  </si>
  <si>
    <t>スピードナイフ</t>
  </si>
  <si>
    <t>スティレット</t>
  </si>
  <si>
    <t>ミスリルダガー</t>
  </si>
  <si>
    <t>シャープダガー</t>
  </si>
  <si>
    <t>斬滅環</t>
  </si>
  <si>
    <t>RF-P047</t>
  </si>
  <si>
    <t>キドニー・ダガー</t>
  </si>
  <si>
    <t>ククリ</t>
  </si>
  <si>
    <t>器用のナイフ</t>
  </si>
  <si>
    <t>筋力のナイフ</t>
  </si>
  <si>
    <t>【筋力】達成値+2</t>
  </si>
  <si>
    <t>元装備：器用のナイフ</t>
  </si>
  <si>
    <t>敏捷のナイフ</t>
  </si>
  <si>
    <t>【敏捷】達成値+2</t>
  </si>
  <si>
    <t>知力のナイフ</t>
  </si>
  <si>
    <t>【知力】達成値+2</t>
  </si>
  <si>
    <t>感知のナイフ</t>
  </si>
  <si>
    <t>【感知】達成値+2</t>
  </si>
  <si>
    <t>精神のナイフ</t>
  </si>
  <si>
    <t>【精神】達成値+2</t>
  </si>
  <si>
    <t>幸運のナイフ</t>
  </si>
  <si>
    <t>【幸運】達成値+2</t>
  </si>
  <si>
    <t>ポメロナイフ</t>
  </si>
  <si>
    <t>ミスリルククリ</t>
  </si>
  <si>
    <t>グラビティブレード</t>
  </si>
  <si>
    <t>ソードブレイカー</t>
  </si>
  <si>
    <t>ショートソード</t>
  </si>
  <si>
    <t>レイピア</t>
  </si>
  <si>
    <t>ロングソード</t>
  </si>
  <si>
    <t>ブロードソード</t>
  </si>
  <si>
    <t>バスタードソード/片</t>
  </si>
  <si>
    <t>忍者刀</t>
  </si>
  <si>
    <t>ヒートソード</t>
  </si>
  <si>
    <t>基本P140</t>
  </si>
  <si>
    <t>ソイルソード</t>
  </si>
  <si>
    <t>&lt;風&gt;へダメージ+1D</t>
  </si>
  <si>
    <t>元装備：ヒートソード</t>
  </si>
  <si>
    <t>コールドソード</t>
  </si>
  <si>
    <t>&lt;火&gt;へダメージ+1D</t>
  </si>
  <si>
    <t>ウィンディソード</t>
  </si>
  <si>
    <t>&lt;地&gt;へダメージ+1D</t>
  </si>
  <si>
    <t>ブライトソード</t>
  </si>
  <si>
    <t>&lt;闇&gt;へダメージ+1D</t>
  </si>
  <si>
    <t>シャドウソード</t>
  </si>
  <si>
    <t>&lt;光&gt;へダメージ+1D</t>
  </si>
  <si>
    <t>赤き斜陽の剣</t>
  </si>
  <si>
    <t>風霊の剣</t>
  </si>
  <si>
    <t>フィランギ</t>
  </si>
  <si>
    <t>フラムベルク</t>
  </si>
  <si>
    <t>ステップレイピア</t>
  </si>
  <si>
    <t>怨念の剣</t>
  </si>
  <si>
    <t>ファインソード</t>
  </si>
  <si>
    <t>紫水晶の剣</t>
  </si>
  <si>
    <t>カットラス</t>
  </si>
  <si>
    <t>ブレイズエッジ</t>
  </si>
  <si>
    <t>誓いの剣</t>
  </si>
  <si>
    <t>グラディウス</t>
  </si>
  <si>
    <t>シミター</t>
  </si>
  <si>
    <t>紫電剣</t>
  </si>
  <si>
    <t>ミスリルソード</t>
  </si>
  <si>
    <t>チェーンブレイド(長剣)</t>
  </si>
  <si>
    <t>シェルソード</t>
  </si>
  <si>
    <t>ﾐｽﾘﾙﾊﾞｽﾀｰﾄﾞｿｰﾄﾞ/片</t>
  </si>
  <si>
    <t>ナイトソード</t>
  </si>
  <si>
    <t>トワイライトソード</t>
  </si>
  <si>
    <t>ミスリルシミター</t>
  </si>
  <si>
    <t>キングズ・ワン</t>
  </si>
  <si>
    <t>ファルシオン</t>
  </si>
  <si>
    <t>絆の剣</t>
  </si>
  <si>
    <t>RF-P048</t>
  </si>
  <si>
    <t>黄金剣</t>
  </si>
  <si>
    <t>虹の剣</t>
  </si>
  <si>
    <t>購入不可</t>
  </si>
  <si>
    <t>コンデションゼブラ(片)</t>
  </si>
  <si>
    <t>バスタードソード/両</t>
  </si>
  <si>
    <t>グレートソード</t>
  </si>
  <si>
    <t>ツヴァイハンダー</t>
  </si>
  <si>
    <t>クリスタルブレイド</t>
  </si>
  <si>
    <t>クレイモア</t>
  </si>
  <si>
    <t>護りの剣</t>
  </si>
  <si>
    <t>ファントムレイ</t>
  </si>
  <si>
    <t>セレスチャルソード</t>
  </si>
  <si>
    <t>ﾒｲﾝ/ｻﾎﾟｸﾗｽがｱｺﾗｲﾄは[命中]+3</t>
  </si>
  <si>
    <t>アウトレイジ</t>
  </si>
  <si>
    <t>アルトエッジ</t>
  </si>
  <si>
    <t>DD-P033</t>
  </si>
  <si>
    <t>アサルトソード</t>
  </si>
  <si>
    <t>ストーマー</t>
  </si>
  <si>
    <t>ファルクス</t>
  </si>
  <si>
    <t>ブレイブブランド</t>
  </si>
  <si>
    <t>ロンパイア</t>
  </si>
  <si>
    <t>霊破斬</t>
  </si>
  <si>
    <t>フランベルジュ</t>
  </si>
  <si>
    <t>エストック</t>
  </si>
  <si>
    <t>ﾐｽﾘﾙﾊﾞｽﾀｰﾄﾞｿｰﾄﾞ/両</t>
  </si>
  <si>
    <t>ミスリルクレイモア</t>
  </si>
  <si>
    <t>シャインエッジ</t>
  </si>
  <si>
    <t>クロスブレイド</t>
  </si>
  <si>
    <t>プリシディアルソード</t>
  </si>
  <si>
    <t>ヘヴィエストック</t>
  </si>
  <si>
    <t>斬馬剣</t>
  </si>
  <si>
    <t>コンデションゼブラ(両)</t>
  </si>
  <si>
    <t>虎徹</t>
  </si>
  <si>
    <t>村正</t>
  </si>
  <si>
    <t>正宗</t>
  </si>
  <si>
    <t>天叢雲剣</t>
  </si>
  <si>
    <t>村雨</t>
  </si>
  <si>
    <t>十握剣</t>
  </si>
  <si>
    <t>布津御魂</t>
  </si>
  <si>
    <t>七支刀</t>
  </si>
  <si>
    <t>天羽羽斬</t>
  </si>
  <si>
    <t>ウィップ</t>
  </si>
  <si>
    <t>チェインウィップ</t>
  </si>
  <si>
    <t>バイパーファング(鞭)</t>
  </si>
  <si>
    <t>チェインダガー(鞭)</t>
  </si>
  <si>
    <t>マルチヘッド</t>
  </si>
  <si>
    <t>DI-P091</t>
  </si>
  <si>
    <t>ビーストラダー</t>
  </si>
  <si>
    <t>スタンウィップ</t>
  </si>
  <si>
    <t>チェーンブレイド(鞭)</t>
  </si>
  <si>
    <t>ボールウィップ(鞭)</t>
  </si>
  <si>
    <t>RF-P049</t>
  </si>
  <si>
    <t>ブラインドウィップ</t>
  </si>
  <si>
    <t>双条鞭</t>
  </si>
  <si>
    <t>ハンドアックス</t>
  </si>
  <si>
    <t>基本P133</t>
  </si>
  <si>
    <t>バトルアックス</t>
  </si>
  <si>
    <t>グレートアックス</t>
  </si>
  <si>
    <t>ハルバード</t>
  </si>
  <si>
    <t>フォーリントマホーク</t>
  </si>
  <si>
    <t>ライトアクス</t>
  </si>
  <si>
    <t>上級P068</t>
  </si>
  <si>
    <t>酔いどれの斧</t>
  </si>
  <si>
    <t>ポールアックス</t>
  </si>
  <si>
    <t>トマホーク</t>
  </si>
  <si>
    <t>金剛の斧</t>
  </si>
  <si>
    <t>バルディギッシュ</t>
  </si>
  <si>
    <t>ツインアックス</t>
  </si>
  <si>
    <t>フリッター</t>
  </si>
  <si>
    <t>マッスルゲイン</t>
  </si>
  <si>
    <t>タンギ</t>
  </si>
  <si>
    <t>旋風斧</t>
  </si>
  <si>
    <t>ヘヴィハルバード</t>
  </si>
  <si>
    <t>ウィングアクス</t>
  </si>
  <si>
    <t>ミスリルアクス</t>
  </si>
  <si>
    <t>ネヴァーフアクス</t>
  </si>
  <si>
    <t>ハンターアクス</t>
  </si>
  <si>
    <t>蒼穹斧</t>
  </si>
  <si>
    <t>ダバール</t>
  </si>
  <si>
    <t>クレセントアクス</t>
  </si>
  <si>
    <t>キーンアクス</t>
  </si>
  <si>
    <t>ミスリルハルバード</t>
  </si>
  <si>
    <t>クラブ</t>
  </si>
  <si>
    <t>メイジスタッフ</t>
  </si>
  <si>
    <t>スタッフ</t>
  </si>
  <si>
    <t>フレイル</t>
  </si>
  <si>
    <t>ライトメイス</t>
  </si>
  <si>
    <t>モーニングスター</t>
  </si>
  <si>
    <t>ヘビーメイス</t>
  </si>
  <si>
    <t>ピック</t>
  </si>
  <si>
    <t>レイジハンマー</t>
  </si>
  <si>
    <t>永氷柱</t>
  </si>
  <si>
    <t>アークスタッフ</t>
  </si>
  <si>
    <t>ホーリークロス</t>
  </si>
  <si>
    <t>ウォーハンマー</t>
  </si>
  <si>
    <t>ヘビーフレイル</t>
  </si>
  <si>
    <t>フォースワンド</t>
  </si>
  <si>
    <t>アクエリスタッフ</t>
  </si>
  <si>
    <t>ガイアスタッフ</t>
  </si>
  <si>
    <t>[魔術判定]+2/&lt;地&gt;[魔法ダメージ]+1D</t>
  </si>
  <si>
    <t>元装備：アクエリスタッフ</t>
  </si>
  <si>
    <t>フレアスタッフ</t>
  </si>
  <si>
    <t>[魔術判定]+2/&lt;火&gt;[魔法ダメージ]+1D</t>
  </si>
  <si>
    <t>エアロスタッフ</t>
  </si>
  <si>
    <t>[魔術判定]+2/&lt;風&gt;[魔法ダメージ]+1D</t>
  </si>
  <si>
    <t>シャインスタッフ</t>
  </si>
  <si>
    <t>[魔術判定]+2/&lt;光&gt;[魔法ダメージ]+1D</t>
  </si>
  <si>
    <t>ダークスタッフ</t>
  </si>
  <si>
    <t>[魔術判定]+2/&lt;闇&gt;[魔法ダメージ]+1D</t>
  </si>
  <si>
    <t>エレメントトーチ</t>
  </si>
  <si>
    <t>ブーストロッド</t>
  </si>
  <si>
    <t>RF-P050</t>
  </si>
  <si>
    <t>ミスリルハンマー</t>
  </si>
  <si>
    <t>ケセドの杖</t>
  </si>
  <si>
    <t>ホースクラッシャー</t>
  </si>
  <si>
    <t>ハーミットスタッフ</t>
  </si>
  <si>
    <t>ホワイトスタッフ</t>
  </si>
  <si>
    <t>ウォーピック</t>
  </si>
  <si>
    <t>ダオスタッフ</t>
  </si>
  <si>
    <t>マリッドスタッフ</t>
  </si>
  <si>
    <t>ｳｨｻﾞｰﾄﾞ･ｿｰｻﾗｰ用/【最大MP】+20/&lt;水&gt;ﾀﾞﾒｰｼﾞ+3D6</t>
  </si>
  <si>
    <t>元装備：ダオスタッフ</t>
  </si>
  <si>
    <t>イフリートスタッフ</t>
  </si>
  <si>
    <t>ｳｨｻﾞｰﾄﾞ･ｿｰｻﾗｰ用/【最大MP】+20/&lt;火&gt;ﾀﾞﾒｰｼﾞ+3D6</t>
  </si>
  <si>
    <t>ディジニスタッフ</t>
  </si>
  <si>
    <t>ｳｨｻﾞｰﾄﾞ･ｿｰｻﾗｰ用/【最大MP】+20/&lt;風&gt;ﾀﾞﾒｰｼﾞ+3D6</t>
  </si>
  <si>
    <t>マライカスタッフ</t>
  </si>
  <si>
    <t>ｳｨｻﾞｰﾄﾞ･ｿｰｻﾗｰ用/【最大MP】+20/&lt;光&gt;ﾀﾞﾒｰｼﾞ+3D6</t>
  </si>
  <si>
    <t>ディアボロススタッフ</t>
  </si>
  <si>
    <t>ｳｨｻﾞｰﾄﾞ･ｿｰｻﾗｰ用/【最大MP】+20/&lt;闇&gt;ﾀﾞﾒｰｼﾞ+3D6</t>
  </si>
  <si>
    <t>ミスリルフレイル</t>
  </si>
  <si>
    <t>ビショップワンド</t>
  </si>
  <si>
    <t>ウィザードスタッフ</t>
  </si>
  <si>
    <t>ボールウィップ(打撃)</t>
  </si>
  <si>
    <t>爆撃棍</t>
  </si>
  <si>
    <t>ミスリルピック</t>
  </si>
  <si>
    <t>剛魔の杖</t>
  </si>
  <si>
    <t>ダイヤメイス</t>
  </si>
  <si>
    <t>ショートスピア</t>
  </si>
  <si>
    <t>ロングスピア</t>
  </si>
  <si>
    <t>トライデント</t>
  </si>
  <si>
    <t>シューティングスター</t>
  </si>
  <si>
    <t>ランシア</t>
  </si>
  <si>
    <t>パイク</t>
  </si>
  <si>
    <t>轟乱戟</t>
  </si>
  <si>
    <t>ギムネスピア</t>
  </si>
  <si>
    <t>パルチザン</t>
  </si>
  <si>
    <t>光の槍</t>
  </si>
  <si>
    <t>ウィングランシア</t>
  </si>
  <si>
    <t>ランス</t>
  </si>
  <si>
    <t>ヘヴィスピア</t>
  </si>
  <si>
    <t>ティフェレトの槍</t>
  </si>
  <si>
    <t>連撃の槍</t>
  </si>
  <si>
    <t>フットマンズパイク</t>
  </si>
  <si>
    <t>ヘヴィランス</t>
  </si>
  <si>
    <t>ディスタントランシア</t>
  </si>
  <si>
    <t>ガラントスピア</t>
  </si>
  <si>
    <t>RF-P051</t>
  </si>
  <si>
    <t>ミスリルスピア</t>
  </si>
  <si>
    <t>ミスリルランシア</t>
  </si>
  <si>
    <t>爆射の槍</t>
  </si>
  <si>
    <t>十字槍</t>
  </si>
  <si>
    <t>マイティランス</t>
  </si>
  <si>
    <t>ダイヤランス</t>
  </si>
  <si>
    <t>ショートボウ</t>
  </si>
  <si>
    <t>ライトクロスボウ</t>
  </si>
  <si>
    <t>ロングボウ</t>
  </si>
  <si>
    <t>アームボウ</t>
  </si>
  <si>
    <t>セルフボウ</t>
  </si>
  <si>
    <t>40m</t>
  </si>
  <si>
    <t>バードキラー</t>
  </si>
  <si>
    <t>60m</t>
  </si>
  <si>
    <t>ヘビークロスボウ</t>
  </si>
  <si>
    <t>雷鳴の弓</t>
  </si>
  <si>
    <t>ベンドクロスボウ</t>
  </si>
  <si>
    <t>35m</t>
  </si>
  <si>
    <t>リピーター</t>
  </si>
  <si>
    <t>50m</t>
  </si>
  <si>
    <t>ラシールの魔弓</t>
  </si>
  <si>
    <t>フレイムシューター</t>
  </si>
  <si>
    <t>乾坤一擲</t>
  </si>
  <si>
    <t>狩人の弓</t>
  </si>
  <si>
    <t>80m</t>
  </si>
  <si>
    <t>コンポジットボウ</t>
  </si>
  <si>
    <t>70m</t>
  </si>
  <si>
    <t>フェイタルクロスボウ</t>
  </si>
  <si>
    <t>100m</t>
  </si>
  <si>
    <t>ラピッドボウ</t>
  </si>
  <si>
    <t>影縫いの弓</t>
  </si>
  <si>
    <t>重藤弓</t>
  </si>
  <si>
    <t>マジカルクロスボウ</t>
  </si>
  <si>
    <t>ﾍｳﾞｨｺﾝﾎﾟｼﾞｯﾄﾎﾞｳ</t>
  </si>
  <si>
    <t>スティールダウン</t>
  </si>
  <si>
    <t>90m</t>
  </si>
  <si>
    <t>アーバレスト</t>
  </si>
  <si>
    <t>グレートボウ</t>
  </si>
  <si>
    <t>天光弓</t>
  </si>
  <si>
    <t>バリスタ</t>
  </si>
  <si>
    <t>マスケット</t>
  </si>
  <si>
    <t>ライフル</t>
  </si>
  <si>
    <t>レールガン</t>
  </si>
  <si>
    <t>レーザーライフル</t>
  </si>
  <si>
    <t>グラヴィティライフル</t>
  </si>
  <si>
    <t>アサルトライフル</t>
  </si>
  <si>
    <t>グレネードランチャー</t>
  </si>
  <si>
    <t>チェーンガン</t>
  </si>
  <si>
    <t>ポジトロンライフル</t>
  </si>
  <si>
    <t>150m</t>
  </si>
  <si>
    <t>フュージョンガン</t>
  </si>
  <si>
    <t>上級P036</t>
  </si>
  <si>
    <t>攻撃力がCLによって可変します。</t>
  </si>
  <si>
    <t>魔導銃×2</t>
  </si>
  <si>
    <t>攻撃力がCLと《ｶﾞﾝﾊﾟｰﾄﾞ》によって可変します。</t>
  </si>
  <si>
    <t>インフィニットアーム</t>
  </si>
  <si>
    <t>手提げバッグ</t>
  </si>
  <si>
    <t>DD-P037</t>
  </si>
  <si>
    <t>長い棒</t>
  </si>
  <si>
    <t>装備品／盾</t>
  </si>
  <si>
    <t>盾</t>
  </si>
  <si>
    <t>WAT</t>
  </si>
  <si>
    <t>基本P135</t>
  </si>
  <si>
    <t>ラウンドシールド</t>
  </si>
  <si>
    <t>WA</t>
  </si>
  <si>
    <t>カイトシールド</t>
  </si>
  <si>
    <t>古代の盾</t>
  </si>
  <si>
    <t>DI-P092</t>
  </si>
  <si>
    <t>おしゃれの盾</t>
  </si>
  <si>
    <t>WATM</t>
  </si>
  <si>
    <t>FQ-P083</t>
  </si>
  <si>
    <t>ターンシールド</t>
  </si>
  <si>
    <t>WT</t>
  </si>
  <si>
    <t>ハイクオリティシールド</t>
  </si>
  <si>
    <t>上級P070</t>
  </si>
  <si>
    <t>エレメンタルシールド</t>
  </si>
  <si>
    <t>DD-P035</t>
  </si>
  <si>
    <t>セレスチャルシールド</t>
  </si>
  <si>
    <t>上級P072</t>
  </si>
  <si>
    <t>ファインバックラー</t>
  </si>
  <si>
    <t>ファインシールド</t>
  </si>
  <si>
    <t>W</t>
  </si>
  <si>
    <t>セイントシールド</t>
  </si>
  <si>
    <t>RF-P053</t>
  </si>
  <si>
    <t>ハードシールド</t>
  </si>
  <si>
    <t>センチネルガード</t>
  </si>
  <si>
    <t>ホーリーシールド</t>
  </si>
  <si>
    <t>A</t>
  </si>
  <si>
    <t>ナイトシールド</t>
  </si>
  <si>
    <t>ビッグウォール</t>
  </si>
  <si>
    <t>バトルバックラー</t>
  </si>
  <si>
    <t>マジックシールド</t>
  </si>
  <si>
    <t>WAM</t>
  </si>
  <si>
    <t>バイキングシールド</t>
  </si>
  <si>
    <t>ドラゴンシールド</t>
  </si>
  <si>
    <t>RF-P054</t>
  </si>
  <si>
    <t>ミスリルシールド</t>
  </si>
  <si>
    <t>ファイナルシールド</t>
  </si>
  <si>
    <t>クリスタルシールド</t>
  </si>
  <si>
    <t>ストライクシールド</t>
  </si>
  <si>
    <t>リフレクトシールド</t>
  </si>
  <si>
    <t>装備品／頭部防具</t>
  </si>
  <si>
    <t>暗視ゴーグル</t>
  </si>
  <si>
    <t>道具</t>
  </si>
  <si>
    <t>ハット</t>
  </si>
  <si>
    <t>サークレット</t>
  </si>
  <si>
    <t>ビレッタ</t>
  </si>
  <si>
    <t>メイジハット</t>
  </si>
  <si>
    <t>M</t>
  </si>
  <si>
    <t>ドミノ</t>
  </si>
  <si>
    <t>T</t>
  </si>
  <si>
    <t>古代の冠</t>
  </si>
  <si>
    <t>メディテーションマスク</t>
  </si>
  <si>
    <t>DD-P034</t>
  </si>
  <si>
    <t>鉢金</t>
  </si>
  <si>
    <t>ｻﾑﾗｲ</t>
  </si>
  <si>
    <t>上級P069</t>
  </si>
  <si>
    <t>幸せのサークレット</t>
  </si>
  <si>
    <t>ヘルム</t>
  </si>
  <si>
    <t>グリーンベレー</t>
  </si>
  <si>
    <t>黒頭巾</t>
  </si>
  <si>
    <t>ﾆﾝｼﾞｬ</t>
  </si>
  <si>
    <t>闇夜の帽子</t>
  </si>
  <si>
    <t>闘士のバンダナ</t>
  </si>
  <si>
    <t>オリハルコンの髪飾り</t>
  </si>
  <si>
    <t>天魔の兜</t>
  </si>
  <si>
    <t>セレスチャルヘルム</t>
  </si>
  <si>
    <t>クロスヘルム</t>
  </si>
  <si>
    <t>不沈の冠</t>
  </si>
  <si>
    <t>フレンドベレー</t>
  </si>
  <si>
    <t>ｻﾓﾅｰ</t>
  </si>
  <si>
    <t>RF-P052</t>
  </si>
  <si>
    <t>月光のサークレット</t>
  </si>
  <si>
    <t>魔骨の兜</t>
  </si>
  <si>
    <t>ディテクターゴーグル</t>
  </si>
  <si>
    <t>飛燕の帽子</t>
  </si>
  <si>
    <t>バトルマスク</t>
  </si>
  <si>
    <t>ホーリーサークレット</t>
  </si>
  <si>
    <t>AM</t>
  </si>
  <si>
    <t>ライオンマスク</t>
  </si>
  <si>
    <t>ファストハット</t>
  </si>
  <si>
    <t>ゴールドヘルム</t>
  </si>
  <si>
    <t>マジカルハット</t>
  </si>
  <si>
    <t>ミスリルの髪飾り</t>
  </si>
  <si>
    <t>クリスタルヘルム</t>
  </si>
  <si>
    <t>ガラスの王冠</t>
  </si>
  <si>
    <t>アダマンチウムヘルム</t>
  </si>
  <si>
    <t>ジルコニアヘルム</t>
  </si>
  <si>
    <t>ルーンバンド</t>
  </si>
  <si>
    <t>装備品／胴部防具</t>
  </si>
  <si>
    <t>ローブ</t>
  </si>
  <si>
    <t>妖精のチェインメイル</t>
  </si>
  <si>
    <t>基本P141</t>
  </si>
  <si>
    <t>クロスアーマー</t>
  </si>
  <si>
    <t>レザージャケット</t>
  </si>
  <si>
    <t>レザーアーマー</t>
  </si>
  <si>
    <t>チェインメイル</t>
  </si>
  <si>
    <t>踊り子の衣装</t>
  </si>
  <si>
    <t>ﾀﾞﾝｻｰ</t>
  </si>
  <si>
    <t>イレイションローブ</t>
  </si>
  <si>
    <t>スタデッドメイル</t>
  </si>
  <si>
    <t>レビテートローブ</t>
  </si>
  <si>
    <t>癒しの衣</t>
  </si>
  <si>
    <t>ダルマティカ</t>
  </si>
  <si>
    <t>メイジローブ</t>
  </si>
  <si>
    <t>スケイルアーマー</t>
  </si>
  <si>
    <t>黒装束</t>
  </si>
  <si>
    <t>ブレストプレート</t>
  </si>
  <si>
    <t>フェザーアーマー</t>
  </si>
  <si>
    <t>パッデッドアーマー</t>
  </si>
  <si>
    <t>ミスリルクローク</t>
  </si>
  <si>
    <t>ATM</t>
  </si>
  <si>
    <t>テーゲベックの鎧</t>
  </si>
  <si>
    <t>胴着</t>
  </si>
  <si>
    <t>クィルブイリ</t>
  </si>
  <si>
    <t>シャドウブレーカー</t>
  </si>
  <si>
    <t>アークィバスアーマー</t>
  </si>
  <si>
    <t>ミスリルベスト</t>
  </si>
  <si>
    <t>胴丸</t>
  </si>
  <si>
    <t>ガードローブ</t>
  </si>
  <si>
    <t>祝福の鎧</t>
  </si>
  <si>
    <t>ブリガンダイン</t>
  </si>
  <si>
    <t>ヴァニッシュローブ</t>
  </si>
  <si>
    <t>プレイトメイル</t>
  </si>
  <si>
    <t>ホーリーブレスト</t>
  </si>
  <si>
    <t>プリーストローブ</t>
  </si>
  <si>
    <t>ﾌﾟﾘｰｽﾄ</t>
  </si>
  <si>
    <t>ウィザードローブ</t>
  </si>
  <si>
    <t>ｳｨｻﾞｰﾄﾞ</t>
  </si>
  <si>
    <t>ソーサラーコート</t>
  </si>
  <si>
    <t>ｿｰｻﾗｰ</t>
  </si>
  <si>
    <t>光輝の鎧</t>
  </si>
  <si>
    <t>セレスチャルアーマー</t>
  </si>
  <si>
    <t>スニーキングスーツ</t>
  </si>
  <si>
    <t>キュイラス</t>
  </si>
  <si>
    <t>ドラゴンメイル</t>
  </si>
  <si>
    <t>マナリンクローブ</t>
  </si>
  <si>
    <t>バトルスーツ</t>
  </si>
  <si>
    <t>ホーリープレート</t>
  </si>
  <si>
    <t>ミスリルアーマー</t>
  </si>
  <si>
    <t>剛神の鎧</t>
  </si>
  <si>
    <t>ミラージュコート</t>
  </si>
  <si>
    <t>白のローブ</t>
  </si>
  <si>
    <t>黒のローブ</t>
  </si>
  <si>
    <t>クリスタルアーマー</t>
  </si>
  <si>
    <t>アサシンガーブ</t>
  </si>
  <si>
    <t>身かわしの服</t>
  </si>
  <si>
    <t>大地のローブ</t>
  </si>
  <si>
    <t>ダイヤアーマー</t>
  </si>
  <si>
    <t>ナイトアーマー</t>
  </si>
  <si>
    <t>ﾅｲﾄ</t>
  </si>
  <si>
    <t>ルーンローブ</t>
  </si>
  <si>
    <t>リフレクトアーマー</t>
  </si>
  <si>
    <t>鉄巨人の具足</t>
  </si>
  <si>
    <t>バトルマスター</t>
  </si>
  <si>
    <t>装備品／装身具</t>
  </si>
  <si>
    <t>聖印</t>
  </si>
  <si>
    <t>基本P139</t>
  </si>
  <si>
    <t>グリモア</t>
  </si>
  <si>
    <t>シーブズツール</t>
  </si>
  <si>
    <t>楽器</t>
  </si>
  <si>
    <t>ﾊﾞｰﾄﾞ</t>
  </si>
  <si>
    <t>知識の書</t>
  </si>
  <si>
    <t>ｾｰｼﾞ</t>
  </si>
  <si>
    <t>奥義書</t>
  </si>
  <si>
    <t>高位聖印</t>
  </si>
  <si>
    <t>セブン・ダブ</t>
  </si>
  <si>
    <t>勝守</t>
  </si>
  <si>
    <t>秘伝書</t>
  </si>
  <si>
    <t>ﾓﾝｸ</t>
  </si>
  <si>
    <t>古代竜の牙</t>
  </si>
  <si>
    <t>SL6になる際は、SL欄は手動で「6」を入力してください</t>
  </si>
  <si>
    <t>研究道具</t>
  </si>
  <si>
    <t>ｱﾙｹﾐ</t>
  </si>
  <si>
    <t>マント</t>
  </si>
  <si>
    <t>ポイントアーマー</t>
  </si>
  <si>
    <t>炎のタリスマン</t>
  </si>
  <si>
    <t>地のタリスマン</t>
  </si>
  <si>
    <t>対&lt;地&gt;[魔法防御力]+2</t>
  </si>
  <si>
    <t>元装備：炎のタリスマン</t>
  </si>
  <si>
    <t>水のタリスマン</t>
  </si>
  <si>
    <t>対&lt;水&gt;[魔法防御力]+2</t>
  </si>
  <si>
    <t>風のタリスマン</t>
  </si>
  <si>
    <t>対&lt;風&gt;[魔法防御力]+2</t>
  </si>
  <si>
    <t>光のタリスマン</t>
  </si>
  <si>
    <t>対&lt;光&gt;[魔法防御力]+2</t>
  </si>
  <si>
    <t>闇のタリスマン</t>
  </si>
  <si>
    <t>対&lt;闇&gt;[魔法防御力]+2</t>
  </si>
  <si>
    <t>護りの指輪</t>
  </si>
  <si>
    <t>生命の呪符</t>
  </si>
  <si>
    <t>基本P142</t>
  </si>
  <si>
    <t>地精霊のオーブ</t>
  </si>
  <si>
    <t>水精霊のオーブ</t>
  </si>
  <si>
    <t>&lt;水&gt;ﾀﾞﾒｰｼﾞ魔法の消費MP-2(最低1)</t>
  </si>
  <si>
    <t>元装備：地精霊のオーブ</t>
  </si>
  <si>
    <t>火精霊のオーブ</t>
  </si>
  <si>
    <t>&lt;火&gt;ﾀﾞﾒｰｼﾞ魔法の消費MP-2(最低1)</t>
  </si>
  <si>
    <t>風精霊のオーブ</t>
  </si>
  <si>
    <t>&lt;風&gt;ﾀﾞﾒｰｼﾞ魔法の消費MP-2(最低1)</t>
  </si>
  <si>
    <t>光精霊のオーブ</t>
  </si>
  <si>
    <t>&lt;光&gt;ﾀﾞﾒｰｼﾞ魔法の消費MP-2(最低1)</t>
  </si>
  <si>
    <t>闇精霊のオーブ</t>
  </si>
  <si>
    <t>&lt;闇&gt;ﾀﾞﾒｰｼﾞ魔法の消費MP-2(最低1)</t>
  </si>
  <si>
    <t>警告の青水晶</t>
  </si>
  <si>
    <t>パワーリスト</t>
  </si>
  <si>
    <t>鷹の目</t>
  </si>
  <si>
    <t>古代の指輪</t>
  </si>
  <si>
    <t>大きな目</t>
  </si>
  <si>
    <t>虹色の指輪</t>
  </si>
  <si>
    <t>碧星の髪飾り</t>
  </si>
  <si>
    <t>キックブーツ</t>
  </si>
  <si>
    <t>DD-P036</t>
  </si>
  <si>
    <t>見破る目</t>
  </si>
  <si>
    <t>エメラルドリング</t>
  </si>
  <si>
    <t>サファイアリング</t>
  </si>
  <si>
    <t>トパーズリング</t>
  </si>
  <si>
    <t>ルビーリング</t>
  </si>
  <si>
    <t>ダイヤモンドリング</t>
  </si>
  <si>
    <t>&lt;光&gt;への[魔法防御力]+3</t>
  </si>
  <si>
    <t>元装備：エメラルドリング</t>
  </si>
  <si>
    <t>ブラックオニキスリング</t>
  </si>
  <si>
    <t>&lt;闇&gt;への[魔法防御力]+3</t>
  </si>
  <si>
    <t>幸運のペンダント</t>
  </si>
  <si>
    <t>見渡す目</t>
  </si>
  <si>
    <t>俊足のブーツ</t>
  </si>
  <si>
    <t>修羅の鞘</t>
  </si>
  <si>
    <t>DI-P093</t>
  </si>
  <si>
    <t>深紅の腕輪</t>
  </si>
  <si>
    <t>ポーションホルダー</t>
  </si>
  <si>
    <t>羅刹の鞘</t>
  </si>
  <si>
    <t>理知の宝玉</t>
  </si>
  <si>
    <t>盗賊の籠手</t>
  </si>
  <si>
    <t>ﾌｧｲﾝﾎﾟｲﾝﾄｱｰﾏｰ</t>
  </si>
  <si>
    <t>女神のネックレス</t>
  </si>
  <si>
    <t>豊穣の花冠</t>
  </si>
  <si>
    <t>高級忍具</t>
  </si>
  <si>
    <t>叡智の指輪</t>
  </si>
  <si>
    <t>サーコート</t>
  </si>
  <si>
    <t>カモフラージュマント</t>
  </si>
  <si>
    <t>クイックバンド</t>
  </si>
  <si>
    <t>真理の書</t>
  </si>
  <si>
    <t>太陽の腕輪</t>
  </si>
  <si>
    <t>竜爪の耳飾り：地</t>
  </si>
  <si>
    <t>ﾄﾞﾗｸﾞｰﾝ</t>
  </si>
  <si>
    <t>竜爪の耳飾り：水</t>
  </si>
  <si>
    <t>竜爪の耳飾り：火</t>
  </si>
  <si>
    <t>竜爪の耳飾り：風</t>
  </si>
  <si>
    <t>竜爪の耳飾り：光</t>
  </si>
  <si>
    <t>竜爪の耳飾り：闇</t>
  </si>
  <si>
    <t>餌パック</t>
  </si>
  <si>
    <t>ﾃｲﾏｰ</t>
  </si>
  <si>
    <t>カムフラージュマント</t>
  </si>
  <si>
    <t>ｽｶｳﾄ</t>
  </si>
  <si>
    <t>ミスリルの腕輪</t>
  </si>
  <si>
    <t>キャリバーブースター</t>
  </si>
  <si>
    <t>RF-P055</t>
  </si>
  <si>
    <t>ディスペルリング</t>
  </si>
  <si>
    <t>ﾐｽﾘﾙﾎﾟｲﾝﾄｱｰﾏｰ</t>
  </si>
  <si>
    <t>勝守・弐式</t>
  </si>
  <si>
    <t>護光祭祀書</t>
  </si>
  <si>
    <t>ウィングブーツ</t>
  </si>
  <si>
    <t>ﾀﾞｲﾔﾎﾟｲﾝﾄｱｰﾏｰ</t>
  </si>
  <si>
    <t>エルダの指輪</t>
  </si>
  <si>
    <t>ルーンリング</t>
  </si>
  <si>
    <t>火の指輪</t>
  </si>
  <si>
    <t>神罰者の紋章</t>
  </si>
  <si>
    <t>野営道具</t>
  </si>
  <si>
    <t>ロープ</t>
  </si>
  <si>
    <t>ランタン</t>
  </si>
  <si>
    <t>火打ち石/金</t>
  </si>
  <si>
    <t>バックパック</t>
  </si>
  <si>
    <t>転送石</t>
  </si>
  <si>
    <t>バーストルビー</t>
  </si>
  <si>
    <t>マジカルキー</t>
  </si>
  <si>
    <t>死者払いの水</t>
  </si>
  <si>
    <t>理力符</t>
  </si>
  <si>
    <t>結界紋</t>
  </si>
  <si>
    <t>障壁符</t>
  </si>
  <si>
    <t>異次元バッグ</t>
  </si>
  <si>
    <t>世界の瞳</t>
  </si>
  <si>
    <t>ホットボール</t>
  </si>
  <si>
    <t>退魔軟膏</t>
  </si>
  <si>
    <t>ドレスブック</t>
  </si>
  <si>
    <t>魔法のテント</t>
  </si>
  <si>
    <t>リカバーサークル</t>
  </si>
  <si>
    <t>火炎符</t>
  </si>
  <si>
    <t>崩壊の角笛</t>
  </si>
  <si>
    <t>錬魔弾</t>
  </si>
  <si>
    <t>強化弾</t>
  </si>
  <si>
    <t>轟魔弾</t>
  </si>
  <si>
    <t>壊れた天使の人形</t>
  </si>
  <si>
    <t>ウェポンケース</t>
  </si>
  <si>
    <t>小道具入れ</t>
  </si>
  <si>
    <t>キャップライト</t>
  </si>
  <si>
    <t>折りたたみ梯子</t>
  </si>
  <si>
    <t>錠前</t>
  </si>
  <si>
    <t>チョーク</t>
  </si>
  <si>
    <t>小型ハンマー</t>
  </si>
  <si>
    <t>くさび</t>
  </si>
  <si>
    <t>筆記用具</t>
  </si>
  <si>
    <t>調理用具</t>
  </si>
  <si>
    <t>耐毒符</t>
  </si>
  <si>
    <t>滑剤瓶</t>
  </si>
  <si>
    <t>強酸瓶</t>
  </si>
  <si>
    <t>粘着瓶</t>
  </si>
  <si>
    <t>囮餌</t>
  </si>
  <si>
    <t>栽培セット</t>
  </si>
  <si>
    <t>ﾚﾝｼﾞｬ</t>
  </si>
  <si>
    <t>釣り竿</t>
  </si>
  <si>
    <t>猟犬</t>
  </si>
  <si>
    <t>枕</t>
  </si>
  <si>
    <t>薬</t>
  </si>
  <si>
    <t>基本P138</t>
  </si>
  <si>
    <t>HPポーション(スキル)</t>
  </si>
  <si>
    <t>基本P124</t>
  </si>
  <si>
    <t>MPポーション(スキル)</t>
  </si>
  <si>
    <t>上級P039</t>
  </si>
  <si>
    <t>ハイHPポーション</t>
  </si>
  <si>
    <t>ハイMPポーション</t>
  </si>
  <si>
    <t>毒消し</t>
  </si>
  <si>
    <t>万能薬</t>
  </si>
  <si>
    <t>EXHPポーション</t>
  </si>
  <si>
    <t>EXMPポーション</t>
  </si>
  <si>
    <t>蘇生薬</t>
  </si>
  <si>
    <t>強心丹</t>
  </si>
  <si>
    <t>火酒</t>
  </si>
  <si>
    <t>霊水</t>
  </si>
  <si>
    <t>風のエキス</t>
  </si>
  <si>
    <t>上等な衣服</t>
  </si>
  <si>
    <t>衣装</t>
  </si>
  <si>
    <t>ドレス／礼服</t>
  </si>
  <si>
    <t>装飾品</t>
  </si>
  <si>
    <t>早馬</t>
  </si>
  <si>
    <t>ｻｰﾋﾞｽ</t>
  </si>
  <si>
    <t>乗り合い馬車</t>
  </si>
  <si>
    <t>神殿での食事</t>
  </si>
  <si>
    <t>普通の食事</t>
  </si>
  <si>
    <t>豪華な食事</t>
  </si>
  <si>
    <t>神殿での宿泊</t>
  </si>
  <si>
    <t>普通の宿</t>
  </si>
  <si>
    <t>豪華な宿</t>
  </si>
  <si>
    <t>にく</t>
  </si>
  <si>
    <t>食料</t>
  </si>
  <si>
    <t>乗用馬</t>
  </si>
  <si>
    <t>乗物</t>
  </si>
  <si>
    <t>馬を複数所持すると、騎乗時移動力修正が加算されてしまいます。ご注意ください。</t>
  </si>
  <si>
    <t>軍馬</t>
  </si>
  <si>
    <t>名馬</t>
  </si>
  <si>
    <t>馬車</t>
  </si>
  <si>
    <t>騎乗すると[防御判定]-3とありますが、[防御判定]は存在しません。誤植と思われます。/馬を複数所持すると、騎乗時移動力修正が加算されてしまいます。ご注意ください。</t>
  </si>
  <si>
    <t>錬金馬</t>
  </si>
  <si>
    <t>騎竜</t>
  </si>
  <si>
    <t>馬・竜を複数所持すると、騎乗時移動力修正が加算されてしまいます。ご注意ください。</t>
  </si>
  <si>
    <t>GM設定アイテム</t>
  </si>
  <si>
    <t>ARIANRHOD REFERENCE SHEET 【 ライフパス 】</t>
  </si>
  <si>
    <t>ROC</t>
  </si>
  <si>
    <t>長所と短所</t>
  </si>
  <si>
    <t>英雄</t>
  </si>
  <si>
    <t>11～12</t>
  </si>
  <si>
    <t>運命の申し子</t>
  </si>
  <si>
    <t>[フェイト]+1/期待される</t>
  </si>
  <si>
    <t>権力者</t>
  </si>
  <si>
    <t>13～14</t>
  </si>
  <si>
    <t>高貴な出自</t>
  </si>
  <si>
    <t>所持金+300G/身分を隠せない</t>
  </si>
  <si>
    <t>眉目秀麗</t>
  </si>
  <si>
    <t>15～16</t>
  </si>
  <si>
    <t>援助者</t>
  </si>
  <si>
    <t>P130～135からアイテム1つ入手</t>
  </si>
  <si>
    <t>※所持金計算欄を手動で修正してください。</t>
  </si>
  <si>
    <t>傭兵</t>
  </si>
  <si>
    <t>21～22</t>
  </si>
  <si>
    <t>感覚鋭敏</t>
  </si>
  <si>
    <t>【感知基本値】+3/戦いを求める</t>
  </si>
  <si>
    <t>聖職者</t>
  </si>
  <si>
    <t>23～24</t>
  </si>
  <si>
    <t>神の子</t>
  </si>
  <si>
    <t>[危険感知]+3/神殿依頼を断れない</t>
  </si>
  <si>
    <t>魔術師</t>
  </si>
  <si>
    <t>25～26</t>
  </si>
  <si>
    <t>飽くなき探求</t>
  </si>
  <si>
    <t>【知力基本値】+3/ﾏｼﾞｯｸｱｲﾃﾑ好き</t>
  </si>
  <si>
    <t>冒険者</t>
  </si>
  <si>
    <t>31～32</t>
  </si>
  <si>
    <t>ﾄﾚｼﾞｬｰﾊﾝﾀｰ</t>
  </si>
  <si>
    <t>[アイテム鑑定]+3/宝物・お金好き</t>
  </si>
  <si>
    <t>騎士</t>
  </si>
  <si>
    <t>33～34</t>
  </si>
  <si>
    <t>騎士道</t>
  </si>
  <si>
    <t>【筋力基本値】+3/困った人を助ける</t>
  </si>
  <si>
    <t>※【最大HP】影響なし。</t>
  </si>
  <si>
    <t>闇の一族</t>
  </si>
  <si>
    <t>35～36</t>
  </si>
  <si>
    <t>戦闘訓練</t>
  </si>
  <si>
    <t>【敏捷基本値】+3/一族に追われる</t>
  </si>
  <si>
    <t>天涯孤独</t>
  </si>
  <si>
    <t>41～42</t>
  </si>
  <si>
    <t>孤独との戦い</t>
  </si>
  <si>
    <t>【器用基本値】+3/仲間を見捨てない</t>
  </si>
  <si>
    <t>犯罪者</t>
  </si>
  <si>
    <t>43～44</t>
  </si>
  <si>
    <t>艱難辛苦</t>
  </si>
  <si>
    <t>【精神基本値】+3/白眼視される</t>
  </si>
  <si>
    <t>※【最大MP】影響なし。</t>
  </si>
  <si>
    <t>放浪者</t>
  </si>
  <si>
    <t>45～46</t>
  </si>
  <si>
    <t>旅の知識</t>
  </si>
  <si>
    <t>[エネミー識別]+3/1箇所に留まれない</t>
  </si>
  <si>
    <t>幸運の星</t>
  </si>
  <si>
    <t>51～52</t>
  </si>
  <si>
    <t>楽観主義</t>
  </si>
  <si>
    <t>【幸運基本値】+3/物事を深く考えない</t>
  </si>
  <si>
    <t>超病弱</t>
  </si>
  <si>
    <t>53～54</t>
  </si>
  <si>
    <t>生と死の境</t>
  </si>
  <si>
    <t>【MP】+5/悪夢に悩まされる</t>
  </si>
  <si>
    <t>異種族の親</t>
  </si>
  <si>
    <t>55～56</t>
  </si>
  <si>
    <t>隠された力</t>
  </si>
  <si>
    <t>種族ｽｷﾙ1つ/親種族依頼を断れない</t>
  </si>
  <si>
    <t>※本人の種族以外の種族スキルを1つ取得する。</t>
  </si>
  <si>
    <t>始祖の紋章</t>
  </si>
  <si>
    <t>61～62</t>
  </si>
  <si>
    <t>神の恩恵</t>
  </si>
  <si>
    <t>ﾒｲﾝｸﾗｽのｽｷﾙ1つ/邪神妖魔の標的</t>
  </si>
  <si>
    <t>人工生命</t>
  </si>
  <si>
    <t>63～64</t>
  </si>
  <si>
    <t>偽りの生命</t>
  </si>
  <si>
    <t>ｻﾎﾟｰﾄｸﾗｽのｽｷﾙ1つ/組織の標的</t>
  </si>
  <si>
    <t>65～66</t>
  </si>
  <si>
    <t>妖魔の血</t>
  </si>
  <si>
    <t>【HP】+5/正体を隠そうとする</t>
  </si>
  <si>
    <t>超音痴</t>
  </si>
  <si>
    <t>悪夢の歌声</t>
  </si>
  <si>
    <t>1回・任意対象全員に1D6ﾀﾞﾒｰｼﾞ</t>
  </si>
  <si>
    <t>料理下手</t>
  </si>
  <si>
    <t>味覚音痴</t>
  </si>
  <si>
    <t>「にく」の効果+1D6</t>
  </si>
  <si>
    <t>天然ボケ</t>
  </si>
  <si>
    <t>泰然自若</t>
  </si>
  <si>
    <t>1回・ﾊﾞｯﾄﾞｽﾃｰﾀｽ無効</t>
  </si>
  <si>
    <t>柔軟な体質</t>
  </si>
  <si>
    <t>伸縮腕</t>
  </si>
  <si>
    <t>5m以内の対象に[白兵攻撃]可能</t>
  </si>
  <si>
    <t>巨人のごとき長身</t>
  </si>
  <si>
    <t>巨人の血</t>
  </si>
  <si>
    <t>[飛行]対象に[離脱]ﾙｰﾙ適用</t>
  </si>
  <si>
    <t>容姿端麗</t>
  </si>
  <si>
    <t>天上の美</t>
  </si>
  <si>
    <t>1回・[ﾘｱｸｼｮﾝ]達成値+5</t>
  </si>
  <si>
    <t>二重人格</t>
  </si>
  <si>
    <t>破壊衝動</t>
  </si>
  <si>
    <t>【HP】20%以下でﾀﾞﾒｰｼﾞﾛｰﾙ+1D6</t>
  </si>
  <si>
    <t>竜の血脈</t>
  </si>
  <si>
    <t>竜の息</t>
  </si>
  <si>
    <t>1回・《ﾌﾞﾚｽ》使用・SL=CL+1(MAX5)</t>
  </si>
  <si>
    <t>精霊の友：地</t>
  </si>
  <si>
    <t>精霊の加護</t>
  </si>
  <si>
    <t>&lt;地&gt;属性を持つ</t>
  </si>
  <si>
    <t>精霊の友：水</t>
  </si>
  <si>
    <t>&lt;水&gt;属性を持つ</t>
  </si>
  <si>
    <t>精霊の友：火</t>
  </si>
  <si>
    <t>&lt;火&gt;属性を持つ</t>
  </si>
  <si>
    <t>精霊の友：風</t>
  </si>
  <si>
    <t>&lt;風&gt;属性を持つ</t>
  </si>
  <si>
    <t>精霊の友：光</t>
  </si>
  <si>
    <t>&lt;光&gt;属性を持つ</t>
  </si>
  <si>
    <t>精霊の友：闇</t>
  </si>
  <si>
    <t>&lt;闇&gt;属性を持つ</t>
  </si>
  <si>
    <t>足の異臭</t>
  </si>
  <si>
    <t>天然の結界</t>
  </si>
  <si>
    <t>ﾊﾟｰﾃｨは不意打ちを受けない</t>
  </si>
  <si>
    <t>月光の祝福</t>
  </si>
  <si>
    <t>光る瞳</t>
  </si>
  <si>
    <t>瞳が光る。明度3扱い</t>
  </si>
  <si>
    <t>独特なクセ</t>
  </si>
  <si>
    <t>おまじない</t>
  </si>
  <si>
    <t>1回・ﾌｧﾝﾌﾞﾙした判定を振り直す</t>
  </si>
  <si>
    <t>特別な血統</t>
  </si>
  <si>
    <t>不思議な技</t>
  </si>
  <si>
    <t>ｻﾎﾟｰﾄｸﾗｽ以外のｽｷﾙ1つ/ﾚﾍﾞﾙｱｯﾌﾟ可</t>
  </si>
  <si>
    <t>※自動取得スキルを除く</t>
  </si>
  <si>
    <t>動物の親</t>
  </si>
  <si>
    <t>野生の力</t>
  </si>
  <si>
    <t>1回・ﾒｼﾞｬｰｱｸｼｮﾝ・【HP】1D6回復</t>
  </si>
  <si>
    <t>滅んだ民族の血</t>
  </si>
  <si>
    <t>先祖伝来の技</t>
  </si>
  <si>
    <t>ﾒｲﾝｸﾗｽ以外のｽｷﾙ1つ/ﾚﾍﾞﾙｱｯﾌﾟ可</t>
  </si>
  <si>
    <t>服装倒錯</t>
  </si>
  <si>
    <t>お気に入りの服</t>
  </si>
  <si>
    <t>※効果対象が全ての防具に適用されるかどうか、解釈が不明瞭のため、シートへの反映は手動で行ってください。</t>
  </si>
  <si>
    <t>手放せないもの</t>
  </si>
  <si>
    <t>愛用の品</t>
  </si>
  <si>
    <t>1回・ﾒｼﾞｬｰｱｸｼｮﾝ・【MP】1D6回復</t>
  </si>
  <si>
    <t>残されたもの</t>
  </si>
  <si>
    <t>遺産の所持</t>
  </si>
  <si>
    <t>ﾚﾍﾞﾙ10以上のﾏｼﾞｯｸｱｲﾃﾑ所持</t>
  </si>
  <si>
    <t>※計算上は無料になりませんので、所持金計算欄は手動で修正してください。</t>
  </si>
  <si>
    <t>解説</t>
  </si>
  <si>
    <t>師匠</t>
  </si>
  <si>
    <t>解説が入ります。(未実装)</t>
  </si>
  <si>
    <t>組織</t>
  </si>
  <si>
    <t>遺言</t>
  </si>
  <si>
    <t>修行</t>
  </si>
  <si>
    <t>正義</t>
  </si>
  <si>
    <t>愛</t>
  </si>
  <si>
    <t>贖罪</t>
  </si>
  <si>
    <t>秘密</t>
  </si>
  <si>
    <t>略奪</t>
  </si>
  <si>
    <t>没落</t>
  </si>
  <si>
    <t>追放</t>
  </si>
  <si>
    <t>喪失</t>
  </si>
  <si>
    <t>復讐</t>
  </si>
  <si>
    <t>飢餓</t>
  </si>
  <si>
    <t>呪い</t>
  </si>
  <si>
    <t>死神</t>
  </si>
  <si>
    <t>黄泉がえり</t>
  </si>
  <si>
    <t>戦と共に</t>
  </si>
  <si>
    <t>大きな夢</t>
  </si>
  <si>
    <t>超貧乏</t>
  </si>
  <si>
    <t>逃亡生活</t>
  </si>
  <si>
    <t>謎を求めて</t>
  </si>
  <si>
    <t>賞金首</t>
  </si>
  <si>
    <t>汚名</t>
  </si>
  <si>
    <t>売買</t>
  </si>
  <si>
    <t>出奔</t>
  </si>
  <si>
    <t>過保護</t>
  </si>
  <si>
    <t>反逆者</t>
  </si>
  <si>
    <t>遂行</t>
  </si>
  <si>
    <t>探索の旅</t>
  </si>
  <si>
    <t>神々の寵愛</t>
  </si>
  <si>
    <t>秘密の正体</t>
  </si>
  <si>
    <t>余命いくばくもない</t>
  </si>
  <si>
    <t>平々凡々</t>
  </si>
  <si>
    <t>勝利</t>
  </si>
  <si>
    <t>栄光</t>
  </si>
  <si>
    <t>慈愛</t>
  </si>
  <si>
    <t>真理</t>
  </si>
  <si>
    <t>財産</t>
  </si>
  <si>
    <t>忠誠</t>
  </si>
  <si>
    <t>支配</t>
  </si>
  <si>
    <t>幸福</t>
  </si>
  <si>
    <t>渇望</t>
  </si>
  <si>
    <t>迷走</t>
  </si>
  <si>
    <t>束縛</t>
  </si>
  <si>
    <t>嘘</t>
  </si>
  <si>
    <t>闘争</t>
  </si>
  <si>
    <t>絶望</t>
  </si>
  <si>
    <t>死</t>
  </si>
  <si>
    <t>神の眷属</t>
  </si>
  <si>
    <t>自分との戦い</t>
  </si>
  <si>
    <t>世界の敵</t>
  </si>
  <si>
    <t>赦免</t>
  </si>
  <si>
    <t>波瀾万丈</t>
  </si>
  <si>
    <t>放浪生活</t>
  </si>
  <si>
    <t>窮極の選択</t>
  </si>
  <si>
    <t>転落人生</t>
  </si>
  <si>
    <t>名声</t>
  </si>
  <si>
    <t>生涯の伴侶</t>
  </si>
  <si>
    <t>平穏無事</t>
  </si>
  <si>
    <t>試練の連続</t>
  </si>
  <si>
    <t>苦痛</t>
  </si>
  <si>
    <t>変貌</t>
  </si>
  <si>
    <t>真の覚醒</t>
  </si>
  <si>
    <t>永遠の命</t>
  </si>
  <si>
    <t>約束された幸福</t>
  </si>
  <si>
    <t>クラスを選択</t>
  </si>
  <si>
    <t>初期HP</t>
  </si>
  <si>
    <t>初期MP</t>
  </si>
  <si>
    <t>キャラクターシート反映のための参照データ</t>
  </si>
  <si>
    <t>ウォーリア系</t>
  </si>
  <si>
    <t>CL/自動取得スキル関連</t>
  </si>
  <si>
    <t>…CL10以上のキャラのCL参照</t>
  </si>
  <si>
    <t>…ギルドスキル《クローゼット》の有無</t>
  </si>
  <si>
    <t>クラス重複とスキル修得数</t>
  </si>
  <si>
    <t>…初期状態でクラスが重複しているかどうか</t>
  </si>
  <si>
    <t>アコライト系</t>
  </si>
  <si>
    <t>右手武器[行動修正]</t>
  </si>
  <si>
    <t>…右手装備品[行動修正]+《スピードショット》</t>
  </si>
  <si>
    <t>…《スピードショット》修正後、1以上の場合修正</t>
  </si>
  <si>
    <t>メイジ系</t>
  </si>
  <si>
    <t>右手武器[命中修正]</t>
  </si>
  <si>
    <t>…右手装備品[命中修正]+《グラディエイト》「深紅の腕輪」</t>
  </si>
  <si>
    <t>…《グラディエイト》「深紅の腕輪」修正後、1以上の場合修正</t>
  </si>
  <si>
    <t>シーフ系</t>
  </si>
  <si>
    <t>[命中修正][攻撃力]左手加算</t>
  </si>
  <si>
    <t>…《アンビデクスタリティ》《ツインウェポン》の有無</t>
  </si>
  <si>
    <t>左手武器[命中修正]</t>
  </si>
  <si>
    <t>…左手装備品[命中修正]+《グラディエイト》「深紅の腕輪」</t>
  </si>
  <si>
    <t>「盾」[物防]を[魔防]に加算</t>
  </si>
  <si>
    <t>…《ハイパーシールド》有無</t>
  </si>
  <si>
    <t>…《ハイパーシールド》適用時の[魔法防御力]修正</t>
  </si>
  <si>
    <t>装備レベル選択</t>
  </si>
  <si>
    <t>武器＆盾種別</t>
  </si>
  <si>
    <t>メイン・サポート</t>
  </si>
  <si>
    <t>★ヴァーナ部族</t>
  </si>
  <si>
    <t>アウリル(狼族)</t>
  </si>
  <si>
    <t>その他</t>
  </si>
  <si>
    <t>アウリラ(兎族)</t>
  </si>
  <si>
    <t>★ドゥアン部族</t>
  </si>
  <si>
    <t>セラトス(有角族)</t>
  </si>
  <si>
    <t>オルニス(天翼族)</t>
  </si>
  <si>
    <t>ケイネス(牙爪族)</t>
  </si>
  <si>
    <t>レベル選択</t>
  </si>
  <si>
    <t>転職選択</t>
  </si>
  <si>
    <t>☆</t>
  </si>
  <si>
    <t>能力値選択</t>
  </si>
  <si>
    <t>スキルレベル選択</t>
  </si>
  <si>
    <t>成長時選択可能スキル</t>
  </si>
  <si>
    <t>★ヒューリン</t>
  </si>
  <si>
    <t>★エルダナーン</t>
  </si>
  <si>
    <t>★ネヴァーフ</t>
  </si>
  <si>
    <t>★フィルボル</t>
  </si>
  <si>
    <t>★ヴァーナ</t>
  </si>
  <si>
    <t>★ドゥアン</t>
  </si>
</sst>
</file>

<file path=xl/styles.xml><?xml version="1.0" encoding="utf-8"?>
<styleSheet xmlns="http://schemas.openxmlformats.org/spreadsheetml/2006/main">
  <numFmts count="13">
    <numFmt numFmtId="164" formatCode="GENERAL"/>
    <numFmt numFmtId="165" formatCode="YYYY/M/D"/>
    <numFmt numFmtId="166" formatCode="&quot;ギルドレベル &quot;0"/>
    <numFmt numFmtId="167" formatCode="&quot;成長+&quot;0"/>
    <numFmt numFmtId="168" formatCode="\[@\]"/>
    <numFmt numFmtId="169" formatCode="0&quot; G&quot;"/>
    <numFmt numFmtId="170" formatCode="\(0&quot;D)&quot;"/>
    <numFmt numFmtId="171" formatCode="&quot;( &quot;0&quot;D )&quot;"/>
    <numFmt numFmtId="172" formatCode="0&quot;cm&quot;"/>
    <numFmt numFmtId="173" formatCode="0\m"/>
    <numFmt numFmtId="174" formatCode="&quot;/ &quot;0&quot; ]&quot;"/>
    <numFmt numFmtId="175" formatCode="&quot;《 &quot;@&quot; 》&quot;"/>
    <numFmt numFmtId="176" formatCode="&quot;[ &quot;0&quot; ]&quot;"/>
  </numFmts>
  <fonts count="20">
    <font>
      <sz val="11"/>
      <name val="ＭＳ Ｐゴシック"/>
      <family val="3"/>
    </font>
    <font>
      <sz val="10"/>
      <name val="Arial"/>
      <family val="0"/>
    </font>
    <font>
      <sz val="10"/>
      <name val="ＭＳ Ｐゴシック"/>
      <family val="3"/>
    </font>
    <font>
      <sz val="9"/>
      <name val="ＭＳ Ｐゴシック"/>
      <family val="3"/>
    </font>
    <font>
      <b/>
      <sz val="11"/>
      <color indexed="9"/>
      <name val="ＭＳ Ｐゴシック"/>
      <family val="3"/>
    </font>
    <font>
      <b/>
      <sz val="9"/>
      <name val="ＭＳ Ｐゴシック"/>
      <family val="3"/>
    </font>
    <font>
      <sz val="9"/>
      <color indexed="9"/>
      <name val="ＭＳ Ｐゴシック"/>
      <family val="3"/>
    </font>
    <font>
      <sz val="9"/>
      <color indexed="10"/>
      <name val="ＭＳ Ｐゴシック"/>
      <family val="3"/>
    </font>
    <font>
      <b/>
      <sz val="9"/>
      <color indexed="8"/>
      <name val="ＭＳ Ｐゴシック"/>
      <family val="3"/>
    </font>
    <font>
      <b/>
      <sz val="10"/>
      <color indexed="9"/>
      <name val="ＭＳ Ｐゴシック"/>
      <family val="3"/>
    </font>
    <font>
      <sz val="9"/>
      <color indexed="8"/>
      <name val="ＭＳ Ｐゴシック"/>
      <family val="3"/>
    </font>
    <font>
      <b/>
      <sz val="11"/>
      <name val="ＭＳ Ｐゴシック"/>
      <family val="3"/>
    </font>
    <font>
      <b/>
      <sz val="9"/>
      <color indexed="10"/>
      <name val="ＭＳ Ｐゴシック"/>
      <family val="3"/>
    </font>
    <font>
      <b/>
      <sz val="9"/>
      <color indexed="9"/>
      <name val="ＭＳ Ｐゴシック"/>
      <family val="3"/>
    </font>
    <font>
      <b/>
      <sz val="8"/>
      <color indexed="9"/>
      <name val="ＭＳ Ｐゴシック"/>
      <family val="3"/>
    </font>
    <font>
      <sz val="8"/>
      <name val="ＭＳ Ｐゴシック"/>
      <family val="3"/>
    </font>
    <font>
      <sz val="8"/>
      <color indexed="9"/>
      <name val="ＭＳ Ｐゴシック"/>
      <family val="3"/>
    </font>
    <font>
      <sz val="9"/>
      <color indexed="48"/>
      <name val="ＭＳ Ｐゴシック"/>
      <family val="3"/>
    </font>
    <font>
      <sz val="9"/>
      <color indexed="53"/>
      <name val="ＭＳ Ｐゴシック"/>
      <family val="3"/>
    </font>
    <font>
      <b/>
      <sz val="8"/>
      <name val="ＭＳ Ｐゴシック"/>
      <family val="2"/>
    </font>
  </fonts>
  <fills count="17">
    <fill>
      <patternFill/>
    </fill>
    <fill>
      <patternFill patternType="gray125"/>
    </fill>
    <fill>
      <patternFill patternType="solid">
        <fgColor indexed="18"/>
        <bgColor indexed="64"/>
      </patternFill>
    </fill>
    <fill>
      <patternFill patternType="solid">
        <fgColor indexed="8"/>
        <bgColor indexed="64"/>
      </patternFill>
    </fill>
    <fill>
      <patternFill patternType="solid">
        <fgColor indexed="44"/>
        <bgColor indexed="64"/>
      </patternFill>
    </fill>
    <fill>
      <patternFill patternType="solid">
        <fgColor indexed="22"/>
        <bgColor indexed="64"/>
      </patternFill>
    </fill>
    <fill>
      <patternFill patternType="solid">
        <fgColor indexed="27"/>
        <bgColor indexed="64"/>
      </patternFill>
    </fill>
    <fill>
      <patternFill patternType="solid">
        <fgColor indexed="62"/>
        <bgColor indexed="64"/>
      </patternFill>
    </fill>
    <fill>
      <patternFill patternType="solid">
        <fgColor indexed="55"/>
        <bgColor indexed="64"/>
      </patternFill>
    </fill>
    <fill>
      <patternFill patternType="solid">
        <fgColor indexed="42"/>
        <bgColor indexed="64"/>
      </patternFill>
    </fill>
    <fill>
      <patternFill patternType="solid">
        <fgColor indexed="48"/>
        <bgColor indexed="64"/>
      </patternFill>
    </fill>
    <fill>
      <patternFill patternType="solid">
        <fgColor indexed="45"/>
        <bgColor indexed="64"/>
      </patternFill>
    </fill>
    <fill>
      <patternFill patternType="solid">
        <fgColor indexed="23"/>
        <bgColor indexed="64"/>
      </patternFill>
    </fill>
    <fill>
      <patternFill patternType="solid">
        <fgColor indexed="46"/>
        <bgColor indexed="64"/>
      </patternFill>
    </fill>
    <fill>
      <patternFill patternType="solid">
        <fgColor indexed="11"/>
        <bgColor indexed="64"/>
      </patternFill>
    </fill>
    <fill>
      <patternFill patternType="solid">
        <fgColor indexed="13"/>
        <bgColor indexed="64"/>
      </patternFill>
    </fill>
    <fill>
      <patternFill patternType="solid">
        <fgColor indexed="57"/>
        <bgColor indexed="64"/>
      </patternFill>
    </fill>
  </fills>
  <borders count="159">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ck">
        <color indexed="8"/>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thick">
        <color indexed="8"/>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color indexed="63"/>
      </right>
      <top style="thin">
        <color indexed="8"/>
      </top>
      <bottom style="thick">
        <color indexed="8"/>
      </bottom>
    </border>
    <border>
      <left>
        <color indexed="63"/>
      </left>
      <right style="thick">
        <color indexed="8"/>
      </right>
      <top style="thin">
        <color indexed="8"/>
      </top>
      <bottom style="thick">
        <color indexed="8"/>
      </botto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style="thick">
        <color indexed="8"/>
      </left>
      <right>
        <color indexed="63"/>
      </right>
      <top>
        <color indexed="63"/>
      </top>
      <bottom style="thin">
        <color indexed="8"/>
      </bottom>
    </border>
    <border>
      <left>
        <color indexed="63"/>
      </left>
      <right>
        <color indexed="63"/>
      </right>
      <top>
        <color indexed="63"/>
      </top>
      <bottom style="thin">
        <color indexed="8"/>
      </bottom>
    </border>
    <border>
      <left style="thick">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ck">
        <color indexed="8"/>
      </right>
      <top style="thin">
        <color indexed="8"/>
      </top>
      <bottom style="thin">
        <color indexed="8"/>
      </bottom>
    </border>
    <border>
      <left>
        <color indexed="63"/>
      </left>
      <right>
        <color indexed="63"/>
      </right>
      <top style="thin">
        <color indexed="8"/>
      </top>
      <bottom style="thick">
        <color indexed="8"/>
      </bottom>
    </border>
    <border>
      <left>
        <color indexed="63"/>
      </left>
      <right style="thick">
        <color indexed="8"/>
      </right>
      <top style="thick">
        <color indexed="8"/>
      </top>
      <bottom>
        <color indexed="63"/>
      </bottom>
    </border>
    <border>
      <left style="thick">
        <color indexed="8"/>
      </left>
      <right>
        <color indexed="63"/>
      </right>
      <top>
        <color indexed="63"/>
      </top>
      <bottom>
        <color indexed="63"/>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style="thick">
        <color indexed="8"/>
      </left>
      <right style="thick">
        <color indexed="8"/>
      </right>
      <top style="thick">
        <color indexed="8"/>
      </top>
      <bottom style="thick">
        <color indexed="8"/>
      </bottom>
    </border>
    <border>
      <left>
        <color indexed="63"/>
      </left>
      <right>
        <color indexed="63"/>
      </right>
      <top style="thick">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thick">
        <color indexed="8"/>
      </right>
      <top style="thin">
        <color indexed="8"/>
      </top>
      <bottom style="thin">
        <color indexed="8"/>
      </bottom>
    </border>
    <border>
      <left style="thin">
        <color indexed="8"/>
      </left>
      <right style="thick">
        <color indexed="8"/>
      </right>
      <top style="thin">
        <color indexed="8"/>
      </top>
      <bottom style="thin">
        <color indexed="8"/>
      </bottom>
    </border>
    <border>
      <left>
        <color indexed="63"/>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hair">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hair">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medium">
        <color indexed="8"/>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hair">
        <color indexed="8"/>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medium">
        <color indexed="8"/>
      </top>
      <bottom style="thin">
        <color indexed="8"/>
      </bottom>
    </border>
    <border>
      <left style="hair">
        <color indexed="8"/>
      </left>
      <right style="hair">
        <color indexed="8"/>
      </right>
      <top style="medium">
        <color indexed="8"/>
      </top>
      <bottom>
        <color indexed="63"/>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hair">
        <color indexed="8"/>
      </left>
      <right style="hair">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hair">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hair">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medium">
        <color indexed="8"/>
      </right>
      <top style="thin">
        <color indexed="8"/>
      </top>
      <bottom>
        <color indexed="63"/>
      </bottom>
    </border>
    <border>
      <left style="medium">
        <color indexed="8"/>
      </left>
      <right style="hair">
        <color indexed="8"/>
      </right>
      <top style="thin">
        <color indexed="8"/>
      </top>
      <bottom style="medium">
        <color indexed="8"/>
      </bottom>
    </border>
    <border>
      <left>
        <color indexed="63"/>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thin">
        <color indexed="8"/>
      </top>
      <bottom>
        <color indexed="63"/>
      </bottom>
    </border>
    <border>
      <left style="thin">
        <color indexed="8"/>
      </left>
      <right>
        <color indexed="63"/>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9"/>
      </right>
      <top style="medium">
        <color indexed="8"/>
      </top>
      <bottom>
        <color indexed="63"/>
      </bottom>
    </border>
    <border>
      <left style="medium">
        <color indexed="9"/>
      </left>
      <right>
        <color indexed="63"/>
      </right>
      <top style="medium">
        <color indexed="8"/>
      </top>
      <bottom style="thin">
        <color indexed="8"/>
      </bottom>
    </border>
    <border>
      <left style="medium">
        <color indexed="9"/>
      </left>
      <right style="thin">
        <color indexed="8"/>
      </right>
      <top style="medium">
        <color indexed="8"/>
      </top>
      <bottom style="thin">
        <color indexed="8"/>
      </bottom>
    </border>
    <border>
      <left style="thin">
        <color indexed="8"/>
      </left>
      <right style="hair">
        <color indexed="8"/>
      </right>
      <top style="medium">
        <color indexed="8"/>
      </top>
      <bottom>
        <color indexed="63"/>
      </bottom>
    </border>
    <border>
      <left style="hair">
        <color indexed="8"/>
      </left>
      <right style="thin">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hair">
        <color indexed="8"/>
      </right>
      <top style="thin">
        <color indexed="8"/>
      </top>
      <bottom style="medium">
        <color indexed="8"/>
      </bottom>
    </border>
    <border>
      <left style="hair">
        <color indexed="8"/>
      </left>
      <right style="thin">
        <color indexed="8"/>
      </right>
      <top style="thin">
        <color indexed="8"/>
      </top>
      <bottom style="medium">
        <color indexed="8"/>
      </bottom>
    </border>
    <border>
      <left style="thin">
        <color indexed="8"/>
      </left>
      <right style="medium">
        <color indexed="8"/>
      </right>
      <top style="thin">
        <color indexed="8"/>
      </top>
      <bottom>
        <color indexed="63"/>
      </bottom>
    </border>
    <border>
      <left style="medium">
        <color indexed="8"/>
      </left>
      <right style="medium">
        <color indexed="8"/>
      </right>
      <top>
        <color indexed="63"/>
      </top>
      <bottom style="medium">
        <color indexed="8"/>
      </bottom>
    </border>
    <border>
      <left style="hair">
        <color indexed="8"/>
      </left>
      <right style="medium">
        <color indexed="8"/>
      </right>
      <top>
        <color indexed="63"/>
      </top>
      <bottom style="thin">
        <color indexed="8"/>
      </bottom>
    </border>
    <border>
      <left style="medium">
        <color indexed="8"/>
      </left>
      <right style="hair">
        <color indexed="8"/>
      </right>
      <top>
        <color indexed="63"/>
      </top>
      <bottom style="medium">
        <color indexed="8"/>
      </bottom>
    </border>
    <border>
      <left style="thin">
        <color indexed="8"/>
      </left>
      <right style="thin">
        <color indexed="8"/>
      </right>
      <top style="hair">
        <color indexed="8"/>
      </top>
      <bottom style="medium">
        <color indexed="8"/>
      </bottom>
    </border>
    <border>
      <left style="medium">
        <color indexed="8"/>
      </left>
      <right style="hair">
        <color indexed="8"/>
      </right>
      <top>
        <color indexed="63"/>
      </top>
      <bottom style="thin">
        <color indexed="8"/>
      </bottom>
    </border>
    <border>
      <left>
        <color indexed="63"/>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hair">
        <color indexed="8"/>
      </right>
      <top style="medium">
        <color indexed="8"/>
      </top>
      <bottom>
        <color indexed="63"/>
      </bottom>
    </border>
    <border>
      <left style="thin">
        <color indexed="8"/>
      </left>
      <right style="hair">
        <color indexed="8"/>
      </right>
      <top style="medium">
        <color indexed="8"/>
      </top>
      <bottom style="medium">
        <color indexed="8"/>
      </bottom>
    </border>
    <border>
      <left style="hair">
        <color indexed="8"/>
      </left>
      <right style="thin">
        <color indexed="8"/>
      </right>
      <top style="medium">
        <color indexed="8"/>
      </top>
      <bottom style="medium">
        <color indexed="8"/>
      </bottom>
    </border>
    <border>
      <left style="thin">
        <color indexed="8"/>
      </left>
      <right style="thin">
        <color indexed="8"/>
      </right>
      <top style="medium">
        <color indexed="8"/>
      </top>
      <bottom style="hair">
        <color indexed="8"/>
      </bottom>
    </border>
    <border>
      <left style="thin">
        <color indexed="8"/>
      </left>
      <right style="medium">
        <color indexed="8"/>
      </right>
      <top style="medium">
        <color indexed="8"/>
      </top>
      <bottom style="hair">
        <color indexed="8"/>
      </bottom>
    </border>
    <border>
      <left>
        <color indexed="63"/>
      </left>
      <right style="thin">
        <color indexed="8"/>
      </right>
      <top style="thin">
        <color indexed="8"/>
      </top>
      <bottom style="medium">
        <color indexed="8"/>
      </bottom>
    </border>
    <border>
      <left style="hair">
        <color indexed="8"/>
      </left>
      <right>
        <color indexed="63"/>
      </right>
      <top style="thin">
        <color indexed="8"/>
      </top>
      <bottom style="medium">
        <color indexed="8"/>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hair">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hair">
        <color indexed="8"/>
      </left>
      <right style="thin">
        <color indexed="8"/>
      </right>
      <top style="medium">
        <color indexed="8"/>
      </top>
      <bottom style="hair">
        <color indexed="8"/>
      </bottom>
    </border>
    <border>
      <left>
        <color indexed="63"/>
      </left>
      <right style="medium">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color indexed="63"/>
      </left>
      <right style="medium">
        <color indexed="8"/>
      </right>
      <top style="thin">
        <color indexed="8"/>
      </top>
      <bottom style="medium">
        <color indexed="8"/>
      </bottom>
    </border>
    <border>
      <left style="hair">
        <color indexed="8"/>
      </left>
      <right style="thin">
        <color indexed="8"/>
      </right>
      <top style="hair">
        <color indexed="8"/>
      </top>
      <bottom style="hair">
        <color indexed="8"/>
      </bottom>
    </border>
    <border>
      <left>
        <color indexed="63"/>
      </left>
      <right style="medium">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style="thin">
        <color indexed="8"/>
      </top>
      <bottom style="thin">
        <color indexed="8"/>
      </bottom>
    </border>
    <border>
      <left style="medium">
        <color indexed="8"/>
      </left>
      <right style="hair">
        <color indexed="8"/>
      </right>
      <top style="hair">
        <color indexed="8"/>
      </top>
      <bottom style="medium">
        <color indexed="8"/>
      </bottom>
    </border>
    <border>
      <left style="hair">
        <color indexed="8"/>
      </left>
      <right style="thin">
        <color indexed="8"/>
      </right>
      <top style="hair">
        <color indexed="8"/>
      </top>
      <bottom style="medium">
        <color indexed="8"/>
      </bottom>
    </border>
    <border>
      <left>
        <color indexed="63"/>
      </left>
      <right style="medium">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medium">
        <color indexed="8"/>
      </right>
      <top style="medium">
        <color indexed="8"/>
      </top>
      <bottom style="hair">
        <color indexed="8"/>
      </bottom>
    </border>
    <border>
      <left style="thin">
        <color indexed="8"/>
      </left>
      <right style="hair">
        <color indexed="8"/>
      </right>
      <top style="medium">
        <color indexed="8"/>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double">
        <color indexed="8"/>
      </top>
      <bottom style="medium">
        <color indexed="8"/>
      </bottom>
    </border>
    <border>
      <left style="thin">
        <color indexed="8"/>
      </left>
      <right>
        <color indexed="63"/>
      </right>
      <top style="double">
        <color indexed="8"/>
      </top>
      <bottom style="medium">
        <color indexed="8"/>
      </bottom>
    </border>
    <border>
      <left>
        <color indexed="63"/>
      </left>
      <right>
        <color indexed="63"/>
      </right>
      <top style="double">
        <color indexed="8"/>
      </top>
      <bottom style="medium">
        <color indexed="8"/>
      </bottom>
    </border>
    <border>
      <left>
        <color indexed="63"/>
      </left>
      <right style="medium">
        <color indexed="8"/>
      </right>
      <top style="double">
        <color indexed="8"/>
      </top>
      <bottom style="medium">
        <color indexed="8"/>
      </bottom>
    </border>
    <border>
      <left style="thin">
        <color indexed="8"/>
      </left>
      <right style="thin">
        <color indexed="8"/>
      </right>
      <top style="double">
        <color indexed="8"/>
      </top>
      <bottom style="medium">
        <color indexed="8"/>
      </bottom>
    </border>
    <border>
      <left style="thin">
        <color indexed="8"/>
      </left>
      <right style="medium">
        <color indexed="8"/>
      </right>
      <top style="double">
        <color indexed="8"/>
      </top>
      <bottom style="medium">
        <color indexed="8"/>
      </bottom>
    </border>
    <border>
      <left>
        <color indexed="63"/>
      </left>
      <right style="medium">
        <color indexed="8"/>
      </right>
      <top style="medium">
        <color indexed="8"/>
      </top>
      <bottom style="thin">
        <color indexed="8"/>
      </bottom>
    </border>
    <border>
      <left style="hair">
        <color indexed="8"/>
      </left>
      <right>
        <color indexed="63"/>
      </right>
      <top style="medium">
        <color indexed="8"/>
      </top>
      <bottom style="thin">
        <color indexed="8"/>
      </bottom>
    </border>
    <border>
      <left style="medium">
        <color indexed="8"/>
      </left>
      <right>
        <color indexed="63"/>
      </right>
      <top style="thin">
        <color indexed="8"/>
      </top>
      <bottom>
        <color indexed="63"/>
      </bottom>
    </border>
    <border>
      <left style="thin">
        <color indexed="8"/>
      </left>
      <right style="medium">
        <color indexed="8"/>
      </right>
      <top>
        <color indexed="63"/>
      </top>
      <bottom style="medium">
        <color indexed="8"/>
      </bottom>
    </border>
    <border>
      <left style="medium">
        <color indexed="8"/>
      </left>
      <right style="medium">
        <color indexed="9"/>
      </right>
      <top style="medium">
        <color indexed="8"/>
      </top>
      <bottom style="medium">
        <color indexed="8"/>
      </bottom>
    </border>
    <border>
      <left style="thin">
        <color indexed="8"/>
      </left>
      <right style="thin">
        <color indexed="8"/>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22">
    <xf numFmtId="164" fontId="0" fillId="0" borderId="0" xfId="0" applyAlignment="1">
      <alignment/>
    </xf>
    <xf numFmtId="164" fontId="2" fillId="0" borderId="0" xfId="0" applyFont="1" applyAlignment="1">
      <alignment/>
    </xf>
    <xf numFmtId="164" fontId="2" fillId="0" borderId="1" xfId="0" applyFont="1" applyBorder="1" applyAlignment="1">
      <alignment/>
    </xf>
    <xf numFmtId="164" fontId="2"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0"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3" fillId="0" borderId="0" xfId="0" applyFont="1" applyAlignment="1">
      <alignment horizontal="center" vertical="center"/>
    </xf>
    <xf numFmtId="164" fontId="4" fillId="2" borderId="0" xfId="0" applyFont="1" applyFill="1" applyBorder="1" applyAlignment="1">
      <alignment horizontal="center" vertical="center"/>
    </xf>
    <xf numFmtId="164" fontId="5" fillId="0" borderId="0" xfId="0" applyFont="1" applyAlignment="1">
      <alignment horizontal="center" vertical="center"/>
    </xf>
    <xf numFmtId="164" fontId="3" fillId="0" borderId="0" xfId="0" applyFont="1" applyAlignment="1">
      <alignment horizontal="left" vertical="center"/>
    </xf>
    <xf numFmtId="164" fontId="6" fillId="3" borderId="9" xfId="0" applyFont="1" applyFill="1" applyBorder="1" applyAlignment="1">
      <alignment horizontal="center" vertical="center"/>
    </xf>
    <xf numFmtId="164" fontId="3" fillId="4" borderId="10" xfId="0" applyFont="1" applyFill="1" applyBorder="1" applyAlignment="1">
      <alignment horizontal="center" vertical="center"/>
    </xf>
    <xf numFmtId="164" fontId="6" fillId="3" borderId="11" xfId="0" applyFont="1" applyFill="1" applyBorder="1" applyAlignment="1">
      <alignment horizontal="center" vertical="center"/>
    </xf>
    <xf numFmtId="164" fontId="3" fillId="4" borderId="12" xfId="0" applyFont="1" applyFill="1" applyBorder="1" applyAlignment="1">
      <alignment horizontal="center" vertical="center"/>
    </xf>
    <xf numFmtId="164" fontId="3" fillId="0" borderId="0" xfId="0" applyFont="1" applyBorder="1" applyAlignment="1">
      <alignment horizontal="center" vertical="center"/>
    </xf>
    <xf numFmtId="164" fontId="6" fillId="3" borderId="13" xfId="0" applyFont="1" applyFill="1" applyBorder="1" applyAlignment="1">
      <alignment horizontal="center" vertical="center"/>
    </xf>
    <xf numFmtId="164" fontId="3" fillId="4" borderId="14" xfId="0" applyFont="1" applyFill="1" applyBorder="1" applyAlignment="1">
      <alignment horizontal="center" vertical="center"/>
    </xf>
    <xf numFmtId="164" fontId="7" fillId="0" borderId="0" xfId="0" applyFont="1" applyAlignment="1">
      <alignment horizontal="left" vertical="center"/>
    </xf>
    <xf numFmtId="164" fontId="3" fillId="5" borderId="15" xfId="0" applyFont="1" applyFill="1" applyBorder="1" applyAlignment="1">
      <alignment horizontal="center" vertical="center"/>
    </xf>
    <xf numFmtId="164" fontId="3" fillId="5" borderId="16" xfId="0" applyFont="1" applyFill="1" applyBorder="1" applyAlignment="1">
      <alignment horizontal="center" vertical="center"/>
    </xf>
    <xf numFmtId="164" fontId="6" fillId="3" borderId="16" xfId="0" applyFont="1" applyFill="1" applyBorder="1" applyAlignment="1">
      <alignment horizontal="center" vertical="center"/>
    </xf>
    <xf numFmtId="164" fontId="6" fillId="3" borderId="10" xfId="0" applyFont="1" applyFill="1" applyBorder="1" applyAlignment="1">
      <alignment horizontal="center" vertical="center"/>
    </xf>
    <xf numFmtId="164" fontId="3" fillId="5" borderId="17" xfId="0" applyFont="1" applyFill="1" applyBorder="1" applyAlignment="1">
      <alignment horizontal="center" vertical="center"/>
    </xf>
    <xf numFmtId="164" fontId="3" fillId="5" borderId="18" xfId="0" applyFont="1" applyFill="1" applyBorder="1" applyAlignment="1">
      <alignment horizontal="center" vertical="center"/>
    </xf>
    <xf numFmtId="164" fontId="6" fillId="3" borderId="18" xfId="0" applyFont="1" applyFill="1" applyBorder="1" applyAlignment="1">
      <alignment horizontal="center" vertical="center"/>
    </xf>
    <xf numFmtId="164" fontId="6" fillId="3" borderId="19" xfId="0" applyFont="1" applyFill="1" applyBorder="1" applyAlignment="1">
      <alignment horizontal="center" vertical="center"/>
    </xf>
    <xf numFmtId="164" fontId="3" fillId="0" borderId="20" xfId="0" applyFont="1" applyBorder="1" applyAlignment="1">
      <alignment horizontal="center" vertical="center"/>
    </xf>
    <xf numFmtId="164" fontId="3" fillId="6" borderId="20" xfId="0" applyFont="1" applyFill="1" applyBorder="1" applyAlignment="1">
      <alignment horizontal="center" vertical="center"/>
    </xf>
    <xf numFmtId="164" fontId="3" fillId="0" borderId="20" xfId="0" applyFont="1" applyFill="1" applyBorder="1" applyAlignment="1">
      <alignment horizontal="center" vertical="center"/>
    </xf>
    <xf numFmtId="164" fontId="3" fillId="0" borderId="21" xfId="0" applyFont="1" applyFill="1" applyBorder="1" applyAlignment="1">
      <alignment horizontal="center" vertical="center"/>
    </xf>
    <xf numFmtId="164" fontId="3" fillId="0" borderId="22" xfId="0" applyFont="1" applyBorder="1" applyAlignment="1">
      <alignment horizontal="center" vertical="center"/>
    </xf>
    <xf numFmtId="164" fontId="3" fillId="6" borderId="22" xfId="0" applyFont="1" applyFill="1" applyBorder="1" applyAlignment="1">
      <alignment horizontal="center" vertical="center"/>
    </xf>
    <xf numFmtId="164" fontId="3" fillId="0" borderId="22" xfId="0" applyFont="1" applyFill="1" applyBorder="1" applyAlignment="1">
      <alignment horizontal="center" vertical="center"/>
    </xf>
    <xf numFmtId="164" fontId="3" fillId="0" borderId="14" xfId="0" applyFont="1" applyFill="1" applyBorder="1" applyAlignment="1">
      <alignment horizontal="center" vertical="center"/>
    </xf>
    <xf numFmtId="164" fontId="3" fillId="0" borderId="0" xfId="0" applyFont="1" applyAlignment="1">
      <alignment vertical="center"/>
    </xf>
    <xf numFmtId="164" fontId="6" fillId="3" borderId="15" xfId="0" applyFont="1" applyFill="1" applyBorder="1" applyAlignment="1">
      <alignment horizontal="center" vertical="center"/>
    </xf>
    <xf numFmtId="164" fontId="6" fillId="3" borderId="23" xfId="0" applyFont="1" applyFill="1" applyBorder="1" applyAlignment="1">
      <alignment horizontal="center" vertical="center"/>
    </xf>
    <xf numFmtId="164" fontId="6" fillId="3" borderId="24" xfId="0" applyFont="1" applyFill="1" applyBorder="1" applyAlignment="1">
      <alignment horizontal="center" vertical="center"/>
    </xf>
    <xf numFmtId="164" fontId="3" fillId="5" borderId="0" xfId="0" applyFont="1" applyFill="1" applyBorder="1" applyAlignment="1">
      <alignment horizontal="center" vertical="center"/>
    </xf>
    <xf numFmtId="164" fontId="6" fillId="3" borderId="0" xfId="0" applyFont="1" applyFill="1" applyBorder="1" applyAlignment="1">
      <alignment horizontal="center" vertical="center"/>
    </xf>
    <xf numFmtId="164" fontId="3" fillId="0" borderId="25" xfId="0" applyFont="1" applyBorder="1" applyAlignment="1">
      <alignment horizontal="center" vertical="center"/>
    </xf>
    <xf numFmtId="164" fontId="3" fillId="0" borderId="26" xfId="0" applyFont="1" applyBorder="1" applyAlignment="1">
      <alignment horizontal="center" vertical="center"/>
    </xf>
    <xf numFmtId="164" fontId="3" fillId="0" borderId="27" xfId="0" applyFont="1" applyFill="1" applyBorder="1" applyAlignment="1">
      <alignment horizontal="center" vertical="center"/>
    </xf>
    <xf numFmtId="164" fontId="6" fillId="3" borderId="28" xfId="0" applyFont="1" applyFill="1" applyBorder="1" applyAlignment="1">
      <alignment horizontal="center" vertical="center"/>
    </xf>
    <xf numFmtId="164" fontId="3" fillId="6" borderId="28" xfId="0" applyFont="1" applyFill="1" applyBorder="1" applyAlignment="1">
      <alignment horizontal="center" vertical="center"/>
    </xf>
    <xf numFmtId="164" fontId="3" fillId="6" borderId="26" xfId="0" applyFont="1" applyFill="1" applyBorder="1" applyAlignment="1">
      <alignment horizontal="center" vertical="center"/>
    </xf>
    <xf numFmtId="164" fontId="6" fillId="3" borderId="29" xfId="0" applyFont="1" applyFill="1" applyBorder="1" applyAlignment="1">
      <alignment horizontal="center" vertical="center"/>
    </xf>
    <xf numFmtId="164" fontId="6" fillId="3" borderId="29" xfId="0" applyFont="1" applyFill="1" applyBorder="1" applyAlignment="1">
      <alignment vertical="center"/>
    </xf>
    <xf numFmtId="164" fontId="6" fillId="3" borderId="10" xfId="0" applyFont="1" applyFill="1" applyBorder="1" applyAlignment="1">
      <alignment vertical="center"/>
    </xf>
    <xf numFmtId="164" fontId="3" fillId="4" borderId="30" xfId="0" applyFont="1" applyFill="1" applyBorder="1" applyAlignment="1">
      <alignment horizontal="center" vertical="center"/>
    </xf>
    <xf numFmtId="164" fontId="3" fillId="0" borderId="31" xfId="0" applyFont="1" applyBorder="1" applyAlignment="1">
      <alignment horizontal="center" vertical="center"/>
    </xf>
    <xf numFmtId="164" fontId="3" fillId="0" borderId="32" xfId="0" applyFont="1" applyBorder="1" applyAlignment="1">
      <alignment horizontal="center" vertical="center"/>
    </xf>
    <xf numFmtId="164" fontId="3" fillId="0" borderId="33" xfId="0" applyFont="1" applyBorder="1" applyAlignment="1">
      <alignment horizontal="center" vertical="center"/>
    </xf>
    <xf numFmtId="164" fontId="3" fillId="0" borderId="34" xfId="0" applyFont="1" applyBorder="1" applyAlignment="1">
      <alignment horizontal="center" vertical="center"/>
    </xf>
    <xf numFmtId="164" fontId="3" fillId="0" borderId="35" xfId="0" applyFont="1" applyBorder="1" applyAlignment="1">
      <alignment horizontal="center" vertical="center"/>
    </xf>
    <xf numFmtId="164" fontId="3" fillId="4" borderId="36" xfId="0" applyFont="1" applyFill="1" applyBorder="1" applyAlignment="1">
      <alignment horizontal="center" vertical="center"/>
    </xf>
    <xf numFmtId="164" fontId="3" fillId="0" borderId="37" xfId="0" applyFont="1" applyBorder="1" applyAlignment="1">
      <alignment horizontal="center" vertical="center"/>
    </xf>
    <xf numFmtId="164" fontId="3" fillId="0" borderId="38" xfId="0" applyFont="1" applyBorder="1" applyAlignment="1">
      <alignment horizontal="center" vertical="center"/>
    </xf>
    <xf numFmtId="164" fontId="3" fillId="0" borderId="0" xfId="0" applyFont="1" applyAlignment="1">
      <alignment horizontal="center"/>
    </xf>
    <xf numFmtId="164" fontId="9" fillId="2" borderId="0" xfId="0" applyFont="1" applyFill="1" applyBorder="1" applyAlignment="1">
      <alignment horizontal="center"/>
    </xf>
    <xf numFmtId="164" fontId="6" fillId="3" borderId="39" xfId="0" applyFont="1" applyFill="1" applyBorder="1" applyAlignment="1">
      <alignment horizontal="center"/>
    </xf>
    <xf numFmtId="164" fontId="6" fillId="3" borderId="40" xfId="0" applyFont="1" applyFill="1" applyBorder="1" applyAlignment="1">
      <alignment horizontal="center"/>
    </xf>
    <xf numFmtId="164" fontId="6" fillId="3" borderId="41" xfId="0" applyFont="1" applyFill="1" applyBorder="1" applyAlignment="1">
      <alignment horizontal="center"/>
    </xf>
    <xf numFmtId="164" fontId="6" fillId="3" borderId="42" xfId="0" applyFont="1" applyFill="1" applyBorder="1" applyAlignment="1">
      <alignment horizontal="center"/>
    </xf>
    <xf numFmtId="164" fontId="6" fillId="3" borderId="43" xfId="0" applyFont="1" applyFill="1" applyBorder="1" applyAlignment="1">
      <alignment horizontal="center"/>
    </xf>
    <xf numFmtId="164" fontId="6" fillId="3" borderId="44" xfId="0" applyFont="1" applyFill="1" applyBorder="1" applyAlignment="1">
      <alignment horizontal="center" vertical="center"/>
    </xf>
    <xf numFmtId="164" fontId="3" fillId="0" borderId="45" xfId="0" applyFont="1" applyBorder="1" applyAlignment="1">
      <alignment horizontal="center"/>
    </xf>
    <xf numFmtId="165" fontId="3" fillId="6" borderId="31" xfId="0" applyNumberFormat="1" applyFont="1" applyFill="1" applyBorder="1" applyAlignment="1">
      <alignment horizontal="center"/>
    </xf>
    <xf numFmtId="164" fontId="3" fillId="6" borderId="33" xfId="0" applyFont="1" applyFill="1" applyBorder="1" applyAlignment="1">
      <alignment horizontal="center"/>
    </xf>
    <xf numFmtId="164" fontId="3" fillId="0" borderId="46" xfId="0" applyFont="1" applyBorder="1" applyAlignment="1">
      <alignment horizontal="center"/>
    </xf>
    <xf numFmtId="164" fontId="3" fillId="6" borderId="46" xfId="0" applyFont="1" applyFill="1" applyBorder="1" applyAlignment="1">
      <alignment horizontal="center"/>
    </xf>
    <xf numFmtId="164" fontId="3" fillId="0" borderId="47" xfId="0" applyFont="1" applyBorder="1" applyAlignment="1">
      <alignment horizontal="center"/>
    </xf>
    <xf numFmtId="164" fontId="6" fillId="7" borderId="48" xfId="0" applyFont="1" applyFill="1" applyBorder="1" applyAlignment="1">
      <alignment horizontal="center" vertical="center"/>
    </xf>
    <xf numFmtId="164" fontId="3" fillId="0" borderId="49" xfId="0" applyFont="1" applyFill="1" applyBorder="1" applyAlignment="1">
      <alignment horizontal="center" vertical="center"/>
    </xf>
    <xf numFmtId="164" fontId="6" fillId="7" borderId="50" xfId="0" applyFont="1" applyFill="1" applyBorder="1" applyAlignment="1">
      <alignment horizontal="center" vertical="center"/>
    </xf>
    <xf numFmtId="164" fontId="3" fillId="0" borderId="51" xfId="0" applyFont="1" applyBorder="1" applyAlignment="1">
      <alignment horizontal="center" vertical="center"/>
    </xf>
    <xf numFmtId="164" fontId="6" fillId="7" borderId="52" xfId="0" applyFont="1" applyFill="1" applyBorder="1" applyAlignment="1">
      <alignment horizontal="center" vertical="center"/>
    </xf>
    <xf numFmtId="164" fontId="3" fillId="0" borderId="53" xfId="0" applyFont="1" applyBorder="1" applyAlignment="1">
      <alignment horizontal="center" vertical="center"/>
    </xf>
    <xf numFmtId="164" fontId="6" fillId="7" borderId="54" xfId="0" applyFont="1" applyFill="1" applyBorder="1" applyAlignment="1">
      <alignment horizontal="center" vertical="center"/>
    </xf>
    <xf numFmtId="164" fontId="6" fillId="7" borderId="55" xfId="0" applyFont="1" applyFill="1" applyBorder="1" applyAlignment="1">
      <alignment horizontal="center" vertical="center"/>
    </xf>
    <xf numFmtId="164" fontId="3" fillId="4" borderId="50" xfId="0" applyFont="1" applyFill="1" applyBorder="1" applyAlignment="1">
      <alignment horizontal="center" vertical="center"/>
    </xf>
    <xf numFmtId="166" fontId="3" fillId="0" borderId="31" xfId="0" applyNumberFormat="1" applyFont="1" applyBorder="1" applyAlignment="1">
      <alignment horizontal="center" vertical="center"/>
    </xf>
    <xf numFmtId="164" fontId="3" fillId="6" borderId="56" xfId="0" applyFont="1" applyFill="1" applyBorder="1" applyAlignment="1">
      <alignment horizontal="center"/>
    </xf>
    <xf numFmtId="164" fontId="3" fillId="0" borderId="57" xfId="0" applyFont="1" applyBorder="1" applyAlignment="1">
      <alignment horizontal="center"/>
    </xf>
    <xf numFmtId="164" fontId="3" fillId="6" borderId="57" xfId="0" applyFont="1" applyFill="1" applyBorder="1" applyAlignment="1">
      <alignment horizontal="center"/>
    </xf>
    <xf numFmtId="164" fontId="3" fillId="0" borderId="58" xfId="0" applyFont="1" applyBorder="1" applyAlignment="1">
      <alignment horizontal="center"/>
    </xf>
    <xf numFmtId="164" fontId="6" fillId="7" borderId="59" xfId="0" applyFont="1" applyFill="1" applyBorder="1" applyAlignment="1">
      <alignment horizontal="center"/>
    </xf>
    <xf numFmtId="164" fontId="3" fillId="0" borderId="60" xfId="0" applyFont="1" applyBorder="1" applyAlignment="1">
      <alignment horizontal="center"/>
    </xf>
    <xf numFmtId="164" fontId="3" fillId="4" borderId="52" xfId="0" applyFont="1" applyFill="1" applyBorder="1" applyAlignment="1">
      <alignment horizontal="center" vertical="center"/>
    </xf>
    <xf numFmtId="166" fontId="3" fillId="0" borderId="61" xfId="0" applyNumberFormat="1" applyFont="1" applyBorder="1" applyAlignment="1">
      <alignment horizontal="center" vertical="center"/>
    </xf>
    <xf numFmtId="164" fontId="6" fillId="7" borderId="39" xfId="0" applyFont="1" applyFill="1" applyBorder="1" applyAlignment="1">
      <alignment/>
    </xf>
    <xf numFmtId="164" fontId="6" fillId="7" borderId="62" xfId="0" applyFont="1" applyFill="1" applyBorder="1" applyAlignment="1">
      <alignment/>
    </xf>
    <xf numFmtId="164" fontId="3" fillId="0" borderId="63" xfId="0" applyFont="1" applyBorder="1" applyAlignment="1">
      <alignment horizontal="center"/>
    </xf>
    <xf numFmtId="164" fontId="3" fillId="0" borderId="3" xfId="0" applyFont="1" applyBorder="1" applyAlignment="1">
      <alignment horizontal="center"/>
    </xf>
    <xf numFmtId="164" fontId="6" fillId="7" borderId="45" xfId="0" applyFont="1" applyFill="1" applyBorder="1" applyAlignment="1">
      <alignment/>
    </xf>
    <xf numFmtId="164" fontId="6" fillId="7" borderId="20" xfId="0" applyFont="1" applyFill="1" applyBorder="1" applyAlignment="1">
      <alignment/>
    </xf>
    <xf numFmtId="164" fontId="3" fillId="6" borderId="64" xfId="0" applyFont="1" applyFill="1" applyBorder="1" applyAlignment="1">
      <alignment horizontal="center"/>
    </xf>
    <xf numFmtId="164" fontId="6" fillId="7" borderId="65" xfId="0" applyFont="1" applyFill="1" applyBorder="1" applyAlignment="1">
      <alignment/>
    </xf>
    <xf numFmtId="164" fontId="6" fillId="7" borderId="66" xfId="0" applyFont="1" applyFill="1" applyBorder="1" applyAlignment="1">
      <alignment/>
    </xf>
    <xf numFmtId="164" fontId="3" fillId="0" borderId="67" xfId="0" applyFont="1" applyBorder="1" applyAlignment="1">
      <alignment horizontal="center"/>
    </xf>
    <xf numFmtId="164" fontId="3" fillId="0" borderId="8" xfId="0" applyFont="1" applyBorder="1" applyAlignment="1">
      <alignment horizontal="center"/>
    </xf>
    <xf numFmtId="164" fontId="4" fillId="2" borderId="0" xfId="0" applyFont="1" applyFill="1" applyBorder="1" applyAlignment="1">
      <alignment horizontal="center"/>
    </xf>
    <xf numFmtId="164" fontId="0" fillId="0" borderId="0" xfId="0" applyFont="1" applyAlignment="1">
      <alignment horizontal="right" vertical="center"/>
    </xf>
    <xf numFmtId="164" fontId="6" fillId="7" borderId="68" xfId="0" applyFont="1" applyFill="1" applyBorder="1" applyAlignment="1">
      <alignment horizontal="center" vertical="center"/>
    </xf>
    <xf numFmtId="164" fontId="6" fillId="7" borderId="40" xfId="0" applyFont="1" applyFill="1" applyBorder="1" applyAlignment="1">
      <alignment horizontal="center" vertical="center"/>
    </xf>
    <xf numFmtId="164" fontId="6" fillId="7" borderId="69" xfId="0" applyFont="1" applyFill="1" applyBorder="1" applyAlignment="1">
      <alignment horizontal="center" vertical="center"/>
    </xf>
    <xf numFmtId="164" fontId="6" fillId="7" borderId="70" xfId="0" applyFont="1" applyFill="1" applyBorder="1" applyAlignment="1">
      <alignment horizontal="center" vertical="center"/>
    </xf>
    <xf numFmtId="164" fontId="6" fillId="7" borderId="71" xfId="0" applyFont="1" applyFill="1" applyBorder="1" applyAlignment="1">
      <alignment horizontal="center" vertical="center"/>
    </xf>
    <xf numFmtId="164" fontId="6" fillId="7" borderId="72" xfId="0" applyFont="1" applyFill="1" applyBorder="1" applyAlignment="1">
      <alignment horizontal="center" vertical="center"/>
    </xf>
    <xf numFmtId="164" fontId="6" fillId="7" borderId="42" xfId="0" applyFont="1" applyFill="1" applyBorder="1" applyAlignment="1">
      <alignment horizontal="center" vertical="center"/>
    </xf>
    <xf numFmtId="164" fontId="6" fillId="7" borderId="43" xfId="0" applyFont="1" applyFill="1" applyBorder="1" applyAlignment="1">
      <alignment horizontal="center" vertical="center"/>
    </xf>
    <xf numFmtId="164" fontId="6" fillId="7" borderId="73" xfId="0" applyFont="1" applyFill="1" applyBorder="1" applyAlignment="1">
      <alignment horizontal="center" vertical="center"/>
    </xf>
    <xf numFmtId="164" fontId="6" fillId="7" borderId="74" xfId="0" applyFont="1" applyFill="1" applyBorder="1" applyAlignment="1">
      <alignment horizontal="center" vertical="center"/>
    </xf>
    <xf numFmtId="164" fontId="6" fillId="7" borderId="75" xfId="0" applyFont="1" applyFill="1" applyBorder="1" applyAlignment="1">
      <alignment horizontal="center" vertical="center"/>
    </xf>
    <xf numFmtId="164" fontId="3" fillId="0" borderId="46" xfId="0" applyFont="1" applyFill="1" applyBorder="1" applyAlignment="1">
      <alignment horizontal="center" vertical="center"/>
    </xf>
    <xf numFmtId="164" fontId="3" fillId="0" borderId="47" xfId="0" applyFont="1" applyFill="1" applyBorder="1" applyAlignment="1">
      <alignment horizontal="center" vertical="center"/>
    </xf>
    <xf numFmtId="164" fontId="6" fillId="8" borderId="73" xfId="0" applyFont="1" applyFill="1" applyBorder="1" applyAlignment="1">
      <alignment horizontal="center" vertical="center"/>
    </xf>
    <xf numFmtId="164" fontId="6" fillId="8" borderId="31" xfId="0" applyFont="1" applyFill="1" applyBorder="1" applyAlignment="1">
      <alignment horizontal="center" vertical="center"/>
    </xf>
    <xf numFmtId="164" fontId="6" fillId="8" borderId="74" xfId="0" applyFont="1" applyFill="1" applyBorder="1" applyAlignment="1">
      <alignment horizontal="center" vertical="center"/>
    </xf>
    <xf numFmtId="164" fontId="6" fillId="8" borderId="76" xfId="0" applyFont="1" applyFill="1" applyBorder="1" applyAlignment="1">
      <alignment horizontal="center" vertical="center"/>
    </xf>
    <xf numFmtId="164" fontId="3" fillId="0" borderId="31" xfId="0" applyFont="1" applyFill="1" applyBorder="1" applyAlignment="1">
      <alignment horizontal="center" vertical="center"/>
    </xf>
    <xf numFmtId="164" fontId="3" fillId="0" borderId="77" xfId="0" applyFont="1" applyBorder="1" applyAlignment="1">
      <alignment horizontal="center" vertical="center"/>
    </xf>
    <xf numFmtId="164" fontId="3" fillId="4" borderId="78" xfId="0" applyFont="1" applyFill="1" applyBorder="1" applyAlignment="1">
      <alignment horizontal="center" vertical="center"/>
    </xf>
    <xf numFmtId="164" fontId="3" fillId="4" borderId="79" xfId="0" applyFont="1" applyFill="1" applyBorder="1" applyAlignment="1">
      <alignment horizontal="center" vertical="center"/>
    </xf>
    <xf numFmtId="164" fontId="3" fillId="4" borderId="80" xfId="0" applyFont="1" applyFill="1" applyBorder="1" applyAlignment="1">
      <alignment horizontal="center" vertical="center"/>
    </xf>
    <xf numFmtId="164" fontId="3" fillId="8" borderId="31" xfId="0" applyFont="1" applyFill="1" applyBorder="1" applyAlignment="1">
      <alignment horizontal="center" vertical="center"/>
    </xf>
    <xf numFmtId="164" fontId="3" fillId="4" borderId="31" xfId="0" applyFont="1" applyFill="1" applyBorder="1" applyAlignment="1">
      <alignment horizontal="center" vertical="center"/>
    </xf>
    <xf numFmtId="164" fontId="3" fillId="8" borderId="77" xfId="0" applyFont="1" applyFill="1" applyBorder="1" applyAlignment="1">
      <alignment horizontal="center" vertical="center"/>
    </xf>
    <xf numFmtId="164" fontId="3" fillId="8" borderId="76" xfId="0" applyFont="1" applyFill="1" applyBorder="1" applyAlignment="1">
      <alignment horizontal="center" vertical="center"/>
    </xf>
    <xf numFmtId="164" fontId="6" fillId="7" borderId="81" xfId="0" applyFont="1" applyFill="1" applyBorder="1" applyAlignment="1">
      <alignment horizontal="center" vertical="center"/>
    </xf>
    <xf numFmtId="164" fontId="3" fillId="0" borderId="57" xfId="0" applyFont="1" applyFill="1" applyBorder="1" applyAlignment="1">
      <alignment horizontal="center" vertical="center"/>
    </xf>
    <xf numFmtId="164" fontId="3" fillId="0" borderId="58" xfId="0" applyFont="1" applyFill="1" applyBorder="1" applyAlignment="1">
      <alignment horizontal="center" vertical="center"/>
    </xf>
    <xf numFmtId="164" fontId="3" fillId="0" borderId="82" xfId="0" applyFont="1" applyFill="1" applyBorder="1" applyAlignment="1">
      <alignment horizontal="center" vertical="center"/>
    </xf>
    <xf numFmtId="164" fontId="3" fillId="0" borderId="43" xfId="0" applyFont="1" applyBorder="1" applyAlignment="1">
      <alignment horizontal="center" vertical="center"/>
    </xf>
    <xf numFmtId="164" fontId="3" fillId="0" borderId="47" xfId="0" applyFont="1" applyBorder="1" applyAlignment="1">
      <alignment horizontal="center" vertical="center"/>
    </xf>
    <xf numFmtId="164" fontId="6" fillId="7" borderId="45" xfId="0" applyFont="1" applyFill="1" applyBorder="1" applyAlignment="1">
      <alignment horizontal="center" vertical="center"/>
    </xf>
    <xf numFmtId="164" fontId="3" fillId="4" borderId="47" xfId="0" applyFont="1" applyFill="1" applyBorder="1" applyAlignment="1">
      <alignment horizontal="center" vertical="center"/>
    </xf>
    <xf numFmtId="164" fontId="3" fillId="0" borderId="58" xfId="0" applyFont="1" applyBorder="1" applyAlignment="1">
      <alignment horizontal="center" vertical="center"/>
    </xf>
    <xf numFmtId="164" fontId="3" fillId="4" borderId="77" xfId="0" applyFont="1" applyFill="1" applyBorder="1" applyAlignment="1">
      <alignment horizontal="center" vertical="center"/>
    </xf>
    <xf numFmtId="164" fontId="3" fillId="8" borderId="77" xfId="0" applyFont="1" applyFill="1" applyBorder="1" applyAlignment="1">
      <alignment vertical="center"/>
    </xf>
    <xf numFmtId="164" fontId="3" fillId="8" borderId="30" xfId="0" applyFont="1" applyFill="1" applyBorder="1" applyAlignment="1">
      <alignment vertical="center"/>
    </xf>
    <xf numFmtId="164" fontId="3" fillId="0" borderId="77" xfId="0" applyFont="1" applyFill="1" applyBorder="1" applyAlignment="1">
      <alignment horizontal="center" vertical="center"/>
    </xf>
    <xf numFmtId="164" fontId="6" fillId="7" borderId="83" xfId="0" applyFont="1" applyFill="1" applyBorder="1" applyAlignment="1">
      <alignment horizontal="center" vertical="center"/>
    </xf>
    <xf numFmtId="164" fontId="3" fillId="0" borderId="84" xfId="0" applyFont="1" applyFill="1" applyBorder="1" applyAlignment="1">
      <alignment horizontal="center" vertical="center"/>
    </xf>
    <xf numFmtId="164" fontId="3" fillId="0" borderId="84" xfId="0" applyFont="1" applyBorder="1" applyAlignment="1">
      <alignment horizontal="center" vertical="center"/>
    </xf>
    <xf numFmtId="167" fontId="3" fillId="0" borderId="31" xfId="0" applyNumberFormat="1" applyFont="1" applyBorder="1" applyAlignment="1">
      <alignment horizontal="center" vertical="center"/>
    </xf>
    <xf numFmtId="164" fontId="3" fillId="4" borderId="85" xfId="0" applyFont="1" applyFill="1" applyBorder="1" applyAlignment="1">
      <alignment horizontal="center" vertical="center"/>
    </xf>
    <xf numFmtId="164" fontId="3" fillId="0" borderId="86" xfId="0" applyFont="1" applyBorder="1" applyAlignment="1">
      <alignment horizontal="center" vertical="center"/>
    </xf>
    <xf numFmtId="164" fontId="3" fillId="0" borderId="87" xfId="0" applyFont="1" applyFill="1" applyBorder="1" applyAlignment="1">
      <alignment horizontal="center" vertical="center"/>
    </xf>
    <xf numFmtId="164" fontId="3" fillId="0" borderId="86" xfId="0" applyFont="1" applyFill="1" applyBorder="1" applyAlignment="1">
      <alignment horizontal="center" vertical="center"/>
    </xf>
    <xf numFmtId="164" fontId="3" fillId="0" borderId="87" xfId="0" applyFont="1" applyBorder="1" applyAlignment="1">
      <alignment horizontal="center" vertical="center"/>
    </xf>
    <xf numFmtId="167" fontId="3" fillId="0" borderId="61" xfId="0" applyNumberFormat="1" applyFont="1" applyBorder="1" applyAlignment="1">
      <alignment horizontal="center" vertical="center"/>
    </xf>
    <xf numFmtId="164" fontId="3" fillId="0" borderId="61" xfId="0" applyFont="1" applyBorder="1" applyAlignment="1">
      <alignment horizontal="center" vertical="center"/>
    </xf>
    <xf numFmtId="164" fontId="3" fillId="0" borderId="88" xfId="0" applyFont="1" applyFill="1" applyBorder="1" applyAlignment="1">
      <alignment horizontal="center" vertical="center"/>
    </xf>
    <xf numFmtId="164" fontId="3" fillId="0" borderId="61" xfId="0" applyFont="1" applyFill="1" applyBorder="1" applyAlignment="1">
      <alignment horizontal="center" vertical="center"/>
    </xf>
    <xf numFmtId="164" fontId="3" fillId="0" borderId="88" xfId="0" applyFont="1" applyBorder="1" applyAlignment="1">
      <alignment horizontal="center" vertical="center"/>
    </xf>
    <xf numFmtId="164" fontId="3" fillId="4" borderId="81" xfId="0" applyFont="1" applyFill="1" applyBorder="1" applyAlignment="1">
      <alignment horizontal="center" vertical="center"/>
    </xf>
    <xf numFmtId="164" fontId="3" fillId="4" borderId="57" xfId="0" applyFont="1" applyFill="1" applyBorder="1" applyAlignment="1">
      <alignment horizontal="center" vertical="center"/>
    </xf>
    <xf numFmtId="164" fontId="3" fillId="4" borderId="58" xfId="0" applyFont="1" applyFill="1" applyBorder="1" applyAlignment="1">
      <alignment horizontal="center" vertical="center"/>
    </xf>
    <xf numFmtId="164" fontId="3" fillId="0" borderId="0" xfId="0" applyNumberFormat="1" applyFont="1" applyAlignment="1">
      <alignment horizontal="center" vertical="center"/>
    </xf>
    <xf numFmtId="164" fontId="3" fillId="0" borderId="0" xfId="0" applyNumberFormat="1" applyFont="1" applyFill="1" applyAlignment="1">
      <alignment horizontal="center" vertical="center"/>
    </xf>
    <xf numFmtId="164" fontId="11" fillId="0" borderId="0" xfId="0" applyFont="1" applyFill="1" applyAlignment="1">
      <alignment vertical="center"/>
    </xf>
    <xf numFmtId="164" fontId="11" fillId="0" borderId="0" xfId="0" applyFont="1" applyFill="1" applyAlignment="1">
      <alignment horizontal="center" vertical="center"/>
    </xf>
    <xf numFmtId="164" fontId="12" fillId="0" borderId="0" xfId="0" applyFont="1" applyAlignment="1">
      <alignment horizontal="left" vertical="center"/>
    </xf>
    <xf numFmtId="164" fontId="13" fillId="3" borderId="59" xfId="0" applyFont="1" applyFill="1" applyBorder="1" applyAlignment="1">
      <alignment horizontal="center" vertical="center"/>
    </xf>
    <xf numFmtId="164" fontId="13" fillId="3" borderId="82" xfId="0" applyFont="1" applyFill="1" applyBorder="1" applyAlignment="1">
      <alignment horizontal="center" vertical="center"/>
    </xf>
    <xf numFmtId="164" fontId="13" fillId="3" borderId="60" xfId="0" applyNumberFormat="1" applyFont="1" applyFill="1" applyBorder="1" applyAlignment="1">
      <alignment horizontal="center" vertical="center"/>
    </xf>
    <xf numFmtId="164" fontId="3" fillId="0" borderId="83" xfId="0" applyFont="1" applyFill="1" applyBorder="1" applyAlignment="1">
      <alignment horizontal="center" vertical="center"/>
    </xf>
    <xf numFmtId="164" fontId="3" fillId="0" borderId="89" xfId="0" applyFont="1" applyFill="1" applyBorder="1" applyAlignment="1">
      <alignment horizontal="center" vertical="center"/>
    </xf>
    <xf numFmtId="164" fontId="3" fillId="0" borderId="90" xfId="0" applyFont="1" applyBorder="1" applyAlignment="1">
      <alignment horizontal="center" vertical="center"/>
    </xf>
    <xf numFmtId="164" fontId="3" fillId="0" borderId="42" xfId="0" applyFont="1" applyBorder="1" applyAlignment="1">
      <alignment horizontal="center" vertical="center"/>
    </xf>
    <xf numFmtId="164" fontId="3" fillId="9" borderId="42" xfId="0" applyFont="1" applyFill="1" applyBorder="1" applyAlignment="1">
      <alignment horizontal="center" vertical="center"/>
    </xf>
    <xf numFmtId="164" fontId="3" fillId="4" borderId="62" xfId="0" applyNumberFormat="1" applyFont="1" applyFill="1" applyBorder="1" applyAlignment="1">
      <alignment horizontal="center" vertical="center"/>
    </xf>
    <xf numFmtId="164" fontId="3" fillId="4" borderId="43" xfId="0" applyNumberFormat="1" applyFont="1" applyFill="1" applyBorder="1" applyAlignment="1">
      <alignment horizontal="center" vertical="center"/>
    </xf>
    <xf numFmtId="164" fontId="3" fillId="0" borderId="46" xfId="0" applyFont="1" applyBorder="1" applyAlignment="1">
      <alignment horizontal="center" vertical="center"/>
    </xf>
    <xf numFmtId="164" fontId="3" fillId="9" borderId="46" xfId="0" applyFont="1" applyFill="1" applyBorder="1" applyAlignment="1">
      <alignment horizontal="center" vertical="center"/>
    </xf>
    <xf numFmtId="164" fontId="3" fillId="9" borderId="20" xfId="0" applyNumberFormat="1" applyFont="1" applyFill="1" applyBorder="1" applyAlignment="1">
      <alignment horizontal="center" vertical="center"/>
    </xf>
    <xf numFmtId="164" fontId="3" fillId="4" borderId="47" xfId="0" applyNumberFormat="1" applyFont="1" applyFill="1" applyBorder="1" applyAlignment="1">
      <alignment horizontal="center" vertical="center"/>
    </xf>
    <xf numFmtId="164" fontId="3" fillId="0" borderId="79" xfId="0" applyFont="1" applyBorder="1" applyAlignment="1">
      <alignment horizontal="center" vertical="center"/>
    </xf>
    <xf numFmtId="164" fontId="3" fillId="9" borderId="79" xfId="0" applyFont="1" applyFill="1" applyBorder="1" applyAlignment="1">
      <alignment horizontal="center" vertical="center"/>
    </xf>
    <xf numFmtId="164" fontId="3" fillId="4" borderId="80" xfId="0" applyNumberFormat="1" applyFont="1" applyFill="1" applyBorder="1" applyAlignment="1">
      <alignment horizontal="center" vertical="center"/>
    </xf>
    <xf numFmtId="164" fontId="3" fillId="4" borderId="91" xfId="0" applyNumberFormat="1" applyFont="1" applyFill="1" applyBorder="1" applyAlignment="1">
      <alignment horizontal="center" vertical="center"/>
    </xf>
    <xf numFmtId="164" fontId="3" fillId="0" borderId="57" xfId="0" applyFont="1" applyBorder="1" applyAlignment="1">
      <alignment horizontal="center" vertical="center"/>
    </xf>
    <xf numFmtId="164" fontId="3" fillId="4" borderId="58" xfId="0" applyNumberFormat="1" applyFont="1" applyFill="1" applyBorder="1" applyAlignment="1">
      <alignment horizontal="center" vertical="center"/>
    </xf>
    <xf numFmtId="164" fontId="3" fillId="0" borderId="48" xfId="0" applyFont="1" applyFill="1" applyBorder="1" applyAlignment="1">
      <alignment horizontal="center" vertical="center"/>
    </xf>
    <xf numFmtId="164" fontId="3" fillId="0" borderId="69" xfId="0" applyFont="1" applyFill="1" applyBorder="1" applyAlignment="1">
      <alignment horizontal="center" vertical="center"/>
    </xf>
    <xf numFmtId="164" fontId="3" fillId="0" borderId="70" xfId="0" applyFont="1" applyBorder="1" applyAlignment="1">
      <alignment horizontal="center" vertical="center"/>
    </xf>
    <xf numFmtId="164" fontId="3" fillId="4" borderId="63" xfId="0" applyFont="1" applyFill="1" applyBorder="1" applyAlignment="1">
      <alignment horizontal="center" vertical="center"/>
    </xf>
    <xf numFmtId="164" fontId="3" fillId="0" borderId="92" xfId="0" applyNumberFormat="1" applyFont="1" applyFill="1" applyBorder="1" applyAlignment="1">
      <alignment horizontal="center" vertical="center"/>
    </xf>
    <xf numFmtId="164" fontId="3" fillId="4" borderId="93" xfId="0" applyFont="1" applyFill="1" applyBorder="1" applyAlignment="1">
      <alignment horizontal="center" vertical="center"/>
    </xf>
    <xf numFmtId="164" fontId="3" fillId="4" borderId="94" xfId="0" applyNumberFormat="1" applyFont="1" applyFill="1" applyBorder="1" applyAlignment="1">
      <alignment horizontal="center" vertical="center"/>
    </xf>
    <xf numFmtId="164" fontId="3" fillId="0" borderId="95" xfId="0" applyFont="1" applyFill="1" applyBorder="1" applyAlignment="1">
      <alignment horizontal="center" vertical="center"/>
    </xf>
    <xf numFmtId="164" fontId="3" fillId="0" borderId="92" xfId="0" applyFont="1" applyBorder="1" applyAlignment="1">
      <alignment horizontal="center" vertical="center"/>
    </xf>
    <xf numFmtId="164" fontId="3" fillId="9" borderId="93" xfId="0" applyFont="1" applyFill="1" applyBorder="1" applyAlignment="1">
      <alignment horizontal="center" vertical="center"/>
    </xf>
    <xf numFmtId="164" fontId="3" fillId="9" borderId="82" xfId="0" applyNumberFormat="1" applyFont="1" applyFill="1" applyBorder="1" applyAlignment="1">
      <alignment horizontal="center" vertical="center"/>
    </xf>
    <xf numFmtId="164" fontId="3" fillId="5" borderId="92" xfId="0" applyNumberFormat="1" applyFont="1" applyFill="1" applyBorder="1" applyAlignment="1">
      <alignment horizontal="center" vertical="center"/>
    </xf>
    <xf numFmtId="164" fontId="3" fillId="5" borderId="82" xfId="0" applyFont="1" applyFill="1" applyBorder="1" applyAlignment="1">
      <alignment horizontal="center" vertical="center"/>
    </xf>
    <xf numFmtId="164" fontId="3" fillId="5" borderId="60" xfId="0" applyFont="1" applyFill="1" applyBorder="1" applyAlignment="1">
      <alignment horizontal="center" vertical="center"/>
    </xf>
    <xf numFmtId="164" fontId="3" fillId="4" borderId="82" xfId="0" applyNumberFormat="1" applyFont="1" applyFill="1" applyBorder="1" applyAlignment="1">
      <alignment horizontal="center" vertical="center"/>
    </xf>
    <xf numFmtId="164" fontId="3" fillId="0" borderId="0" xfId="0" applyFont="1" applyFill="1" applyAlignment="1">
      <alignment horizontal="center" vertical="center"/>
    </xf>
    <xf numFmtId="164" fontId="13" fillId="3" borderId="96" xfId="0" applyFont="1" applyFill="1" applyBorder="1" applyAlignment="1">
      <alignment horizontal="center" vertical="center"/>
    </xf>
    <xf numFmtId="164" fontId="13" fillId="3" borderId="97" xfId="0" applyFont="1" applyFill="1" applyBorder="1" applyAlignment="1">
      <alignment horizontal="center" vertical="center"/>
    </xf>
    <xf numFmtId="164" fontId="13" fillId="3" borderId="98" xfId="0" applyFont="1" applyFill="1" applyBorder="1" applyAlignment="1">
      <alignment horizontal="center" vertical="center"/>
    </xf>
    <xf numFmtId="164" fontId="6" fillId="7" borderId="99" xfId="0" applyFont="1" applyFill="1" applyBorder="1" applyAlignment="1">
      <alignment horizontal="center" vertical="center"/>
    </xf>
    <xf numFmtId="164" fontId="6" fillId="7" borderId="100" xfId="0" applyFont="1" applyFill="1" applyBorder="1" applyAlignment="1">
      <alignment horizontal="center" vertical="center"/>
    </xf>
    <xf numFmtId="168" fontId="3" fillId="4" borderId="69" xfId="0" applyNumberFormat="1" applyFont="1" applyFill="1" applyBorder="1" applyAlignment="1">
      <alignment horizontal="center" vertical="center"/>
    </xf>
    <xf numFmtId="164" fontId="6" fillId="7" borderId="3" xfId="0" applyFont="1" applyFill="1" applyBorder="1" applyAlignment="1">
      <alignment horizontal="center" vertical="center"/>
    </xf>
    <xf numFmtId="164" fontId="6" fillId="3" borderId="101" xfId="0" applyFont="1" applyFill="1" applyBorder="1" applyAlignment="1">
      <alignment horizontal="center" vertical="center"/>
    </xf>
    <xf numFmtId="164" fontId="3" fillId="0" borderId="102" xfId="0" applyFont="1" applyBorder="1" applyAlignment="1">
      <alignment horizontal="center" vertical="center"/>
    </xf>
    <xf numFmtId="164" fontId="13" fillId="3" borderId="71" xfId="0" applyFont="1" applyFill="1" applyBorder="1" applyAlignment="1">
      <alignment horizontal="center" vertical="center"/>
    </xf>
    <xf numFmtId="164" fontId="3" fillId="0" borderId="0" xfId="0" applyFont="1" applyFill="1" applyBorder="1" applyAlignment="1">
      <alignment horizontal="center" vertical="center"/>
    </xf>
    <xf numFmtId="164" fontId="13" fillId="3" borderId="68" xfId="0" applyFont="1" applyFill="1" applyBorder="1" applyAlignment="1">
      <alignment horizontal="center" vertical="center"/>
    </xf>
    <xf numFmtId="164" fontId="6" fillId="7" borderId="40" xfId="0" applyNumberFormat="1" applyFont="1" applyFill="1" applyBorder="1" applyAlignment="1">
      <alignment horizontal="center" vertical="center"/>
    </xf>
    <xf numFmtId="164" fontId="6" fillId="7" borderId="90" xfId="0" applyFont="1" applyFill="1" applyBorder="1" applyAlignment="1">
      <alignment horizontal="center" vertical="center"/>
    </xf>
    <xf numFmtId="164" fontId="6" fillId="7" borderId="103" xfId="0" applyNumberFormat="1" applyFont="1" applyFill="1" applyBorder="1" applyAlignment="1">
      <alignment horizontal="center" vertical="center"/>
    </xf>
    <xf numFmtId="164" fontId="6" fillId="7" borderId="104" xfId="0" applyFont="1" applyFill="1" applyBorder="1" applyAlignment="1">
      <alignment horizontal="center" vertical="center"/>
    </xf>
    <xf numFmtId="164" fontId="3" fillId="0" borderId="4" xfId="0" applyFont="1" applyFill="1" applyBorder="1" applyAlignment="1">
      <alignment horizontal="center" vertical="center"/>
    </xf>
    <xf numFmtId="169" fontId="13" fillId="3" borderId="71"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4" fontId="14" fillId="3" borderId="102" xfId="0" applyFont="1" applyFill="1" applyBorder="1" applyAlignment="1">
      <alignment horizontal="center" vertical="center" textRotation="90"/>
    </xf>
    <xf numFmtId="164" fontId="3" fillId="6" borderId="30" xfId="0" applyFont="1" applyFill="1" applyBorder="1" applyAlignment="1">
      <alignment horizontal="center" vertical="center"/>
    </xf>
    <xf numFmtId="164" fontId="6" fillId="7" borderId="20" xfId="0" applyFont="1" applyFill="1" applyBorder="1" applyAlignment="1">
      <alignment horizontal="center" vertical="center"/>
    </xf>
    <xf numFmtId="164" fontId="3" fillId="0" borderId="30" xfId="0" applyFont="1" applyBorder="1" applyAlignment="1">
      <alignment horizontal="center" vertical="center"/>
    </xf>
    <xf numFmtId="164" fontId="6" fillId="7" borderId="32" xfId="0" applyFont="1" applyFill="1" applyBorder="1" applyAlignment="1">
      <alignment horizontal="center" vertical="center"/>
    </xf>
    <xf numFmtId="164" fontId="6" fillId="7" borderId="78" xfId="0" applyFont="1" applyFill="1" applyBorder="1" applyAlignment="1">
      <alignment horizontal="center" vertical="center"/>
    </xf>
    <xf numFmtId="164" fontId="3" fillId="0" borderId="105" xfId="0" applyFont="1" applyFill="1" applyBorder="1" applyAlignment="1">
      <alignment horizontal="center" vertical="center"/>
    </xf>
    <xf numFmtId="164" fontId="3" fillId="0" borderId="106" xfId="0" applyFont="1" applyFill="1" applyBorder="1" applyAlignment="1">
      <alignment horizontal="center" vertical="center"/>
    </xf>
    <xf numFmtId="164" fontId="3" fillId="6" borderId="86" xfId="0" applyFont="1" applyFill="1" applyBorder="1" applyAlignment="1">
      <alignment horizontal="center" vertical="center"/>
    </xf>
    <xf numFmtId="164" fontId="3" fillId="6" borderId="107" xfId="0" applyFont="1" applyFill="1" applyBorder="1" applyAlignment="1">
      <alignment horizontal="center" vertical="center"/>
    </xf>
    <xf numFmtId="164" fontId="3" fillId="0" borderId="108" xfId="0" applyFont="1" applyFill="1" applyBorder="1" applyAlignment="1">
      <alignment horizontal="center" vertical="center"/>
    </xf>
    <xf numFmtId="164" fontId="3" fillId="6" borderId="51" xfId="0" applyFont="1" applyFill="1" applyBorder="1" applyAlignment="1">
      <alignment horizontal="center" vertical="center"/>
    </xf>
    <xf numFmtId="164" fontId="3" fillId="0" borderId="31" xfId="0" applyNumberFormat="1" applyFont="1" applyFill="1" applyBorder="1" applyAlignment="1">
      <alignment horizontal="center" vertical="center"/>
    </xf>
    <xf numFmtId="170" fontId="3" fillId="0" borderId="30" xfId="0" applyNumberFormat="1" applyFont="1" applyFill="1" applyBorder="1" applyAlignment="1">
      <alignment horizontal="center" vertical="center"/>
    </xf>
    <xf numFmtId="164" fontId="3" fillId="0" borderId="77" xfId="0" applyNumberFormat="1" applyFont="1" applyFill="1" applyBorder="1" applyAlignment="1">
      <alignment horizontal="center" vertical="center"/>
    </xf>
    <xf numFmtId="171" fontId="3" fillId="0" borderId="31" xfId="0" applyNumberFormat="1" applyFont="1" applyFill="1" applyBorder="1" applyAlignment="1">
      <alignment horizontal="center" vertical="center"/>
    </xf>
    <xf numFmtId="170" fontId="3" fillId="0" borderId="64" xfId="0" applyNumberFormat="1" applyFont="1" applyFill="1" applyBorder="1" applyAlignment="1">
      <alignment horizontal="center" vertical="center"/>
    </xf>
    <xf numFmtId="170" fontId="3" fillId="0" borderId="0" xfId="0" applyNumberFormat="1" applyFont="1" applyFill="1" applyBorder="1" applyAlignment="1">
      <alignment horizontal="center" vertical="center"/>
    </xf>
    <xf numFmtId="170" fontId="3" fillId="0" borderId="30" xfId="0" applyNumberFormat="1" applyFont="1" applyBorder="1" applyAlignment="1">
      <alignment horizontal="center" vertical="center"/>
    </xf>
    <xf numFmtId="170" fontId="3" fillId="0" borderId="20" xfId="0" applyNumberFormat="1" applyFont="1" applyBorder="1" applyAlignment="1">
      <alignment horizontal="center" vertical="center"/>
    </xf>
    <xf numFmtId="164" fontId="3" fillId="0" borderId="4" xfId="0" applyFont="1" applyBorder="1" applyAlignment="1">
      <alignment horizontal="center" vertical="center"/>
    </xf>
    <xf numFmtId="169" fontId="3" fillId="0" borderId="85" xfId="0" applyNumberFormat="1" applyFont="1" applyFill="1" applyBorder="1" applyAlignment="1">
      <alignment horizontal="center" vertical="center"/>
    </xf>
    <xf numFmtId="164" fontId="3" fillId="0" borderId="107" xfId="0" applyNumberFormat="1" applyFont="1" applyFill="1" applyBorder="1" applyAlignment="1">
      <alignment horizontal="center" vertical="center"/>
    </xf>
    <xf numFmtId="164" fontId="6" fillId="7" borderId="77" xfId="0" applyFont="1" applyFill="1" applyBorder="1" applyAlignment="1">
      <alignment horizontal="center" vertical="center"/>
    </xf>
    <xf numFmtId="164" fontId="3" fillId="4" borderId="109" xfId="0" applyFont="1" applyFill="1" applyBorder="1" applyAlignment="1">
      <alignment horizontal="center" vertical="center"/>
    </xf>
    <xf numFmtId="164" fontId="15" fillId="0" borderId="30" xfId="0" applyFont="1" applyBorder="1" applyAlignment="1">
      <alignment horizontal="center" vertical="center"/>
    </xf>
    <xf numFmtId="164" fontId="6" fillId="7" borderId="110" xfId="0" applyFont="1" applyFill="1" applyBorder="1" applyAlignment="1">
      <alignment horizontal="center" vertical="center"/>
    </xf>
    <xf numFmtId="170" fontId="3" fillId="6" borderId="111" xfId="0" applyNumberFormat="1" applyFont="1" applyFill="1" applyBorder="1" applyAlignment="1">
      <alignment horizontal="center" vertical="center"/>
    </xf>
    <xf numFmtId="169" fontId="3" fillId="0" borderId="0" xfId="0" applyNumberFormat="1" applyFont="1" applyFill="1" applyBorder="1" applyAlignment="1">
      <alignment horizontal="left" vertical="center"/>
    </xf>
    <xf numFmtId="164" fontId="6" fillId="7" borderId="112" xfId="0" applyFont="1" applyFill="1" applyBorder="1" applyAlignment="1">
      <alignment horizontal="center" vertical="center"/>
    </xf>
    <xf numFmtId="164" fontId="3" fillId="0" borderId="113" xfId="0" applyFont="1" applyBorder="1" applyAlignment="1">
      <alignment horizontal="center" vertical="center"/>
    </xf>
    <xf numFmtId="164" fontId="3" fillId="0" borderId="18" xfId="0" applyFont="1" applyBorder="1" applyAlignment="1">
      <alignment horizontal="center" vertical="center"/>
    </xf>
    <xf numFmtId="164" fontId="6" fillId="7" borderId="77" xfId="0" applyNumberFormat="1" applyFont="1" applyFill="1" applyBorder="1" applyAlignment="1">
      <alignment vertical="center"/>
    </xf>
    <xf numFmtId="164" fontId="3" fillId="0" borderId="114" xfId="0" applyNumberFormat="1" applyFont="1" applyFill="1" applyBorder="1" applyAlignment="1">
      <alignment horizontal="center" vertical="center"/>
    </xf>
    <xf numFmtId="164" fontId="15" fillId="0" borderId="114" xfId="0" applyFont="1" applyBorder="1" applyAlignment="1">
      <alignment horizontal="center" vertical="center" wrapText="1"/>
    </xf>
    <xf numFmtId="164" fontId="6" fillId="7" borderId="115" xfId="0" applyFont="1" applyFill="1" applyBorder="1" applyAlignment="1">
      <alignment horizontal="center" vertical="center"/>
    </xf>
    <xf numFmtId="164" fontId="3" fillId="0" borderId="116" xfId="0" applyFont="1" applyFill="1" applyBorder="1" applyAlignment="1">
      <alignment horizontal="center" vertical="center"/>
    </xf>
    <xf numFmtId="164" fontId="3" fillId="0" borderId="117" xfId="0" applyFont="1" applyFill="1" applyBorder="1" applyAlignment="1">
      <alignment horizontal="center" vertical="center"/>
    </xf>
    <xf numFmtId="164" fontId="3" fillId="6" borderId="118" xfId="0" applyFont="1" applyFill="1" applyBorder="1" applyAlignment="1">
      <alignment horizontal="center" vertical="center"/>
    </xf>
    <xf numFmtId="164" fontId="3" fillId="6" borderId="119" xfId="0" applyFont="1" applyFill="1" applyBorder="1" applyAlignment="1">
      <alignment horizontal="center" vertical="center"/>
    </xf>
    <xf numFmtId="164" fontId="6" fillId="10" borderId="83" xfId="0" applyFont="1" applyFill="1" applyBorder="1" applyAlignment="1">
      <alignment horizontal="center" vertical="center"/>
    </xf>
    <xf numFmtId="164" fontId="3" fillId="0" borderId="120" xfId="0" applyFont="1" applyFill="1" applyBorder="1" applyAlignment="1">
      <alignment horizontal="center" vertical="center"/>
    </xf>
    <xf numFmtId="164" fontId="6" fillId="7" borderId="105" xfId="0" applyFont="1" applyFill="1" applyBorder="1" applyAlignment="1">
      <alignment horizontal="center" vertical="center"/>
    </xf>
    <xf numFmtId="164" fontId="3" fillId="6" borderId="66" xfId="0" applyFont="1" applyFill="1" applyBorder="1" applyAlignment="1">
      <alignment horizontal="center" vertical="center"/>
    </xf>
    <xf numFmtId="164" fontId="6" fillId="7" borderId="105" xfId="0" applyNumberFormat="1" applyFont="1" applyFill="1" applyBorder="1" applyAlignment="1">
      <alignment horizontal="center" vertical="center"/>
    </xf>
    <xf numFmtId="164" fontId="3" fillId="6" borderId="121" xfId="0" applyNumberFormat="1" applyFont="1" applyFill="1" applyBorder="1" applyAlignment="1">
      <alignment horizontal="center" vertical="center"/>
    </xf>
    <xf numFmtId="164" fontId="13" fillId="3" borderId="39" xfId="0" applyNumberFormat="1" applyFont="1" applyFill="1" applyBorder="1" applyAlignment="1">
      <alignment horizontal="center" vertical="center"/>
    </xf>
    <xf numFmtId="164" fontId="6" fillId="7" borderId="41" xfId="0" applyNumberFormat="1" applyFont="1" applyFill="1" applyBorder="1" applyAlignment="1">
      <alignment horizontal="center" vertical="center"/>
    </xf>
    <xf numFmtId="164" fontId="3" fillId="6" borderId="43" xfId="0" applyNumberFormat="1" applyFont="1" applyFill="1" applyBorder="1" applyAlignment="1">
      <alignment horizontal="center" vertical="center"/>
    </xf>
    <xf numFmtId="172" fontId="3" fillId="6" borderId="53" xfId="0" applyNumberFormat="1" applyFont="1" applyFill="1" applyBorder="1" applyAlignment="1">
      <alignment horizontal="center" vertical="center"/>
    </xf>
    <xf numFmtId="172" fontId="3" fillId="0" borderId="0" xfId="0" applyNumberFormat="1" applyFont="1" applyFill="1" applyBorder="1" applyAlignment="1">
      <alignment horizontal="center" vertical="center"/>
    </xf>
    <xf numFmtId="170" fontId="3" fillId="0" borderId="120" xfId="0" applyNumberFormat="1" applyFont="1" applyBorder="1" applyAlignment="1">
      <alignment horizontal="center" vertical="center"/>
    </xf>
    <xf numFmtId="170" fontId="3" fillId="0" borderId="66" xfId="0" applyNumberFormat="1" applyFont="1" applyBorder="1" applyAlignment="1">
      <alignment horizontal="center" vertical="center"/>
    </xf>
    <xf numFmtId="164" fontId="6" fillId="7" borderId="122" xfId="0" applyFont="1" applyFill="1" applyBorder="1" applyAlignment="1">
      <alignment horizontal="center" vertical="center"/>
    </xf>
    <xf numFmtId="164" fontId="3" fillId="0" borderId="123" xfId="0" applyFont="1" applyBorder="1" applyAlignment="1">
      <alignment horizontal="center" vertical="center"/>
    </xf>
    <xf numFmtId="164" fontId="13" fillId="3" borderId="1" xfId="0" applyFont="1" applyFill="1" applyBorder="1" applyAlignment="1">
      <alignment horizontal="center" vertical="center"/>
    </xf>
    <xf numFmtId="164" fontId="3" fillId="0" borderId="124" xfId="0" applyFont="1" applyFill="1" applyBorder="1" applyAlignment="1">
      <alignment horizontal="center" vertical="center"/>
    </xf>
    <xf numFmtId="164" fontId="16" fillId="7" borderId="33" xfId="0" applyFont="1" applyFill="1" applyBorder="1" applyAlignment="1">
      <alignment horizontal="center" vertical="center"/>
    </xf>
    <xf numFmtId="164" fontId="3" fillId="0" borderId="64" xfId="0" applyFont="1" applyBorder="1" applyAlignment="1">
      <alignment horizontal="center" vertical="center"/>
    </xf>
    <xf numFmtId="164" fontId="6" fillId="7" borderId="125" xfId="0" applyFont="1" applyFill="1" applyBorder="1" applyAlignment="1">
      <alignment horizontal="center" vertical="center"/>
    </xf>
    <xf numFmtId="164" fontId="6" fillId="7" borderId="126" xfId="0" applyFont="1" applyFill="1" applyBorder="1" applyAlignment="1">
      <alignment horizontal="center" vertical="center"/>
    </xf>
    <xf numFmtId="164" fontId="6" fillId="7" borderId="127" xfId="0" applyFont="1" applyFill="1" applyBorder="1" applyAlignment="1">
      <alignment horizontal="center" vertical="center"/>
    </xf>
    <xf numFmtId="164" fontId="6" fillId="7" borderId="128" xfId="0" applyFont="1" applyFill="1" applyBorder="1" applyAlignment="1">
      <alignment horizontal="center" vertical="center"/>
    </xf>
    <xf numFmtId="164" fontId="6" fillId="7" borderId="129" xfId="0" applyFont="1" applyFill="1" applyBorder="1" applyAlignment="1">
      <alignment horizontal="center" vertical="center"/>
    </xf>
    <xf numFmtId="164" fontId="6" fillId="10" borderId="68" xfId="0" applyFont="1" applyFill="1" applyBorder="1" applyAlignment="1">
      <alignment horizontal="center" vertical="center"/>
    </xf>
    <xf numFmtId="164" fontId="3" fillId="0" borderId="104" xfId="0" applyFont="1" applyFill="1" applyBorder="1" applyAlignment="1">
      <alignment horizontal="center" vertical="center"/>
    </xf>
    <xf numFmtId="164" fontId="3" fillId="7" borderId="54" xfId="0" applyFont="1" applyFill="1" applyBorder="1" applyAlignment="1">
      <alignment horizontal="center" vertical="center"/>
    </xf>
    <xf numFmtId="164" fontId="6" fillId="7" borderId="74" xfId="0" applyFont="1" applyFill="1" applyBorder="1" applyAlignment="1">
      <alignment horizontal="right" vertical="center"/>
    </xf>
    <xf numFmtId="164" fontId="6" fillId="7" borderId="130" xfId="0" applyFont="1" applyFill="1" applyBorder="1" applyAlignment="1">
      <alignment horizontal="center" vertical="center"/>
    </xf>
    <xf numFmtId="164" fontId="6" fillId="7" borderId="47" xfId="0" applyFont="1" applyFill="1" applyBorder="1" applyAlignment="1">
      <alignment horizontal="center" vertical="center"/>
    </xf>
    <xf numFmtId="164" fontId="6" fillId="7" borderId="18" xfId="0" applyFont="1" applyFill="1" applyBorder="1" applyAlignment="1">
      <alignment horizontal="center" vertical="center"/>
    </xf>
    <xf numFmtId="164" fontId="6" fillId="7" borderId="131" xfId="0" applyFont="1" applyFill="1" applyBorder="1" applyAlignment="1">
      <alignment horizontal="center" vertical="center"/>
    </xf>
    <xf numFmtId="164" fontId="3" fillId="6" borderId="106" xfId="0" applyFont="1" applyFill="1" applyBorder="1" applyAlignment="1">
      <alignment horizontal="center" vertical="center"/>
    </xf>
    <xf numFmtId="164" fontId="16" fillId="7" borderId="56" xfId="0" applyFont="1" applyFill="1" applyBorder="1" applyAlignment="1">
      <alignment horizontal="center" vertical="center"/>
    </xf>
    <xf numFmtId="164" fontId="3" fillId="0" borderId="132" xfId="0" applyFont="1" applyBorder="1" applyAlignment="1">
      <alignment horizontal="center" vertical="center"/>
    </xf>
    <xf numFmtId="164" fontId="3" fillId="0" borderId="133" xfId="0" applyFont="1" applyFill="1" applyBorder="1" applyAlignment="1">
      <alignment horizontal="center" vertical="center"/>
    </xf>
    <xf numFmtId="164" fontId="3" fillId="0" borderId="134" xfId="0" applyNumberFormat="1" applyFont="1" applyFill="1" applyBorder="1" applyAlignment="1">
      <alignment horizontal="center" vertical="center"/>
    </xf>
    <xf numFmtId="164" fontId="3" fillId="0" borderId="135" xfId="0" applyFont="1" applyFill="1" applyBorder="1" applyAlignment="1">
      <alignment horizontal="center" vertical="center"/>
    </xf>
    <xf numFmtId="164" fontId="3" fillId="0" borderId="136" xfId="0" applyFont="1" applyFill="1" applyBorder="1" applyAlignment="1">
      <alignment horizontal="center" vertical="center"/>
    </xf>
    <xf numFmtId="169" fontId="6" fillId="7" borderId="51" xfId="0" applyNumberFormat="1" applyFont="1" applyFill="1" applyBorder="1" applyAlignment="1">
      <alignment horizontal="center" vertical="center"/>
    </xf>
    <xf numFmtId="172" fontId="3" fillId="0" borderId="31" xfId="0" applyNumberFormat="1" applyFont="1" applyFill="1" applyBorder="1" applyAlignment="1">
      <alignment horizontal="center" vertical="center"/>
    </xf>
    <xf numFmtId="164" fontId="6" fillId="10" borderId="85" xfId="0" applyFont="1" applyFill="1" applyBorder="1" applyAlignment="1">
      <alignment horizontal="center" vertical="center"/>
    </xf>
    <xf numFmtId="164" fontId="3" fillId="0" borderId="107" xfId="0" applyFont="1" applyFill="1" applyBorder="1" applyAlignment="1">
      <alignment horizontal="center" vertical="center"/>
    </xf>
    <xf numFmtId="164" fontId="3" fillId="0" borderId="0" xfId="0" applyFont="1" applyFill="1" applyAlignment="1">
      <alignment horizontal="left" vertical="center"/>
    </xf>
    <xf numFmtId="164" fontId="3" fillId="0" borderId="75" xfId="0" applyFont="1" applyBorder="1" applyAlignment="1">
      <alignment horizontal="center" vertical="center"/>
    </xf>
    <xf numFmtId="164" fontId="3" fillId="0" borderId="137" xfId="0" applyFont="1" applyBorder="1" applyAlignment="1">
      <alignment horizontal="center" vertical="center"/>
    </xf>
    <xf numFmtId="170" fontId="3" fillId="0" borderId="64" xfId="0" applyNumberFormat="1" applyFont="1" applyBorder="1" applyAlignment="1">
      <alignment horizontal="center" vertical="center"/>
    </xf>
    <xf numFmtId="164" fontId="13" fillId="3" borderId="101" xfId="0" applyFont="1" applyFill="1" applyBorder="1" applyAlignment="1">
      <alignment horizontal="center" vertical="center"/>
    </xf>
    <xf numFmtId="164" fontId="6" fillId="7" borderId="138" xfId="0" applyFont="1" applyFill="1" applyBorder="1" applyAlignment="1">
      <alignment horizontal="center" vertical="center"/>
    </xf>
    <xf numFmtId="164" fontId="3" fillId="0" borderId="139" xfId="0" applyFont="1" applyBorder="1" applyAlignment="1">
      <alignment horizontal="center" vertical="center"/>
    </xf>
    <xf numFmtId="164" fontId="3" fillId="0" borderId="140" xfId="0" applyFont="1" applyBorder="1" applyAlignment="1">
      <alignment horizontal="center" vertical="center"/>
    </xf>
    <xf numFmtId="173" fontId="3" fillId="0" borderId="141" xfId="0" applyNumberFormat="1" applyFont="1" applyFill="1" applyBorder="1" applyAlignment="1">
      <alignment horizontal="center" vertical="center"/>
    </xf>
    <xf numFmtId="173" fontId="3" fillId="0" borderId="142" xfId="0" applyNumberFormat="1" applyFont="1" applyFill="1" applyBorder="1" applyAlignment="1">
      <alignment horizontal="center" vertical="center"/>
    </xf>
    <xf numFmtId="164" fontId="3" fillId="0" borderId="50" xfId="0" applyFont="1" applyBorder="1" applyAlignment="1">
      <alignment horizontal="center" vertical="center"/>
    </xf>
    <xf numFmtId="169" fontId="3" fillId="0" borderId="51" xfId="0" applyNumberFormat="1" applyFont="1" applyBorder="1" applyAlignment="1">
      <alignment horizontal="center" vertical="center"/>
    </xf>
    <xf numFmtId="164" fontId="3" fillId="0" borderId="51"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64" fontId="6" fillId="7" borderId="59" xfId="0" applyFont="1" applyFill="1" applyBorder="1" applyAlignment="1">
      <alignment horizontal="center" vertical="center"/>
    </xf>
    <xf numFmtId="164" fontId="3" fillId="0" borderId="93" xfId="0" applyFont="1" applyBorder="1" applyAlignment="1">
      <alignment horizontal="center" vertical="center"/>
    </xf>
    <xf numFmtId="164" fontId="3" fillId="0" borderId="3" xfId="0" applyFont="1" applyBorder="1" applyAlignment="1">
      <alignment horizontal="left" vertical="center"/>
    </xf>
    <xf numFmtId="169" fontId="6" fillId="7" borderId="50" xfId="0" applyNumberFormat="1" applyFont="1" applyFill="1" applyBorder="1" applyAlignment="1">
      <alignment horizontal="center" vertical="center"/>
    </xf>
    <xf numFmtId="164" fontId="3" fillId="0" borderId="53" xfId="0" applyFont="1" applyFill="1" applyBorder="1" applyAlignment="1">
      <alignment horizontal="center" vertical="center"/>
    </xf>
    <xf numFmtId="164" fontId="3" fillId="0" borderId="143" xfId="0" applyFont="1" applyBorder="1" applyAlignment="1">
      <alignment horizontal="left" vertical="center"/>
    </xf>
    <xf numFmtId="164" fontId="3" fillId="4" borderId="75" xfId="0" applyFont="1" applyFill="1" applyBorder="1" applyAlignment="1">
      <alignment horizontal="center" vertical="center"/>
    </xf>
    <xf numFmtId="164" fontId="3" fillId="0" borderId="64" xfId="0" applyFont="1" applyFill="1" applyBorder="1" applyAlignment="1">
      <alignment horizontal="center" vertical="center"/>
    </xf>
    <xf numFmtId="164" fontId="3" fillId="0" borderId="141" xfId="0" applyFont="1" applyFill="1" applyBorder="1" applyAlignment="1">
      <alignment horizontal="center" vertical="center"/>
    </xf>
    <xf numFmtId="164" fontId="3" fillId="0" borderId="142" xfId="0" applyFont="1" applyFill="1" applyBorder="1" applyAlignment="1">
      <alignment horizontal="center" vertical="center"/>
    </xf>
    <xf numFmtId="164" fontId="6" fillId="7" borderId="1" xfId="0" applyFont="1" applyFill="1" applyBorder="1" applyAlignment="1">
      <alignment horizontal="center" vertical="center"/>
    </xf>
    <xf numFmtId="164" fontId="3" fillId="0" borderId="144" xfId="0" applyFont="1" applyBorder="1" applyAlignment="1">
      <alignment horizontal="left" vertical="center"/>
    </xf>
    <xf numFmtId="164" fontId="3" fillId="4" borderId="112" xfId="0" applyFont="1" applyFill="1" applyBorder="1" applyAlignment="1">
      <alignment horizontal="center" vertical="center"/>
    </xf>
    <xf numFmtId="164" fontId="3" fillId="4" borderId="145" xfId="0" applyFont="1" applyFill="1" applyBorder="1" applyAlignment="1">
      <alignment horizontal="center" vertical="center"/>
    </xf>
    <xf numFmtId="164" fontId="3" fillId="0" borderId="43" xfId="0" applyFont="1" applyFill="1" applyBorder="1" applyAlignment="1">
      <alignment vertical="center"/>
    </xf>
    <xf numFmtId="169" fontId="6" fillId="7" borderId="52" xfId="0" applyNumberFormat="1" applyFont="1" applyFill="1" applyBorder="1" applyAlignment="1">
      <alignment horizontal="center" vertical="center"/>
    </xf>
    <xf numFmtId="164" fontId="3" fillId="0" borderId="61" xfId="0" applyNumberFormat="1" applyFont="1" applyFill="1" applyBorder="1" applyAlignment="1">
      <alignment horizontal="center" vertical="center"/>
    </xf>
    <xf numFmtId="164" fontId="3" fillId="0" borderId="53" xfId="0" applyNumberFormat="1" applyFont="1" applyFill="1" applyBorder="1" applyAlignment="1">
      <alignment horizontal="center" vertical="center"/>
    </xf>
    <xf numFmtId="164" fontId="6" fillId="10" borderId="50" xfId="0" applyFont="1" applyFill="1" applyBorder="1" applyAlignment="1">
      <alignment horizontal="center" vertical="center"/>
    </xf>
    <xf numFmtId="164" fontId="3" fillId="0" borderId="51" xfId="0" applyFont="1" applyFill="1" applyBorder="1" applyAlignment="1">
      <alignment horizontal="center" vertical="center"/>
    </xf>
    <xf numFmtId="164" fontId="3" fillId="0" borderId="5" xfId="0" applyFont="1" applyBorder="1" applyAlignment="1">
      <alignment horizontal="left" vertical="center"/>
    </xf>
    <xf numFmtId="164" fontId="3" fillId="4" borderId="32" xfId="0" applyFont="1" applyFill="1" applyBorder="1" applyAlignment="1">
      <alignment horizontal="center" vertical="center"/>
    </xf>
    <xf numFmtId="164" fontId="3" fillId="0" borderId="47" xfId="0" applyFont="1" applyFill="1" applyBorder="1" applyAlignment="1">
      <alignment vertical="center"/>
    </xf>
    <xf numFmtId="171" fontId="3" fillId="0" borderId="0" xfId="0" applyNumberFormat="1" applyFont="1" applyFill="1" applyBorder="1" applyAlignment="1">
      <alignment horizontal="center" vertical="center"/>
    </xf>
    <xf numFmtId="164" fontId="6" fillId="7" borderId="65" xfId="0" applyFont="1" applyFill="1" applyBorder="1" applyAlignment="1">
      <alignment horizontal="center" vertical="center"/>
    </xf>
    <xf numFmtId="164" fontId="3" fillId="0" borderId="132" xfId="0" applyFont="1" applyBorder="1" applyAlignment="1">
      <alignment horizontal="left" vertical="center"/>
    </xf>
    <xf numFmtId="164" fontId="3" fillId="0" borderId="81" xfId="0" applyFont="1" applyBorder="1" applyAlignment="1">
      <alignment horizontal="center" vertical="center"/>
    </xf>
    <xf numFmtId="164" fontId="3" fillId="0" borderId="66" xfId="0" applyFont="1" applyFill="1" applyBorder="1" applyAlignment="1">
      <alignment horizontal="center" vertical="center"/>
    </xf>
    <xf numFmtId="164" fontId="3" fillId="0" borderId="121" xfId="0" applyFont="1" applyBorder="1" applyAlignment="1">
      <alignment horizontal="center" vertical="center"/>
    </xf>
    <xf numFmtId="170" fontId="3" fillId="0" borderId="132" xfId="0" applyNumberFormat="1" applyFont="1" applyBorder="1" applyAlignment="1">
      <alignment horizontal="center" vertical="center"/>
    </xf>
    <xf numFmtId="164" fontId="6" fillId="7" borderId="6" xfId="0" applyFont="1" applyFill="1" applyBorder="1" applyAlignment="1">
      <alignment horizontal="center" vertical="center"/>
    </xf>
    <xf numFmtId="164" fontId="3" fillId="0" borderId="67" xfId="0" applyFont="1" applyBorder="1" applyAlignment="1">
      <alignment horizontal="center" vertical="center"/>
    </xf>
    <xf numFmtId="164" fontId="3" fillId="0" borderId="8" xfId="0" applyFont="1" applyBorder="1" applyAlignment="1">
      <alignment horizontal="center" vertical="center"/>
    </xf>
    <xf numFmtId="164" fontId="3" fillId="4" borderId="105" xfId="0" applyFont="1" applyFill="1" applyBorder="1" applyAlignment="1">
      <alignment horizontal="center" vertical="center"/>
    </xf>
    <xf numFmtId="164" fontId="3" fillId="0" borderId="58" xfId="0" applyFont="1" applyFill="1" applyBorder="1" applyAlignment="1">
      <alignment vertical="center"/>
    </xf>
    <xf numFmtId="164" fontId="6" fillId="7" borderId="103" xfId="0" applyFont="1" applyFill="1" applyBorder="1" applyAlignment="1">
      <alignment horizontal="center" vertical="center"/>
    </xf>
    <xf numFmtId="164" fontId="6" fillId="7" borderId="50" xfId="0" applyFont="1" applyFill="1" applyBorder="1" applyAlignment="1">
      <alignment horizontal="center"/>
    </xf>
    <xf numFmtId="164" fontId="3" fillId="4" borderId="31" xfId="0" applyFont="1" applyFill="1" applyBorder="1" applyAlignment="1">
      <alignment horizontal="center" vertical="center"/>
    </xf>
    <xf numFmtId="164" fontId="3" fillId="0" borderId="51" xfId="0" applyFont="1" applyBorder="1" applyAlignment="1">
      <alignment horizontal="left" vertical="center"/>
    </xf>
    <xf numFmtId="164" fontId="6" fillId="7" borderId="50" xfId="0" applyFont="1" applyFill="1" applyBorder="1" applyAlignment="1">
      <alignment horizontal="left" vertical="center"/>
    </xf>
    <xf numFmtId="164" fontId="3" fillId="0" borderId="77" xfId="0" applyNumberFormat="1" applyFont="1" applyBorder="1" applyAlignment="1">
      <alignment horizontal="center" vertical="center"/>
    </xf>
    <xf numFmtId="170" fontId="3" fillId="0" borderId="146" xfId="0" applyNumberFormat="1" applyFont="1" applyFill="1" applyBorder="1" applyAlignment="1">
      <alignment horizontal="center" vertical="center"/>
    </xf>
    <xf numFmtId="164" fontId="3" fillId="0" borderId="0" xfId="0" applyFont="1" applyAlignment="1">
      <alignment horizontal="left"/>
    </xf>
    <xf numFmtId="164" fontId="6" fillId="10" borderId="52" xfId="0" applyFont="1" applyFill="1" applyBorder="1" applyAlignment="1">
      <alignment horizontal="center" vertical="center"/>
    </xf>
    <xf numFmtId="164" fontId="3" fillId="0" borderId="55" xfId="0" applyFont="1" applyBorder="1" applyAlignment="1">
      <alignment horizontal="center" vertical="center"/>
    </xf>
    <xf numFmtId="164" fontId="6" fillId="7" borderId="85" xfId="0" applyFont="1" applyFill="1" applyBorder="1" applyAlignment="1">
      <alignment horizontal="center" vertical="center"/>
    </xf>
    <xf numFmtId="164" fontId="3" fillId="4" borderId="86" xfId="0" applyFont="1" applyFill="1" applyBorder="1" applyAlignment="1">
      <alignment horizontal="center" vertical="center"/>
    </xf>
    <xf numFmtId="164" fontId="3" fillId="0" borderId="107" xfId="0" applyFont="1" applyBorder="1" applyAlignment="1">
      <alignment horizontal="center" vertical="center"/>
    </xf>
    <xf numFmtId="164" fontId="3" fillId="0" borderId="85" xfId="0" applyFont="1" applyBorder="1" applyAlignment="1">
      <alignment horizontal="center" vertical="center"/>
    </xf>
    <xf numFmtId="164" fontId="3" fillId="0" borderId="107" xfId="0" applyFont="1" applyBorder="1" applyAlignment="1">
      <alignment horizontal="left" vertical="center"/>
    </xf>
    <xf numFmtId="164" fontId="9" fillId="3" borderId="102" xfId="0" applyFont="1" applyFill="1" applyBorder="1" applyAlignment="1">
      <alignment/>
    </xf>
    <xf numFmtId="164" fontId="6" fillId="7" borderId="147" xfId="0" applyFont="1" applyFill="1" applyBorder="1" applyAlignment="1">
      <alignment horizontal="center" vertical="center"/>
    </xf>
    <xf numFmtId="164" fontId="6" fillId="7" borderId="148" xfId="0" applyFont="1" applyFill="1" applyBorder="1" applyAlignment="1">
      <alignment horizontal="right" vertical="center"/>
    </xf>
    <xf numFmtId="164" fontId="6" fillId="7" borderId="149" xfId="0" applyFont="1" applyFill="1" applyBorder="1" applyAlignment="1">
      <alignment horizontal="center" vertical="center"/>
    </xf>
    <xf numFmtId="164" fontId="6" fillId="7" borderId="149" xfId="0" applyFont="1" applyFill="1" applyBorder="1" applyAlignment="1">
      <alignment vertical="center"/>
    </xf>
    <xf numFmtId="164" fontId="6" fillId="7" borderId="149" xfId="0" applyNumberFormat="1" applyFont="1" applyFill="1" applyBorder="1" applyAlignment="1">
      <alignment horizontal="center" vertical="center"/>
    </xf>
    <xf numFmtId="164" fontId="6" fillId="7" borderId="150" xfId="0" applyFont="1" applyFill="1" applyBorder="1" applyAlignment="1">
      <alignment horizontal="center" vertical="center"/>
    </xf>
    <xf numFmtId="164" fontId="3" fillId="0" borderId="151" xfId="0" applyFont="1" applyBorder="1" applyAlignment="1">
      <alignment horizontal="center" vertical="center"/>
    </xf>
    <xf numFmtId="164" fontId="3" fillId="0" borderId="151" xfId="0" applyFont="1" applyFill="1" applyBorder="1" applyAlignment="1">
      <alignment horizontal="center" vertical="center"/>
    </xf>
    <xf numFmtId="164" fontId="3" fillId="0" borderId="152" xfId="0" applyFont="1" applyBorder="1" applyAlignment="1">
      <alignment horizontal="center" vertical="center"/>
    </xf>
    <xf numFmtId="164" fontId="13" fillId="3" borderId="102" xfId="0" applyFont="1" applyFill="1" applyBorder="1" applyAlignment="1">
      <alignment horizontal="center" vertical="center" textRotation="90"/>
    </xf>
    <xf numFmtId="164" fontId="13" fillId="7" borderId="62" xfId="0" applyFont="1" applyFill="1" applyBorder="1" applyAlignment="1">
      <alignment horizontal="right" vertical="center"/>
    </xf>
    <xf numFmtId="164" fontId="13" fillId="7" borderId="62" xfId="0" applyFont="1" applyFill="1" applyBorder="1" applyAlignment="1">
      <alignment horizontal="center" vertical="center"/>
    </xf>
    <xf numFmtId="174" fontId="13" fillId="7" borderId="153" xfId="0" applyNumberFormat="1" applyFont="1" applyFill="1" applyBorder="1" applyAlignment="1">
      <alignment horizontal="center" vertical="center"/>
    </xf>
    <xf numFmtId="164" fontId="6" fillId="7" borderId="52" xfId="0" applyFont="1" applyFill="1" applyBorder="1" applyAlignment="1">
      <alignment horizontal="left" vertical="center"/>
    </xf>
    <xf numFmtId="164" fontId="3" fillId="0" borderId="88" xfId="0" applyNumberFormat="1" applyFont="1" applyBorder="1" applyAlignment="1">
      <alignment horizontal="center" vertical="center"/>
    </xf>
    <xf numFmtId="164" fontId="3" fillId="0" borderId="120" xfId="0" applyFont="1" applyBorder="1" applyAlignment="1">
      <alignment horizontal="center" vertical="center"/>
    </xf>
    <xf numFmtId="170" fontId="3" fillId="0" borderId="132" xfId="0" applyNumberFormat="1" applyFont="1" applyFill="1" applyBorder="1" applyAlignment="1">
      <alignment horizontal="center" vertical="center"/>
    </xf>
    <xf numFmtId="175" fontId="3" fillId="4" borderId="50" xfId="0" applyNumberFormat="1" applyFont="1" applyFill="1" applyBorder="1" applyAlignment="1">
      <alignment horizontal="center" vertical="center"/>
    </xf>
    <xf numFmtId="164" fontId="15" fillId="0" borderId="51" xfId="0" applyFont="1" applyBorder="1" applyAlignment="1">
      <alignment horizontal="left" vertical="center"/>
    </xf>
    <xf numFmtId="164" fontId="13" fillId="3" borderId="72" xfId="0" applyFont="1" applyFill="1" applyBorder="1" applyAlignment="1">
      <alignment horizontal="center" vertical="center"/>
    </xf>
    <xf numFmtId="164" fontId="6" fillId="7" borderId="154" xfId="0" applyFont="1" applyFill="1" applyBorder="1" applyAlignment="1">
      <alignment horizontal="center" vertical="center"/>
    </xf>
    <xf numFmtId="164" fontId="6" fillId="7" borderId="62" xfId="0" applyNumberFormat="1" applyFont="1" applyFill="1" applyBorder="1" applyAlignment="1">
      <alignment horizontal="center" vertical="center"/>
    </xf>
    <xf numFmtId="164" fontId="6" fillId="7" borderId="62" xfId="0" applyFont="1" applyFill="1" applyBorder="1" applyAlignment="1">
      <alignment horizontal="center" vertical="center"/>
    </xf>
    <xf numFmtId="164" fontId="6" fillId="7" borderId="153" xfId="0" applyNumberFormat="1" applyFont="1" applyFill="1" applyBorder="1" applyAlignment="1">
      <alignment horizontal="center" vertical="center"/>
    </xf>
    <xf numFmtId="164" fontId="3" fillId="4" borderId="45" xfId="0" applyFont="1" applyFill="1" applyBorder="1" applyAlignment="1">
      <alignment horizontal="center" vertical="center"/>
    </xf>
    <xf numFmtId="164" fontId="3" fillId="0" borderId="124" xfId="0" applyFont="1" applyBorder="1" applyAlignment="1">
      <alignment horizontal="center" vertical="center"/>
    </xf>
    <xf numFmtId="164" fontId="3" fillId="4" borderId="32" xfId="0" applyNumberFormat="1" applyFont="1" applyFill="1" applyBorder="1" applyAlignment="1">
      <alignment horizontal="center" vertical="center"/>
    </xf>
    <xf numFmtId="164" fontId="3" fillId="0" borderId="47" xfId="0" applyNumberFormat="1" applyFont="1" applyBorder="1" applyAlignment="1">
      <alignment horizontal="center" vertical="center"/>
    </xf>
    <xf numFmtId="164" fontId="3" fillId="0" borderId="0" xfId="0" applyFont="1" applyFill="1" applyAlignment="1">
      <alignment horizontal="center"/>
    </xf>
    <xf numFmtId="164" fontId="3" fillId="0" borderId="109" xfId="0" applyNumberFormat="1" applyFont="1" applyBorder="1" applyAlignment="1">
      <alignment horizontal="center" vertical="center"/>
    </xf>
    <xf numFmtId="164" fontId="6" fillId="7" borderId="52" xfId="0" applyFont="1" applyFill="1" applyBorder="1" applyAlignment="1">
      <alignment horizontal="center"/>
    </xf>
    <xf numFmtId="164" fontId="13" fillId="3" borderId="71" xfId="0" applyFont="1" applyFill="1" applyBorder="1" applyAlignment="1">
      <alignment horizontal="center"/>
    </xf>
    <xf numFmtId="175" fontId="3" fillId="4" borderId="50" xfId="0" applyNumberFormat="1" applyFont="1" applyFill="1" applyBorder="1" applyAlignment="1">
      <alignment horizontal="center" vertical="center"/>
    </xf>
    <xf numFmtId="175" fontId="17" fillId="4" borderId="50" xfId="0" applyNumberFormat="1" applyFont="1" applyFill="1" applyBorder="1" applyAlignment="1">
      <alignment horizontal="center" vertical="center"/>
    </xf>
    <xf numFmtId="164" fontId="6" fillId="10" borderId="68" xfId="0" applyFont="1" applyFill="1" applyBorder="1" applyAlignment="1">
      <alignment horizontal="center"/>
    </xf>
    <xf numFmtId="164" fontId="3" fillId="0" borderId="104" xfId="0" applyFont="1" applyBorder="1" applyAlignment="1">
      <alignment horizontal="center" vertical="center"/>
    </xf>
    <xf numFmtId="164" fontId="6" fillId="10" borderId="50" xfId="0" applyFont="1" applyFill="1" applyBorder="1" applyAlignment="1">
      <alignment horizontal="center"/>
    </xf>
    <xf numFmtId="164" fontId="13" fillId="3" borderId="107" xfId="0" applyNumberFormat="1" applyFont="1" applyFill="1" applyBorder="1" applyAlignment="1">
      <alignment horizontal="center" vertical="center"/>
    </xf>
    <xf numFmtId="164" fontId="3" fillId="4" borderId="155" xfId="0" applyFont="1" applyFill="1" applyBorder="1" applyAlignment="1">
      <alignment horizontal="center" vertical="center"/>
    </xf>
    <xf numFmtId="164" fontId="3" fillId="0" borderId="106" xfId="0" applyFont="1" applyBorder="1" applyAlignment="1">
      <alignment horizontal="center" vertical="center"/>
    </xf>
    <xf numFmtId="169" fontId="3" fillId="0" borderId="156" xfId="0" applyNumberFormat="1" applyFont="1" applyBorder="1" applyAlignment="1">
      <alignment horizontal="center" vertical="center"/>
    </xf>
    <xf numFmtId="164" fontId="13" fillId="3" borderId="154" xfId="0" applyFont="1" applyFill="1" applyBorder="1" applyAlignment="1">
      <alignment horizontal="center"/>
    </xf>
    <xf numFmtId="164" fontId="13" fillId="3" borderId="62" xfId="0" applyFont="1" applyFill="1" applyBorder="1" applyAlignment="1">
      <alignment horizontal="center" vertical="center"/>
    </xf>
    <xf numFmtId="164" fontId="13" fillId="3" borderId="153" xfId="0" applyFont="1" applyFill="1" applyBorder="1" applyAlignment="1">
      <alignment horizontal="center"/>
    </xf>
    <xf numFmtId="169" fontId="3" fillId="0" borderId="84" xfId="0" applyNumberFormat="1" applyFont="1" applyBorder="1" applyAlignment="1">
      <alignment horizontal="center" vertical="center"/>
    </xf>
    <xf numFmtId="164" fontId="6" fillId="7" borderId="31" xfId="0" applyFont="1" applyFill="1" applyBorder="1" applyAlignment="1">
      <alignment horizontal="center" vertical="center"/>
    </xf>
    <xf numFmtId="169" fontId="3" fillId="4" borderId="104" xfId="0" applyNumberFormat="1" applyFont="1" applyFill="1" applyBorder="1" applyAlignment="1">
      <alignment horizontal="center" vertical="center"/>
    </xf>
    <xf numFmtId="169" fontId="3" fillId="0" borderId="55" xfId="0" applyNumberFormat="1" applyFont="1" applyBorder="1" applyAlignment="1">
      <alignment horizontal="center" vertical="center"/>
    </xf>
    <xf numFmtId="164" fontId="3" fillId="0" borderId="0" xfId="0" applyFont="1" applyFill="1" applyBorder="1" applyAlignment="1">
      <alignment horizontal="left" vertical="center"/>
    </xf>
    <xf numFmtId="169" fontId="3" fillId="0" borderId="53" xfId="0" applyNumberFormat="1" applyFont="1" applyBorder="1" applyAlignment="1">
      <alignment horizontal="center" vertical="center"/>
    </xf>
    <xf numFmtId="169" fontId="3" fillId="0" borderId="0" xfId="0" applyNumberFormat="1" applyFont="1" applyBorder="1" applyAlignment="1">
      <alignment horizontal="center" vertical="center"/>
    </xf>
    <xf numFmtId="164" fontId="3" fillId="0" borderId="94" xfId="0" applyFont="1" applyBorder="1" applyAlignment="1">
      <alignment horizontal="center" vertical="center"/>
    </xf>
    <xf numFmtId="175" fontId="3" fillId="4" borderId="52" xfId="0" applyNumberFormat="1" applyFont="1" applyFill="1" applyBorder="1" applyAlignment="1">
      <alignment horizontal="center" vertical="center"/>
    </xf>
    <xf numFmtId="164" fontId="3" fillId="4" borderId="61" xfId="0" applyFont="1" applyFill="1" applyBorder="1" applyAlignment="1">
      <alignment horizontal="center" vertical="center"/>
    </xf>
    <xf numFmtId="164" fontId="15" fillId="0" borderId="53" xfId="0" applyFont="1" applyBorder="1" applyAlignment="1">
      <alignment horizontal="left" vertical="center"/>
    </xf>
    <xf numFmtId="164" fontId="3" fillId="0" borderId="112" xfId="0" applyFont="1" applyBorder="1" applyAlignment="1">
      <alignment horizontal="center"/>
    </xf>
    <xf numFmtId="169" fontId="3" fillId="4" borderId="109" xfId="0" applyNumberFormat="1" applyFont="1" applyFill="1" applyBorder="1" applyAlignment="1">
      <alignment horizontal="center" vertical="center"/>
    </xf>
    <xf numFmtId="164" fontId="6" fillId="10" borderId="52" xfId="0" applyFont="1" applyFill="1" applyBorder="1" applyAlignment="1">
      <alignment horizontal="center"/>
    </xf>
    <xf numFmtId="164" fontId="0" fillId="0" borderId="2" xfId="0" applyBorder="1" applyAlignment="1">
      <alignment/>
    </xf>
    <xf numFmtId="164" fontId="3" fillId="0" borderId="75" xfId="0" applyFont="1" applyBorder="1" applyAlignment="1">
      <alignment horizontal="center"/>
    </xf>
    <xf numFmtId="169" fontId="3" fillId="4" borderId="47" xfId="0" applyNumberFormat="1" applyFont="1" applyFill="1" applyBorder="1" applyAlignment="1">
      <alignment horizontal="center" vertical="center"/>
    </xf>
    <xf numFmtId="164" fontId="13" fillId="3" borderId="157" xfId="0" applyFont="1" applyFill="1" applyBorder="1" applyAlignment="1">
      <alignment horizontal="center" vertical="center"/>
    </xf>
    <xf numFmtId="164" fontId="13" fillId="3" borderId="153" xfId="0" applyFont="1" applyFill="1" applyBorder="1" applyAlignment="1">
      <alignment horizontal="center" vertical="center"/>
    </xf>
    <xf numFmtId="164" fontId="6" fillId="7" borderId="62" xfId="0" applyFont="1" applyFill="1" applyBorder="1" applyAlignment="1">
      <alignment horizontal="right" vertical="center"/>
    </xf>
    <xf numFmtId="164" fontId="6" fillId="7" borderId="153" xfId="0" applyNumberFormat="1" applyFont="1" applyFill="1" applyBorder="1" applyAlignment="1">
      <alignment vertical="center"/>
    </xf>
    <xf numFmtId="164" fontId="15" fillId="0" borderId="0" xfId="0" applyFont="1" applyFill="1" applyBorder="1" applyAlignment="1">
      <alignment horizontal="left" vertical="center"/>
    </xf>
    <xf numFmtId="175" fontId="3" fillId="4" borderId="85" xfId="0" applyNumberFormat="1" applyFont="1" applyFill="1" applyBorder="1" applyAlignment="1">
      <alignment horizontal="center" vertical="center"/>
    </xf>
    <xf numFmtId="164" fontId="15" fillId="0" borderId="107" xfId="0" applyFont="1" applyBorder="1" applyAlignment="1">
      <alignment horizontal="left" vertical="center"/>
    </xf>
    <xf numFmtId="164" fontId="3" fillId="0" borderId="81" xfId="0" applyFont="1" applyBorder="1" applyAlignment="1">
      <alignment horizontal="center"/>
    </xf>
    <xf numFmtId="169" fontId="3" fillId="4" borderId="58" xfId="0" applyNumberFormat="1" applyFont="1" applyFill="1" applyBorder="1" applyAlignment="1">
      <alignment horizontal="center" vertical="center"/>
    </xf>
    <xf numFmtId="164" fontId="9" fillId="3" borderId="1" xfId="0" applyFont="1" applyFill="1" applyBorder="1" applyAlignment="1">
      <alignment horizontal="center" vertical="center"/>
    </xf>
    <xf numFmtId="164" fontId="9" fillId="3" borderId="3" xfId="0" applyFont="1" applyFill="1" applyBorder="1" applyAlignment="1">
      <alignment horizontal="center" vertical="center"/>
    </xf>
    <xf numFmtId="164" fontId="3" fillId="0" borderId="73" xfId="0" applyFont="1" applyBorder="1" applyAlignment="1">
      <alignment horizontal="center" vertical="center"/>
    </xf>
    <xf numFmtId="164" fontId="6" fillId="7" borderId="61" xfId="0" applyFont="1" applyFill="1" applyBorder="1" applyAlignment="1">
      <alignment horizontal="center" vertical="center"/>
    </xf>
    <xf numFmtId="164" fontId="3" fillId="6" borderId="53" xfId="0" applyFont="1" applyFill="1" applyBorder="1" applyAlignment="1">
      <alignment horizontal="center" vertical="center"/>
    </xf>
    <xf numFmtId="164" fontId="3" fillId="4" borderId="18" xfId="0" applyFont="1" applyFill="1" applyBorder="1" applyAlignment="1">
      <alignment horizontal="center" vertical="center"/>
    </xf>
    <xf numFmtId="164" fontId="13" fillId="3" borderId="39" xfId="0" applyFont="1" applyFill="1" applyBorder="1" applyAlignment="1">
      <alignment horizontal="center" vertical="center"/>
    </xf>
    <xf numFmtId="176" fontId="6" fillId="7" borderId="153" xfId="0" applyNumberFormat="1" applyFont="1" applyFill="1" applyBorder="1" applyAlignment="1">
      <alignment horizontal="center" vertical="center"/>
    </xf>
    <xf numFmtId="164" fontId="3" fillId="0" borderId="73" xfId="0" applyFont="1" applyFill="1" applyBorder="1" applyAlignment="1">
      <alignment horizontal="center" vertical="center"/>
    </xf>
    <xf numFmtId="164" fontId="3" fillId="0" borderId="158" xfId="0" applyFont="1" applyFill="1" applyBorder="1" applyAlignment="1">
      <alignment horizontal="center" vertical="center"/>
    </xf>
    <xf numFmtId="164" fontId="3" fillId="0" borderId="158" xfId="0" applyFont="1" applyBorder="1" applyAlignment="1">
      <alignment horizontal="center" vertical="center"/>
    </xf>
    <xf numFmtId="164" fontId="3" fillId="0" borderId="40" xfId="0" applyFont="1" applyFill="1" applyBorder="1" applyAlignment="1">
      <alignment horizontal="center" vertical="center"/>
    </xf>
    <xf numFmtId="164" fontId="3" fillId="0" borderId="40" xfId="0" applyFont="1" applyBorder="1" applyAlignment="1">
      <alignment horizontal="center" vertical="center"/>
    </xf>
    <xf numFmtId="164" fontId="3" fillId="0" borderId="104" xfId="0" applyFont="1" applyBorder="1" applyAlignment="1">
      <alignment horizontal="left" vertical="center"/>
    </xf>
    <xf numFmtId="164" fontId="3" fillId="0" borderId="53" xfId="0" applyFont="1" applyBorder="1" applyAlignment="1">
      <alignment horizontal="left" vertical="center"/>
    </xf>
    <xf numFmtId="164" fontId="3" fillId="0" borderId="0" xfId="0" applyFont="1" applyBorder="1" applyAlignment="1">
      <alignment horizontal="left" vertical="center"/>
    </xf>
    <xf numFmtId="164" fontId="3" fillId="0" borderId="50" xfId="0" applyNumberFormat="1" applyFont="1" applyFill="1" applyBorder="1" applyAlignment="1">
      <alignment horizontal="center" vertical="center"/>
    </xf>
    <xf numFmtId="164" fontId="3" fillId="0" borderId="85" xfId="0" applyNumberFormat="1" applyFont="1" applyFill="1" applyBorder="1" applyAlignment="1">
      <alignment horizontal="center" vertical="center"/>
    </xf>
    <xf numFmtId="164" fontId="3" fillId="0" borderId="68" xfId="0" applyNumberFormat="1" applyFont="1" applyFill="1" applyBorder="1" applyAlignment="1">
      <alignment horizontal="center" vertical="center"/>
    </xf>
    <xf numFmtId="164" fontId="15" fillId="0" borderId="104" xfId="0" applyFont="1" applyBorder="1" applyAlignment="1">
      <alignment horizontal="left" vertical="center"/>
    </xf>
    <xf numFmtId="164" fontId="3" fillId="0" borderId="54" xfId="0" applyNumberFormat="1" applyFont="1" applyFill="1" applyBorder="1" applyAlignment="1">
      <alignment horizontal="center" vertical="center"/>
    </xf>
    <xf numFmtId="164" fontId="15" fillId="0" borderId="55" xfId="0" applyFont="1" applyBorder="1" applyAlignment="1">
      <alignment horizontal="left" vertical="center"/>
    </xf>
    <xf numFmtId="164" fontId="3" fillId="0" borderId="52" xfId="0" applyNumberFormat="1" applyFont="1" applyFill="1" applyBorder="1" applyAlignment="1">
      <alignment horizontal="center" vertical="center"/>
    </xf>
    <xf numFmtId="164" fontId="3" fillId="0" borderId="0" xfId="0" applyFont="1" applyAlignment="1">
      <alignment/>
    </xf>
    <xf numFmtId="164" fontId="4" fillId="7" borderId="0" xfId="0" applyFont="1" applyFill="1" applyBorder="1" applyAlignment="1">
      <alignment horizontal="center" vertical="center"/>
    </xf>
    <xf numFmtId="164" fontId="0" fillId="0" borderId="0" xfId="0" applyFont="1" applyFill="1" applyAlignment="1">
      <alignment horizontal="left" vertical="center"/>
    </xf>
    <xf numFmtId="164" fontId="0" fillId="0" borderId="0" xfId="0" applyFont="1" applyFill="1" applyAlignment="1">
      <alignment vertical="center"/>
    </xf>
    <xf numFmtId="164" fontId="6" fillId="3" borderId="0" xfId="0" applyFont="1" applyFill="1" applyAlignment="1">
      <alignment horizontal="center"/>
    </xf>
    <xf numFmtId="164" fontId="6" fillId="8" borderId="0" xfId="0" applyFont="1" applyFill="1" applyAlignment="1">
      <alignment horizontal="center" vertical="center"/>
    </xf>
    <xf numFmtId="164" fontId="6" fillId="8" borderId="0" xfId="0" applyFont="1" applyFill="1" applyAlignment="1">
      <alignment horizontal="center"/>
    </xf>
    <xf numFmtId="164" fontId="7" fillId="0" borderId="0" xfId="0" applyFont="1" applyFill="1" applyAlignment="1">
      <alignment horizontal="center"/>
    </xf>
    <xf numFmtId="164" fontId="7" fillId="0" borderId="0" xfId="0" applyFont="1" applyFill="1" applyAlignment="1">
      <alignment/>
    </xf>
    <xf numFmtId="164" fontId="7" fillId="0" borderId="0" xfId="0" applyFont="1" applyFill="1" applyAlignment="1">
      <alignment horizontal="left"/>
    </xf>
    <xf numFmtId="164" fontId="7" fillId="0" borderId="0" xfId="0" applyFont="1" applyFill="1" applyBorder="1" applyAlignment="1">
      <alignment horizontal="center" vertical="center"/>
    </xf>
    <xf numFmtId="164" fontId="7" fillId="0" borderId="0" xfId="0" applyFont="1" applyFill="1" applyBorder="1" applyAlignment="1">
      <alignment vertical="center"/>
    </xf>
    <xf numFmtId="164" fontId="17" fillId="0" borderId="0" xfId="0" applyFont="1" applyFill="1" applyAlignment="1">
      <alignment horizontal="center"/>
    </xf>
    <xf numFmtId="164" fontId="17" fillId="0" borderId="0" xfId="0" applyFont="1" applyFill="1" applyAlignment="1">
      <alignment/>
    </xf>
    <xf numFmtId="164" fontId="17" fillId="0" borderId="0" xfId="0" applyFont="1" applyFill="1" applyAlignment="1">
      <alignment horizontal="left"/>
    </xf>
    <xf numFmtId="164" fontId="3" fillId="11" borderId="0" xfId="0" applyFont="1" applyFill="1" applyAlignment="1">
      <alignment horizontal="center"/>
    </xf>
    <xf numFmtId="164" fontId="17" fillId="0" borderId="0" xfId="0" applyFont="1" applyAlignment="1">
      <alignment horizontal="center"/>
    </xf>
    <xf numFmtId="164" fontId="17" fillId="0" borderId="0" xfId="0" applyFont="1" applyAlignment="1">
      <alignment/>
    </xf>
    <xf numFmtId="164" fontId="17" fillId="0" borderId="0" xfId="0" applyFont="1" applyAlignment="1">
      <alignment horizontal="left"/>
    </xf>
    <xf numFmtId="164" fontId="7" fillId="0" borderId="0" xfId="0" applyFont="1" applyAlignment="1">
      <alignment horizontal="center"/>
    </xf>
    <xf numFmtId="164" fontId="7" fillId="0" borderId="0" xfId="0" applyFont="1" applyAlignment="1">
      <alignment/>
    </xf>
    <xf numFmtId="164" fontId="7" fillId="0" borderId="0" xfId="0" applyFont="1" applyAlignment="1">
      <alignment horizontal="left"/>
    </xf>
    <xf numFmtId="164" fontId="6" fillId="8" borderId="0" xfId="0" applyFont="1" applyFill="1" applyBorder="1" applyAlignment="1">
      <alignment horizontal="center"/>
    </xf>
    <xf numFmtId="164" fontId="3" fillId="0" borderId="0" xfId="0" applyFont="1" applyBorder="1" applyAlignment="1">
      <alignment horizontal="left"/>
    </xf>
    <xf numFmtId="164" fontId="7" fillId="0" borderId="0" xfId="0" applyFont="1" applyFill="1" applyBorder="1" applyAlignment="1">
      <alignment horizontal="left"/>
    </xf>
    <xf numFmtId="164" fontId="7" fillId="0" borderId="0" xfId="0" applyFont="1" applyBorder="1" applyAlignment="1">
      <alignment horizontal="left"/>
    </xf>
    <xf numFmtId="164" fontId="17" fillId="0" borderId="0" xfId="0" applyFont="1" applyFill="1" applyBorder="1" applyAlignment="1">
      <alignment horizontal="left"/>
    </xf>
    <xf numFmtId="164" fontId="17" fillId="0" borderId="0" xfId="0" applyFont="1" applyBorder="1" applyAlignment="1">
      <alignment horizontal="left"/>
    </xf>
    <xf numFmtId="164" fontId="6" fillId="8" borderId="0" xfId="0" applyFont="1" applyFill="1" applyAlignment="1">
      <alignment horizontal="left"/>
    </xf>
    <xf numFmtId="164" fontId="6" fillId="8" borderId="0" xfId="0" applyFont="1" applyFill="1" applyAlignment="1">
      <alignment/>
    </xf>
    <xf numFmtId="164" fontId="3" fillId="0" borderId="0" xfId="0" applyNumberFormat="1" applyFont="1" applyFill="1" applyAlignment="1">
      <alignment horizontal="center"/>
    </xf>
    <xf numFmtId="173" fontId="3" fillId="0" borderId="0" xfId="0" applyNumberFormat="1" applyFont="1" applyFill="1" applyAlignment="1">
      <alignment horizontal="center"/>
    </xf>
    <xf numFmtId="164" fontId="3" fillId="0" borderId="0" xfId="0" applyFont="1" applyFill="1" applyAlignment="1">
      <alignment horizontal="left"/>
    </xf>
    <xf numFmtId="169" fontId="3" fillId="0" borderId="0" xfId="0" applyNumberFormat="1" applyFont="1" applyFill="1" applyAlignment="1">
      <alignment horizontal="right"/>
    </xf>
    <xf numFmtId="164" fontId="11" fillId="0" borderId="0" xfId="0" applyFont="1" applyFill="1" applyAlignment="1">
      <alignment horizontal="left" vertical="center"/>
    </xf>
    <xf numFmtId="164" fontId="6" fillId="12" borderId="0" xfId="0" applyFont="1" applyFill="1" applyBorder="1" applyAlignment="1">
      <alignment horizontal="center" vertical="center"/>
    </xf>
    <xf numFmtId="164" fontId="6" fillId="12" borderId="0" xfId="0" applyNumberFormat="1" applyFont="1" applyFill="1" applyBorder="1" applyAlignment="1">
      <alignment horizontal="center" vertical="center"/>
    </xf>
    <xf numFmtId="173" fontId="6" fillId="12" borderId="0" xfId="0" applyNumberFormat="1" applyFont="1" applyFill="1" applyBorder="1" applyAlignment="1">
      <alignment horizontal="center" vertical="center"/>
    </xf>
    <xf numFmtId="169" fontId="6" fillId="12" borderId="0" xfId="0" applyNumberFormat="1" applyFont="1" applyFill="1" applyBorder="1" applyAlignment="1">
      <alignment horizontal="center" vertical="center"/>
    </xf>
    <xf numFmtId="164" fontId="6" fillId="12" borderId="0" xfId="0" applyFont="1" applyFill="1" applyAlignment="1">
      <alignment horizontal="center"/>
    </xf>
    <xf numFmtId="173" fontId="3" fillId="0" borderId="0" xfId="0" applyNumberFormat="1" applyFont="1" applyFill="1" applyBorder="1" applyAlignment="1">
      <alignment horizontal="center" vertical="center"/>
    </xf>
    <xf numFmtId="164" fontId="3" fillId="0" borderId="0" xfId="0" applyFont="1" applyFill="1" applyBorder="1" applyAlignment="1">
      <alignment vertical="center"/>
    </xf>
    <xf numFmtId="164" fontId="7" fillId="0" borderId="0" xfId="0" applyNumberFormat="1" applyFont="1" applyFill="1" applyAlignment="1">
      <alignment horizontal="center"/>
    </xf>
    <xf numFmtId="173" fontId="7" fillId="0" borderId="0" xfId="0" applyNumberFormat="1" applyFont="1" applyFill="1" applyAlignment="1">
      <alignment horizontal="center"/>
    </xf>
    <xf numFmtId="169" fontId="7" fillId="0" borderId="0" xfId="0" applyNumberFormat="1" applyFont="1" applyFill="1" applyAlignment="1">
      <alignment horizontal="right"/>
    </xf>
    <xf numFmtId="164" fontId="18" fillId="0" borderId="0" xfId="0" applyFont="1" applyFill="1" applyAlignment="1">
      <alignment horizontal="left"/>
    </xf>
    <xf numFmtId="164" fontId="6" fillId="8" borderId="0" xfId="0" applyFont="1" applyFill="1" applyBorder="1" applyAlignment="1">
      <alignment horizontal="center" vertical="center"/>
    </xf>
    <xf numFmtId="164" fontId="6" fillId="3" borderId="0" xfId="0" applyFont="1" applyFill="1" applyBorder="1" applyAlignment="1">
      <alignment horizontal="center"/>
    </xf>
    <xf numFmtId="164" fontId="3" fillId="0" borderId="0" xfId="0" applyFont="1" applyBorder="1" applyAlignment="1">
      <alignment horizontal="center"/>
    </xf>
    <xf numFmtId="164" fontId="6" fillId="3" borderId="0" xfId="0" applyFont="1" applyFill="1" applyAlignment="1">
      <alignment/>
    </xf>
    <xf numFmtId="164" fontId="3" fillId="3" borderId="0" xfId="0" applyFont="1" applyFill="1" applyAlignment="1">
      <alignment horizontal="center"/>
    </xf>
    <xf numFmtId="164" fontId="3" fillId="13" borderId="0" xfId="0" applyFont="1" applyFill="1" applyAlignment="1">
      <alignment horizontal="center"/>
    </xf>
    <xf numFmtId="164" fontId="3" fillId="4" borderId="0" xfId="0" applyFont="1" applyFill="1" applyAlignment="1">
      <alignment horizontal="center"/>
    </xf>
    <xf numFmtId="164" fontId="3" fillId="14" borderId="0" xfId="0" applyFont="1" applyFill="1" applyAlignment="1">
      <alignment horizontal="center"/>
    </xf>
    <xf numFmtId="164" fontId="3" fillId="15" borderId="0" xfId="0" applyFont="1" applyFill="1" applyAlignment="1">
      <alignment horizontal="center"/>
    </xf>
    <xf numFmtId="164" fontId="6" fillId="16" borderId="0" xfId="0" applyFont="1" applyFill="1" applyAlignment="1">
      <alignment horizontal="center"/>
    </xf>
    <xf numFmtId="164" fontId="6" fillId="3" borderId="0" xfId="0" applyFont="1" applyFill="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dimension ref="B1:I15"/>
  <sheetViews>
    <sheetView workbookViewId="0" topLeftCell="A1">
      <selection activeCell="E19" sqref="E19"/>
    </sheetView>
  </sheetViews>
  <sheetFormatPr defaultColWidth="9.00390625" defaultRowHeight="13.5"/>
  <cols>
    <col min="1" max="1" width="3.875" style="1" customWidth="1"/>
    <col min="2" max="4" width="9.00390625" style="1" customWidth="1"/>
    <col min="5" max="5" width="11.00390625" style="1" customWidth="1"/>
    <col min="6" max="7" width="9.00390625" style="1" customWidth="1"/>
    <col min="8" max="8" width="9.625" style="1" customWidth="1"/>
    <col min="9" max="16384" width="9.00390625" style="1" customWidth="1"/>
  </cols>
  <sheetData>
    <row r="1" ht="13.5">
      <c r="B1" s="1" t="s">
        <v>0</v>
      </c>
    </row>
    <row r="2" ht="13.5">
      <c r="B2" s="1" t="s">
        <v>1</v>
      </c>
    </row>
    <row r="4" spans="2:9" ht="13.5">
      <c r="B4" s="2" t="s">
        <v>2</v>
      </c>
      <c r="C4" s="3"/>
      <c r="D4" s="3"/>
      <c r="E4" s="3"/>
      <c r="F4" s="3"/>
      <c r="G4" s="3"/>
      <c r="H4" s="3"/>
      <c r="I4" s="4"/>
    </row>
    <row r="5" spans="2:9" ht="13.5">
      <c r="B5" s="5"/>
      <c r="C5" s="6" t="s">
        <v>3</v>
      </c>
      <c r="D5" s="6"/>
      <c r="E5" s="6"/>
      <c r="F5" s="6"/>
      <c r="G5" s="6" t="s">
        <v>4</v>
      </c>
      <c r="H5" s="6"/>
      <c r="I5" s="7"/>
    </row>
    <row r="6" spans="2:9" ht="13.5">
      <c r="B6" s="5"/>
      <c r="C6" s="6" t="s">
        <v>5</v>
      </c>
      <c r="D6" s="6"/>
      <c r="E6" s="6"/>
      <c r="F6" s="6"/>
      <c r="G6" s="6" t="s">
        <v>6</v>
      </c>
      <c r="H6" s="6"/>
      <c r="I6" s="7"/>
    </row>
    <row r="7" spans="2:9" ht="13.5">
      <c r="B7" s="5"/>
      <c r="C7" s="6" t="s">
        <v>7</v>
      </c>
      <c r="D7" s="6"/>
      <c r="E7" s="6"/>
      <c r="F7" s="6"/>
      <c r="G7" s="6" t="s">
        <v>8</v>
      </c>
      <c r="H7" s="6"/>
      <c r="I7" s="7"/>
    </row>
    <row r="8" spans="2:9" ht="13.5">
      <c r="B8" s="5"/>
      <c r="C8" s="6" t="s">
        <v>9</v>
      </c>
      <c r="D8" s="6"/>
      <c r="E8" s="6"/>
      <c r="F8" s="6"/>
      <c r="G8" s="6" t="s">
        <v>10</v>
      </c>
      <c r="H8" s="6"/>
      <c r="I8" s="7"/>
    </row>
    <row r="9" spans="2:9" ht="13.5">
      <c r="B9" s="5"/>
      <c r="C9" s="6" t="s">
        <v>11</v>
      </c>
      <c r="D9" s="6"/>
      <c r="E9" s="6"/>
      <c r="F9" s="6"/>
      <c r="G9" s="6" t="s">
        <v>12</v>
      </c>
      <c r="H9" s="6"/>
      <c r="I9" s="7"/>
    </row>
    <row r="10" spans="2:9" ht="13.5">
      <c r="B10" s="8"/>
      <c r="C10" s="9" t="s">
        <v>13</v>
      </c>
      <c r="D10" s="9"/>
      <c r="E10" s="9"/>
      <c r="F10" s="9"/>
      <c r="G10" s="9" t="s">
        <v>14</v>
      </c>
      <c r="H10" s="9"/>
      <c r="I10" s="10"/>
    </row>
    <row r="12" ht="13.5">
      <c r="B12" s="1" t="s">
        <v>15</v>
      </c>
    </row>
    <row r="13" ht="13.5">
      <c r="B13" s="1" t="s">
        <v>16</v>
      </c>
    </row>
    <row r="14" ht="13.5">
      <c r="B14" s="1" t="s">
        <v>17</v>
      </c>
    </row>
    <row r="15" ht="13.5">
      <c r="B15" s="1" t="s">
        <v>18</v>
      </c>
    </row>
  </sheetData>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codeName="Sheet12"/>
  <dimension ref="A1:T120"/>
  <sheetViews>
    <sheetView workbookViewId="0" topLeftCell="A1">
      <selection activeCell="E38" sqref="E38"/>
    </sheetView>
  </sheetViews>
  <sheetFormatPr defaultColWidth="9.00390625" defaultRowHeight="13.5"/>
  <cols>
    <col min="1" max="1" width="12.75390625" style="63" customWidth="1"/>
    <col min="2" max="2" width="6.50390625" style="63" customWidth="1"/>
    <col min="3" max="3" width="11.75390625" style="63" customWidth="1"/>
    <col min="4" max="4" width="26.625" style="63" customWidth="1"/>
    <col min="5" max="5" width="30.75390625" style="400" customWidth="1"/>
    <col min="6" max="6" width="4.375" style="400" customWidth="1"/>
    <col min="7" max="7" width="4.875" style="400" customWidth="1"/>
    <col min="8" max="8" width="5.00390625" style="400" customWidth="1"/>
    <col min="9" max="9" width="8.125" style="400" customWidth="1"/>
    <col min="10" max="15" width="9.00390625" style="400" customWidth="1"/>
    <col min="16" max="16384" width="9.00390625" style="63" customWidth="1"/>
  </cols>
  <sheetData>
    <row r="1" spans="1:20" s="204" customFormat="1" ht="13.5">
      <c r="A1" s="466" t="s">
        <v>2042</v>
      </c>
      <c r="B1" s="466"/>
      <c r="C1" s="466"/>
      <c r="D1" s="466"/>
      <c r="E1" s="466"/>
      <c r="F1" s="166"/>
      <c r="G1" s="166"/>
      <c r="H1" s="166"/>
      <c r="I1" s="166"/>
      <c r="J1" s="166"/>
      <c r="K1" s="166"/>
      <c r="L1" s="166"/>
      <c r="M1" s="166"/>
      <c r="N1" s="166"/>
      <c r="O1" s="166"/>
      <c r="P1" s="166"/>
      <c r="Q1" s="166"/>
      <c r="R1" s="166"/>
      <c r="S1" s="166"/>
      <c r="T1" s="166"/>
    </row>
    <row r="2" spans="1:8" ht="13.5">
      <c r="A2" s="469" t="s">
        <v>75</v>
      </c>
      <c r="B2" s="470" t="s">
        <v>2043</v>
      </c>
      <c r="C2" s="470" t="s">
        <v>175</v>
      </c>
      <c r="D2" s="470" t="s">
        <v>2044</v>
      </c>
      <c r="E2" s="204" t="s">
        <v>249</v>
      </c>
      <c r="F2" s="204"/>
      <c r="G2" s="204"/>
      <c r="H2" s="204"/>
    </row>
    <row r="3" spans="1:8" ht="13.5">
      <c r="A3" s="400" t="s">
        <v>93</v>
      </c>
      <c r="B3" s="204" t="s">
        <v>93</v>
      </c>
      <c r="C3" s="204" t="s">
        <v>93</v>
      </c>
      <c r="D3" s="204" t="s">
        <v>93</v>
      </c>
      <c r="E3" s="204"/>
      <c r="F3" s="204"/>
      <c r="G3" s="204"/>
      <c r="H3" s="204"/>
    </row>
    <row r="4" spans="1:15" s="484" customFormat="1" ht="11.25">
      <c r="A4" s="484" t="s">
        <v>2045</v>
      </c>
      <c r="B4" s="484" t="s">
        <v>2046</v>
      </c>
      <c r="C4" s="484" t="s">
        <v>2047</v>
      </c>
      <c r="D4" s="486" t="s">
        <v>2048</v>
      </c>
      <c r="E4" s="472"/>
      <c r="F4" s="472"/>
      <c r="G4" s="472"/>
      <c r="H4" s="472"/>
      <c r="I4" s="472"/>
      <c r="J4" s="472"/>
      <c r="K4" s="472"/>
      <c r="L4" s="472"/>
      <c r="M4" s="472"/>
      <c r="N4" s="472"/>
      <c r="O4" s="472"/>
    </row>
    <row r="5" spans="1:15" s="484" customFormat="1" ht="11.25">
      <c r="A5" s="484" t="s">
        <v>2049</v>
      </c>
      <c r="B5" s="484" t="s">
        <v>2050</v>
      </c>
      <c r="C5" s="484" t="s">
        <v>2051</v>
      </c>
      <c r="D5" s="486" t="s">
        <v>2052</v>
      </c>
      <c r="E5" s="472"/>
      <c r="F5" s="472"/>
      <c r="G5" s="472"/>
      <c r="H5" s="472"/>
      <c r="I5" s="472"/>
      <c r="J5" s="472"/>
      <c r="K5" s="472"/>
      <c r="L5" s="472"/>
      <c r="M5" s="472"/>
      <c r="N5" s="472"/>
      <c r="O5" s="472"/>
    </row>
    <row r="6" spans="1:5" ht="13.5">
      <c r="A6" s="63" t="s">
        <v>2053</v>
      </c>
      <c r="B6" s="63" t="s">
        <v>2054</v>
      </c>
      <c r="C6" s="63" t="s">
        <v>2055</v>
      </c>
      <c r="D6" s="363" t="s">
        <v>2056</v>
      </c>
      <c r="E6" s="497" t="s">
        <v>2057</v>
      </c>
    </row>
    <row r="7" spans="1:15" s="484" customFormat="1" ht="11.25">
      <c r="A7" s="484" t="s">
        <v>2058</v>
      </c>
      <c r="B7" s="484" t="s">
        <v>2059</v>
      </c>
      <c r="C7" s="484" t="s">
        <v>2060</v>
      </c>
      <c r="D7" s="486" t="s">
        <v>2061</v>
      </c>
      <c r="E7" s="472"/>
      <c r="F7" s="472"/>
      <c r="G7" s="472"/>
      <c r="H7" s="472"/>
      <c r="I7" s="472"/>
      <c r="J7" s="472"/>
      <c r="K7" s="472"/>
      <c r="L7" s="472"/>
      <c r="M7" s="472"/>
      <c r="N7" s="472"/>
      <c r="O7" s="472"/>
    </row>
    <row r="8" spans="1:15" s="484" customFormat="1" ht="11.25">
      <c r="A8" s="484" t="s">
        <v>2062</v>
      </c>
      <c r="B8" s="484" t="s">
        <v>2063</v>
      </c>
      <c r="C8" s="484" t="s">
        <v>2064</v>
      </c>
      <c r="D8" s="486" t="s">
        <v>2065</v>
      </c>
      <c r="E8" s="472"/>
      <c r="F8" s="472"/>
      <c r="G8" s="472"/>
      <c r="H8" s="472"/>
      <c r="I8" s="472"/>
      <c r="J8" s="472"/>
      <c r="K8" s="472"/>
      <c r="L8" s="472"/>
      <c r="M8" s="472"/>
      <c r="N8" s="472"/>
      <c r="O8" s="472"/>
    </row>
    <row r="9" spans="1:15" s="484" customFormat="1" ht="11.25">
      <c r="A9" s="484" t="s">
        <v>2066</v>
      </c>
      <c r="B9" s="484" t="s">
        <v>2067</v>
      </c>
      <c r="C9" s="484" t="s">
        <v>2068</v>
      </c>
      <c r="D9" s="486" t="s">
        <v>2069</v>
      </c>
      <c r="E9" s="472"/>
      <c r="F9" s="472"/>
      <c r="G9" s="472"/>
      <c r="H9" s="472"/>
      <c r="I9" s="472"/>
      <c r="J9" s="472"/>
      <c r="K9" s="472"/>
      <c r="L9" s="472"/>
      <c r="M9" s="472"/>
      <c r="N9" s="472"/>
      <c r="O9" s="472"/>
    </row>
    <row r="10" spans="1:15" s="484" customFormat="1" ht="11.25">
      <c r="A10" s="484" t="s">
        <v>2070</v>
      </c>
      <c r="B10" s="484" t="s">
        <v>2071</v>
      </c>
      <c r="C10" s="484" t="s">
        <v>2072</v>
      </c>
      <c r="D10" s="486" t="s">
        <v>2073</v>
      </c>
      <c r="E10" s="472"/>
      <c r="F10" s="472"/>
      <c r="G10" s="472"/>
      <c r="H10" s="472"/>
      <c r="I10" s="472"/>
      <c r="J10" s="472"/>
      <c r="K10" s="472"/>
      <c r="L10" s="472"/>
      <c r="M10" s="472"/>
      <c r="N10" s="472"/>
      <c r="O10" s="472"/>
    </row>
    <row r="11" spans="1:15" s="484" customFormat="1" ht="11.25">
      <c r="A11" s="484" t="s">
        <v>2074</v>
      </c>
      <c r="B11" s="484" t="s">
        <v>2075</v>
      </c>
      <c r="C11" s="484" t="s">
        <v>2076</v>
      </c>
      <c r="D11" s="486" t="s">
        <v>2077</v>
      </c>
      <c r="E11" s="474" t="s">
        <v>2078</v>
      </c>
      <c r="F11" s="472"/>
      <c r="G11" s="472"/>
      <c r="H11" s="472"/>
      <c r="I11" s="472"/>
      <c r="J11" s="472"/>
      <c r="K11" s="472"/>
      <c r="L11" s="472"/>
      <c r="M11" s="472"/>
      <c r="N11" s="472"/>
      <c r="O11" s="472"/>
    </row>
    <row r="12" spans="1:15" s="484" customFormat="1" ht="11.25">
      <c r="A12" s="484" t="s">
        <v>2079</v>
      </c>
      <c r="B12" s="484" t="s">
        <v>2080</v>
      </c>
      <c r="C12" s="484" t="s">
        <v>2081</v>
      </c>
      <c r="D12" s="486" t="s">
        <v>2082</v>
      </c>
      <c r="E12" s="472"/>
      <c r="F12" s="472"/>
      <c r="G12" s="472"/>
      <c r="H12" s="472"/>
      <c r="I12" s="472"/>
      <c r="J12" s="472"/>
      <c r="K12" s="472"/>
      <c r="L12" s="472"/>
      <c r="M12" s="472"/>
      <c r="N12" s="472"/>
      <c r="O12" s="472"/>
    </row>
    <row r="13" spans="1:15" s="484" customFormat="1" ht="11.25">
      <c r="A13" s="484" t="s">
        <v>2083</v>
      </c>
      <c r="B13" s="484" t="s">
        <v>2084</v>
      </c>
      <c r="C13" s="484" t="s">
        <v>2085</v>
      </c>
      <c r="D13" s="486" t="s">
        <v>2086</v>
      </c>
      <c r="E13" s="472"/>
      <c r="F13" s="472"/>
      <c r="G13" s="472"/>
      <c r="H13" s="472"/>
      <c r="I13" s="472"/>
      <c r="J13" s="472"/>
      <c r="K13" s="472"/>
      <c r="L13" s="472"/>
      <c r="M13" s="472"/>
      <c r="N13" s="472"/>
      <c r="O13" s="472"/>
    </row>
    <row r="14" spans="1:15" s="484" customFormat="1" ht="11.25">
      <c r="A14" s="484" t="s">
        <v>2087</v>
      </c>
      <c r="B14" s="484" t="s">
        <v>2088</v>
      </c>
      <c r="C14" s="484" t="s">
        <v>2089</v>
      </c>
      <c r="D14" s="486" t="s">
        <v>2090</v>
      </c>
      <c r="E14" s="474" t="s">
        <v>2091</v>
      </c>
      <c r="F14" s="472"/>
      <c r="G14" s="472"/>
      <c r="H14" s="472"/>
      <c r="I14" s="472"/>
      <c r="J14" s="472"/>
      <c r="K14" s="472"/>
      <c r="L14" s="472"/>
      <c r="M14" s="472"/>
      <c r="N14" s="472"/>
      <c r="O14" s="472"/>
    </row>
    <row r="15" spans="1:15" s="484" customFormat="1" ht="11.25">
      <c r="A15" s="484" t="s">
        <v>2092</v>
      </c>
      <c r="B15" s="484" t="s">
        <v>2093</v>
      </c>
      <c r="C15" s="484" t="s">
        <v>2094</v>
      </c>
      <c r="D15" s="486" t="s">
        <v>2095</v>
      </c>
      <c r="E15" s="472"/>
      <c r="F15" s="472"/>
      <c r="G15" s="472"/>
      <c r="H15" s="472"/>
      <c r="I15" s="472"/>
      <c r="J15" s="472"/>
      <c r="K15" s="472"/>
      <c r="L15" s="472"/>
      <c r="M15" s="472"/>
      <c r="N15" s="472"/>
      <c r="O15" s="472"/>
    </row>
    <row r="16" spans="1:15" s="484" customFormat="1" ht="11.25">
      <c r="A16" s="484" t="s">
        <v>2096</v>
      </c>
      <c r="B16" s="484" t="s">
        <v>2097</v>
      </c>
      <c r="C16" s="484" t="s">
        <v>2098</v>
      </c>
      <c r="D16" s="486" t="s">
        <v>2099</v>
      </c>
      <c r="E16" s="472"/>
      <c r="F16" s="472"/>
      <c r="G16" s="472"/>
      <c r="H16" s="472"/>
      <c r="I16" s="472"/>
      <c r="J16" s="472"/>
      <c r="K16" s="472"/>
      <c r="L16" s="472"/>
      <c r="M16" s="472"/>
      <c r="N16" s="472"/>
      <c r="O16" s="472"/>
    </row>
    <row r="17" spans="1:15" s="484" customFormat="1" ht="11.25">
      <c r="A17" s="484" t="s">
        <v>2100</v>
      </c>
      <c r="B17" s="484" t="s">
        <v>2101</v>
      </c>
      <c r="C17" s="484" t="s">
        <v>2102</v>
      </c>
      <c r="D17" s="486" t="s">
        <v>2103</v>
      </c>
      <c r="E17" s="472"/>
      <c r="F17" s="472"/>
      <c r="G17" s="472"/>
      <c r="H17" s="472"/>
      <c r="I17" s="472"/>
      <c r="J17" s="472"/>
      <c r="K17" s="472"/>
      <c r="L17" s="472"/>
      <c r="M17" s="472"/>
      <c r="N17" s="472"/>
      <c r="O17" s="472"/>
    </row>
    <row r="18" spans="1:15" s="484" customFormat="1" ht="11.25">
      <c r="A18" s="484" t="s">
        <v>2104</v>
      </c>
      <c r="B18" s="484" t="s">
        <v>2105</v>
      </c>
      <c r="C18" s="484" t="s">
        <v>2106</v>
      </c>
      <c r="D18" s="486" t="s">
        <v>2107</v>
      </c>
      <c r="E18" s="474" t="s">
        <v>2108</v>
      </c>
      <c r="F18" s="472"/>
      <c r="G18" s="472"/>
      <c r="H18" s="472"/>
      <c r="I18" s="472"/>
      <c r="J18" s="472"/>
      <c r="K18" s="472"/>
      <c r="L18" s="472"/>
      <c r="M18" s="472"/>
      <c r="N18" s="472"/>
      <c r="O18" s="472"/>
    </row>
    <row r="19" spans="1:15" s="484" customFormat="1" ht="11.25">
      <c r="A19" s="484" t="s">
        <v>2109</v>
      </c>
      <c r="B19" s="484" t="s">
        <v>2110</v>
      </c>
      <c r="C19" s="484" t="s">
        <v>2111</v>
      </c>
      <c r="D19" s="486" t="s">
        <v>2112</v>
      </c>
      <c r="E19" s="472"/>
      <c r="F19" s="472"/>
      <c r="G19" s="472"/>
      <c r="H19" s="472"/>
      <c r="I19" s="472"/>
      <c r="J19" s="472"/>
      <c r="K19" s="472"/>
      <c r="L19" s="472"/>
      <c r="M19" s="472"/>
      <c r="N19" s="472"/>
      <c r="O19" s="472"/>
    </row>
    <row r="20" spans="1:15" s="484" customFormat="1" ht="11.25">
      <c r="A20" s="484" t="s">
        <v>2113</v>
      </c>
      <c r="B20" s="484" t="s">
        <v>2114</v>
      </c>
      <c r="C20" s="484" t="s">
        <v>2115</v>
      </c>
      <c r="D20" s="486" t="s">
        <v>2116</v>
      </c>
      <c r="E20" s="472"/>
      <c r="F20" s="472"/>
      <c r="G20" s="472"/>
      <c r="H20" s="472"/>
      <c r="I20" s="472"/>
      <c r="J20" s="472"/>
      <c r="K20" s="472"/>
      <c r="L20" s="472"/>
      <c r="M20" s="472"/>
      <c r="N20" s="472"/>
      <c r="O20" s="472"/>
    </row>
    <row r="21" spans="1:15" s="484" customFormat="1" ht="11.25">
      <c r="A21" s="484" t="s">
        <v>76</v>
      </c>
      <c r="B21" s="484" t="s">
        <v>2117</v>
      </c>
      <c r="C21" s="484" t="s">
        <v>2118</v>
      </c>
      <c r="D21" s="486" t="s">
        <v>2119</v>
      </c>
      <c r="E21" s="472"/>
      <c r="F21" s="472"/>
      <c r="G21" s="472"/>
      <c r="H21" s="472"/>
      <c r="I21" s="472"/>
      <c r="J21" s="472"/>
      <c r="K21" s="472"/>
      <c r="L21" s="472"/>
      <c r="M21" s="472"/>
      <c r="N21" s="472"/>
      <c r="O21" s="472"/>
    </row>
    <row r="22" spans="1:5" ht="13.5">
      <c r="A22" s="63" t="s">
        <v>2120</v>
      </c>
      <c r="B22" s="63" t="s">
        <v>2046</v>
      </c>
      <c r="C22" s="63" t="s">
        <v>2121</v>
      </c>
      <c r="D22" s="363" t="s">
        <v>2122</v>
      </c>
      <c r="E22" s="497"/>
    </row>
    <row r="23" spans="1:5" ht="13.5">
      <c r="A23" s="63" t="s">
        <v>2123</v>
      </c>
      <c r="B23" s="63" t="s">
        <v>2050</v>
      </c>
      <c r="C23" s="63" t="s">
        <v>2124</v>
      </c>
      <c r="D23" s="363" t="s">
        <v>2125</v>
      </c>
      <c r="E23" s="497"/>
    </row>
    <row r="24" spans="1:5" ht="13.5">
      <c r="A24" s="63" t="s">
        <v>2126</v>
      </c>
      <c r="B24" s="63" t="s">
        <v>2054</v>
      </c>
      <c r="C24" s="63" t="s">
        <v>2127</v>
      </c>
      <c r="D24" s="363" t="s">
        <v>2128</v>
      </c>
      <c r="E24" s="497"/>
    </row>
    <row r="25" spans="1:5" ht="13.5">
      <c r="A25" s="63" t="s">
        <v>2129</v>
      </c>
      <c r="B25" s="63" t="s">
        <v>2059</v>
      </c>
      <c r="C25" s="63" t="s">
        <v>2130</v>
      </c>
      <c r="D25" s="363" t="s">
        <v>2131</v>
      </c>
      <c r="E25" s="497"/>
    </row>
    <row r="26" spans="1:5" ht="13.5">
      <c r="A26" s="63" t="s">
        <v>2132</v>
      </c>
      <c r="B26" s="63" t="s">
        <v>2063</v>
      </c>
      <c r="C26" s="63" t="s">
        <v>2133</v>
      </c>
      <c r="D26" s="363" t="s">
        <v>2134</v>
      </c>
      <c r="E26" s="497"/>
    </row>
    <row r="27" spans="1:5" ht="13.5">
      <c r="A27" s="63" t="s">
        <v>2135</v>
      </c>
      <c r="B27" s="63" t="s">
        <v>2067</v>
      </c>
      <c r="C27" s="63" t="s">
        <v>2136</v>
      </c>
      <c r="D27" s="363" t="s">
        <v>2137</v>
      </c>
      <c r="E27" s="497"/>
    </row>
    <row r="28" spans="1:5" ht="13.5">
      <c r="A28" s="63" t="s">
        <v>2138</v>
      </c>
      <c r="B28" s="63" t="s">
        <v>2071</v>
      </c>
      <c r="C28" s="63" t="s">
        <v>2139</v>
      </c>
      <c r="D28" s="363" t="s">
        <v>2140</v>
      </c>
      <c r="E28" s="497"/>
    </row>
    <row r="29" spans="1:5" ht="13.5">
      <c r="A29" s="63" t="s">
        <v>2141</v>
      </c>
      <c r="B29" s="63" t="s">
        <v>2075</v>
      </c>
      <c r="C29" s="63" t="s">
        <v>2142</v>
      </c>
      <c r="D29" s="363" t="s">
        <v>2143</v>
      </c>
      <c r="E29" s="497"/>
    </row>
    <row r="30" spans="1:5" ht="13.5">
      <c r="A30" s="63" t="s">
        <v>2144</v>
      </c>
      <c r="B30" s="63" t="s">
        <v>2080</v>
      </c>
      <c r="C30" s="63" t="s">
        <v>2145</v>
      </c>
      <c r="D30" s="363" t="s">
        <v>2146</v>
      </c>
      <c r="E30" s="497"/>
    </row>
    <row r="31" spans="1:5" ht="13.5">
      <c r="A31" s="63" t="s">
        <v>2147</v>
      </c>
      <c r="B31" s="63" t="s">
        <v>2080</v>
      </c>
      <c r="C31" s="63" t="s">
        <v>2145</v>
      </c>
      <c r="D31" s="363" t="s">
        <v>2148</v>
      </c>
      <c r="E31" s="497"/>
    </row>
    <row r="32" spans="1:5" ht="13.5">
      <c r="A32" s="63" t="s">
        <v>2149</v>
      </c>
      <c r="B32" s="63" t="s">
        <v>2080</v>
      </c>
      <c r="C32" s="63" t="s">
        <v>2145</v>
      </c>
      <c r="D32" s="363" t="s">
        <v>2150</v>
      </c>
      <c r="E32" s="497"/>
    </row>
    <row r="33" spans="1:5" ht="13.5">
      <c r="A33" s="63" t="s">
        <v>2151</v>
      </c>
      <c r="B33" s="63" t="s">
        <v>2080</v>
      </c>
      <c r="C33" s="63" t="s">
        <v>2145</v>
      </c>
      <c r="D33" s="363" t="s">
        <v>2152</v>
      </c>
      <c r="E33" s="497"/>
    </row>
    <row r="34" spans="1:5" ht="13.5">
      <c r="A34" s="63" t="s">
        <v>2153</v>
      </c>
      <c r="B34" s="63" t="s">
        <v>2080</v>
      </c>
      <c r="C34" s="63" t="s">
        <v>2145</v>
      </c>
      <c r="D34" s="363" t="s">
        <v>2154</v>
      </c>
      <c r="E34" s="497"/>
    </row>
    <row r="35" spans="1:5" ht="13.5">
      <c r="A35" s="63" t="s">
        <v>2155</v>
      </c>
      <c r="B35" s="63" t="s">
        <v>2080</v>
      </c>
      <c r="C35" s="63" t="s">
        <v>2145</v>
      </c>
      <c r="D35" s="363" t="s">
        <v>2156</v>
      </c>
      <c r="E35" s="497"/>
    </row>
    <row r="36" spans="1:5" ht="13.5">
      <c r="A36" s="63" t="s">
        <v>2157</v>
      </c>
      <c r="B36" s="63" t="s">
        <v>2084</v>
      </c>
      <c r="C36" s="63" t="s">
        <v>2158</v>
      </c>
      <c r="D36" s="363" t="s">
        <v>2159</v>
      </c>
      <c r="E36" s="497"/>
    </row>
    <row r="37" spans="1:5" ht="13.5">
      <c r="A37" s="63" t="s">
        <v>2160</v>
      </c>
      <c r="B37" s="63" t="s">
        <v>2088</v>
      </c>
      <c r="C37" s="63" t="s">
        <v>2161</v>
      </c>
      <c r="D37" s="363" t="s">
        <v>2162</v>
      </c>
      <c r="E37" s="497"/>
    </row>
    <row r="38" spans="1:5" ht="13.5">
      <c r="A38" s="63" t="s">
        <v>2163</v>
      </c>
      <c r="B38" s="63" t="s">
        <v>2093</v>
      </c>
      <c r="C38" s="63" t="s">
        <v>2164</v>
      </c>
      <c r="D38" s="363" t="s">
        <v>2165</v>
      </c>
      <c r="E38" s="497"/>
    </row>
    <row r="39" spans="1:15" s="484" customFormat="1" ht="11.25">
      <c r="A39" s="484" t="s">
        <v>2166</v>
      </c>
      <c r="B39" s="484" t="s">
        <v>2097</v>
      </c>
      <c r="C39" s="484" t="s">
        <v>2167</v>
      </c>
      <c r="D39" s="486" t="s">
        <v>2168</v>
      </c>
      <c r="E39" s="474" t="s">
        <v>2169</v>
      </c>
      <c r="F39" s="472"/>
      <c r="G39" s="472"/>
      <c r="H39" s="472"/>
      <c r="I39" s="472"/>
      <c r="J39" s="472"/>
      <c r="K39" s="472"/>
      <c r="L39" s="472"/>
      <c r="M39" s="472"/>
      <c r="N39" s="472"/>
      <c r="O39" s="472"/>
    </row>
    <row r="40" spans="1:5" ht="13.5">
      <c r="A40" s="63" t="s">
        <v>2170</v>
      </c>
      <c r="B40" s="63" t="s">
        <v>2101</v>
      </c>
      <c r="C40" s="63" t="s">
        <v>2171</v>
      </c>
      <c r="D40" s="363" t="s">
        <v>2172</v>
      </c>
      <c r="E40" s="497"/>
    </row>
    <row r="41" spans="1:15" s="484" customFormat="1" ht="11.25">
      <c r="A41" s="484" t="s">
        <v>2173</v>
      </c>
      <c r="B41" s="484" t="s">
        <v>2105</v>
      </c>
      <c r="C41" s="484" t="s">
        <v>2174</v>
      </c>
      <c r="D41" s="486" t="s">
        <v>2175</v>
      </c>
      <c r="E41" s="474" t="s">
        <v>2169</v>
      </c>
      <c r="F41" s="472"/>
      <c r="G41" s="472"/>
      <c r="H41" s="472"/>
      <c r="I41" s="472"/>
      <c r="J41" s="472"/>
      <c r="K41" s="472"/>
      <c r="L41" s="472"/>
      <c r="M41" s="472"/>
      <c r="N41" s="472"/>
      <c r="O41" s="472"/>
    </row>
    <row r="42" spans="1:5" ht="13.5">
      <c r="A42" s="63" t="s">
        <v>2176</v>
      </c>
      <c r="B42" s="63" t="s">
        <v>2110</v>
      </c>
      <c r="C42" s="63" t="s">
        <v>2177</v>
      </c>
      <c r="D42" s="363"/>
      <c r="E42" s="510" t="s">
        <v>2178</v>
      </c>
    </row>
    <row r="43" spans="1:5" ht="13.5">
      <c r="A43" s="63" t="s">
        <v>2179</v>
      </c>
      <c r="B43" s="63" t="s">
        <v>2114</v>
      </c>
      <c r="C43" s="63" t="s">
        <v>2180</v>
      </c>
      <c r="D43" s="363" t="s">
        <v>2181</v>
      </c>
      <c r="E43" s="497"/>
    </row>
    <row r="44" spans="1:5" ht="13.5">
      <c r="A44" s="63" t="s">
        <v>2182</v>
      </c>
      <c r="B44" s="63" t="s">
        <v>2117</v>
      </c>
      <c r="C44" s="63" t="s">
        <v>2183</v>
      </c>
      <c r="D44" s="363" t="s">
        <v>2184</v>
      </c>
      <c r="E44" s="497" t="s">
        <v>2185</v>
      </c>
    </row>
    <row r="45" spans="1:8" ht="13.5">
      <c r="A45" s="469" t="s">
        <v>78</v>
      </c>
      <c r="B45" s="470" t="s">
        <v>2043</v>
      </c>
      <c r="C45" s="511" t="s">
        <v>2186</v>
      </c>
      <c r="D45" s="511"/>
      <c r="E45" s="204"/>
      <c r="F45" s="204"/>
      <c r="G45" s="204"/>
      <c r="H45" s="204"/>
    </row>
    <row r="46" spans="1:8" ht="13.5">
      <c r="A46" s="400" t="s">
        <v>93</v>
      </c>
      <c r="B46" s="204" t="s">
        <v>93</v>
      </c>
      <c r="C46" s="215" t="s">
        <v>93</v>
      </c>
      <c r="D46" s="215"/>
      <c r="E46" s="204"/>
      <c r="F46" s="204"/>
      <c r="G46" s="204"/>
      <c r="H46" s="204"/>
    </row>
    <row r="47" spans="1:4" ht="13.5">
      <c r="A47" s="63" t="s">
        <v>2187</v>
      </c>
      <c r="B47" s="63" t="s">
        <v>2046</v>
      </c>
      <c r="C47" s="488" t="s">
        <v>2188</v>
      </c>
      <c r="D47" s="488"/>
    </row>
    <row r="48" spans="1:4" ht="13.5">
      <c r="A48" s="63" t="s">
        <v>2189</v>
      </c>
      <c r="B48" s="63" t="s">
        <v>2050</v>
      </c>
      <c r="C48" s="488" t="s">
        <v>2188</v>
      </c>
      <c r="D48" s="488"/>
    </row>
    <row r="49" spans="1:4" ht="13.5">
      <c r="A49" s="63" t="s">
        <v>2190</v>
      </c>
      <c r="B49" s="63" t="s">
        <v>2054</v>
      </c>
      <c r="C49" s="488" t="s">
        <v>2188</v>
      </c>
      <c r="D49" s="488"/>
    </row>
    <row r="50" spans="1:4" ht="13.5">
      <c r="A50" s="63" t="s">
        <v>1217</v>
      </c>
      <c r="B50" s="63" t="s">
        <v>2059</v>
      </c>
      <c r="C50" s="488" t="s">
        <v>2188</v>
      </c>
      <c r="D50" s="488"/>
    </row>
    <row r="51" spans="1:4" ht="13.5">
      <c r="A51" s="63" t="s">
        <v>2191</v>
      </c>
      <c r="B51" s="63" t="s">
        <v>2063</v>
      </c>
      <c r="C51" s="488" t="s">
        <v>2188</v>
      </c>
      <c r="D51" s="488"/>
    </row>
    <row r="52" spans="1:4" ht="13.5">
      <c r="A52" s="63" t="s">
        <v>2192</v>
      </c>
      <c r="B52" s="63" t="s">
        <v>2067</v>
      </c>
      <c r="C52" s="488" t="s">
        <v>2188</v>
      </c>
      <c r="D52" s="488"/>
    </row>
    <row r="53" spans="1:4" ht="13.5">
      <c r="A53" s="63" t="s">
        <v>2193</v>
      </c>
      <c r="B53" s="63" t="s">
        <v>2071</v>
      </c>
      <c r="C53" s="488" t="s">
        <v>2188</v>
      </c>
      <c r="D53" s="488"/>
    </row>
    <row r="54" spans="1:4" ht="13.5">
      <c r="A54" s="63" t="s">
        <v>2194</v>
      </c>
      <c r="B54" s="63" t="s">
        <v>2075</v>
      </c>
      <c r="C54" s="488" t="s">
        <v>2188</v>
      </c>
      <c r="D54" s="488"/>
    </row>
    <row r="55" spans="1:4" ht="13.5">
      <c r="A55" s="63" t="s">
        <v>2195</v>
      </c>
      <c r="B55" s="63" t="s">
        <v>2080</v>
      </c>
      <c r="C55" s="488" t="s">
        <v>2188</v>
      </c>
      <c r="D55" s="488"/>
    </row>
    <row r="56" spans="1:4" ht="13.5">
      <c r="A56" s="63" t="s">
        <v>2196</v>
      </c>
      <c r="B56" s="63" t="s">
        <v>2084</v>
      </c>
      <c r="C56" s="488" t="s">
        <v>2188</v>
      </c>
      <c r="D56" s="488"/>
    </row>
    <row r="57" spans="1:4" ht="13.5">
      <c r="A57" s="63" t="s">
        <v>2197</v>
      </c>
      <c r="B57" s="63" t="s">
        <v>2088</v>
      </c>
      <c r="C57" s="488" t="s">
        <v>2188</v>
      </c>
      <c r="D57" s="488"/>
    </row>
    <row r="58" spans="1:4" ht="13.5">
      <c r="A58" s="63" t="s">
        <v>2198</v>
      </c>
      <c r="B58" s="63" t="s">
        <v>2093</v>
      </c>
      <c r="C58" s="488" t="s">
        <v>2188</v>
      </c>
      <c r="D58" s="488"/>
    </row>
    <row r="59" spans="1:4" ht="13.5">
      <c r="A59" s="63" t="s">
        <v>2199</v>
      </c>
      <c r="B59" s="63" t="s">
        <v>2097</v>
      </c>
      <c r="C59" s="488" t="s">
        <v>2188</v>
      </c>
      <c r="D59" s="488"/>
    </row>
    <row r="60" spans="1:4" ht="13.5">
      <c r="A60" s="63" t="s">
        <v>79</v>
      </c>
      <c r="B60" s="63" t="s">
        <v>2101</v>
      </c>
      <c r="C60" s="488" t="s">
        <v>2188</v>
      </c>
      <c r="D60" s="488"/>
    </row>
    <row r="61" spans="1:4" ht="13.5">
      <c r="A61" s="63" t="s">
        <v>2200</v>
      </c>
      <c r="B61" s="63" t="s">
        <v>2105</v>
      </c>
      <c r="C61" s="488" t="s">
        <v>2188</v>
      </c>
      <c r="D61" s="488"/>
    </row>
    <row r="62" spans="1:4" ht="13.5">
      <c r="A62" s="63" t="s">
        <v>2201</v>
      </c>
      <c r="B62" s="63" t="s">
        <v>2110</v>
      </c>
      <c r="C62" s="488" t="s">
        <v>2188</v>
      </c>
      <c r="D62" s="488"/>
    </row>
    <row r="63" spans="1:4" ht="13.5">
      <c r="A63" s="63" t="s">
        <v>2202</v>
      </c>
      <c r="B63" s="63" t="s">
        <v>2114</v>
      </c>
      <c r="C63" s="488" t="s">
        <v>2188</v>
      </c>
      <c r="D63" s="488"/>
    </row>
    <row r="64" spans="1:4" ht="13.5">
      <c r="A64" s="63" t="s">
        <v>2203</v>
      </c>
      <c r="B64" s="63" t="s">
        <v>2117</v>
      </c>
      <c r="C64" s="488" t="s">
        <v>2188</v>
      </c>
      <c r="D64" s="488"/>
    </row>
    <row r="65" spans="1:4" ht="13.5">
      <c r="A65" s="63" t="s">
        <v>2204</v>
      </c>
      <c r="B65" s="63" t="s">
        <v>2046</v>
      </c>
      <c r="C65" s="488" t="s">
        <v>2188</v>
      </c>
      <c r="D65" s="488"/>
    </row>
    <row r="66" spans="1:4" ht="13.5">
      <c r="A66" s="63" t="s">
        <v>2205</v>
      </c>
      <c r="B66" s="63" t="s">
        <v>2050</v>
      </c>
      <c r="C66" s="488" t="s">
        <v>2188</v>
      </c>
      <c r="D66" s="488"/>
    </row>
    <row r="67" spans="1:4" ht="13.5">
      <c r="A67" s="63" t="s">
        <v>2206</v>
      </c>
      <c r="B67" s="63" t="s">
        <v>2054</v>
      </c>
      <c r="C67" s="488" t="s">
        <v>2188</v>
      </c>
      <c r="D67" s="488"/>
    </row>
    <row r="68" spans="1:4" ht="13.5">
      <c r="A68" s="63" t="s">
        <v>2207</v>
      </c>
      <c r="B68" s="63" t="s">
        <v>2059</v>
      </c>
      <c r="C68" s="488" t="s">
        <v>2188</v>
      </c>
      <c r="D68" s="488"/>
    </row>
    <row r="69" spans="1:4" ht="13.5">
      <c r="A69" s="63" t="s">
        <v>2208</v>
      </c>
      <c r="B69" s="63" t="s">
        <v>2063</v>
      </c>
      <c r="C69" s="488" t="s">
        <v>2188</v>
      </c>
      <c r="D69" s="488"/>
    </row>
    <row r="70" spans="1:4" ht="13.5">
      <c r="A70" s="63" t="s">
        <v>2209</v>
      </c>
      <c r="B70" s="63" t="s">
        <v>2067</v>
      </c>
      <c r="C70" s="488" t="s">
        <v>2188</v>
      </c>
      <c r="D70" s="488"/>
    </row>
    <row r="71" spans="1:4" ht="13.5">
      <c r="A71" s="63" t="s">
        <v>2210</v>
      </c>
      <c r="B71" s="63" t="s">
        <v>2071</v>
      </c>
      <c r="C71" s="488" t="s">
        <v>2188</v>
      </c>
      <c r="D71" s="488"/>
    </row>
    <row r="72" spans="1:4" ht="13.5">
      <c r="A72" s="63" t="s">
        <v>2211</v>
      </c>
      <c r="B72" s="63" t="s">
        <v>2075</v>
      </c>
      <c r="C72" s="488" t="s">
        <v>2188</v>
      </c>
      <c r="D72" s="488"/>
    </row>
    <row r="73" spans="1:4" ht="13.5">
      <c r="A73" s="63" t="s">
        <v>2212</v>
      </c>
      <c r="B73" s="63" t="s">
        <v>2080</v>
      </c>
      <c r="C73" s="488" t="s">
        <v>2188</v>
      </c>
      <c r="D73" s="488"/>
    </row>
    <row r="74" spans="1:4" ht="13.5">
      <c r="A74" s="63" t="s">
        <v>2213</v>
      </c>
      <c r="B74" s="63" t="s">
        <v>2084</v>
      </c>
      <c r="C74" s="488" t="s">
        <v>2188</v>
      </c>
      <c r="D74" s="488"/>
    </row>
    <row r="75" spans="1:4" ht="13.5">
      <c r="A75" s="63" t="s">
        <v>2214</v>
      </c>
      <c r="B75" s="63" t="s">
        <v>2088</v>
      </c>
      <c r="C75" s="488" t="s">
        <v>2188</v>
      </c>
      <c r="D75" s="488"/>
    </row>
    <row r="76" spans="1:4" ht="13.5">
      <c r="A76" s="63" t="s">
        <v>2215</v>
      </c>
      <c r="B76" s="63" t="s">
        <v>2093</v>
      </c>
      <c r="C76" s="488" t="s">
        <v>2188</v>
      </c>
      <c r="D76" s="488"/>
    </row>
    <row r="77" spans="1:4" ht="13.5">
      <c r="A77" s="63" t="s">
        <v>2216</v>
      </c>
      <c r="B77" s="63" t="s">
        <v>2097</v>
      </c>
      <c r="C77" s="488" t="s">
        <v>2188</v>
      </c>
      <c r="D77" s="488"/>
    </row>
    <row r="78" spans="1:4" ht="13.5">
      <c r="A78" s="63" t="s">
        <v>2217</v>
      </c>
      <c r="B78" s="63" t="s">
        <v>2101</v>
      </c>
      <c r="C78" s="488" t="s">
        <v>2188</v>
      </c>
      <c r="D78" s="488"/>
    </row>
    <row r="79" spans="1:4" ht="13.5">
      <c r="A79" s="63" t="s">
        <v>2218</v>
      </c>
      <c r="B79" s="63" t="s">
        <v>2105</v>
      </c>
      <c r="C79" s="488" t="s">
        <v>2188</v>
      </c>
      <c r="D79" s="488"/>
    </row>
    <row r="80" spans="1:4" ht="13.5">
      <c r="A80" s="63" t="s">
        <v>2219</v>
      </c>
      <c r="B80" s="63" t="s">
        <v>2110</v>
      </c>
      <c r="C80" s="488" t="s">
        <v>2188</v>
      </c>
      <c r="D80" s="488"/>
    </row>
    <row r="81" spans="1:4" ht="13.5">
      <c r="A81" s="63" t="s">
        <v>2220</v>
      </c>
      <c r="B81" s="63" t="s">
        <v>2114</v>
      </c>
      <c r="C81" s="488" t="s">
        <v>2188</v>
      </c>
      <c r="D81" s="488"/>
    </row>
    <row r="82" spans="1:4" ht="13.5">
      <c r="A82" s="63" t="s">
        <v>2221</v>
      </c>
      <c r="B82" s="63" t="s">
        <v>2117</v>
      </c>
      <c r="C82" s="488" t="s">
        <v>2188</v>
      </c>
      <c r="D82" s="488"/>
    </row>
    <row r="83" spans="1:8" ht="13.5">
      <c r="A83" s="469" t="s">
        <v>80</v>
      </c>
      <c r="B83" s="470" t="s">
        <v>2043</v>
      </c>
      <c r="C83" s="511" t="s">
        <v>2186</v>
      </c>
      <c r="D83" s="511"/>
      <c r="E83" s="204"/>
      <c r="F83" s="204"/>
      <c r="G83" s="204"/>
      <c r="H83" s="204"/>
    </row>
    <row r="84" spans="1:8" ht="13.5">
      <c r="A84" s="400" t="s">
        <v>93</v>
      </c>
      <c r="B84" s="204" t="s">
        <v>93</v>
      </c>
      <c r="C84" s="215" t="s">
        <v>93</v>
      </c>
      <c r="D84" s="215"/>
      <c r="E84" s="204"/>
      <c r="F84" s="204"/>
      <c r="G84" s="204"/>
      <c r="H84" s="204"/>
    </row>
    <row r="85" spans="1:4" ht="13.5">
      <c r="A85" s="63" t="s">
        <v>1341</v>
      </c>
      <c r="B85" s="63" t="s">
        <v>2046</v>
      </c>
      <c r="C85" s="488" t="s">
        <v>2188</v>
      </c>
      <c r="D85" s="488"/>
    </row>
    <row r="86" spans="1:4" ht="13.5">
      <c r="A86" s="63" t="s">
        <v>2222</v>
      </c>
      <c r="B86" s="63" t="s">
        <v>2050</v>
      </c>
      <c r="C86" s="488" t="s">
        <v>2188</v>
      </c>
      <c r="D86" s="488"/>
    </row>
    <row r="87" spans="1:4" ht="13.5">
      <c r="A87" s="63" t="s">
        <v>2223</v>
      </c>
      <c r="B87" s="63" t="s">
        <v>2054</v>
      </c>
      <c r="C87" s="488" t="s">
        <v>2188</v>
      </c>
      <c r="D87" s="488"/>
    </row>
    <row r="88" spans="1:4" ht="13.5">
      <c r="A88" s="63" t="s">
        <v>2224</v>
      </c>
      <c r="B88" s="63" t="s">
        <v>2059</v>
      </c>
      <c r="C88" s="488" t="s">
        <v>2188</v>
      </c>
      <c r="D88" s="488"/>
    </row>
    <row r="89" spans="1:4" ht="13.5">
      <c r="A89" s="63" t="s">
        <v>2225</v>
      </c>
      <c r="B89" s="63" t="s">
        <v>2063</v>
      </c>
      <c r="C89" s="488" t="s">
        <v>2188</v>
      </c>
      <c r="D89" s="488"/>
    </row>
    <row r="90" spans="1:4" ht="13.5">
      <c r="A90" s="63" t="s">
        <v>2226</v>
      </c>
      <c r="B90" s="63" t="s">
        <v>2067</v>
      </c>
      <c r="C90" s="488" t="s">
        <v>2188</v>
      </c>
      <c r="D90" s="488"/>
    </row>
    <row r="91" spans="1:4" ht="13.5">
      <c r="A91" s="63" t="s">
        <v>2227</v>
      </c>
      <c r="B91" s="63" t="s">
        <v>2071</v>
      </c>
      <c r="C91" s="488" t="s">
        <v>2188</v>
      </c>
      <c r="D91" s="488"/>
    </row>
    <row r="92" spans="1:4" ht="13.5">
      <c r="A92" s="63" t="s">
        <v>2228</v>
      </c>
      <c r="B92" s="63" t="s">
        <v>2075</v>
      </c>
      <c r="C92" s="488" t="s">
        <v>2188</v>
      </c>
      <c r="D92" s="488"/>
    </row>
    <row r="93" spans="1:4" ht="13.5">
      <c r="A93" s="63" t="s">
        <v>2229</v>
      </c>
      <c r="B93" s="63" t="s">
        <v>2080</v>
      </c>
      <c r="C93" s="488" t="s">
        <v>2188</v>
      </c>
      <c r="D93" s="488"/>
    </row>
    <row r="94" spans="1:4" ht="13.5">
      <c r="A94" s="63" t="s">
        <v>81</v>
      </c>
      <c r="B94" s="63" t="s">
        <v>2084</v>
      </c>
      <c r="C94" s="488" t="s">
        <v>2188</v>
      </c>
      <c r="D94" s="488"/>
    </row>
    <row r="95" spans="1:4" ht="13.5">
      <c r="A95" s="63" t="s">
        <v>2230</v>
      </c>
      <c r="B95" s="63" t="s">
        <v>2088</v>
      </c>
      <c r="C95" s="488" t="s">
        <v>2188</v>
      </c>
      <c r="D95" s="488"/>
    </row>
    <row r="96" spans="1:4" ht="13.5">
      <c r="A96" s="63" t="s">
        <v>2231</v>
      </c>
      <c r="B96" s="63" t="s">
        <v>2093</v>
      </c>
      <c r="C96" s="488" t="s">
        <v>2188</v>
      </c>
      <c r="D96" s="488"/>
    </row>
    <row r="97" spans="1:4" ht="13.5">
      <c r="A97" s="63" t="s">
        <v>2232</v>
      </c>
      <c r="B97" s="63" t="s">
        <v>2097</v>
      </c>
      <c r="C97" s="488" t="s">
        <v>2188</v>
      </c>
      <c r="D97" s="488"/>
    </row>
    <row r="98" spans="1:4" ht="13.5">
      <c r="A98" s="63" t="s">
        <v>2233</v>
      </c>
      <c r="B98" s="63" t="s">
        <v>2101</v>
      </c>
      <c r="C98" s="488" t="s">
        <v>2188</v>
      </c>
      <c r="D98" s="488"/>
    </row>
    <row r="99" spans="1:4" ht="13.5">
      <c r="A99" s="63" t="s">
        <v>2234</v>
      </c>
      <c r="B99" s="63" t="s">
        <v>2105</v>
      </c>
      <c r="C99" s="488" t="s">
        <v>2188</v>
      </c>
      <c r="D99" s="488"/>
    </row>
    <row r="100" spans="1:4" ht="13.5">
      <c r="A100" s="63" t="s">
        <v>2235</v>
      </c>
      <c r="B100" s="63" t="s">
        <v>2110</v>
      </c>
      <c r="C100" s="488" t="s">
        <v>2188</v>
      </c>
      <c r="D100" s="488"/>
    </row>
    <row r="101" spans="1:4" ht="13.5">
      <c r="A101" s="63" t="s">
        <v>2199</v>
      </c>
      <c r="B101" s="63" t="s">
        <v>2114</v>
      </c>
      <c r="C101" s="488" t="s">
        <v>2188</v>
      </c>
      <c r="D101" s="488"/>
    </row>
    <row r="102" spans="1:4" ht="13.5">
      <c r="A102" s="63" t="s">
        <v>2236</v>
      </c>
      <c r="B102" s="63" t="s">
        <v>2117</v>
      </c>
      <c r="C102" s="488" t="s">
        <v>2188</v>
      </c>
      <c r="D102" s="488"/>
    </row>
    <row r="103" spans="1:4" ht="13.5">
      <c r="A103" s="63" t="s">
        <v>2237</v>
      </c>
      <c r="B103" s="63" t="s">
        <v>2046</v>
      </c>
      <c r="C103" s="488" t="s">
        <v>2188</v>
      </c>
      <c r="D103" s="488"/>
    </row>
    <row r="104" spans="1:4" ht="13.5">
      <c r="A104" s="63" t="s">
        <v>2238</v>
      </c>
      <c r="B104" s="63" t="s">
        <v>2050</v>
      </c>
      <c r="C104" s="488" t="s">
        <v>2188</v>
      </c>
      <c r="D104" s="488"/>
    </row>
    <row r="105" spans="1:4" ht="13.5">
      <c r="A105" s="63" t="s">
        <v>2239</v>
      </c>
      <c r="B105" s="63" t="s">
        <v>2054</v>
      </c>
      <c r="C105" s="488" t="s">
        <v>2188</v>
      </c>
      <c r="D105" s="488"/>
    </row>
    <row r="106" spans="1:4" ht="13.5">
      <c r="A106" s="63" t="s">
        <v>2240</v>
      </c>
      <c r="B106" s="63" t="s">
        <v>2059</v>
      </c>
      <c r="C106" s="488" t="s">
        <v>2188</v>
      </c>
      <c r="D106" s="488"/>
    </row>
    <row r="107" spans="1:4" ht="13.5">
      <c r="A107" s="63" t="s">
        <v>2241</v>
      </c>
      <c r="B107" s="63" t="s">
        <v>2063</v>
      </c>
      <c r="C107" s="488" t="s">
        <v>2188</v>
      </c>
      <c r="D107" s="488"/>
    </row>
    <row r="108" spans="1:4" ht="13.5">
      <c r="A108" s="63" t="s">
        <v>2242</v>
      </c>
      <c r="B108" s="63" t="s">
        <v>2067</v>
      </c>
      <c r="C108" s="488" t="s">
        <v>2188</v>
      </c>
      <c r="D108" s="488"/>
    </row>
    <row r="109" spans="1:4" ht="13.5">
      <c r="A109" s="63" t="s">
        <v>2085</v>
      </c>
      <c r="B109" s="63" t="s">
        <v>2071</v>
      </c>
      <c r="C109" s="488" t="s">
        <v>2188</v>
      </c>
      <c r="D109" s="488"/>
    </row>
    <row r="110" spans="1:4" ht="13.5">
      <c r="A110" s="63" t="s">
        <v>2243</v>
      </c>
      <c r="B110" s="63" t="s">
        <v>2075</v>
      </c>
      <c r="C110" s="488" t="s">
        <v>2188</v>
      </c>
      <c r="D110" s="488"/>
    </row>
    <row r="111" spans="1:4" ht="13.5">
      <c r="A111" s="63" t="s">
        <v>2244</v>
      </c>
      <c r="B111" s="63" t="s">
        <v>2080</v>
      </c>
      <c r="C111" s="488" t="s">
        <v>2188</v>
      </c>
      <c r="D111" s="488"/>
    </row>
    <row r="112" spans="1:4" ht="13.5">
      <c r="A112" s="63" t="s">
        <v>2245</v>
      </c>
      <c r="B112" s="63" t="s">
        <v>2084</v>
      </c>
      <c r="C112" s="488" t="s">
        <v>2188</v>
      </c>
      <c r="D112" s="488"/>
    </row>
    <row r="113" spans="1:4" ht="13.5">
      <c r="A113" s="63" t="s">
        <v>2246</v>
      </c>
      <c r="B113" s="63" t="s">
        <v>2088</v>
      </c>
      <c r="C113" s="488" t="s">
        <v>2188</v>
      </c>
      <c r="D113" s="488"/>
    </row>
    <row r="114" spans="1:4" ht="13.5">
      <c r="A114" s="63" t="s">
        <v>2247</v>
      </c>
      <c r="B114" s="63" t="s">
        <v>2093</v>
      </c>
      <c r="C114" s="488" t="s">
        <v>2188</v>
      </c>
      <c r="D114" s="488"/>
    </row>
    <row r="115" spans="1:4" ht="13.5">
      <c r="A115" s="63" t="s">
        <v>2248</v>
      </c>
      <c r="B115" s="63" t="s">
        <v>2097</v>
      </c>
      <c r="C115" s="488" t="s">
        <v>2188</v>
      </c>
      <c r="D115" s="488"/>
    </row>
    <row r="116" spans="1:4" ht="13.5">
      <c r="A116" s="63" t="s">
        <v>2249</v>
      </c>
      <c r="B116" s="63" t="s">
        <v>2101</v>
      </c>
      <c r="C116" s="488" t="s">
        <v>2188</v>
      </c>
      <c r="D116" s="488"/>
    </row>
    <row r="117" spans="1:4" ht="13.5">
      <c r="A117" s="63" t="s">
        <v>2250</v>
      </c>
      <c r="B117" s="63" t="s">
        <v>2105</v>
      </c>
      <c r="C117" s="488" t="s">
        <v>2188</v>
      </c>
      <c r="D117" s="488"/>
    </row>
    <row r="118" spans="1:4" ht="13.5">
      <c r="A118" s="63" t="s">
        <v>2251</v>
      </c>
      <c r="B118" s="63" t="s">
        <v>2110</v>
      </c>
      <c r="C118" s="488" t="s">
        <v>2188</v>
      </c>
      <c r="D118" s="488"/>
    </row>
    <row r="119" spans="1:4" ht="13.5">
      <c r="A119" s="63" t="s">
        <v>2252</v>
      </c>
      <c r="B119" s="63" t="s">
        <v>2114</v>
      </c>
      <c r="C119" s="488" t="s">
        <v>2188</v>
      </c>
      <c r="D119" s="488"/>
    </row>
    <row r="120" spans="1:4" ht="13.5">
      <c r="A120" s="63" t="s">
        <v>2253</v>
      </c>
      <c r="B120" s="63" t="s">
        <v>2117</v>
      </c>
      <c r="C120" s="488" t="s">
        <v>2188</v>
      </c>
      <c r="D120" s="488"/>
    </row>
  </sheetData>
  <mergeCells count="77">
    <mergeCell ref="A1:E1"/>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codeName="Sheet13"/>
  <dimension ref="A1:AX150"/>
  <sheetViews>
    <sheetView workbookViewId="0" topLeftCell="A55">
      <selection activeCell="D38" sqref="D38"/>
    </sheetView>
  </sheetViews>
  <sheetFormatPr defaultColWidth="9.00390625" defaultRowHeight="13.5"/>
  <cols>
    <col min="1" max="1" width="12.875" style="63" customWidth="1"/>
    <col min="2" max="2" width="15.00390625" style="63" customWidth="1"/>
    <col min="3" max="3" width="13.625" style="63" customWidth="1"/>
    <col min="4" max="4" width="15.25390625" style="63" customWidth="1"/>
    <col min="5" max="5" width="11.75390625" style="400" customWidth="1"/>
    <col min="6" max="6" width="11.75390625" style="63" customWidth="1"/>
    <col min="7" max="7" width="16.25390625" style="63" customWidth="1"/>
    <col min="8" max="8" width="13.375" style="400" customWidth="1"/>
    <col min="9" max="9" width="20.125" style="63" customWidth="1"/>
    <col min="10" max="10" width="32.125" style="63" customWidth="1"/>
    <col min="11" max="11" width="15.125" style="400" customWidth="1"/>
    <col min="12" max="12" width="14.625" style="63" customWidth="1"/>
    <col min="13" max="13" width="17.875" style="63" customWidth="1"/>
    <col min="14" max="14" width="15.875" style="63" customWidth="1"/>
    <col min="15" max="15" width="16.125" style="63" customWidth="1"/>
    <col min="16" max="16" width="19.50390625" style="63" customWidth="1"/>
    <col min="17" max="17" width="15.50390625" style="63" customWidth="1"/>
    <col min="18" max="18" width="17.125" style="63" customWidth="1"/>
    <col min="19" max="19" width="15.375" style="63" customWidth="1"/>
    <col min="20" max="20" width="16.375" style="63" customWidth="1"/>
    <col min="21" max="21" width="15.375" style="63" customWidth="1"/>
    <col min="22" max="22" width="13.875" style="63" customWidth="1"/>
    <col min="23" max="23" width="16.25390625" style="63" customWidth="1"/>
    <col min="24" max="24" width="15.375" style="63" customWidth="1"/>
    <col min="25" max="25" width="16.50390625" style="63" customWidth="1"/>
    <col min="26" max="26" width="15.00390625" style="63" customWidth="1"/>
    <col min="27" max="27" width="15.50390625" style="63" customWidth="1"/>
    <col min="28" max="28" width="15.625" style="63" customWidth="1"/>
    <col min="29" max="30" width="14.625" style="63" customWidth="1"/>
    <col min="31" max="31" width="15.875" style="63" customWidth="1"/>
    <col min="32" max="32" width="15.25390625" style="63" customWidth="1"/>
    <col min="33" max="33" width="11.50390625" style="63" customWidth="1"/>
    <col min="34" max="34" width="16.375" style="63" customWidth="1"/>
    <col min="35" max="35" width="11.625" style="63" customWidth="1"/>
    <col min="36" max="36" width="12.50390625" style="63" customWidth="1"/>
    <col min="37" max="37" width="11.75390625" style="63" customWidth="1"/>
    <col min="38" max="38" width="14.875" style="63" customWidth="1"/>
    <col min="39" max="39" width="13.50390625" style="63" customWidth="1"/>
    <col min="40" max="40" width="13.625" style="63" customWidth="1"/>
    <col min="41" max="41" width="16.25390625" style="63" customWidth="1"/>
    <col min="42" max="42" width="12.25390625" style="63" customWidth="1"/>
    <col min="43" max="43" width="14.25390625" style="63" customWidth="1"/>
    <col min="44" max="44" width="14.00390625" style="63" customWidth="1"/>
    <col min="45" max="45" width="14.875" style="63" customWidth="1"/>
    <col min="46" max="46" width="12.125" style="63" customWidth="1"/>
    <col min="47" max="47" width="13.75390625" style="63" customWidth="1"/>
    <col min="48" max="48" width="15.625" style="63" customWidth="1"/>
    <col min="49" max="49" width="16.125" style="63" customWidth="1"/>
    <col min="50" max="50" width="10.25390625" style="63" customWidth="1"/>
    <col min="51" max="16384" width="9.00390625" style="63" customWidth="1"/>
  </cols>
  <sheetData>
    <row r="1" spans="1:20" ht="13.5">
      <c r="A1" s="469" t="s">
        <v>2254</v>
      </c>
      <c r="B1" s="469" t="s">
        <v>2254</v>
      </c>
      <c r="C1" s="504" t="s">
        <v>40</v>
      </c>
      <c r="D1" s="504" t="s">
        <v>44</v>
      </c>
      <c r="E1" s="504" t="s">
        <v>45</v>
      </c>
      <c r="F1" s="504" t="s">
        <v>46</v>
      </c>
      <c r="G1" s="504" t="s">
        <v>47</v>
      </c>
      <c r="H1" s="504" t="s">
        <v>48</v>
      </c>
      <c r="I1" s="504" t="s">
        <v>49</v>
      </c>
      <c r="J1" s="504" t="s">
        <v>2255</v>
      </c>
      <c r="K1" s="504" t="s">
        <v>2256</v>
      </c>
      <c r="L1" s="504" t="s">
        <v>109</v>
      </c>
      <c r="M1" s="504" t="s">
        <v>110</v>
      </c>
      <c r="N1" s="469" t="s">
        <v>2254</v>
      </c>
      <c r="P1" s="512" t="s">
        <v>2257</v>
      </c>
      <c r="Q1" s="512"/>
      <c r="R1" s="512"/>
      <c r="S1" s="512"/>
      <c r="T1" s="512"/>
    </row>
    <row r="2" spans="1:18" ht="13.5">
      <c r="A2" s="63" t="s">
        <v>23</v>
      </c>
      <c r="B2" s="63" t="s">
        <v>23</v>
      </c>
      <c r="C2" s="63">
        <v>1</v>
      </c>
      <c r="D2" s="63">
        <v>1</v>
      </c>
      <c r="E2" s="400">
        <v>1</v>
      </c>
      <c r="F2" s="63">
        <v>0</v>
      </c>
      <c r="G2" s="63">
        <v>0</v>
      </c>
      <c r="H2" s="400">
        <v>0</v>
      </c>
      <c r="I2" s="63">
        <v>0</v>
      </c>
      <c r="J2" s="63">
        <v>11</v>
      </c>
      <c r="K2" s="400">
        <v>9</v>
      </c>
      <c r="L2" s="63">
        <v>3</v>
      </c>
      <c r="M2" s="63">
        <v>1</v>
      </c>
      <c r="N2" s="63" t="s">
        <v>2258</v>
      </c>
      <c r="P2" s="19" t="s">
        <v>2259</v>
      </c>
      <c r="Q2" s="63">
        <f>IF(③レベルアップ!Q15&gt;10,"10",③レベルアップ!Q15)</f>
        <v>5</v>
      </c>
      <c r="R2" s="363" t="s">
        <v>2260</v>
      </c>
    </row>
    <row r="3" spans="1:18" ht="13.5">
      <c r="A3" s="63" t="s">
        <v>508</v>
      </c>
      <c r="B3" s="63" t="s">
        <v>508</v>
      </c>
      <c r="C3" s="63">
        <v>0</v>
      </c>
      <c r="D3" s="63">
        <v>1</v>
      </c>
      <c r="E3" s="400">
        <v>0</v>
      </c>
      <c r="F3" s="63">
        <v>1</v>
      </c>
      <c r="G3" s="63">
        <v>0</v>
      </c>
      <c r="H3" s="400">
        <v>1</v>
      </c>
      <c r="I3" s="63">
        <v>0</v>
      </c>
      <c r="J3" s="63">
        <v>8</v>
      </c>
      <c r="K3" s="400">
        <v>12</v>
      </c>
      <c r="L3" s="63">
        <v>2</v>
      </c>
      <c r="M3" s="63">
        <v>2</v>
      </c>
      <c r="N3" s="400" t="s">
        <v>841</v>
      </c>
      <c r="P3" s="19"/>
      <c r="Q3" s="63">
        <f>COUNTIF(AR_SHEET_ギルドスキル,"クローゼット")</f>
        <v>0</v>
      </c>
      <c r="R3" s="363" t="s">
        <v>2261</v>
      </c>
    </row>
    <row r="4" spans="1:18" ht="13.5">
      <c r="A4" s="63" t="s">
        <v>535</v>
      </c>
      <c r="B4" s="63" t="s">
        <v>535</v>
      </c>
      <c r="C4" s="63">
        <v>0</v>
      </c>
      <c r="D4" s="63">
        <v>0</v>
      </c>
      <c r="E4" s="400">
        <v>0</v>
      </c>
      <c r="F4" s="63">
        <v>1</v>
      </c>
      <c r="G4" s="63">
        <v>1</v>
      </c>
      <c r="H4" s="400">
        <v>1</v>
      </c>
      <c r="I4" s="63">
        <v>0</v>
      </c>
      <c r="J4" s="63">
        <v>7</v>
      </c>
      <c r="K4" s="400">
        <v>13</v>
      </c>
      <c r="L4" s="63">
        <v>1</v>
      </c>
      <c r="M4" s="63">
        <v>3</v>
      </c>
      <c r="N4" s="400" t="s">
        <v>879</v>
      </c>
      <c r="P4" s="39" t="s">
        <v>2262</v>
      </c>
      <c r="Q4" s="63" t="str">
        <f>IF(①コンストラクション!D4=①コンストラクション!D5,"クラス重複","通常")</f>
        <v>通常</v>
      </c>
      <c r="R4" s="363" t="s">
        <v>2263</v>
      </c>
    </row>
    <row r="5" spans="1:18" ht="13.5">
      <c r="A5" s="63" t="s">
        <v>119</v>
      </c>
      <c r="B5" s="63" t="s">
        <v>119</v>
      </c>
      <c r="C5" s="63">
        <v>0</v>
      </c>
      <c r="D5" s="63">
        <v>1</v>
      </c>
      <c r="E5" s="400">
        <v>1</v>
      </c>
      <c r="F5" s="63">
        <v>0</v>
      </c>
      <c r="G5" s="63">
        <v>1</v>
      </c>
      <c r="H5" s="400">
        <v>0</v>
      </c>
      <c r="I5" s="63">
        <v>0</v>
      </c>
      <c r="J5" s="63">
        <v>9</v>
      </c>
      <c r="K5" s="400">
        <v>11</v>
      </c>
      <c r="L5" s="63">
        <v>2</v>
      </c>
      <c r="M5" s="63">
        <v>2</v>
      </c>
      <c r="N5" s="63" t="s">
        <v>2264</v>
      </c>
      <c r="P5" s="11"/>
      <c r="R5" s="363"/>
    </row>
    <row r="6" spans="2:18" ht="13.5">
      <c r="B6" s="63" t="s">
        <v>27</v>
      </c>
      <c r="C6" s="63">
        <v>1</v>
      </c>
      <c r="D6" s="63">
        <v>1</v>
      </c>
      <c r="E6" s="400">
        <v>0</v>
      </c>
      <c r="F6" s="63">
        <v>0</v>
      </c>
      <c r="G6" s="63">
        <v>0</v>
      </c>
      <c r="H6" s="400">
        <v>1</v>
      </c>
      <c r="I6" s="63">
        <v>0</v>
      </c>
      <c r="J6" s="63">
        <v>10</v>
      </c>
      <c r="K6" s="400">
        <v>10</v>
      </c>
      <c r="L6" s="63">
        <v>3</v>
      </c>
      <c r="M6" s="63">
        <v>1</v>
      </c>
      <c r="N6" s="400" t="s">
        <v>920</v>
      </c>
      <c r="P6" s="19" t="s">
        <v>2265</v>
      </c>
      <c r="Q6" s="63">
        <f>キャラクターシート!P16+IF(ISERROR(VLOOKUP("スピードショット",AR_スキルSL,7,0))=TRUE,"0",VLOOKUP("スピードショット",AR_スキルSL,7,0))</f>
        <v>0</v>
      </c>
      <c r="R6" s="363" t="s">
        <v>2266</v>
      </c>
    </row>
    <row r="7" spans="2:18" ht="13.5">
      <c r="B7" s="63" t="s">
        <v>606</v>
      </c>
      <c r="C7" s="63">
        <v>1</v>
      </c>
      <c r="D7" s="63">
        <v>0</v>
      </c>
      <c r="E7" s="400">
        <v>1</v>
      </c>
      <c r="F7" s="63">
        <v>0</v>
      </c>
      <c r="G7" s="63">
        <v>0</v>
      </c>
      <c r="H7" s="400">
        <v>1</v>
      </c>
      <c r="I7" s="63">
        <v>0</v>
      </c>
      <c r="J7" s="63">
        <v>10</v>
      </c>
      <c r="K7" s="400">
        <v>10</v>
      </c>
      <c r="L7" s="63">
        <v>2</v>
      </c>
      <c r="M7" s="63">
        <v>2</v>
      </c>
      <c r="N7" s="400" t="s">
        <v>948</v>
      </c>
      <c r="P7" s="19"/>
      <c r="Q7" s="63">
        <f>IF(Q6&gt;0,0,Q6)</f>
        <v>0</v>
      </c>
      <c r="R7" s="363" t="s">
        <v>2267</v>
      </c>
    </row>
    <row r="8" spans="2:16" ht="13.5">
      <c r="B8" s="63" t="s">
        <v>626</v>
      </c>
      <c r="C8" s="63">
        <v>0</v>
      </c>
      <c r="D8" s="63">
        <v>0</v>
      </c>
      <c r="E8" s="400">
        <v>0</v>
      </c>
      <c r="F8" s="63">
        <v>1</v>
      </c>
      <c r="G8" s="63">
        <v>1</v>
      </c>
      <c r="H8" s="400">
        <v>0</v>
      </c>
      <c r="I8" s="63">
        <v>1</v>
      </c>
      <c r="J8" s="63">
        <v>6</v>
      </c>
      <c r="K8" s="400">
        <v>14</v>
      </c>
      <c r="L8" s="63">
        <v>1</v>
      </c>
      <c r="M8" s="63">
        <v>3</v>
      </c>
      <c r="N8" s="63" t="s">
        <v>2268</v>
      </c>
      <c r="P8" s="11"/>
    </row>
    <row r="9" spans="2:18" ht="13.5">
      <c r="B9" s="63" t="s">
        <v>644</v>
      </c>
      <c r="C9" s="63">
        <v>1</v>
      </c>
      <c r="D9" s="63">
        <v>1</v>
      </c>
      <c r="E9" s="400">
        <v>0</v>
      </c>
      <c r="F9" s="63">
        <v>0</v>
      </c>
      <c r="G9" s="63">
        <v>1</v>
      </c>
      <c r="H9" s="400">
        <v>0</v>
      </c>
      <c r="I9" s="63">
        <v>0</v>
      </c>
      <c r="J9" s="63">
        <v>9</v>
      </c>
      <c r="K9" s="400">
        <v>11</v>
      </c>
      <c r="L9" s="63">
        <v>2</v>
      </c>
      <c r="M9" s="63">
        <v>2</v>
      </c>
      <c r="N9" s="400" t="s">
        <v>976</v>
      </c>
      <c r="P9" s="19" t="s">
        <v>2269</v>
      </c>
      <c r="Q9" s="63">
        <f>SUM(キャラクターシート!J16,COUNTIF(AR_SHEET_スキル,"グラディエイト")*3,COUNTIF(AR_SHEET_装備,"深紅の腕輪"))</f>
        <v>-2</v>
      </c>
      <c r="R9" s="363" t="s">
        <v>2270</v>
      </c>
    </row>
    <row r="10" spans="2:18" ht="13.5">
      <c r="B10" s="63" t="s">
        <v>695</v>
      </c>
      <c r="C10" s="63">
        <v>0</v>
      </c>
      <c r="D10" s="63">
        <v>1</v>
      </c>
      <c r="E10" s="400">
        <v>0</v>
      </c>
      <c r="F10" s="63">
        <v>1</v>
      </c>
      <c r="G10" s="63">
        <v>1</v>
      </c>
      <c r="H10" s="400">
        <v>0</v>
      </c>
      <c r="I10" s="63">
        <v>0</v>
      </c>
      <c r="J10" s="63">
        <v>7</v>
      </c>
      <c r="K10" s="400">
        <v>13</v>
      </c>
      <c r="L10" s="63">
        <v>2</v>
      </c>
      <c r="M10" s="63">
        <v>2</v>
      </c>
      <c r="N10" s="400" t="s">
        <v>1004</v>
      </c>
      <c r="P10" s="19"/>
      <c r="Q10" s="63">
        <f>IF(Q9&gt;0,0,Q9)</f>
        <v>-2</v>
      </c>
      <c r="R10" s="363" t="s">
        <v>2271</v>
      </c>
    </row>
    <row r="11" spans="2:18" ht="13.5">
      <c r="B11" s="63" t="s">
        <v>675</v>
      </c>
      <c r="C11" s="63">
        <v>0</v>
      </c>
      <c r="D11" s="63">
        <v>0</v>
      </c>
      <c r="E11" s="400">
        <v>0</v>
      </c>
      <c r="F11" s="63">
        <v>1</v>
      </c>
      <c r="G11" s="63">
        <v>0</v>
      </c>
      <c r="H11" s="400">
        <v>1</v>
      </c>
      <c r="I11" s="63">
        <v>1</v>
      </c>
      <c r="J11" s="63">
        <v>8</v>
      </c>
      <c r="K11" s="400">
        <v>12</v>
      </c>
      <c r="L11" s="63">
        <v>2</v>
      </c>
      <c r="M11" s="63">
        <v>2</v>
      </c>
      <c r="N11" s="63" t="s">
        <v>2272</v>
      </c>
      <c r="P11" s="11"/>
      <c r="R11" s="363"/>
    </row>
    <row r="12" spans="2:18" ht="13.5">
      <c r="B12" s="400" t="s">
        <v>713</v>
      </c>
      <c r="C12" s="63">
        <v>0</v>
      </c>
      <c r="D12" s="63">
        <v>1</v>
      </c>
      <c r="E12" s="400">
        <v>0</v>
      </c>
      <c r="F12" s="63">
        <v>0</v>
      </c>
      <c r="G12" s="63">
        <v>1</v>
      </c>
      <c r="H12" s="400">
        <v>1</v>
      </c>
      <c r="I12" s="63">
        <v>0</v>
      </c>
      <c r="J12" s="63">
        <v>10</v>
      </c>
      <c r="K12" s="400">
        <v>10</v>
      </c>
      <c r="L12" s="63">
        <v>3</v>
      </c>
      <c r="M12" s="63">
        <v>1</v>
      </c>
      <c r="N12" s="400" t="s">
        <v>1031</v>
      </c>
      <c r="P12" s="39" t="s">
        <v>2273</v>
      </c>
      <c r="Q12" s="63">
        <f>COUNTIF(AR_SHEET_スキル,"アンビデクスタリティ")+COUNTIF(AR_SHEET_スキル,"ツインウェポン")</f>
        <v>0</v>
      </c>
      <c r="R12" s="363" t="s">
        <v>2274</v>
      </c>
    </row>
    <row r="13" spans="2:18" ht="13.5">
      <c r="B13" s="400" t="s">
        <v>732</v>
      </c>
      <c r="C13" s="63">
        <v>0</v>
      </c>
      <c r="D13" s="63">
        <v>1</v>
      </c>
      <c r="E13" s="400">
        <v>0</v>
      </c>
      <c r="F13" s="63">
        <v>1</v>
      </c>
      <c r="G13" s="63">
        <v>0</v>
      </c>
      <c r="H13" s="400">
        <v>0</v>
      </c>
      <c r="I13" s="63">
        <v>1</v>
      </c>
      <c r="J13" s="63">
        <v>7</v>
      </c>
      <c r="K13" s="400">
        <v>13</v>
      </c>
      <c r="L13" s="63">
        <v>1</v>
      </c>
      <c r="M13" s="63">
        <v>3</v>
      </c>
      <c r="N13" s="400" t="s">
        <v>1059</v>
      </c>
      <c r="P13" s="39"/>
      <c r="R13" s="363"/>
    </row>
    <row r="14" spans="2:18" ht="13.5">
      <c r="B14" s="400" t="s">
        <v>750</v>
      </c>
      <c r="C14" s="63">
        <v>0</v>
      </c>
      <c r="D14" s="63">
        <v>1</v>
      </c>
      <c r="E14" s="400">
        <v>1</v>
      </c>
      <c r="F14" s="63">
        <v>1</v>
      </c>
      <c r="G14" s="63">
        <v>0</v>
      </c>
      <c r="H14" s="400">
        <v>0</v>
      </c>
      <c r="I14" s="63">
        <v>0</v>
      </c>
      <c r="J14" s="63">
        <v>8</v>
      </c>
      <c r="K14" s="400">
        <v>12</v>
      </c>
      <c r="L14" s="63">
        <v>2</v>
      </c>
      <c r="M14" s="63">
        <v>2</v>
      </c>
      <c r="N14" s="400"/>
      <c r="P14" s="19" t="s">
        <v>2275</v>
      </c>
      <c r="Q14" s="63">
        <f>SUM(キャラクターシート!J17,COUNTIF(AR_SHEET_スキル,"グラディエイト")*3,COUNTIF(AR_SHEET_装備,"深紅の腕輪"))</f>
        <v>0</v>
      </c>
      <c r="R14" s="363" t="s">
        <v>2276</v>
      </c>
    </row>
    <row r="15" spans="2:18" ht="13.5">
      <c r="B15" s="400" t="s">
        <v>768</v>
      </c>
      <c r="C15" s="63">
        <v>0</v>
      </c>
      <c r="D15" s="63">
        <v>1</v>
      </c>
      <c r="E15" s="400">
        <v>1</v>
      </c>
      <c r="F15" s="63">
        <v>0</v>
      </c>
      <c r="G15" s="63">
        <v>0</v>
      </c>
      <c r="H15" s="400">
        <v>1</v>
      </c>
      <c r="I15" s="63">
        <v>0</v>
      </c>
      <c r="J15" s="63">
        <v>9</v>
      </c>
      <c r="K15" s="400">
        <v>11</v>
      </c>
      <c r="L15" s="63">
        <v>2</v>
      </c>
      <c r="M15" s="63">
        <v>2</v>
      </c>
      <c r="N15" s="400"/>
      <c r="P15" s="19"/>
      <c r="Q15" s="63">
        <f>IF(Q14&gt;0,0,Q14)</f>
        <v>0</v>
      </c>
      <c r="R15" s="363" t="s">
        <v>2271</v>
      </c>
    </row>
    <row r="16" spans="2:18" ht="13.5">
      <c r="B16" s="400" t="s">
        <v>785</v>
      </c>
      <c r="C16" s="63">
        <v>1</v>
      </c>
      <c r="D16" s="63">
        <v>0</v>
      </c>
      <c r="E16" s="400">
        <v>0</v>
      </c>
      <c r="F16" s="63">
        <v>1</v>
      </c>
      <c r="G16" s="63">
        <v>0</v>
      </c>
      <c r="H16" s="400">
        <v>1</v>
      </c>
      <c r="I16" s="63">
        <v>0</v>
      </c>
      <c r="L16" s="63">
        <v>2</v>
      </c>
      <c r="M16" s="63">
        <v>2</v>
      </c>
      <c r="N16" s="400"/>
      <c r="R16" s="363"/>
    </row>
    <row r="17" spans="2:18" ht="13.5">
      <c r="B17" s="400" t="s">
        <v>821</v>
      </c>
      <c r="C17" s="63">
        <v>0</v>
      </c>
      <c r="D17" s="63">
        <v>1</v>
      </c>
      <c r="E17" s="400">
        <v>0</v>
      </c>
      <c r="F17" s="63">
        <v>0</v>
      </c>
      <c r="G17" s="63">
        <v>0</v>
      </c>
      <c r="H17" s="400">
        <v>1</v>
      </c>
      <c r="I17" s="63">
        <v>1</v>
      </c>
      <c r="L17" s="63">
        <v>2</v>
      </c>
      <c r="M17" s="63">
        <v>2</v>
      </c>
      <c r="N17" s="400"/>
      <c r="P17" s="19" t="s">
        <v>2277</v>
      </c>
      <c r="Q17" s="63">
        <f>COUNTIF(AR_SHEET_スキル,"ハイパーシールド")</f>
        <v>0</v>
      </c>
      <c r="R17" s="363" t="s">
        <v>2278</v>
      </c>
    </row>
    <row r="18" spans="2:18" ht="13.5">
      <c r="B18" s="400" t="s">
        <v>841</v>
      </c>
      <c r="C18" s="63">
        <v>1</v>
      </c>
      <c r="D18" s="63">
        <v>2</v>
      </c>
      <c r="E18" s="400">
        <v>2</v>
      </c>
      <c r="F18" s="63">
        <v>0</v>
      </c>
      <c r="G18" s="63">
        <v>0</v>
      </c>
      <c r="H18" s="400">
        <v>0</v>
      </c>
      <c r="I18" s="63">
        <v>0</v>
      </c>
      <c r="L18" s="63">
        <v>3</v>
      </c>
      <c r="M18" s="63">
        <v>3</v>
      </c>
      <c r="N18" s="400"/>
      <c r="P18" s="19"/>
      <c r="Q18" s="63">
        <f>IF(キャラクターシート!M17="",0,IF(Q17=1,キャラクターシート!M17,0))</f>
        <v>0</v>
      </c>
      <c r="R18" s="363" t="s">
        <v>2279</v>
      </c>
    </row>
    <row r="19" spans="2:14" ht="13.5">
      <c r="B19" s="400" t="s">
        <v>879</v>
      </c>
      <c r="C19" s="63">
        <v>2</v>
      </c>
      <c r="D19" s="63">
        <v>1</v>
      </c>
      <c r="E19" s="400">
        <v>1</v>
      </c>
      <c r="F19" s="63">
        <v>0</v>
      </c>
      <c r="G19" s="63">
        <v>0</v>
      </c>
      <c r="H19" s="400">
        <v>1</v>
      </c>
      <c r="I19" s="63">
        <v>0</v>
      </c>
      <c r="L19" s="63">
        <v>4</v>
      </c>
      <c r="M19" s="63">
        <v>2</v>
      </c>
      <c r="N19" s="400"/>
    </row>
    <row r="20" spans="2:18" ht="13.5">
      <c r="B20" s="400" t="s">
        <v>920</v>
      </c>
      <c r="C20" s="63">
        <v>0</v>
      </c>
      <c r="D20" s="63">
        <v>1</v>
      </c>
      <c r="E20" s="400">
        <v>0</v>
      </c>
      <c r="F20" s="63">
        <v>1</v>
      </c>
      <c r="G20" s="63">
        <v>0</v>
      </c>
      <c r="H20" s="400">
        <v>2</v>
      </c>
      <c r="I20" s="63">
        <v>1</v>
      </c>
      <c r="L20" s="63">
        <v>2</v>
      </c>
      <c r="M20" s="63">
        <v>4</v>
      </c>
      <c r="N20" s="400"/>
      <c r="R20" s="497"/>
    </row>
    <row r="21" spans="2:18" ht="13.5">
      <c r="B21" s="400" t="s">
        <v>948</v>
      </c>
      <c r="C21" s="63">
        <v>1</v>
      </c>
      <c r="D21" s="63">
        <v>1</v>
      </c>
      <c r="E21" s="400">
        <v>1</v>
      </c>
      <c r="F21" s="63">
        <v>1</v>
      </c>
      <c r="G21" s="63">
        <v>0</v>
      </c>
      <c r="H21" s="400">
        <v>1</v>
      </c>
      <c r="I21" s="63">
        <v>0</v>
      </c>
      <c r="L21" s="63">
        <v>3</v>
      </c>
      <c r="M21" s="63">
        <v>3</v>
      </c>
      <c r="N21" s="400"/>
      <c r="R21" s="497"/>
    </row>
    <row r="22" spans="2:18" ht="13.5">
      <c r="B22" s="400" t="s">
        <v>976</v>
      </c>
      <c r="C22" s="63">
        <v>0</v>
      </c>
      <c r="D22" s="63">
        <v>0</v>
      </c>
      <c r="E22" s="400">
        <v>0</v>
      </c>
      <c r="F22" s="63">
        <v>2</v>
      </c>
      <c r="G22" s="63">
        <v>1</v>
      </c>
      <c r="H22" s="400">
        <v>2</v>
      </c>
      <c r="I22" s="63">
        <v>0</v>
      </c>
      <c r="L22" s="63">
        <v>2</v>
      </c>
      <c r="M22" s="63">
        <v>4</v>
      </c>
      <c r="N22" s="400"/>
      <c r="R22" s="497"/>
    </row>
    <row r="23" spans="2:18" ht="13.5">
      <c r="B23" s="400" t="s">
        <v>1004</v>
      </c>
      <c r="C23" s="63">
        <v>0</v>
      </c>
      <c r="D23" s="63">
        <v>1</v>
      </c>
      <c r="E23" s="400">
        <v>0</v>
      </c>
      <c r="F23" s="63">
        <v>2</v>
      </c>
      <c r="G23" s="63">
        <v>1</v>
      </c>
      <c r="H23" s="400">
        <v>1</v>
      </c>
      <c r="I23" s="63">
        <v>0</v>
      </c>
      <c r="L23" s="63">
        <v>1</v>
      </c>
      <c r="M23" s="63">
        <v>5</v>
      </c>
      <c r="N23" s="400"/>
      <c r="R23" s="363"/>
    </row>
    <row r="24" spans="2:18" ht="13.5">
      <c r="B24" s="400" t="s">
        <v>1031</v>
      </c>
      <c r="C24" s="63">
        <v>0</v>
      </c>
      <c r="D24" s="63">
        <v>2</v>
      </c>
      <c r="E24" s="400">
        <v>2</v>
      </c>
      <c r="F24" s="63">
        <v>0</v>
      </c>
      <c r="G24" s="63">
        <v>1</v>
      </c>
      <c r="H24" s="400">
        <v>0</v>
      </c>
      <c r="I24" s="63">
        <v>0</v>
      </c>
      <c r="L24" s="63">
        <v>4</v>
      </c>
      <c r="M24" s="63">
        <v>2</v>
      </c>
      <c r="N24" s="400"/>
      <c r="R24" s="363"/>
    </row>
    <row r="25" spans="2:18" ht="13.5">
      <c r="B25" s="400" t="s">
        <v>1059</v>
      </c>
      <c r="C25" s="63">
        <v>0</v>
      </c>
      <c r="D25" s="63">
        <v>2</v>
      </c>
      <c r="E25" s="400">
        <v>1</v>
      </c>
      <c r="F25" s="63">
        <v>0</v>
      </c>
      <c r="G25" s="63">
        <v>1</v>
      </c>
      <c r="H25" s="400">
        <v>0</v>
      </c>
      <c r="I25" s="63">
        <v>1</v>
      </c>
      <c r="L25" s="63">
        <v>3</v>
      </c>
      <c r="M25" s="63">
        <v>3</v>
      </c>
      <c r="N25" s="400"/>
      <c r="R25" s="363"/>
    </row>
    <row r="26" spans="14:18" ht="13.5">
      <c r="N26" s="400"/>
      <c r="R26" s="363"/>
    </row>
    <row r="27" spans="1:18" ht="13.5">
      <c r="A27" s="469" t="s">
        <v>144</v>
      </c>
      <c r="B27" s="504" t="s">
        <v>40</v>
      </c>
      <c r="C27" s="504" t="s">
        <v>44</v>
      </c>
      <c r="D27" s="504" t="s">
        <v>45</v>
      </c>
      <c r="E27" s="504" t="s">
        <v>46</v>
      </c>
      <c r="F27" s="504" t="s">
        <v>47</v>
      </c>
      <c r="G27" s="504" t="s">
        <v>48</v>
      </c>
      <c r="H27" s="504" t="s">
        <v>49</v>
      </c>
      <c r="R27" s="363"/>
    </row>
    <row r="28" spans="1:18" ht="13.5">
      <c r="A28" s="63" t="s">
        <v>408</v>
      </c>
      <c r="B28" s="63">
        <v>9</v>
      </c>
      <c r="C28" s="63">
        <v>9</v>
      </c>
      <c r="D28" s="63">
        <v>8</v>
      </c>
      <c r="E28" s="63">
        <v>8</v>
      </c>
      <c r="F28" s="63">
        <v>8</v>
      </c>
      <c r="G28" s="63">
        <v>8</v>
      </c>
      <c r="H28" s="63">
        <v>9</v>
      </c>
      <c r="R28" s="363"/>
    </row>
    <row r="29" spans="1:18" ht="13.5">
      <c r="A29" s="63" t="s">
        <v>429</v>
      </c>
      <c r="B29" s="63">
        <v>7</v>
      </c>
      <c r="C29" s="63">
        <v>8</v>
      </c>
      <c r="D29" s="63">
        <v>8</v>
      </c>
      <c r="E29" s="63">
        <v>10</v>
      </c>
      <c r="F29" s="63">
        <v>7</v>
      </c>
      <c r="G29" s="63">
        <v>10</v>
      </c>
      <c r="H29" s="63">
        <v>7</v>
      </c>
      <c r="R29" s="363"/>
    </row>
    <row r="30" spans="1:18" ht="13.5">
      <c r="A30" s="63" t="s">
        <v>436</v>
      </c>
      <c r="B30" s="63">
        <v>10</v>
      </c>
      <c r="C30" s="63">
        <v>11</v>
      </c>
      <c r="D30" s="63">
        <v>7</v>
      </c>
      <c r="E30" s="63">
        <v>8</v>
      </c>
      <c r="F30" s="63">
        <v>7</v>
      </c>
      <c r="G30" s="63">
        <v>8</v>
      </c>
      <c r="H30" s="63">
        <v>6</v>
      </c>
      <c r="R30" s="363"/>
    </row>
    <row r="31" spans="1:18" ht="13.5">
      <c r="A31" s="63" t="s">
        <v>444</v>
      </c>
      <c r="B31" s="63">
        <v>6</v>
      </c>
      <c r="C31" s="63">
        <v>8</v>
      </c>
      <c r="D31" s="63">
        <v>9</v>
      </c>
      <c r="E31" s="63">
        <v>7</v>
      </c>
      <c r="F31" s="63">
        <v>8</v>
      </c>
      <c r="G31" s="63">
        <v>11</v>
      </c>
      <c r="H31" s="63">
        <v>8</v>
      </c>
      <c r="R31" s="363"/>
    </row>
    <row r="32" spans="1:18" ht="13.5">
      <c r="A32" s="63" t="s">
        <v>25</v>
      </c>
      <c r="B32" s="63">
        <v>8</v>
      </c>
      <c r="C32" s="63">
        <v>7</v>
      </c>
      <c r="D32" s="63">
        <v>12</v>
      </c>
      <c r="E32" s="63">
        <v>6</v>
      </c>
      <c r="F32" s="63">
        <v>10</v>
      </c>
      <c r="G32" s="63">
        <v>6</v>
      </c>
      <c r="H32" s="63">
        <v>8</v>
      </c>
      <c r="R32" s="363"/>
    </row>
    <row r="33" spans="1:18" ht="13.5">
      <c r="A33" s="63" t="s">
        <v>458</v>
      </c>
      <c r="B33" s="63">
        <v>12</v>
      </c>
      <c r="C33" s="63">
        <v>8</v>
      </c>
      <c r="D33" s="63">
        <v>8</v>
      </c>
      <c r="E33" s="63">
        <v>6</v>
      </c>
      <c r="F33" s="63">
        <v>7</v>
      </c>
      <c r="G33" s="63">
        <v>9</v>
      </c>
      <c r="H33" s="63">
        <v>7</v>
      </c>
      <c r="R33" s="363"/>
    </row>
    <row r="34" s="63" customFormat="1" ht="11.25">
      <c r="K34" s="400"/>
    </row>
    <row r="35" spans="1:10" s="63" customFormat="1" ht="11.25">
      <c r="A35" s="469" t="s">
        <v>173</v>
      </c>
      <c r="C35" s="469" t="s">
        <v>2280</v>
      </c>
      <c r="D35" s="469" t="s">
        <v>2281</v>
      </c>
      <c r="F35" s="469" t="s">
        <v>2282</v>
      </c>
      <c r="G35" s="400"/>
      <c r="H35" s="400"/>
      <c r="I35" s="363"/>
      <c r="J35" s="400"/>
    </row>
    <row r="36" spans="1:10" s="63" customFormat="1" ht="11.25">
      <c r="A36" s="63" t="s">
        <v>93</v>
      </c>
      <c r="F36" s="63" t="s">
        <v>93</v>
      </c>
      <c r="H36" s="513"/>
      <c r="J36" s="363"/>
    </row>
    <row r="37" spans="1:8" ht="13.5">
      <c r="A37" s="504" t="s">
        <v>2283</v>
      </c>
      <c r="C37" s="11">
        <v>1</v>
      </c>
      <c r="D37" s="63" t="s">
        <v>251</v>
      </c>
      <c r="F37" s="63" t="s">
        <v>22</v>
      </c>
      <c r="G37" s="400"/>
      <c r="H37" s="513"/>
    </row>
    <row r="38" spans="1:11" ht="13.5">
      <c r="A38" s="63" t="s">
        <v>2284</v>
      </c>
      <c r="C38" s="11">
        <v>2</v>
      </c>
      <c r="D38" s="63" t="s">
        <v>256</v>
      </c>
      <c r="F38" s="400" t="s">
        <v>26</v>
      </c>
      <c r="G38" s="400"/>
      <c r="H38" s="513"/>
      <c r="J38" s="497"/>
      <c r="K38" s="63"/>
    </row>
    <row r="39" spans="1:11" ht="13.5">
      <c r="A39" s="63" t="s">
        <v>174</v>
      </c>
      <c r="C39" s="11">
        <v>3</v>
      </c>
      <c r="D39" s="63" t="s">
        <v>261</v>
      </c>
      <c r="F39" s="400" t="s">
        <v>2285</v>
      </c>
      <c r="G39" s="400"/>
      <c r="H39" s="513"/>
      <c r="J39" s="497"/>
      <c r="K39" s="63"/>
    </row>
    <row r="40" spans="1:11" ht="13.5">
      <c r="A40" s="63" t="s">
        <v>2286</v>
      </c>
      <c r="C40" s="11">
        <v>4</v>
      </c>
      <c r="D40" s="63" t="s">
        <v>265</v>
      </c>
      <c r="F40" s="400"/>
      <c r="G40" s="400"/>
      <c r="H40" s="513"/>
      <c r="J40" s="497"/>
      <c r="K40" s="63"/>
    </row>
    <row r="41" spans="1:11" ht="13.5">
      <c r="A41" s="504" t="s">
        <v>2287</v>
      </c>
      <c r="C41" s="11">
        <v>5</v>
      </c>
      <c r="D41" s="63" t="s">
        <v>150</v>
      </c>
      <c r="F41" s="400"/>
      <c r="G41" s="400"/>
      <c r="H41" s="513"/>
      <c r="J41" s="400"/>
      <c r="K41" s="63"/>
    </row>
    <row r="42" spans="1:8" ht="13.5">
      <c r="A42" s="63" t="s">
        <v>2288</v>
      </c>
      <c r="C42" s="11">
        <v>6</v>
      </c>
      <c r="D42" s="63" t="s">
        <v>276</v>
      </c>
      <c r="F42" s="400"/>
      <c r="G42" s="400"/>
      <c r="H42" s="513"/>
    </row>
    <row r="43" spans="1:8" ht="13.5">
      <c r="A43" s="63" t="s">
        <v>2289</v>
      </c>
      <c r="C43" s="11">
        <v>7</v>
      </c>
      <c r="D43" s="63" t="s">
        <v>282</v>
      </c>
      <c r="H43" s="513"/>
    </row>
    <row r="44" spans="1:8" ht="13.5">
      <c r="A44" s="63" t="s">
        <v>2290</v>
      </c>
      <c r="C44" s="11">
        <v>8</v>
      </c>
      <c r="D44" s="63" t="s">
        <v>289</v>
      </c>
      <c r="H44" s="513"/>
    </row>
    <row r="45" spans="3:8" ht="13.5">
      <c r="C45" s="11">
        <v>9</v>
      </c>
      <c r="D45" s="63" t="s">
        <v>300</v>
      </c>
      <c r="G45" s="400"/>
      <c r="H45" s="513"/>
    </row>
    <row r="46" spans="3:8" ht="13.5">
      <c r="C46" s="11">
        <v>10</v>
      </c>
      <c r="D46" s="63" t="s">
        <v>304</v>
      </c>
      <c r="G46" s="400"/>
      <c r="H46" s="513"/>
    </row>
    <row r="47" spans="1:8" ht="13.5">
      <c r="A47" s="469" t="s">
        <v>2291</v>
      </c>
      <c r="B47" s="469" t="s">
        <v>2292</v>
      </c>
      <c r="C47" s="11">
        <v>11</v>
      </c>
      <c r="D47" s="63" t="s">
        <v>308</v>
      </c>
      <c r="G47" s="400"/>
      <c r="H47" s="513"/>
    </row>
    <row r="48" spans="1:8" ht="13.5">
      <c r="A48" s="63" t="s">
        <v>93</v>
      </c>
      <c r="B48" s="63" t="s">
        <v>93</v>
      </c>
      <c r="C48" s="11">
        <v>12</v>
      </c>
      <c r="D48" s="63" t="s">
        <v>312</v>
      </c>
      <c r="G48" s="400"/>
      <c r="H48" s="513"/>
    </row>
    <row r="49" spans="1:8" ht="13.5">
      <c r="A49" s="63" t="s">
        <v>98</v>
      </c>
      <c r="B49" s="63" t="s">
        <v>411</v>
      </c>
      <c r="C49" s="11">
        <v>13</v>
      </c>
      <c r="D49" s="63" t="s">
        <v>1688</v>
      </c>
      <c r="G49" s="400"/>
      <c r="H49" s="513"/>
    </row>
    <row r="50" spans="2:7" ht="13.5">
      <c r="B50" s="63" t="s">
        <v>2293</v>
      </c>
      <c r="C50" s="11">
        <v>14</v>
      </c>
      <c r="D50" s="63" t="s">
        <v>151</v>
      </c>
      <c r="G50" s="400"/>
    </row>
    <row r="51" spans="1:7" ht="13.5">
      <c r="A51" s="469" t="s">
        <v>2294</v>
      </c>
      <c r="B51" s="469" t="s">
        <v>2295</v>
      </c>
      <c r="C51" s="11">
        <v>15</v>
      </c>
      <c r="G51" s="400"/>
    </row>
    <row r="52" spans="1:7" ht="13.5">
      <c r="A52" s="63" t="s">
        <v>93</v>
      </c>
      <c r="C52" s="11">
        <v>16</v>
      </c>
      <c r="G52" s="400"/>
    </row>
    <row r="53" spans="1:7" ht="13.5">
      <c r="A53" s="215" t="s">
        <v>40</v>
      </c>
      <c r="B53" s="63" t="s">
        <v>411</v>
      </c>
      <c r="C53" s="11">
        <v>17</v>
      </c>
      <c r="G53" s="400"/>
    </row>
    <row r="54" spans="1:7" ht="13.5">
      <c r="A54" s="215" t="s">
        <v>44</v>
      </c>
      <c r="B54" s="215">
        <v>1</v>
      </c>
      <c r="C54" s="11">
        <v>18</v>
      </c>
      <c r="G54" s="400"/>
    </row>
    <row r="55" spans="1:7" ht="13.5">
      <c r="A55" s="215" t="s">
        <v>45</v>
      </c>
      <c r="B55" s="215">
        <v>2</v>
      </c>
      <c r="C55" s="11">
        <v>19</v>
      </c>
      <c r="G55" s="400"/>
    </row>
    <row r="56" spans="1:7" ht="13.5">
      <c r="A56" s="215" t="s">
        <v>46</v>
      </c>
      <c r="B56" s="215">
        <v>3</v>
      </c>
      <c r="C56" s="11">
        <v>20</v>
      </c>
      <c r="G56" s="400"/>
    </row>
    <row r="57" spans="1:7" ht="13.5">
      <c r="A57" s="215" t="s">
        <v>47</v>
      </c>
      <c r="B57" s="215">
        <v>4</v>
      </c>
      <c r="C57" s="11">
        <v>21</v>
      </c>
      <c r="G57" s="400"/>
    </row>
    <row r="58" spans="1:7" ht="13.5">
      <c r="A58" s="215" t="s">
        <v>48</v>
      </c>
      <c r="B58" s="215">
        <v>5</v>
      </c>
      <c r="C58" s="11">
        <v>22</v>
      </c>
      <c r="G58" s="400"/>
    </row>
    <row r="59" spans="1:7" ht="13.5">
      <c r="A59" s="215" t="s">
        <v>49</v>
      </c>
      <c r="B59" s="506"/>
      <c r="C59" s="11">
        <v>23</v>
      </c>
      <c r="G59" s="400"/>
    </row>
    <row r="60" spans="1:7" ht="13.5">
      <c r="A60" s="215"/>
      <c r="B60" s="506"/>
      <c r="C60" s="11">
        <v>24</v>
      </c>
      <c r="G60" s="400"/>
    </row>
    <row r="61" spans="1:7" ht="13.5">
      <c r="A61" s="215"/>
      <c r="B61" s="506"/>
      <c r="C61" s="11">
        <v>25</v>
      </c>
      <c r="G61" s="400"/>
    </row>
    <row r="62" spans="1:3" ht="13.5">
      <c r="A62" s="215"/>
      <c r="B62" s="506"/>
      <c r="C62" s="11">
        <v>26</v>
      </c>
    </row>
    <row r="63" spans="1:3" ht="13.5">
      <c r="A63" s="215"/>
      <c r="B63" s="506"/>
      <c r="C63" s="11">
        <v>27</v>
      </c>
    </row>
    <row r="64" spans="1:3" ht="13.5">
      <c r="A64" s="215"/>
      <c r="B64" s="506"/>
      <c r="C64" s="11">
        <v>28</v>
      </c>
    </row>
    <row r="65" spans="1:3" ht="13.5">
      <c r="A65" s="215"/>
      <c r="B65" s="506"/>
      <c r="C65" s="11">
        <v>29</v>
      </c>
    </row>
    <row r="66" spans="1:3" ht="13.5">
      <c r="A66" s="215"/>
      <c r="B66" s="506"/>
      <c r="C66" s="11">
        <v>30</v>
      </c>
    </row>
    <row r="67" spans="1:2" ht="13.5">
      <c r="A67" s="215"/>
      <c r="B67" s="506"/>
    </row>
    <row r="68" spans="1:2" ht="13.5">
      <c r="A68" s="215"/>
      <c r="B68" s="506"/>
    </row>
    <row r="69" spans="1:50" ht="13.5">
      <c r="A69" s="469" t="s">
        <v>159</v>
      </c>
      <c r="B69" s="469"/>
      <c r="C69" s="514"/>
      <c r="D69" s="514"/>
      <c r="E69" s="514"/>
      <c r="F69" s="514"/>
      <c r="G69" s="514"/>
      <c r="H69" s="514"/>
      <c r="I69" s="514"/>
      <c r="J69" s="514"/>
      <c r="K69" s="514"/>
      <c r="L69" s="514"/>
      <c r="M69" s="514"/>
      <c r="N69" s="514"/>
      <c r="O69" s="514"/>
      <c r="P69" s="514"/>
      <c r="Q69" s="514"/>
      <c r="R69" s="514"/>
      <c r="S69" s="515"/>
      <c r="T69" s="515"/>
      <c r="U69" s="515"/>
      <c r="V69" s="515"/>
      <c r="W69" s="515"/>
      <c r="X69" s="515"/>
      <c r="Y69" s="515"/>
      <c r="Z69" s="515"/>
      <c r="AA69" s="515"/>
      <c r="AB69" s="515"/>
      <c r="AC69" s="515"/>
      <c r="AD69" s="515"/>
      <c r="AE69" s="515"/>
      <c r="AF69" s="515"/>
      <c r="AG69" s="515"/>
      <c r="AH69" s="515"/>
      <c r="AI69" s="515"/>
      <c r="AJ69" s="515"/>
      <c r="AK69" s="515"/>
      <c r="AL69" s="515"/>
      <c r="AM69" s="515"/>
      <c r="AN69" s="515"/>
      <c r="AO69" s="515"/>
      <c r="AP69" s="515"/>
      <c r="AQ69" s="515"/>
      <c r="AR69" s="515"/>
      <c r="AS69" s="515"/>
      <c r="AT69" s="515"/>
      <c r="AU69" s="515"/>
      <c r="AV69" s="515"/>
      <c r="AW69" s="515"/>
      <c r="AX69" s="515"/>
    </row>
    <row r="70" spans="2:50" ht="13.5">
      <c r="B70" s="516" t="s">
        <v>408</v>
      </c>
      <c r="C70" s="516" t="s">
        <v>429</v>
      </c>
      <c r="D70" s="516" t="s">
        <v>436</v>
      </c>
      <c r="E70" s="516" t="s">
        <v>444</v>
      </c>
      <c r="F70" s="516" t="s">
        <v>25</v>
      </c>
      <c r="G70" s="516" t="s">
        <v>458</v>
      </c>
      <c r="H70" s="516" t="s">
        <v>466</v>
      </c>
      <c r="I70" s="517" t="s">
        <v>23</v>
      </c>
      <c r="J70" s="517" t="s">
        <v>508</v>
      </c>
      <c r="K70" s="517" t="s">
        <v>535</v>
      </c>
      <c r="L70" s="517" t="s">
        <v>119</v>
      </c>
      <c r="M70" s="516" t="s">
        <v>27</v>
      </c>
      <c r="N70" s="516" t="s">
        <v>606</v>
      </c>
      <c r="O70" s="516" t="s">
        <v>626</v>
      </c>
      <c r="P70" s="516" t="s">
        <v>644</v>
      </c>
      <c r="Q70" s="516" t="s">
        <v>675</v>
      </c>
      <c r="R70" s="516" t="s">
        <v>695</v>
      </c>
      <c r="S70" s="516" t="s">
        <v>713</v>
      </c>
      <c r="T70" s="516" t="s">
        <v>732</v>
      </c>
      <c r="U70" s="516" t="s">
        <v>750</v>
      </c>
      <c r="V70" s="516" t="s">
        <v>768</v>
      </c>
      <c r="W70" s="518" t="s">
        <v>841</v>
      </c>
      <c r="X70" s="518" t="s">
        <v>879</v>
      </c>
      <c r="Y70" s="518" t="s">
        <v>920</v>
      </c>
      <c r="Z70" s="518" t="s">
        <v>948</v>
      </c>
      <c r="AA70" s="518" t="s">
        <v>976</v>
      </c>
      <c r="AB70" s="518" t="s">
        <v>1004</v>
      </c>
      <c r="AC70" s="518" t="s">
        <v>1031</v>
      </c>
      <c r="AD70" s="518" t="s">
        <v>1059</v>
      </c>
      <c r="AE70" s="516" t="s">
        <v>785</v>
      </c>
      <c r="AF70" s="516" t="s">
        <v>821</v>
      </c>
      <c r="AG70" s="519" t="s">
        <v>1086</v>
      </c>
      <c r="AH70" s="519" t="s">
        <v>1091</v>
      </c>
      <c r="AI70" s="519" t="s">
        <v>1094</v>
      </c>
      <c r="AJ70" s="519" t="s">
        <v>1097</v>
      </c>
      <c r="AK70" s="519" t="s">
        <v>1101</v>
      </c>
      <c r="AL70" s="519" t="s">
        <v>1104</v>
      </c>
      <c r="AM70" s="519" t="s">
        <v>1107</v>
      </c>
      <c r="AN70" s="519" t="s">
        <v>1111</v>
      </c>
      <c r="AO70" s="519" t="s">
        <v>1114</v>
      </c>
      <c r="AP70" s="519" t="s">
        <v>1117</v>
      </c>
      <c r="AQ70" s="519" t="s">
        <v>1121</v>
      </c>
      <c r="AR70" s="519" t="s">
        <v>1124</v>
      </c>
      <c r="AS70" s="519" t="s">
        <v>1127</v>
      </c>
      <c r="AT70" s="519" t="s">
        <v>1132</v>
      </c>
      <c r="AU70" s="519" t="s">
        <v>1135</v>
      </c>
      <c r="AV70" s="519" t="s">
        <v>1138</v>
      </c>
      <c r="AW70" s="520" t="s">
        <v>1148</v>
      </c>
      <c r="AX70" s="469" t="s">
        <v>335</v>
      </c>
    </row>
    <row r="71" s="400" customFormat="1" ht="11.25">
      <c r="AR71" s="63"/>
    </row>
    <row r="72" spans="2:50" ht="13.5">
      <c r="B72" s="63" t="s">
        <v>410</v>
      </c>
      <c r="C72" s="63" t="s">
        <v>430</v>
      </c>
      <c r="D72" s="63" t="s">
        <v>437</v>
      </c>
      <c r="E72" s="63" t="s">
        <v>445</v>
      </c>
      <c r="F72" s="63" t="s">
        <v>302</v>
      </c>
      <c r="G72" s="63" t="s">
        <v>459</v>
      </c>
      <c r="H72" s="400" t="s">
        <v>467</v>
      </c>
      <c r="I72" s="63" t="s">
        <v>306</v>
      </c>
      <c r="J72" s="63" t="s">
        <v>352</v>
      </c>
      <c r="K72" s="63" t="s">
        <v>357</v>
      </c>
      <c r="L72" s="63" t="s">
        <v>360</v>
      </c>
      <c r="M72" s="63" t="s">
        <v>317</v>
      </c>
      <c r="N72" s="63" t="s">
        <v>363</v>
      </c>
      <c r="O72" s="63" t="s">
        <v>365</v>
      </c>
      <c r="P72" s="63" t="s">
        <v>367</v>
      </c>
      <c r="Q72" s="63" t="s">
        <v>369</v>
      </c>
      <c r="R72" s="63" t="s">
        <v>371</v>
      </c>
      <c r="S72" s="63" t="s">
        <v>373</v>
      </c>
      <c r="T72" s="63" t="s">
        <v>375</v>
      </c>
      <c r="U72" s="63" t="s">
        <v>377</v>
      </c>
      <c r="V72" s="63" t="s">
        <v>379</v>
      </c>
      <c r="W72" s="63" t="s">
        <v>842</v>
      </c>
      <c r="X72" s="63" t="s">
        <v>880</v>
      </c>
      <c r="Y72" s="63" t="s">
        <v>921</v>
      </c>
      <c r="Z72" s="63" t="s">
        <v>949</v>
      </c>
      <c r="AA72" s="63" t="s">
        <v>977</v>
      </c>
      <c r="AB72" s="63" t="s">
        <v>1005</v>
      </c>
      <c r="AC72" s="63" t="s">
        <v>1032</v>
      </c>
      <c r="AD72" s="63" t="s">
        <v>1060</v>
      </c>
      <c r="AE72" s="63" t="s">
        <v>786</v>
      </c>
      <c r="AF72" s="63" t="s">
        <v>822</v>
      </c>
      <c r="AG72" s="63" t="s">
        <v>1087</v>
      </c>
      <c r="AH72" s="63" t="s">
        <v>1092</v>
      </c>
      <c r="AI72" s="63" t="s">
        <v>1095</v>
      </c>
      <c r="AJ72" s="63" t="s">
        <v>1098</v>
      </c>
      <c r="AK72" s="63" t="s">
        <v>1102</v>
      </c>
      <c r="AL72" s="63" t="s">
        <v>1105</v>
      </c>
      <c r="AM72" s="63" t="s">
        <v>1108</v>
      </c>
      <c r="AN72" s="63" t="s">
        <v>1112</v>
      </c>
      <c r="AO72" s="63" t="s">
        <v>1115</v>
      </c>
      <c r="AP72" s="63" t="s">
        <v>1118</v>
      </c>
      <c r="AQ72" s="63" t="s">
        <v>1122</v>
      </c>
      <c r="AR72" s="63" t="s">
        <v>1125</v>
      </c>
      <c r="AS72" s="63" t="s">
        <v>1128</v>
      </c>
      <c r="AT72" s="63" t="s">
        <v>1133</v>
      </c>
      <c r="AU72" s="63" t="s">
        <v>1136</v>
      </c>
      <c r="AV72" s="63" t="s">
        <v>1139</v>
      </c>
      <c r="AW72" s="63" t="s">
        <v>1149</v>
      </c>
      <c r="AX72" s="400" t="s">
        <v>1200</v>
      </c>
    </row>
    <row r="73" spans="2:50" ht="13.5">
      <c r="B73" s="63" t="s">
        <v>415</v>
      </c>
      <c r="C73" s="63" t="s">
        <v>432</v>
      </c>
      <c r="D73" s="63" t="s">
        <v>439</v>
      </c>
      <c r="E73" s="63" t="s">
        <v>448</v>
      </c>
      <c r="F73" s="63" t="s">
        <v>454</v>
      </c>
      <c r="G73" s="63" t="s">
        <v>462</v>
      </c>
      <c r="H73" s="215" t="s">
        <v>469</v>
      </c>
      <c r="I73" s="63" t="s">
        <v>483</v>
      </c>
      <c r="J73" s="63" t="s">
        <v>511</v>
      </c>
      <c r="K73" s="63" t="s">
        <v>536</v>
      </c>
      <c r="L73" s="63" t="s">
        <v>556</v>
      </c>
      <c r="M73" s="63" t="s">
        <v>574</v>
      </c>
      <c r="N73" s="63" t="s">
        <v>608</v>
      </c>
      <c r="O73" s="63" t="s">
        <v>628</v>
      </c>
      <c r="P73" s="63" t="s">
        <v>645</v>
      </c>
      <c r="Q73" s="63" t="s">
        <v>676</v>
      </c>
      <c r="R73" s="63" t="s">
        <v>696</v>
      </c>
      <c r="S73" s="63" t="s">
        <v>714</v>
      </c>
      <c r="T73" s="63" t="s">
        <v>733</v>
      </c>
      <c r="U73" s="63" t="s">
        <v>751</v>
      </c>
      <c r="V73" s="63" t="s">
        <v>769</v>
      </c>
      <c r="W73" s="63" t="s">
        <v>843</v>
      </c>
      <c r="X73" s="63" t="s">
        <v>881</v>
      </c>
      <c r="Y73" s="63" t="s">
        <v>922</v>
      </c>
      <c r="Z73" s="63" t="s">
        <v>950</v>
      </c>
      <c r="AA73" s="63" t="s">
        <v>978</v>
      </c>
      <c r="AB73" s="63" t="s">
        <v>1006</v>
      </c>
      <c r="AC73" s="63" t="s">
        <v>1033</v>
      </c>
      <c r="AD73" s="63" t="s">
        <v>1061</v>
      </c>
      <c r="AE73" s="63" t="s">
        <v>788</v>
      </c>
      <c r="AF73" s="63" t="s">
        <v>824</v>
      </c>
      <c r="AG73" s="63" t="s">
        <v>1090</v>
      </c>
      <c r="AH73" s="63" t="s">
        <v>1093</v>
      </c>
      <c r="AI73" s="63" t="s">
        <v>1096</v>
      </c>
      <c r="AJ73" s="63" t="s">
        <v>1100</v>
      </c>
      <c r="AK73" s="63" t="s">
        <v>1103</v>
      </c>
      <c r="AL73" s="63" t="s">
        <v>1106</v>
      </c>
      <c r="AM73" s="63" t="s">
        <v>1110</v>
      </c>
      <c r="AN73" s="63" t="s">
        <v>1113</v>
      </c>
      <c r="AO73" s="63" t="s">
        <v>1116</v>
      </c>
      <c r="AP73" s="63" t="s">
        <v>1120</v>
      </c>
      <c r="AQ73" s="63" t="s">
        <v>1123</v>
      </c>
      <c r="AR73" s="63" t="s">
        <v>1126</v>
      </c>
      <c r="AS73" s="63" t="s">
        <v>1131</v>
      </c>
      <c r="AT73" s="63" t="s">
        <v>1134</v>
      </c>
      <c r="AU73" s="63" t="s">
        <v>1137</v>
      </c>
      <c r="AV73" s="63" t="s">
        <v>1141</v>
      </c>
      <c r="AW73" s="63" t="s">
        <v>1150</v>
      </c>
      <c r="AX73" s="400" t="s">
        <v>1202</v>
      </c>
    </row>
    <row r="74" spans="2:50" ht="13.5">
      <c r="B74" s="63" t="s">
        <v>417</v>
      </c>
      <c r="C74" s="63" t="s">
        <v>433</v>
      </c>
      <c r="D74" s="63" t="s">
        <v>440</v>
      </c>
      <c r="E74" s="63" t="s">
        <v>449</v>
      </c>
      <c r="F74" s="63" t="s">
        <v>455</v>
      </c>
      <c r="G74" s="63" t="s">
        <v>463</v>
      </c>
      <c r="H74" s="215" t="s">
        <v>470</v>
      </c>
      <c r="I74" s="63" t="s">
        <v>329</v>
      </c>
      <c r="J74" s="63" t="s">
        <v>512</v>
      </c>
      <c r="K74" s="63" t="s">
        <v>537</v>
      </c>
      <c r="L74" s="63" t="s">
        <v>557</v>
      </c>
      <c r="M74" s="63" t="s">
        <v>576</v>
      </c>
      <c r="N74" s="63" t="s">
        <v>609</v>
      </c>
      <c r="O74" s="63" t="s">
        <v>629</v>
      </c>
      <c r="P74" s="63" t="s">
        <v>646</v>
      </c>
      <c r="Q74" s="63" t="s">
        <v>679</v>
      </c>
      <c r="R74" s="63" t="s">
        <v>697</v>
      </c>
      <c r="S74" s="63" t="s">
        <v>715</v>
      </c>
      <c r="T74" s="63" t="s">
        <v>734</v>
      </c>
      <c r="U74" s="63" t="s">
        <v>752</v>
      </c>
      <c r="V74" s="63" t="s">
        <v>770</v>
      </c>
      <c r="W74" s="63" t="s">
        <v>844</v>
      </c>
      <c r="X74" s="63" t="s">
        <v>882</v>
      </c>
      <c r="Y74" s="63" t="s">
        <v>923</v>
      </c>
      <c r="Z74" s="63" t="s">
        <v>951</v>
      </c>
      <c r="AA74" s="63" t="s">
        <v>979</v>
      </c>
      <c r="AB74" s="63" t="s">
        <v>1007</v>
      </c>
      <c r="AC74" s="63" t="s">
        <v>1034</v>
      </c>
      <c r="AD74" s="63" t="s">
        <v>1062</v>
      </c>
      <c r="AE74" s="63" t="s">
        <v>789</v>
      </c>
      <c r="AF74" s="63" t="s">
        <v>825</v>
      </c>
      <c r="AV74" s="63" t="s">
        <v>1142</v>
      </c>
      <c r="AW74" s="63" t="s">
        <v>1151</v>
      </c>
      <c r="AX74" s="400" t="s">
        <v>1205</v>
      </c>
    </row>
    <row r="75" spans="2:50" ht="13.5">
      <c r="B75" s="215" t="s">
        <v>418</v>
      </c>
      <c r="C75" s="63" t="s">
        <v>434</v>
      </c>
      <c r="D75" s="63" t="s">
        <v>442</v>
      </c>
      <c r="E75" s="63" t="s">
        <v>450</v>
      </c>
      <c r="F75" s="63" t="s">
        <v>456</v>
      </c>
      <c r="G75" s="63" t="s">
        <v>464</v>
      </c>
      <c r="H75" s="215" t="s">
        <v>471</v>
      </c>
      <c r="I75" s="63" t="s">
        <v>485</v>
      </c>
      <c r="J75" s="63" t="s">
        <v>513</v>
      </c>
      <c r="K75" s="63" t="s">
        <v>538</v>
      </c>
      <c r="L75" s="63" t="s">
        <v>558</v>
      </c>
      <c r="M75" s="63" t="s">
        <v>310</v>
      </c>
      <c r="N75" s="63" t="s">
        <v>612</v>
      </c>
      <c r="O75" s="63" t="s">
        <v>630</v>
      </c>
      <c r="P75" s="63" t="s">
        <v>648</v>
      </c>
      <c r="Q75" s="63" t="s">
        <v>680</v>
      </c>
      <c r="R75" s="63" t="s">
        <v>698</v>
      </c>
      <c r="S75" s="63" t="s">
        <v>716</v>
      </c>
      <c r="T75" s="63" t="s">
        <v>735</v>
      </c>
      <c r="U75" s="63" t="s">
        <v>753</v>
      </c>
      <c r="V75" s="63" t="s">
        <v>771</v>
      </c>
      <c r="W75" s="63" t="s">
        <v>845</v>
      </c>
      <c r="X75" s="63" t="s">
        <v>883</v>
      </c>
      <c r="Y75" s="63" t="s">
        <v>924</v>
      </c>
      <c r="Z75" s="63" t="s">
        <v>952</v>
      </c>
      <c r="AA75" s="63" t="s">
        <v>980</v>
      </c>
      <c r="AB75" s="63" t="s">
        <v>1008</v>
      </c>
      <c r="AC75" s="63" t="s">
        <v>1035</v>
      </c>
      <c r="AD75" s="63" t="s">
        <v>1063</v>
      </c>
      <c r="AE75" s="63" t="s">
        <v>790</v>
      </c>
      <c r="AF75" s="63" t="s">
        <v>826</v>
      </c>
      <c r="AV75" s="63" t="s">
        <v>1143</v>
      </c>
      <c r="AW75" s="63" t="s">
        <v>1152</v>
      </c>
      <c r="AX75" s="400" t="s">
        <v>1208</v>
      </c>
    </row>
    <row r="76" spans="2:50" ht="13.5">
      <c r="B76" s="215" t="s">
        <v>420</v>
      </c>
      <c r="C76" s="63" t="s">
        <v>435</v>
      </c>
      <c r="D76" s="63" t="s">
        <v>443</v>
      </c>
      <c r="E76" s="63" t="s">
        <v>452</v>
      </c>
      <c r="F76" s="63" t="s">
        <v>457</v>
      </c>
      <c r="G76" s="63" t="s">
        <v>465</v>
      </c>
      <c r="H76" s="215" t="s">
        <v>472</v>
      </c>
      <c r="I76" s="63" t="s">
        <v>487</v>
      </c>
      <c r="J76" s="63" t="s">
        <v>514</v>
      </c>
      <c r="K76" s="63" t="s">
        <v>539</v>
      </c>
      <c r="L76" s="63" t="s">
        <v>559</v>
      </c>
      <c r="M76" s="63" t="s">
        <v>580</v>
      </c>
      <c r="N76" s="63" t="s">
        <v>613</v>
      </c>
      <c r="O76" s="63" t="s">
        <v>631</v>
      </c>
      <c r="P76" s="63" t="s">
        <v>649</v>
      </c>
      <c r="Q76" s="63" t="s">
        <v>681</v>
      </c>
      <c r="R76" s="63" t="s">
        <v>699</v>
      </c>
      <c r="S76" s="63" t="s">
        <v>718</v>
      </c>
      <c r="T76" s="63" t="s">
        <v>736</v>
      </c>
      <c r="U76" s="63" t="s">
        <v>754</v>
      </c>
      <c r="V76" s="63" t="s">
        <v>772</v>
      </c>
      <c r="W76" s="63" t="s">
        <v>846</v>
      </c>
      <c r="X76" s="63" t="s">
        <v>884</v>
      </c>
      <c r="Y76" s="63" t="s">
        <v>925</v>
      </c>
      <c r="Z76" s="63" t="s">
        <v>953</v>
      </c>
      <c r="AA76" s="63" t="s">
        <v>981</v>
      </c>
      <c r="AB76" s="63" t="s">
        <v>1009</v>
      </c>
      <c r="AC76" s="63" t="s">
        <v>1036</v>
      </c>
      <c r="AD76" s="63" t="s">
        <v>1064</v>
      </c>
      <c r="AE76" s="63" t="s">
        <v>791</v>
      </c>
      <c r="AF76" s="63" t="s">
        <v>827</v>
      </c>
      <c r="AV76" s="63" t="s">
        <v>1144</v>
      </c>
      <c r="AW76" s="63" t="s">
        <v>1153</v>
      </c>
      <c r="AX76" s="400" t="s">
        <v>1211</v>
      </c>
    </row>
    <row r="77" spans="2:50" s="63" customFormat="1" ht="11.25">
      <c r="B77" s="215" t="s">
        <v>421</v>
      </c>
      <c r="F77" s="400"/>
      <c r="H77" s="215" t="s">
        <v>473</v>
      </c>
      <c r="I77" s="63" t="s">
        <v>488</v>
      </c>
      <c r="J77" s="63" t="s">
        <v>515</v>
      </c>
      <c r="K77" s="63" t="s">
        <v>540</v>
      </c>
      <c r="L77" s="63" t="s">
        <v>560</v>
      </c>
      <c r="M77" s="63" t="s">
        <v>582</v>
      </c>
      <c r="N77" s="63" t="s">
        <v>614</v>
      </c>
      <c r="O77" s="63" t="s">
        <v>632</v>
      </c>
      <c r="P77" s="63" t="s">
        <v>650</v>
      </c>
      <c r="Q77" s="63" t="s">
        <v>682</v>
      </c>
      <c r="R77" s="63" t="s">
        <v>701</v>
      </c>
      <c r="S77" s="63" t="s">
        <v>719</v>
      </c>
      <c r="T77" s="63" t="s">
        <v>737</v>
      </c>
      <c r="U77" s="63" t="s">
        <v>755</v>
      </c>
      <c r="V77" s="63" t="s">
        <v>773</v>
      </c>
      <c r="W77" s="63" t="s">
        <v>847</v>
      </c>
      <c r="X77" s="63" t="s">
        <v>885</v>
      </c>
      <c r="Y77" s="63" t="s">
        <v>926</v>
      </c>
      <c r="Z77" s="63" t="s">
        <v>954</v>
      </c>
      <c r="AA77" s="63" t="s">
        <v>982</v>
      </c>
      <c r="AB77" s="63" t="s">
        <v>1010</v>
      </c>
      <c r="AC77" s="63" t="s">
        <v>1037</v>
      </c>
      <c r="AD77" s="63" t="s">
        <v>1065</v>
      </c>
      <c r="AE77" s="63" t="s">
        <v>792</v>
      </c>
      <c r="AF77" s="63" t="s">
        <v>828</v>
      </c>
      <c r="AV77" s="63" t="s">
        <v>1145</v>
      </c>
      <c r="AW77" s="63" t="s">
        <v>1154</v>
      </c>
      <c r="AX77" s="400" t="s">
        <v>1213</v>
      </c>
    </row>
    <row r="78" spans="2:50" s="63" customFormat="1" ht="11.25">
      <c r="B78" s="215" t="s">
        <v>422</v>
      </c>
      <c r="F78" s="400"/>
      <c r="H78" s="215" t="s">
        <v>474</v>
      </c>
      <c r="I78" s="63" t="s">
        <v>491</v>
      </c>
      <c r="J78" s="63" t="s">
        <v>516</v>
      </c>
      <c r="K78" s="63" t="s">
        <v>541</v>
      </c>
      <c r="L78" s="63" t="s">
        <v>561</v>
      </c>
      <c r="M78" s="63" t="s">
        <v>323</v>
      </c>
      <c r="N78" s="63" t="s">
        <v>615</v>
      </c>
      <c r="O78" s="63" t="s">
        <v>633</v>
      </c>
      <c r="P78" s="63" t="s">
        <v>651</v>
      </c>
      <c r="Q78" s="63" t="s">
        <v>684</v>
      </c>
      <c r="R78" s="63" t="s">
        <v>702</v>
      </c>
      <c r="S78" s="63" t="s">
        <v>720</v>
      </c>
      <c r="T78" s="63" t="s">
        <v>738</v>
      </c>
      <c r="U78" s="63" t="s">
        <v>756</v>
      </c>
      <c r="V78" s="63" t="s">
        <v>774</v>
      </c>
      <c r="W78" s="63" t="s">
        <v>848</v>
      </c>
      <c r="X78" s="63" t="s">
        <v>886</v>
      </c>
      <c r="Y78" s="63" t="s">
        <v>927</v>
      </c>
      <c r="Z78" s="63" t="s">
        <v>955</v>
      </c>
      <c r="AA78" s="63" t="s">
        <v>983</v>
      </c>
      <c r="AB78" s="63" t="s">
        <v>1011</v>
      </c>
      <c r="AC78" s="63" t="s">
        <v>1038</v>
      </c>
      <c r="AD78" s="63" t="s">
        <v>1066</v>
      </c>
      <c r="AE78" s="63" t="s">
        <v>793</v>
      </c>
      <c r="AF78" s="63" t="s">
        <v>829</v>
      </c>
      <c r="AV78" s="63" t="s">
        <v>1146</v>
      </c>
      <c r="AW78" s="63" t="s">
        <v>1155</v>
      </c>
      <c r="AX78" s="400" t="s">
        <v>1215</v>
      </c>
    </row>
    <row r="79" spans="2:50" s="63" customFormat="1" ht="11.25">
      <c r="B79" s="215" t="s">
        <v>423</v>
      </c>
      <c r="F79" s="400"/>
      <c r="H79" s="215" t="s">
        <v>475</v>
      </c>
      <c r="I79" s="63" t="s">
        <v>492</v>
      </c>
      <c r="J79" s="63" t="s">
        <v>517</v>
      </c>
      <c r="K79" s="63" t="s">
        <v>542</v>
      </c>
      <c r="L79" s="63" t="s">
        <v>562</v>
      </c>
      <c r="M79" s="63" t="s">
        <v>586</v>
      </c>
      <c r="N79" s="63" t="s">
        <v>616</v>
      </c>
      <c r="O79" s="63" t="s">
        <v>634</v>
      </c>
      <c r="P79" s="63" t="s">
        <v>652</v>
      </c>
      <c r="Q79" s="63" t="s">
        <v>685</v>
      </c>
      <c r="R79" s="63" t="s">
        <v>703</v>
      </c>
      <c r="S79" s="63" t="s">
        <v>721</v>
      </c>
      <c r="T79" s="63" t="s">
        <v>739</v>
      </c>
      <c r="U79" s="63" t="s">
        <v>758</v>
      </c>
      <c r="V79" s="63" t="s">
        <v>775</v>
      </c>
      <c r="W79" s="63" t="s">
        <v>849</v>
      </c>
      <c r="X79" s="63" t="s">
        <v>887</v>
      </c>
      <c r="Y79" s="63" t="s">
        <v>928</v>
      </c>
      <c r="Z79" s="63" t="s">
        <v>956</v>
      </c>
      <c r="AA79" s="63" t="s">
        <v>984</v>
      </c>
      <c r="AB79" s="63" t="s">
        <v>1012</v>
      </c>
      <c r="AC79" s="63" t="s">
        <v>1039</v>
      </c>
      <c r="AD79" s="63" t="s">
        <v>1067</v>
      </c>
      <c r="AE79" s="63" t="s">
        <v>794</v>
      </c>
      <c r="AF79" s="63" t="s">
        <v>830</v>
      </c>
      <c r="AV79" s="63" t="s">
        <v>1147</v>
      </c>
      <c r="AW79" s="63" t="s">
        <v>1156</v>
      </c>
      <c r="AX79" s="400" t="s">
        <v>1217</v>
      </c>
    </row>
    <row r="80" spans="2:50" s="63" customFormat="1" ht="11.25">
      <c r="B80" s="215" t="s">
        <v>424</v>
      </c>
      <c r="F80" s="400"/>
      <c r="H80" s="400" t="s">
        <v>476</v>
      </c>
      <c r="I80" s="63" t="s">
        <v>494</v>
      </c>
      <c r="J80" s="63" t="s">
        <v>518</v>
      </c>
      <c r="K80" s="63" t="s">
        <v>543</v>
      </c>
      <c r="L80" s="63" t="s">
        <v>563</v>
      </c>
      <c r="M80" s="63" t="s">
        <v>327</v>
      </c>
      <c r="N80" s="63" t="s">
        <v>617</v>
      </c>
      <c r="O80" s="63" t="s">
        <v>635</v>
      </c>
      <c r="P80" s="63" t="s">
        <v>653</v>
      </c>
      <c r="Q80" s="63" t="s">
        <v>686</v>
      </c>
      <c r="R80" s="63" t="s">
        <v>704</v>
      </c>
      <c r="S80" s="63" t="s">
        <v>722</v>
      </c>
      <c r="T80" s="63" t="s">
        <v>740</v>
      </c>
      <c r="U80" s="63" t="s">
        <v>759</v>
      </c>
      <c r="V80" s="63" t="s">
        <v>776</v>
      </c>
      <c r="W80" s="63" t="s">
        <v>850</v>
      </c>
      <c r="X80" s="63" t="s">
        <v>888</v>
      </c>
      <c r="Y80" s="63" t="s">
        <v>929</v>
      </c>
      <c r="Z80" s="63" t="s">
        <v>957</v>
      </c>
      <c r="AA80" s="63" t="s">
        <v>985</v>
      </c>
      <c r="AB80" s="63" t="s">
        <v>1013</v>
      </c>
      <c r="AC80" s="63" t="s">
        <v>1040</v>
      </c>
      <c r="AD80" s="63" t="s">
        <v>1068</v>
      </c>
      <c r="AE80" s="63" t="s">
        <v>795</v>
      </c>
      <c r="AF80" s="63" t="s">
        <v>831</v>
      </c>
      <c r="AW80" s="63" t="s">
        <v>1157</v>
      </c>
      <c r="AX80" s="400" t="s">
        <v>1219</v>
      </c>
    </row>
    <row r="81" spans="2:50" s="63" customFormat="1" ht="11.25">
      <c r="B81" s="215" t="s">
        <v>425</v>
      </c>
      <c r="F81" s="400"/>
      <c r="H81" s="400" t="s">
        <v>478</v>
      </c>
      <c r="I81" s="400" t="s">
        <v>495</v>
      </c>
      <c r="J81" s="63" t="s">
        <v>519</v>
      </c>
      <c r="K81" s="63" t="s">
        <v>545</v>
      </c>
      <c r="L81" s="63" t="s">
        <v>565</v>
      </c>
      <c r="M81" s="63" t="s">
        <v>590</v>
      </c>
      <c r="N81" s="63" t="s">
        <v>618</v>
      </c>
      <c r="O81" s="63" t="s">
        <v>636</v>
      </c>
      <c r="P81" s="63" t="s">
        <v>654</v>
      </c>
      <c r="Q81" s="63" t="s">
        <v>687</v>
      </c>
      <c r="R81" s="63" t="s">
        <v>705</v>
      </c>
      <c r="S81" s="63" t="s">
        <v>724</v>
      </c>
      <c r="T81" s="63" t="s">
        <v>742</v>
      </c>
      <c r="U81" s="63" t="s">
        <v>760</v>
      </c>
      <c r="V81" s="63" t="s">
        <v>777</v>
      </c>
      <c r="W81" s="63" t="s">
        <v>851</v>
      </c>
      <c r="X81" s="63" t="s">
        <v>889</v>
      </c>
      <c r="Y81" s="63" t="s">
        <v>930</v>
      </c>
      <c r="Z81" s="63" t="s">
        <v>958</v>
      </c>
      <c r="AA81" s="63" t="s">
        <v>986</v>
      </c>
      <c r="AB81" s="63" t="s">
        <v>1014</v>
      </c>
      <c r="AC81" s="63" t="s">
        <v>1041</v>
      </c>
      <c r="AD81" s="63" t="s">
        <v>1069</v>
      </c>
      <c r="AE81" s="63" t="s">
        <v>796</v>
      </c>
      <c r="AF81" s="63" t="s">
        <v>833</v>
      </c>
      <c r="AW81" s="63" t="s">
        <v>1158</v>
      </c>
      <c r="AX81" s="400" t="s">
        <v>1221</v>
      </c>
    </row>
    <row r="82" spans="2:50" s="63" customFormat="1" ht="11.25">
      <c r="B82" s="63" t="s">
        <v>426</v>
      </c>
      <c r="F82" s="400"/>
      <c r="H82" s="400" t="s">
        <v>479</v>
      </c>
      <c r="I82" s="400" t="s">
        <v>496</v>
      </c>
      <c r="J82" s="63" t="s">
        <v>520</v>
      </c>
      <c r="K82" s="63" t="s">
        <v>546</v>
      </c>
      <c r="L82" s="63" t="s">
        <v>566</v>
      </c>
      <c r="M82" s="63" t="s">
        <v>592</v>
      </c>
      <c r="N82" s="63" t="s">
        <v>619</v>
      </c>
      <c r="O82" s="63" t="s">
        <v>637</v>
      </c>
      <c r="P82" s="63" t="s">
        <v>655</v>
      </c>
      <c r="Q82" s="63" t="s">
        <v>688</v>
      </c>
      <c r="R82" s="63" t="s">
        <v>706</v>
      </c>
      <c r="S82" s="63" t="s">
        <v>725</v>
      </c>
      <c r="T82" s="63" t="s">
        <v>743</v>
      </c>
      <c r="U82" s="63" t="s">
        <v>761</v>
      </c>
      <c r="V82" s="63" t="s">
        <v>778</v>
      </c>
      <c r="W82" s="63" t="s">
        <v>852</v>
      </c>
      <c r="X82" s="63" t="s">
        <v>890</v>
      </c>
      <c r="Y82" s="63" t="s">
        <v>931</v>
      </c>
      <c r="Z82" s="63" t="s">
        <v>959</v>
      </c>
      <c r="AA82" s="63" t="s">
        <v>987</v>
      </c>
      <c r="AB82" s="63" t="s">
        <v>1015</v>
      </c>
      <c r="AC82" s="63" t="s">
        <v>1042</v>
      </c>
      <c r="AD82" s="63" t="s">
        <v>1070</v>
      </c>
      <c r="AE82" s="63" t="s">
        <v>797</v>
      </c>
      <c r="AF82" s="63" t="s">
        <v>834</v>
      </c>
      <c r="AW82" s="63" t="s">
        <v>1159</v>
      </c>
      <c r="AX82" s="400" t="s">
        <v>1223</v>
      </c>
    </row>
    <row r="83" spans="6:50" s="63" customFormat="1" ht="11.25">
      <c r="F83" s="400"/>
      <c r="I83" s="400" t="s">
        <v>314</v>
      </c>
      <c r="J83" s="63" t="s">
        <v>521</v>
      </c>
      <c r="K83" s="63" t="s">
        <v>547</v>
      </c>
      <c r="L83" s="63" t="s">
        <v>331</v>
      </c>
      <c r="M83" s="63" t="s">
        <v>321</v>
      </c>
      <c r="N83" s="63" t="s">
        <v>620</v>
      </c>
      <c r="O83" s="63" t="s">
        <v>638</v>
      </c>
      <c r="P83" s="63" t="s">
        <v>656</v>
      </c>
      <c r="Q83" s="63" t="s">
        <v>689</v>
      </c>
      <c r="R83" s="63" t="s">
        <v>707</v>
      </c>
      <c r="S83" s="63" t="s">
        <v>726</v>
      </c>
      <c r="T83" s="63" t="s">
        <v>744</v>
      </c>
      <c r="U83" s="63" t="s">
        <v>762</v>
      </c>
      <c r="V83" s="63" t="s">
        <v>779</v>
      </c>
      <c r="W83" s="63" t="s">
        <v>853</v>
      </c>
      <c r="X83" s="63" t="s">
        <v>891</v>
      </c>
      <c r="Y83" s="63" t="s">
        <v>932</v>
      </c>
      <c r="Z83" s="63" t="s">
        <v>960</v>
      </c>
      <c r="AA83" s="63" t="s">
        <v>988</v>
      </c>
      <c r="AB83" s="63" t="s">
        <v>1016</v>
      </c>
      <c r="AC83" s="63" t="s">
        <v>1043</v>
      </c>
      <c r="AD83" s="63" t="s">
        <v>1071</v>
      </c>
      <c r="AE83" s="63" t="s">
        <v>798</v>
      </c>
      <c r="AF83" s="63" t="s">
        <v>835</v>
      </c>
      <c r="AW83" s="63" t="s">
        <v>1160</v>
      </c>
      <c r="AX83" s="400" t="s">
        <v>1225</v>
      </c>
    </row>
    <row r="84" spans="6:50" s="63" customFormat="1" ht="11.25">
      <c r="F84" s="400"/>
      <c r="I84" s="400" t="s">
        <v>499</v>
      </c>
      <c r="J84" s="63" t="s">
        <v>522</v>
      </c>
      <c r="K84" s="63" t="s">
        <v>548</v>
      </c>
      <c r="L84" s="63" t="s">
        <v>567</v>
      </c>
      <c r="M84" s="63" t="s">
        <v>596</v>
      </c>
      <c r="N84" s="63" t="s">
        <v>621</v>
      </c>
      <c r="O84" s="63" t="s">
        <v>639</v>
      </c>
      <c r="P84" s="63" t="s">
        <v>657</v>
      </c>
      <c r="Q84" s="63" t="s">
        <v>690</v>
      </c>
      <c r="R84" s="63" t="s">
        <v>708</v>
      </c>
      <c r="S84" s="63" t="s">
        <v>727</v>
      </c>
      <c r="T84" s="63" t="s">
        <v>745</v>
      </c>
      <c r="U84" s="63" t="s">
        <v>763</v>
      </c>
      <c r="V84" s="63" t="s">
        <v>780</v>
      </c>
      <c r="W84" s="63" t="s">
        <v>854</v>
      </c>
      <c r="X84" s="63" t="s">
        <v>892</v>
      </c>
      <c r="Y84" s="63" t="s">
        <v>933</v>
      </c>
      <c r="Z84" s="63" t="s">
        <v>961</v>
      </c>
      <c r="AA84" s="63" t="s">
        <v>989</v>
      </c>
      <c r="AB84" s="63" t="s">
        <v>1017</v>
      </c>
      <c r="AC84" s="63" t="s">
        <v>1044</v>
      </c>
      <c r="AD84" s="63" t="s">
        <v>1072</v>
      </c>
      <c r="AE84" s="63" t="s">
        <v>799</v>
      </c>
      <c r="AF84" s="63" t="s">
        <v>836</v>
      </c>
      <c r="AW84" s="63" t="s">
        <v>1161</v>
      </c>
      <c r="AX84" s="400" t="s">
        <v>1227</v>
      </c>
    </row>
    <row r="85" spans="6:50" s="63" customFormat="1" ht="11.25">
      <c r="F85" s="400"/>
      <c r="I85" s="400" t="s">
        <v>500</v>
      </c>
      <c r="J85" s="63" t="s">
        <v>523</v>
      </c>
      <c r="K85" s="63" t="s">
        <v>549</v>
      </c>
      <c r="L85" s="63" t="s">
        <v>568</v>
      </c>
      <c r="M85" s="63" t="s">
        <v>598</v>
      </c>
      <c r="N85" s="63" t="s">
        <v>622</v>
      </c>
      <c r="O85" s="63" t="s">
        <v>640</v>
      </c>
      <c r="P85" s="63" t="s">
        <v>658</v>
      </c>
      <c r="Q85" s="63" t="s">
        <v>691</v>
      </c>
      <c r="R85" s="63" t="s">
        <v>709</v>
      </c>
      <c r="S85" s="63" t="s">
        <v>728</v>
      </c>
      <c r="T85" s="63" t="s">
        <v>746</v>
      </c>
      <c r="U85" s="63" t="s">
        <v>764</v>
      </c>
      <c r="V85" s="63" t="s">
        <v>781</v>
      </c>
      <c r="W85" s="63" t="s">
        <v>855</v>
      </c>
      <c r="X85" s="63" t="s">
        <v>893</v>
      </c>
      <c r="Y85" s="63" t="s">
        <v>934</v>
      </c>
      <c r="Z85" s="63" t="s">
        <v>962</v>
      </c>
      <c r="AA85" s="63" t="s">
        <v>990</v>
      </c>
      <c r="AB85" s="63" t="s">
        <v>1018</v>
      </c>
      <c r="AC85" s="63" t="s">
        <v>1045</v>
      </c>
      <c r="AD85" s="63" t="s">
        <v>1073</v>
      </c>
      <c r="AE85" s="63" t="s">
        <v>800</v>
      </c>
      <c r="AF85" s="63" t="s">
        <v>837</v>
      </c>
      <c r="AW85" s="63" t="s">
        <v>1162</v>
      </c>
      <c r="AX85" s="400" t="s">
        <v>1229</v>
      </c>
    </row>
    <row r="86" spans="6:50" s="63" customFormat="1" ht="11.25">
      <c r="F86" s="400"/>
      <c r="I86" s="400" t="s">
        <v>502</v>
      </c>
      <c r="J86" s="63" t="s">
        <v>524</v>
      </c>
      <c r="K86" s="63" t="s">
        <v>550</v>
      </c>
      <c r="L86" s="63" t="s">
        <v>569</v>
      </c>
      <c r="M86" s="63" t="s">
        <v>325</v>
      </c>
      <c r="N86" s="63" t="s">
        <v>623</v>
      </c>
      <c r="O86" s="63" t="s">
        <v>641</v>
      </c>
      <c r="P86" s="63" t="s">
        <v>659</v>
      </c>
      <c r="Q86" s="63" t="s">
        <v>692</v>
      </c>
      <c r="R86" s="63" t="s">
        <v>710</v>
      </c>
      <c r="S86" s="63" t="s">
        <v>729</v>
      </c>
      <c r="T86" s="63" t="s">
        <v>747</v>
      </c>
      <c r="U86" s="63" t="s">
        <v>765</v>
      </c>
      <c r="V86" s="63" t="s">
        <v>782</v>
      </c>
      <c r="W86" s="63" t="s">
        <v>856</v>
      </c>
      <c r="X86" s="63" t="s">
        <v>894</v>
      </c>
      <c r="Y86" s="63" t="s">
        <v>935</v>
      </c>
      <c r="Z86" s="63" t="s">
        <v>963</v>
      </c>
      <c r="AA86" s="63" t="s">
        <v>991</v>
      </c>
      <c r="AB86" s="63" t="s">
        <v>1019</v>
      </c>
      <c r="AC86" s="63" t="s">
        <v>1046</v>
      </c>
      <c r="AD86" s="63" t="s">
        <v>1074</v>
      </c>
      <c r="AE86" s="63" t="s">
        <v>801</v>
      </c>
      <c r="AF86" s="63" t="s">
        <v>838</v>
      </c>
      <c r="AW86" s="63" t="s">
        <v>1163</v>
      </c>
      <c r="AX86" s="400" t="s">
        <v>1231</v>
      </c>
    </row>
    <row r="87" spans="6:50" s="63" customFormat="1" ht="11.25">
      <c r="F87" s="400"/>
      <c r="I87" s="400" t="s">
        <v>505</v>
      </c>
      <c r="J87" s="63" t="s">
        <v>525</v>
      </c>
      <c r="K87" s="63" t="s">
        <v>551</v>
      </c>
      <c r="L87" s="63" t="s">
        <v>570</v>
      </c>
      <c r="M87" s="63" t="s">
        <v>601</v>
      </c>
      <c r="N87" s="63" t="s">
        <v>624</v>
      </c>
      <c r="O87" s="63" t="s">
        <v>642</v>
      </c>
      <c r="P87" s="63" t="s">
        <v>660</v>
      </c>
      <c r="Q87" s="63" t="s">
        <v>693</v>
      </c>
      <c r="R87" s="63" t="s">
        <v>711</v>
      </c>
      <c r="S87" s="63" t="s">
        <v>730</v>
      </c>
      <c r="T87" s="63" t="s">
        <v>748</v>
      </c>
      <c r="U87" s="63" t="s">
        <v>766</v>
      </c>
      <c r="V87" s="63" t="s">
        <v>783</v>
      </c>
      <c r="W87" s="63" t="s">
        <v>857</v>
      </c>
      <c r="X87" s="63" t="s">
        <v>895</v>
      </c>
      <c r="Y87" s="63" t="s">
        <v>936</v>
      </c>
      <c r="Z87" s="63" t="s">
        <v>964</v>
      </c>
      <c r="AA87" s="63" t="s">
        <v>992</v>
      </c>
      <c r="AB87" s="63" t="s">
        <v>1020</v>
      </c>
      <c r="AC87" s="63" t="s">
        <v>1047</v>
      </c>
      <c r="AD87" s="63" t="s">
        <v>1075</v>
      </c>
      <c r="AE87" s="63" t="s">
        <v>802</v>
      </c>
      <c r="AF87" s="63" t="s">
        <v>839</v>
      </c>
      <c r="AW87" s="63" t="s">
        <v>1164</v>
      </c>
      <c r="AX87" s="400" t="s">
        <v>1233</v>
      </c>
    </row>
    <row r="88" spans="6:50" s="63" customFormat="1" ht="11.25">
      <c r="F88" s="400"/>
      <c r="I88" s="400" t="s">
        <v>507</v>
      </c>
      <c r="J88" s="63" t="s">
        <v>526</v>
      </c>
      <c r="K88" s="63" t="s">
        <v>552</v>
      </c>
      <c r="L88" s="63" t="s">
        <v>571</v>
      </c>
      <c r="M88" s="63" t="s">
        <v>604</v>
      </c>
      <c r="N88" s="63" t="s">
        <v>625</v>
      </c>
      <c r="O88" s="63" t="s">
        <v>643</v>
      </c>
      <c r="P88" s="63" t="s">
        <v>661</v>
      </c>
      <c r="Q88" s="63" t="s">
        <v>694</v>
      </c>
      <c r="R88" s="63" t="s">
        <v>712</v>
      </c>
      <c r="S88" s="63" t="s">
        <v>731</v>
      </c>
      <c r="T88" s="63" t="s">
        <v>749</v>
      </c>
      <c r="U88" s="63" t="s">
        <v>767</v>
      </c>
      <c r="V88" s="63" t="s">
        <v>784</v>
      </c>
      <c r="W88" s="63" t="s">
        <v>858</v>
      </c>
      <c r="X88" s="63" t="s">
        <v>896</v>
      </c>
      <c r="Y88" s="63" t="s">
        <v>937</v>
      </c>
      <c r="Z88" s="63" t="s">
        <v>965</v>
      </c>
      <c r="AA88" s="63" t="s">
        <v>993</v>
      </c>
      <c r="AB88" s="63" t="s">
        <v>1021</v>
      </c>
      <c r="AC88" s="63" t="s">
        <v>1048</v>
      </c>
      <c r="AD88" s="63" t="s">
        <v>1076</v>
      </c>
      <c r="AE88" s="63" t="s">
        <v>803</v>
      </c>
      <c r="AF88" s="63" t="s">
        <v>840</v>
      </c>
      <c r="AW88" s="63" t="s">
        <v>1165</v>
      </c>
      <c r="AX88" s="400" t="s">
        <v>1235</v>
      </c>
    </row>
    <row r="89" spans="6:50" s="63" customFormat="1" ht="11.25">
      <c r="F89" s="400"/>
      <c r="I89" s="400"/>
      <c r="J89" s="63" t="s">
        <v>527</v>
      </c>
      <c r="K89" s="63" t="s">
        <v>553</v>
      </c>
      <c r="L89" s="400"/>
      <c r="P89" s="63" t="s">
        <v>662</v>
      </c>
      <c r="W89" s="63" t="s">
        <v>859</v>
      </c>
      <c r="X89" s="63" t="s">
        <v>897</v>
      </c>
      <c r="Y89" s="63" t="s">
        <v>938</v>
      </c>
      <c r="Z89" s="63" t="s">
        <v>966</v>
      </c>
      <c r="AA89" s="63" t="s">
        <v>994</v>
      </c>
      <c r="AB89" s="63" t="s">
        <v>1022</v>
      </c>
      <c r="AC89" s="63" t="s">
        <v>1049</v>
      </c>
      <c r="AD89" s="63" t="s">
        <v>1077</v>
      </c>
      <c r="AE89" s="63" t="s">
        <v>804</v>
      </c>
      <c r="AW89" s="63" t="s">
        <v>1166</v>
      </c>
      <c r="AX89" s="400" t="s">
        <v>1238</v>
      </c>
    </row>
    <row r="90" spans="6:50" s="63" customFormat="1" ht="11.25">
      <c r="F90" s="400"/>
      <c r="I90" s="400"/>
      <c r="J90" s="63" t="s">
        <v>529</v>
      </c>
      <c r="K90" s="63" t="s">
        <v>554</v>
      </c>
      <c r="L90" s="400"/>
      <c r="P90" s="63" t="s">
        <v>663</v>
      </c>
      <c r="W90" s="63" t="s">
        <v>860</v>
      </c>
      <c r="X90" s="63" t="s">
        <v>898</v>
      </c>
      <c r="Y90" s="63" t="s">
        <v>940</v>
      </c>
      <c r="Z90" s="63" t="s">
        <v>968</v>
      </c>
      <c r="AA90" s="63" t="s">
        <v>996</v>
      </c>
      <c r="AB90" s="63" t="s">
        <v>1024</v>
      </c>
      <c r="AC90" s="63" t="s">
        <v>1051</v>
      </c>
      <c r="AD90" s="63" t="s">
        <v>1079</v>
      </c>
      <c r="AE90" s="63" t="s">
        <v>805</v>
      </c>
      <c r="AW90" s="63" t="s">
        <v>1167</v>
      </c>
      <c r="AX90" s="400" t="s">
        <v>1240</v>
      </c>
    </row>
    <row r="91" spans="6:50" s="63" customFormat="1" ht="11.25">
      <c r="F91" s="400"/>
      <c r="I91" s="400"/>
      <c r="J91" s="63" t="s">
        <v>530</v>
      </c>
      <c r="K91" s="63" t="s">
        <v>555</v>
      </c>
      <c r="L91" s="400"/>
      <c r="P91" s="63" t="s">
        <v>664</v>
      </c>
      <c r="W91" s="63" t="s">
        <v>861</v>
      </c>
      <c r="X91" s="63" t="s">
        <v>900</v>
      </c>
      <c r="Y91" s="63" t="s">
        <v>941</v>
      </c>
      <c r="Z91" s="63" t="s">
        <v>969</v>
      </c>
      <c r="AA91" s="63" t="s">
        <v>997</v>
      </c>
      <c r="AB91" s="63" t="s">
        <v>1025</v>
      </c>
      <c r="AC91" s="63" t="s">
        <v>1052</v>
      </c>
      <c r="AD91" s="63" t="s">
        <v>1080</v>
      </c>
      <c r="AE91" s="63" t="s">
        <v>806</v>
      </c>
      <c r="AW91" s="63" t="s">
        <v>1168</v>
      </c>
      <c r="AX91" s="400" t="s">
        <v>1242</v>
      </c>
    </row>
    <row r="92" spans="10:50" ht="13.5">
      <c r="J92" s="63" t="s">
        <v>531</v>
      </c>
      <c r="P92" s="63" t="s">
        <v>665</v>
      </c>
      <c r="W92" s="63" t="s">
        <v>862</v>
      </c>
      <c r="X92" s="63" t="s">
        <v>901</v>
      </c>
      <c r="Y92" s="63" t="s">
        <v>942</v>
      </c>
      <c r="Z92" s="63" t="s">
        <v>970</v>
      </c>
      <c r="AA92" s="63" t="s">
        <v>998</v>
      </c>
      <c r="AB92" s="63" t="s">
        <v>1026</v>
      </c>
      <c r="AC92" s="63" t="s">
        <v>1053</v>
      </c>
      <c r="AD92" s="63" t="s">
        <v>1081</v>
      </c>
      <c r="AE92" s="63" t="s">
        <v>807</v>
      </c>
      <c r="AW92" s="63" t="s">
        <v>1169</v>
      </c>
      <c r="AX92" s="400" t="s">
        <v>1244</v>
      </c>
    </row>
    <row r="93" spans="10:50" ht="13.5">
      <c r="J93" s="63" t="s">
        <v>533</v>
      </c>
      <c r="P93" s="63" t="s">
        <v>666</v>
      </c>
      <c r="W93" s="63" t="s">
        <v>863</v>
      </c>
      <c r="X93" s="63" t="s">
        <v>902</v>
      </c>
      <c r="Y93" s="63" t="s">
        <v>943</v>
      </c>
      <c r="Z93" s="63" t="s">
        <v>971</v>
      </c>
      <c r="AA93" s="63" t="s">
        <v>999</v>
      </c>
      <c r="AB93" s="63" t="s">
        <v>1027</v>
      </c>
      <c r="AC93" s="63" t="s">
        <v>1054</v>
      </c>
      <c r="AD93" s="63" t="s">
        <v>1082</v>
      </c>
      <c r="AE93" s="63" t="s">
        <v>808</v>
      </c>
      <c r="AW93" s="63" t="s">
        <v>1170</v>
      </c>
      <c r="AX93" s="400" t="s">
        <v>1247</v>
      </c>
    </row>
    <row r="94" spans="10:50" ht="13.5">
      <c r="J94" s="63" t="s">
        <v>534</v>
      </c>
      <c r="P94" s="63" t="s">
        <v>667</v>
      </c>
      <c r="W94" s="63" t="s">
        <v>864</v>
      </c>
      <c r="X94" s="63" t="s">
        <v>903</v>
      </c>
      <c r="Y94" s="63" t="s">
        <v>945</v>
      </c>
      <c r="Z94" s="63" t="s">
        <v>972</v>
      </c>
      <c r="AA94" s="63" t="s">
        <v>1000</v>
      </c>
      <c r="AB94" s="63" t="s">
        <v>1028</v>
      </c>
      <c r="AC94" s="63" t="s">
        <v>1055</v>
      </c>
      <c r="AD94" s="63" t="s">
        <v>1083</v>
      </c>
      <c r="AE94" s="63" t="s">
        <v>809</v>
      </c>
      <c r="AW94" s="63" t="s">
        <v>1171</v>
      </c>
      <c r="AX94" s="400" t="s">
        <v>1249</v>
      </c>
    </row>
    <row r="95" spans="16:50" ht="13.5">
      <c r="P95" s="63" t="s">
        <v>668</v>
      </c>
      <c r="W95" s="63" t="s">
        <v>865</v>
      </c>
      <c r="X95" s="63" t="s">
        <v>904</v>
      </c>
      <c r="Y95" s="63" t="s">
        <v>946</v>
      </c>
      <c r="Z95" s="63" t="s">
        <v>974</v>
      </c>
      <c r="AA95" s="63" t="s">
        <v>1002</v>
      </c>
      <c r="AB95" s="63" t="s">
        <v>1029</v>
      </c>
      <c r="AC95" s="63" t="s">
        <v>1056</v>
      </c>
      <c r="AD95" s="63" t="s">
        <v>1084</v>
      </c>
      <c r="AE95" s="63" t="s">
        <v>810</v>
      </c>
      <c r="AW95" s="63" t="s">
        <v>1172</v>
      </c>
      <c r="AX95" s="400" t="s">
        <v>1251</v>
      </c>
    </row>
    <row r="96" spans="16:50" ht="13.5">
      <c r="P96" s="63" t="s">
        <v>669</v>
      </c>
      <c r="W96" s="63" t="s">
        <v>866</v>
      </c>
      <c r="X96" s="63" t="s">
        <v>905</v>
      </c>
      <c r="Y96" s="63" t="s">
        <v>947</v>
      </c>
      <c r="Z96" s="63" t="s">
        <v>975</v>
      </c>
      <c r="AA96" s="63" t="s">
        <v>1003</v>
      </c>
      <c r="AB96" s="63" t="s">
        <v>1030</v>
      </c>
      <c r="AC96" s="63" t="s">
        <v>1057</v>
      </c>
      <c r="AD96" s="63" t="s">
        <v>1085</v>
      </c>
      <c r="AE96" s="63" t="s">
        <v>813</v>
      </c>
      <c r="AW96" s="63" t="s">
        <v>1173</v>
      </c>
      <c r="AX96" s="400" t="s">
        <v>1253</v>
      </c>
    </row>
    <row r="97" spans="16:50" ht="13.5">
      <c r="P97" s="63" t="s">
        <v>670</v>
      </c>
      <c r="W97" s="63" t="s">
        <v>867</v>
      </c>
      <c r="X97" s="63" t="s">
        <v>906</v>
      </c>
      <c r="AE97" s="63" t="s">
        <v>814</v>
      </c>
      <c r="AW97" s="63" t="s">
        <v>1174</v>
      </c>
      <c r="AX97" s="400" t="s">
        <v>1254</v>
      </c>
    </row>
    <row r="98" spans="16:50" ht="13.5">
      <c r="P98" s="63" t="s">
        <v>671</v>
      </c>
      <c r="W98" s="63" t="s">
        <v>868</v>
      </c>
      <c r="X98" s="63" t="s">
        <v>907</v>
      </c>
      <c r="AE98" s="63" t="s">
        <v>815</v>
      </c>
      <c r="AW98" s="63" t="s">
        <v>1175</v>
      </c>
      <c r="AX98" s="400" t="s">
        <v>1255</v>
      </c>
    </row>
    <row r="99" spans="16:50" ht="13.5">
      <c r="P99" s="63" t="s">
        <v>672</v>
      </c>
      <c r="W99" s="63" t="s">
        <v>869</v>
      </c>
      <c r="X99" s="63" t="s">
        <v>908</v>
      </c>
      <c r="AE99" s="63" t="s">
        <v>816</v>
      </c>
      <c r="AW99" s="63" t="s">
        <v>1176</v>
      </c>
      <c r="AX99" s="400" t="s">
        <v>1256</v>
      </c>
    </row>
    <row r="100" spans="16:50" ht="13.5">
      <c r="P100" s="63" t="s">
        <v>673</v>
      </c>
      <c r="W100" s="63" t="s">
        <v>870</v>
      </c>
      <c r="X100" s="63" t="s">
        <v>909</v>
      </c>
      <c r="AE100" s="63" t="s">
        <v>817</v>
      </c>
      <c r="AW100" s="63" t="s">
        <v>1177</v>
      </c>
      <c r="AX100" s="400" t="s">
        <v>1257</v>
      </c>
    </row>
    <row r="101" spans="16:50" ht="13.5">
      <c r="P101" s="63" t="s">
        <v>674</v>
      </c>
      <c r="W101" s="63" t="s">
        <v>872</v>
      </c>
      <c r="X101" s="63" t="s">
        <v>911</v>
      </c>
      <c r="AE101" s="63" t="s">
        <v>818</v>
      </c>
      <c r="AW101" s="63" t="s">
        <v>1178</v>
      </c>
      <c r="AX101" s="400" t="s">
        <v>1258</v>
      </c>
    </row>
    <row r="102" spans="10:50" ht="13.5">
      <c r="J102" s="400"/>
      <c r="K102" s="63"/>
      <c r="W102" s="63" t="s">
        <v>873</v>
      </c>
      <c r="X102" s="63" t="s">
        <v>912</v>
      </c>
      <c r="AE102" s="63" t="s">
        <v>819</v>
      </c>
      <c r="AW102" s="63" t="s">
        <v>1179</v>
      </c>
      <c r="AX102" s="400" t="s">
        <v>1259</v>
      </c>
    </row>
    <row r="103" spans="10:50" ht="13.5">
      <c r="J103" s="400"/>
      <c r="K103" s="63"/>
      <c r="W103" s="63" t="s">
        <v>874</v>
      </c>
      <c r="X103" s="63" t="s">
        <v>914</v>
      </c>
      <c r="AE103" s="63" t="s">
        <v>820</v>
      </c>
      <c r="AW103" s="63" t="s">
        <v>1180</v>
      </c>
      <c r="AX103" s="400" t="s">
        <v>1260</v>
      </c>
    </row>
    <row r="104" spans="23:50" ht="13.5">
      <c r="W104" s="63" t="s">
        <v>875</v>
      </c>
      <c r="X104" s="63" t="s">
        <v>916</v>
      </c>
      <c r="AW104" s="63" t="s">
        <v>1181</v>
      </c>
      <c r="AX104" s="400" t="s">
        <v>1261</v>
      </c>
    </row>
    <row r="105" spans="23:50" ht="13.5">
      <c r="W105" s="63" t="s">
        <v>876</v>
      </c>
      <c r="X105" s="63" t="s">
        <v>917</v>
      </c>
      <c r="AW105" s="63" t="s">
        <v>1182</v>
      </c>
      <c r="AX105" s="400" t="s">
        <v>1262</v>
      </c>
    </row>
    <row r="106" spans="23:50" ht="13.5">
      <c r="W106" s="63" t="s">
        <v>877</v>
      </c>
      <c r="X106" s="63" t="s">
        <v>918</v>
      </c>
      <c r="AW106" s="63" t="s">
        <v>1183</v>
      </c>
      <c r="AX106" s="400" t="s">
        <v>1263</v>
      </c>
    </row>
    <row r="107" spans="23:50" ht="13.5">
      <c r="W107" s="63" t="s">
        <v>878</v>
      </c>
      <c r="X107" s="63" t="s">
        <v>919</v>
      </c>
      <c r="AW107" s="63" t="s">
        <v>1185</v>
      </c>
      <c r="AX107" s="400" t="s">
        <v>1264</v>
      </c>
    </row>
    <row r="108" spans="49:50" ht="13.5">
      <c r="AW108" s="63" t="s">
        <v>1186</v>
      </c>
      <c r="AX108" s="400" t="s">
        <v>1265</v>
      </c>
    </row>
    <row r="109" spans="1:50" ht="13.5">
      <c r="A109" s="521" t="s">
        <v>2296</v>
      </c>
      <c r="B109" s="469"/>
      <c r="C109" s="469"/>
      <c r="D109" s="469"/>
      <c r="E109" s="469"/>
      <c r="F109" s="469"/>
      <c r="G109" s="469"/>
      <c r="H109" s="469"/>
      <c r="I109" s="469"/>
      <c r="J109" s="469"/>
      <c r="K109" s="469"/>
      <c r="L109" s="469"/>
      <c r="M109" s="469"/>
      <c r="N109" s="469"/>
      <c r="O109" s="469"/>
      <c r="P109" s="469"/>
      <c r="Q109" s="469"/>
      <c r="R109" s="469"/>
      <c r="S109" s="469"/>
      <c r="T109" s="469"/>
      <c r="U109" s="469"/>
      <c r="V109" s="469"/>
      <c r="W109" s="469"/>
      <c r="X109" s="469"/>
      <c r="AW109" s="63" t="s">
        <v>1187</v>
      </c>
      <c r="AX109" s="400" t="s">
        <v>1268</v>
      </c>
    </row>
    <row r="110" spans="2:50" ht="13.5">
      <c r="B110" s="516" t="s">
        <v>2297</v>
      </c>
      <c r="C110" s="516" t="s">
        <v>2298</v>
      </c>
      <c r="D110" s="516" t="s">
        <v>2299</v>
      </c>
      <c r="E110" s="516" t="s">
        <v>2300</v>
      </c>
      <c r="F110" s="516" t="s">
        <v>2301</v>
      </c>
      <c r="G110" s="516" t="s">
        <v>2302</v>
      </c>
      <c r="H110" s="516" t="s">
        <v>466</v>
      </c>
      <c r="I110" s="519" t="s">
        <v>1086</v>
      </c>
      <c r="J110" s="519" t="s">
        <v>1091</v>
      </c>
      <c r="K110" s="519" t="s">
        <v>1094</v>
      </c>
      <c r="L110" s="519" t="s">
        <v>1097</v>
      </c>
      <c r="M110" s="519" t="s">
        <v>1101</v>
      </c>
      <c r="N110" s="519" t="s">
        <v>1104</v>
      </c>
      <c r="O110" s="519" t="s">
        <v>1107</v>
      </c>
      <c r="P110" s="519" t="s">
        <v>1111</v>
      </c>
      <c r="Q110" s="519" t="s">
        <v>1114</v>
      </c>
      <c r="R110" s="519" t="s">
        <v>1117</v>
      </c>
      <c r="S110" s="519" t="s">
        <v>1121</v>
      </c>
      <c r="T110" s="519" t="s">
        <v>1124</v>
      </c>
      <c r="U110" s="519" t="s">
        <v>1127</v>
      </c>
      <c r="V110" s="519" t="s">
        <v>1132</v>
      </c>
      <c r="W110" s="519" t="s">
        <v>1135</v>
      </c>
      <c r="X110" s="519" t="s">
        <v>1138</v>
      </c>
      <c r="AW110" s="63" t="s">
        <v>1188</v>
      </c>
      <c r="AX110" s="400" t="s">
        <v>1270</v>
      </c>
    </row>
    <row r="111" spans="1:50" ht="13.5">
      <c r="A111" s="400"/>
      <c r="B111" s="400"/>
      <c r="C111" s="400"/>
      <c r="D111" s="400"/>
      <c r="F111" s="400"/>
      <c r="G111" s="400"/>
      <c r="I111" s="400"/>
      <c r="J111" s="400"/>
      <c r="L111" s="400"/>
      <c r="M111" s="400"/>
      <c r="N111" s="400"/>
      <c r="O111" s="400"/>
      <c r="P111" s="400"/>
      <c r="Q111" s="400"/>
      <c r="R111" s="400"/>
      <c r="S111" s="400"/>
      <c r="U111" s="400"/>
      <c r="V111" s="400"/>
      <c r="W111" s="400"/>
      <c r="X111" s="400"/>
      <c r="AW111" s="63" t="s">
        <v>1189</v>
      </c>
      <c r="AX111" s="400" t="s">
        <v>1272</v>
      </c>
    </row>
    <row r="112" spans="2:50" ht="13.5">
      <c r="B112" s="63" t="s">
        <v>410</v>
      </c>
      <c r="C112" s="63" t="s">
        <v>430</v>
      </c>
      <c r="D112" s="63" t="s">
        <v>437</v>
      </c>
      <c r="E112" s="63" t="s">
        <v>445</v>
      </c>
      <c r="F112" s="63" t="s">
        <v>456</v>
      </c>
      <c r="G112" s="63" t="s">
        <v>464</v>
      </c>
      <c r="K112" s="63"/>
      <c r="AW112" s="63" t="s">
        <v>1190</v>
      </c>
      <c r="AX112" s="400" t="s">
        <v>1274</v>
      </c>
    </row>
    <row r="113" spans="2:50" s="63" customFormat="1" ht="11.25">
      <c r="B113" s="63" t="s">
        <v>426</v>
      </c>
      <c r="C113" s="63" t="s">
        <v>433</v>
      </c>
      <c r="D113" s="63" t="s">
        <v>439</v>
      </c>
      <c r="E113" s="63" t="s">
        <v>448</v>
      </c>
      <c r="F113" s="63" t="s">
        <v>457</v>
      </c>
      <c r="G113" s="63" t="s">
        <v>465</v>
      </c>
      <c r="H113" s="215"/>
      <c r="AW113" s="63" t="s">
        <v>1191</v>
      </c>
      <c r="AX113" s="400" t="s">
        <v>1276</v>
      </c>
    </row>
    <row r="114" spans="3:50" s="63" customFormat="1" ht="11.25">
      <c r="C114" s="63" t="s">
        <v>434</v>
      </c>
      <c r="D114" s="63" t="s">
        <v>440</v>
      </c>
      <c r="E114" s="63" t="s">
        <v>449</v>
      </c>
      <c r="F114" s="400"/>
      <c r="H114" s="215"/>
      <c r="AW114" s="63" t="s">
        <v>1192</v>
      </c>
      <c r="AX114" s="400" t="s">
        <v>1277</v>
      </c>
    </row>
    <row r="115" spans="4:50" s="63" customFormat="1" ht="11.25">
      <c r="D115" s="63" t="s">
        <v>442</v>
      </c>
      <c r="E115" s="63" t="s">
        <v>450</v>
      </c>
      <c r="F115" s="400"/>
      <c r="H115" s="215"/>
      <c r="AW115" s="63" t="s">
        <v>1193</v>
      </c>
      <c r="AX115" s="400" t="s">
        <v>1278</v>
      </c>
    </row>
    <row r="116" spans="4:50" s="63" customFormat="1" ht="11.25">
      <c r="D116" s="63" t="s">
        <v>443</v>
      </c>
      <c r="E116" s="63" t="s">
        <v>452</v>
      </c>
      <c r="F116" s="400"/>
      <c r="H116" s="215"/>
      <c r="AW116" s="63" t="s">
        <v>1194</v>
      </c>
      <c r="AX116" s="400" t="s">
        <v>1280</v>
      </c>
    </row>
    <row r="117" spans="6:50" s="63" customFormat="1" ht="11.25">
      <c r="F117" s="400"/>
      <c r="H117" s="215"/>
      <c r="AW117" s="63" t="s">
        <v>1195</v>
      </c>
      <c r="AX117" s="400" t="s">
        <v>1282</v>
      </c>
    </row>
    <row r="118" spans="6:50" s="63" customFormat="1" ht="11.25">
      <c r="F118" s="400"/>
      <c r="H118" s="215"/>
      <c r="AW118" s="63" t="s">
        <v>1196</v>
      </c>
      <c r="AX118" s="400" t="s">
        <v>1284</v>
      </c>
    </row>
    <row r="119" spans="6:50" s="63" customFormat="1" ht="11.25">
      <c r="F119" s="400"/>
      <c r="H119" s="215"/>
      <c r="AW119" s="63" t="s">
        <v>1197</v>
      </c>
      <c r="AX119" s="400" t="s">
        <v>1286</v>
      </c>
    </row>
    <row r="120" spans="8:50" s="63" customFormat="1" ht="11.25">
      <c r="H120" s="400"/>
      <c r="AW120" s="63" t="s">
        <v>1198</v>
      </c>
      <c r="AX120" s="400" t="s">
        <v>1288</v>
      </c>
    </row>
    <row r="121" spans="5:50" ht="13.5">
      <c r="E121" s="63"/>
      <c r="AW121" s="63" t="s">
        <v>1199</v>
      </c>
      <c r="AX121" s="400" t="s">
        <v>1290</v>
      </c>
    </row>
    <row r="122" spans="5:50" ht="13.5">
      <c r="E122" s="63"/>
      <c r="AX122" s="400" t="s">
        <v>1293</v>
      </c>
    </row>
    <row r="123" ht="13.5">
      <c r="AX123" s="400" t="s">
        <v>1295</v>
      </c>
    </row>
    <row r="124" ht="13.5">
      <c r="AX124" s="400" t="s">
        <v>1297</v>
      </c>
    </row>
    <row r="125" ht="13.5">
      <c r="AX125" s="400" t="s">
        <v>1299</v>
      </c>
    </row>
    <row r="126" ht="13.5">
      <c r="AX126" s="400" t="s">
        <v>1302</v>
      </c>
    </row>
    <row r="127" ht="13.5">
      <c r="AX127" s="400" t="s">
        <v>1304</v>
      </c>
    </row>
    <row r="128" ht="13.5">
      <c r="AX128" s="400" t="s">
        <v>1306</v>
      </c>
    </row>
    <row r="129" ht="13.5">
      <c r="AX129" s="400" t="s">
        <v>1309</v>
      </c>
    </row>
    <row r="130" ht="13.5">
      <c r="AX130" s="400" t="s">
        <v>1311</v>
      </c>
    </row>
    <row r="131" ht="13.5">
      <c r="AX131" s="215" t="s">
        <v>1312</v>
      </c>
    </row>
    <row r="132" ht="13.5">
      <c r="AX132" s="215" t="s">
        <v>1314</v>
      </c>
    </row>
    <row r="133" ht="13.5">
      <c r="AX133" s="215" t="s">
        <v>1316</v>
      </c>
    </row>
    <row r="134" ht="13.5">
      <c r="AX134" s="215" t="s">
        <v>1318</v>
      </c>
    </row>
    <row r="135" spans="5:50" ht="13.5">
      <c r="E135" s="63"/>
      <c r="AX135" s="215" t="s">
        <v>1320</v>
      </c>
    </row>
    <row r="136" spans="5:50" ht="13.5">
      <c r="E136" s="63"/>
      <c r="AX136" s="215" t="s">
        <v>1322</v>
      </c>
    </row>
    <row r="137" spans="5:50" ht="13.5">
      <c r="E137" s="63"/>
      <c r="AX137" s="215" t="s">
        <v>1324</v>
      </c>
    </row>
    <row r="138" spans="5:50" ht="13.5">
      <c r="E138" s="63"/>
      <c r="AX138" s="400" t="s">
        <v>1326</v>
      </c>
    </row>
    <row r="139" spans="5:50" ht="13.5">
      <c r="E139" s="63"/>
      <c r="AX139" s="400" t="s">
        <v>1328</v>
      </c>
    </row>
    <row r="140" spans="5:50" ht="13.5">
      <c r="E140" s="63"/>
      <c r="AX140" s="63" t="s">
        <v>1330</v>
      </c>
    </row>
    <row r="141" spans="5:50" ht="13.5">
      <c r="E141" s="63"/>
      <c r="AX141" s="63" t="s">
        <v>1332</v>
      </c>
    </row>
    <row r="142" ht="13.5">
      <c r="AX142" s="63" t="s">
        <v>1333</v>
      </c>
    </row>
    <row r="143" ht="13.5">
      <c r="AX143" s="63" t="s">
        <v>1334</v>
      </c>
    </row>
    <row r="144" ht="13.5">
      <c r="AX144" s="63" t="s">
        <v>1335</v>
      </c>
    </row>
    <row r="145" ht="13.5">
      <c r="AX145" s="63" t="s">
        <v>1336</v>
      </c>
    </row>
    <row r="146" ht="13.5">
      <c r="AX146" s="400" t="s">
        <v>1337</v>
      </c>
    </row>
    <row r="147" ht="13.5">
      <c r="AX147" s="400" t="s">
        <v>1338</v>
      </c>
    </row>
    <row r="148" ht="13.5">
      <c r="AX148" s="400" t="s">
        <v>1340</v>
      </c>
    </row>
    <row r="149" ht="13.5">
      <c r="AX149" s="400" t="s">
        <v>1341</v>
      </c>
    </row>
    <row r="150" ht="13.5">
      <c r="AX150" s="400" t="s">
        <v>1343</v>
      </c>
    </row>
  </sheetData>
  <mergeCells count="6">
    <mergeCell ref="P1:T1"/>
    <mergeCell ref="P2:P3"/>
    <mergeCell ref="P6:P7"/>
    <mergeCell ref="P9:P10"/>
    <mergeCell ref="P14:P15"/>
    <mergeCell ref="P17:P18"/>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Sheet3"/>
  <dimension ref="A1:T41"/>
  <sheetViews>
    <sheetView workbookViewId="0" topLeftCell="A16">
      <selection activeCell="J30" sqref="J30"/>
    </sheetView>
  </sheetViews>
  <sheetFormatPr defaultColWidth="9.00390625" defaultRowHeight="13.5"/>
  <cols>
    <col min="1" max="1" width="4.25390625" style="11" customWidth="1"/>
    <col min="2" max="2" width="6.75390625" style="11" customWidth="1"/>
    <col min="3" max="3" width="3.00390625" style="11" customWidth="1"/>
    <col min="4" max="4" width="10.50390625" style="11" customWidth="1"/>
    <col min="5" max="5" width="1.4921875" style="11" customWidth="1"/>
    <col min="6" max="6" width="6.375" style="11" customWidth="1"/>
    <col min="7" max="7" width="2.375" style="11" customWidth="1"/>
    <col min="8" max="8" width="6.00390625" style="11" customWidth="1"/>
    <col min="9" max="9" width="2.00390625" style="11" customWidth="1"/>
    <col min="10" max="10" width="8.75390625" style="11" customWidth="1"/>
    <col min="11" max="11" width="3.25390625" style="11" customWidth="1"/>
    <col min="12" max="12" width="6.00390625" style="11" customWidth="1"/>
    <col min="13" max="13" width="1.37890625" style="11" customWidth="1"/>
    <col min="14" max="14" width="5.25390625" style="11" customWidth="1"/>
    <col min="15" max="15" width="1.4921875" style="11" customWidth="1"/>
    <col min="16" max="16" width="6.375" style="11" customWidth="1"/>
    <col min="17" max="17" width="2.00390625" style="11" customWidth="1"/>
    <col min="18" max="18" width="5.875" style="11" customWidth="1"/>
    <col min="19" max="19" width="2.00390625" style="11" customWidth="1"/>
    <col min="20" max="20" width="6.00390625" style="11" customWidth="1"/>
    <col min="21" max="16384" width="9.00390625" style="11" customWidth="1"/>
  </cols>
  <sheetData>
    <row r="1" spans="1:20" s="13" customFormat="1" ht="12">
      <c r="A1" s="12" t="s">
        <v>19</v>
      </c>
      <c r="B1" s="12"/>
      <c r="C1" s="12"/>
      <c r="D1" s="12"/>
      <c r="E1" s="12"/>
      <c r="F1" s="12"/>
      <c r="G1" s="12"/>
      <c r="H1" s="12"/>
      <c r="I1" s="12"/>
      <c r="J1" s="12"/>
      <c r="K1" s="12"/>
      <c r="L1" s="12"/>
      <c r="M1" s="12"/>
      <c r="N1" s="12"/>
      <c r="O1" s="12"/>
      <c r="P1" s="12"/>
      <c r="Q1" s="12"/>
      <c r="R1" s="12"/>
      <c r="S1" s="12"/>
      <c r="T1" s="12"/>
    </row>
    <row r="3" spans="1:10" ht="13.5">
      <c r="A3" s="14" t="s">
        <v>20</v>
      </c>
      <c r="J3" s="14" t="s">
        <v>21</v>
      </c>
    </row>
    <row r="4" spans="2:19" ht="13.5">
      <c r="B4" s="15" t="s">
        <v>22</v>
      </c>
      <c r="C4" s="15"/>
      <c r="D4" s="16" t="s">
        <v>23</v>
      </c>
      <c r="E4" s="16"/>
      <c r="F4" s="16"/>
      <c r="G4" s="16"/>
      <c r="L4" s="17" t="s">
        <v>24</v>
      </c>
      <c r="M4" s="18" t="s">
        <v>25</v>
      </c>
      <c r="N4" s="18"/>
      <c r="O4" s="18"/>
      <c r="P4" s="18"/>
      <c r="Q4" s="18"/>
      <c r="S4" s="19"/>
    </row>
    <row r="5" spans="2:19" ht="11.25">
      <c r="B5" s="20" t="s">
        <v>26</v>
      </c>
      <c r="C5" s="20"/>
      <c r="D5" s="21" t="s">
        <v>27</v>
      </c>
      <c r="E5" s="21"/>
      <c r="F5" s="21"/>
      <c r="G5" s="21"/>
      <c r="H5" s="19"/>
      <c r="I5" s="19"/>
      <c r="J5" s="19"/>
      <c r="K5" s="19"/>
      <c r="L5" s="19"/>
      <c r="M5" s="19"/>
      <c r="O5" s="19"/>
      <c r="Q5" s="19"/>
      <c r="S5" s="19"/>
    </row>
    <row r="6" ht="11.25"/>
    <row r="7" spans="1:4" ht="11.25">
      <c r="A7" s="14" t="s">
        <v>28</v>
      </c>
      <c r="D7" s="22" t="str">
        <f>IF(SUM(F10:F16)=5,"",IF(SUM(F10:F16)=0,"ボーナス(5点)を入力してください","ボーナスの合計が5点ではありません"))</f>
        <v>ボーナスの合計が5点ではありません</v>
      </c>
    </row>
    <row r="8" spans="2:20" ht="11.25">
      <c r="B8" s="23"/>
      <c r="C8" s="24"/>
      <c r="D8" s="25" t="s">
        <v>29</v>
      </c>
      <c r="E8" s="24"/>
      <c r="F8" s="25" t="s">
        <v>30</v>
      </c>
      <c r="G8" s="24"/>
      <c r="H8" s="25" t="s">
        <v>31</v>
      </c>
      <c r="I8" s="24"/>
      <c r="J8" s="25" t="s">
        <v>32</v>
      </c>
      <c r="K8" s="24"/>
      <c r="L8" s="25" t="s">
        <v>33</v>
      </c>
      <c r="M8" s="24"/>
      <c r="N8" s="25" t="s">
        <v>34</v>
      </c>
      <c r="O8" s="24"/>
      <c r="P8" s="25" t="s">
        <v>35</v>
      </c>
      <c r="Q8" s="24"/>
      <c r="R8" s="25" t="s">
        <v>31</v>
      </c>
      <c r="S8" s="24"/>
      <c r="T8" s="26" t="s">
        <v>36</v>
      </c>
    </row>
    <row r="9" spans="2:20" ht="11.25">
      <c r="B9" s="27"/>
      <c r="C9" s="28"/>
      <c r="D9" s="29" t="s">
        <v>37</v>
      </c>
      <c r="E9" s="28"/>
      <c r="F9" s="29" t="s">
        <v>38</v>
      </c>
      <c r="G9" s="28"/>
      <c r="H9" s="29" t="s">
        <v>39</v>
      </c>
      <c r="I9" s="28"/>
      <c r="J9" s="29" t="s">
        <v>37</v>
      </c>
      <c r="K9" s="28"/>
      <c r="L9" s="29" t="s">
        <v>30</v>
      </c>
      <c r="M9" s="28"/>
      <c r="N9" s="29" t="s">
        <v>39</v>
      </c>
      <c r="O9" s="28"/>
      <c r="P9" s="29" t="s">
        <v>39</v>
      </c>
      <c r="Q9" s="28"/>
      <c r="R9" s="29" t="s">
        <v>39</v>
      </c>
      <c r="S9" s="28"/>
      <c r="T9" s="26"/>
    </row>
    <row r="10" spans="2:20" ht="13.5">
      <c r="B10" s="30" t="s">
        <v>40</v>
      </c>
      <c r="C10" s="30"/>
      <c r="D10" s="31">
        <f>VLOOKUP($M$4,リファレンス!$A$28:$H$33,2,0)</f>
        <v>8</v>
      </c>
      <c r="E10" s="31" t="s">
        <v>41</v>
      </c>
      <c r="F10" s="32">
        <v>2</v>
      </c>
      <c r="G10" s="31" t="s">
        <v>41</v>
      </c>
      <c r="H10" s="33">
        <f>IF(C36="騎士",3,0)</f>
        <v>0</v>
      </c>
      <c r="I10" s="31" t="s">
        <v>42</v>
      </c>
      <c r="J10" s="33">
        <f>D10+F10+H10</f>
        <v>10</v>
      </c>
      <c r="K10" s="31" t="s">
        <v>43</v>
      </c>
      <c r="L10" s="31">
        <f aca="true" t="shared" si="0" ref="L10:L16">INT(J10/3)</f>
        <v>3</v>
      </c>
      <c r="M10" s="31" t="s">
        <v>41</v>
      </c>
      <c r="N10" s="31">
        <f>VLOOKUP(D4,リファレンス!B:M,2,0)</f>
        <v>1</v>
      </c>
      <c r="O10" s="31" t="s">
        <v>41</v>
      </c>
      <c r="P10" s="31">
        <f>VLOOKUP(D5,リファレンス!B:M,2,0)</f>
        <v>1</v>
      </c>
      <c r="Q10" s="31" t="s">
        <v>41</v>
      </c>
      <c r="R10" s="33">
        <f>COUNTIF(AR_SHEET_スキル,"オールラウンド：筋力")</f>
        <v>0</v>
      </c>
      <c r="S10" s="31"/>
      <c r="T10" s="34">
        <f aca="true" t="shared" si="1" ref="T10:T16">L10+N10+P10+R10</f>
        <v>5</v>
      </c>
    </row>
    <row r="11" spans="2:20" ht="13.5">
      <c r="B11" s="30" t="s">
        <v>44</v>
      </c>
      <c r="C11" s="30"/>
      <c r="D11" s="31">
        <f>VLOOKUP($M$4,リファレンス!$A$28:$H$33,3,0)</f>
        <v>7</v>
      </c>
      <c r="E11" s="31" t="s">
        <v>41</v>
      </c>
      <c r="F11" s="32">
        <v>2</v>
      </c>
      <c r="G11" s="31" t="s">
        <v>41</v>
      </c>
      <c r="H11" s="33">
        <f>IF(C36="天涯孤独",3,0)</f>
        <v>0</v>
      </c>
      <c r="I11" s="31" t="s">
        <v>42</v>
      </c>
      <c r="J11" s="33">
        <f aca="true" t="shared" si="2" ref="J11:J16">D11+F11+H11</f>
        <v>9</v>
      </c>
      <c r="K11" s="31" t="s">
        <v>43</v>
      </c>
      <c r="L11" s="31">
        <f t="shared" si="0"/>
        <v>3</v>
      </c>
      <c r="M11" s="31" t="s">
        <v>41</v>
      </c>
      <c r="N11" s="31">
        <f>VLOOKUP(D4,リファレンス!B:M,3,0)</f>
        <v>1</v>
      </c>
      <c r="O11" s="31" t="s">
        <v>41</v>
      </c>
      <c r="P11" s="31">
        <f>VLOOKUP(D5,リファレンス!B:M,3,0)</f>
        <v>1</v>
      </c>
      <c r="Q11" s="31" t="s">
        <v>41</v>
      </c>
      <c r="R11" s="33">
        <f>COUNTIF(AR_SHEET_スキル,"オールラウンド：器用")</f>
        <v>0</v>
      </c>
      <c r="S11" s="31" t="s">
        <v>42</v>
      </c>
      <c r="T11" s="34">
        <f t="shared" si="1"/>
        <v>5</v>
      </c>
    </row>
    <row r="12" spans="2:20" ht="13.5">
      <c r="B12" s="30" t="s">
        <v>45</v>
      </c>
      <c r="C12" s="30"/>
      <c r="D12" s="31">
        <f>VLOOKUP($M$4,リファレンス!$A$28:$H$33,4,0)</f>
        <v>12</v>
      </c>
      <c r="E12" s="31" t="s">
        <v>41</v>
      </c>
      <c r="F12" s="32"/>
      <c r="G12" s="31" t="s">
        <v>41</v>
      </c>
      <c r="H12" s="33">
        <f>IF(C36="闇の一族",3,0)</f>
        <v>0</v>
      </c>
      <c r="I12" s="31" t="s">
        <v>42</v>
      </c>
      <c r="J12" s="33">
        <f t="shared" si="2"/>
        <v>12</v>
      </c>
      <c r="K12" s="31" t="s">
        <v>43</v>
      </c>
      <c r="L12" s="31">
        <f t="shared" si="0"/>
        <v>4</v>
      </c>
      <c r="M12" s="31" t="s">
        <v>41</v>
      </c>
      <c r="N12" s="31">
        <f>VLOOKUP(D4,リファレンス!B:M,4,0)</f>
        <v>1</v>
      </c>
      <c r="O12" s="31" t="s">
        <v>41</v>
      </c>
      <c r="P12" s="31">
        <f>VLOOKUP(D5,リファレンス!B:M,4,0)</f>
        <v>0</v>
      </c>
      <c r="Q12" s="31" t="s">
        <v>41</v>
      </c>
      <c r="R12" s="33">
        <f>COUNTIF(AR_SHEET_スキル,"オールラウンド：敏捷")</f>
        <v>0</v>
      </c>
      <c r="S12" s="31" t="s">
        <v>42</v>
      </c>
      <c r="T12" s="34">
        <f t="shared" si="1"/>
        <v>5</v>
      </c>
    </row>
    <row r="13" spans="2:20" ht="13.5">
      <c r="B13" s="30" t="s">
        <v>46</v>
      </c>
      <c r="C13" s="30"/>
      <c r="D13" s="31">
        <f>VLOOKUP($M$4,リファレンス!$A$28:$H$33,5,0)</f>
        <v>6</v>
      </c>
      <c r="E13" s="31" t="s">
        <v>41</v>
      </c>
      <c r="F13" s="32">
        <v>2</v>
      </c>
      <c r="G13" s="31" t="s">
        <v>41</v>
      </c>
      <c r="H13" s="33">
        <f>IF(C36="魔術師",3,0)+COUNTIF(AR_SHEET_スキル,"マジックセンス")*3</f>
        <v>0</v>
      </c>
      <c r="I13" s="31" t="s">
        <v>42</v>
      </c>
      <c r="J13" s="33">
        <f t="shared" si="2"/>
        <v>8</v>
      </c>
      <c r="K13" s="31" t="s">
        <v>43</v>
      </c>
      <c r="L13" s="31">
        <f t="shared" si="0"/>
        <v>2</v>
      </c>
      <c r="M13" s="31" t="s">
        <v>41</v>
      </c>
      <c r="N13" s="31">
        <f>VLOOKUP(D4,リファレンス!B:M,5,0)</f>
        <v>0</v>
      </c>
      <c r="O13" s="31" t="s">
        <v>41</v>
      </c>
      <c r="P13" s="31">
        <f>VLOOKUP(D5,リファレンス!B:M,5,0)</f>
        <v>0</v>
      </c>
      <c r="Q13" s="31" t="s">
        <v>41</v>
      </c>
      <c r="R13" s="33">
        <f>COUNTIF(AR_SHEET_スキル,"オールラウンド：知力")</f>
        <v>0</v>
      </c>
      <c r="S13" s="31" t="s">
        <v>42</v>
      </c>
      <c r="T13" s="34">
        <f t="shared" si="1"/>
        <v>2</v>
      </c>
    </row>
    <row r="14" spans="2:20" ht="13.5">
      <c r="B14" s="30" t="s">
        <v>47</v>
      </c>
      <c r="C14" s="30"/>
      <c r="D14" s="31">
        <f>VLOOKUP($M$4,リファレンス!$A$28:$H$33,6,0)</f>
        <v>10</v>
      </c>
      <c r="E14" s="31" t="s">
        <v>41</v>
      </c>
      <c r="F14" s="32">
        <v>1</v>
      </c>
      <c r="G14" s="31" t="s">
        <v>41</v>
      </c>
      <c r="H14" s="33">
        <f>IF(C36="傭兵",3,0)</f>
        <v>0</v>
      </c>
      <c r="I14" s="31" t="s">
        <v>42</v>
      </c>
      <c r="J14" s="33">
        <f t="shared" si="2"/>
        <v>11</v>
      </c>
      <c r="K14" s="31" t="s">
        <v>43</v>
      </c>
      <c r="L14" s="31">
        <f t="shared" si="0"/>
        <v>3</v>
      </c>
      <c r="M14" s="31" t="s">
        <v>41</v>
      </c>
      <c r="N14" s="31">
        <f>VLOOKUP(D4,リファレンス!B:M,6,0)</f>
        <v>0</v>
      </c>
      <c r="O14" s="31" t="s">
        <v>41</v>
      </c>
      <c r="P14" s="31">
        <f>VLOOKUP(D5,リファレンス!B:M,6,0)</f>
        <v>0</v>
      </c>
      <c r="Q14" s="31" t="s">
        <v>41</v>
      </c>
      <c r="R14" s="33">
        <f>COUNTIF(AR_SHEET_スキル,"オールラウンド：感知")</f>
        <v>0</v>
      </c>
      <c r="S14" s="31" t="s">
        <v>42</v>
      </c>
      <c r="T14" s="34">
        <f t="shared" si="1"/>
        <v>3</v>
      </c>
    </row>
    <row r="15" spans="2:20" ht="13.5">
      <c r="B15" s="30" t="s">
        <v>48</v>
      </c>
      <c r="C15" s="30"/>
      <c r="D15" s="31">
        <f>VLOOKUP($M$4,リファレンス!$A$28:$H$33,7,0)</f>
        <v>6</v>
      </c>
      <c r="E15" s="31" t="s">
        <v>41</v>
      </c>
      <c r="F15" s="32"/>
      <c r="G15" s="31" t="s">
        <v>41</v>
      </c>
      <c r="H15" s="33">
        <f>IF(C36="犯罪者",3,0)</f>
        <v>0</v>
      </c>
      <c r="I15" s="31" t="s">
        <v>42</v>
      </c>
      <c r="J15" s="33">
        <f t="shared" si="2"/>
        <v>6</v>
      </c>
      <c r="K15" s="31" t="s">
        <v>43</v>
      </c>
      <c r="L15" s="31">
        <f t="shared" si="0"/>
        <v>2</v>
      </c>
      <c r="M15" s="31" t="s">
        <v>41</v>
      </c>
      <c r="N15" s="31">
        <f>VLOOKUP(D4,リファレンス!B:M,7,0)</f>
        <v>0</v>
      </c>
      <c r="O15" s="31" t="s">
        <v>41</v>
      </c>
      <c r="P15" s="31">
        <f>VLOOKUP(D5,リファレンス!B:M,7,0)</f>
        <v>1</v>
      </c>
      <c r="Q15" s="31" t="s">
        <v>41</v>
      </c>
      <c r="R15" s="33">
        <f>COUNTIF(AR_SHEET_スキル,"オールラウンド：精神")</f>
        <v>0</v>
      </c>
      <c r="S15" s="31" t="s">
        <v>42</v>
      </c>
      <c r="T15" s="34">
        <f t="shared" si="1"/>
        <v>3</v>
      </c>
    </row>
    <row r="16" spans="2:20" ht="14.25" customHeight="1">
      <c r="B16" s="20" t="s">
        <v>49</v>
      </c>
      <c r="C16" s="20"/>
      <c r="D16" s="35">
        <f>VLOOKUP($M$4,リファレンス!$A$28:$H$33,8,0)</f>
        <v>8</v>
      </c>
      <c r="E16" s="35" t="s">
        <v>41</v>
      </c>
      <c r="F16" s="36"/>
      <c r="G16" s="35" t="s">
        <v>41</v>
      </c>
      <c r="H16" s="37">
        <f>IF(C36="幸運の星",3,0)</f>
        <v>0</v>
      </c>
      <c r="I16" s="35" t="s">
        <v>42</v>
      </c>
      <c r="J16" s="37">
        <f t="shared" si="2"/>
        <v>8</v>
      </c>
      <c r="K16" s="35" t="s">
        <v>43</v>
      </c>
      <c r="L16" s="35">
        <f t="shared" si="0"/>
        <v>2</v>
      </c>
      <c r="M16" s="35" t="s">
        <v>41</v>
      </c>
      <c r="N16" s="35">
        <f>VLOOKUP(D4,リファレンス!B:M,8,0)</f>
        <v>0</v>
      </c>
      <c r="O16" s="35" t="s">
        <v>41</v>
      </c>
      <c r="P16" s="35">
        <f>VLOOKUP(D5,リファレンス!B:M,8,0)</f>
        <v>0</v>
      </c>
      <c r="Q16" s="35" t="s">
        <v>41</v>
      </c>
      <c r="R16" s="37">
        <f>COUNTIF(AR_SHEET_スキル,"オールラウンド：幸運")</f>
        <v>0</v>
      </c>
      <c r="S16" s="35" t="s">
        <v>42</v>
      </c>
      <c r="T16" s="38">
        <f t="shared" si="1"/>
        <v>2</v>
      </c>
    </row>
    <row r="18" ht="13.5">
      <c r="A18" s="39" t="s">
        <v>50</v>
      </c>
    </row>
    <row r="20" spans="1:11" ht="13.5">
      <c r="A20" s="39" t="s">
        <v>51</v>
      </c>
      <c r="B20" s="39"/>
      <c r="C20" s="14"/>
      <c r="K20" s="14" t="s">
        <v>52</v>
      </c>
    </row>
    <row r="21" spans="1:20" ht="14.25" customHeight="1">
      <c r="A21" s="14"/>
      <c r="B21" s="40" t="s">
        <v>40</v>
      </c>
      <c r="C21" s="24"/>
      <c r="D21" s="25" t="s">
        <v>34</v>
      </c>
      <c r="E21" s="24"/>
      <c r="F21" s="25" t="s">
        <v>35</v>
      </c>
      <c r="G21" s="24"/>
      <c r="H21" s="25" t="s">
        <v>31</v>
      </c>
      <c r="I21" s="24"/>
      <c r="J21" s="41" t="s">
        <v>53</v>
      </c>
      <c r="L21" s="40" t="s">
        <v>48</v>
      </c>
      <c r="M21" s="24"/>
      <c r="N21" s="25" t="s">
        <v>34</v>
      </c>
      <c r="O21" s="24"/>
      <c r="P21" s="25" t="s">
        <v>35</v>
      </c>
      <c r="Q21" s="24"/>
      <c r="R21" s="25" t="s">
        <v>31</v>
      </c>
      <c r="S21" s="24"/>
      <c r="T21" s="41" t="s">
        <v>54</v>
      </c>
    </row>
    <row r="22" spans="1:20" ht="13.5" customHeight="1">
      <c r="A22" s="14"/>
      <c r="B22" s="42" t="s">
        <v>37</v>
      </c>
      <c r="C22" s="43"/>
      <c r="D22" s="44" t="s">
        <v>39</v>
      </c>
      <c r="E22" s="43"/>
      <c r="F22" s="44" t="s">
        <v>39</v>
      </c>
      <c r="G22" s="43"/>
      <c r="H22" s="44" t="s">
        <v>39</v>
      </c>
      <c r="I22" s="43"/>
      <c r="J22" s="41"/>
      <c r="L22" s="42" t="s">
        <v>37</v>
      </c>
      <c r="M22" s="43"/>
      <c r="N22" s="44" t="s">
        <v>39</v>
      </c>
      <c r="O22" s="43"/>
      <c r="P22" s="44" t="s">
        <v>39</v>
      </c>
      <c r="Q22" s="43"/>
      <c r="R22" s="44" t="s">
        <v>39</v>
      </c>
      <c r="S22" s="43"/>
      <c r="T22" s="41"/>
    </row>
    <row r="23" spans="1:20" ht="14.25" customHeight="1">
      <c r="A23" s="14"/>
      <c r="B23" s="45">
        <f>J10+IF(C36="騎士",-3,0)</f>
        <v>10</v>
      </c>
      <c r="C23" s="46" t="s">
        <v>41</v>
      </c>
      <c r="D23" s="46">
        <f>VLOOKUP(D4,リファレンス!B:M,9,0)</f>
        <v>11</v>
      </c>
      <c r="E23" s="46" t="s">
        <v>41</v>
      </c>
      <c r="F23" s="46">
        <f>VLOOKUP(D5,リファレンス!B:M,9,0)</f>
        <v>10</v>
      </c>
      <c r="G23" s="46" t="s">
        <v>41</v>
      </c>
      <c r="H23" s="46">
        <f>IF(C36="邪神の祝福",5,0)+COUNTIF(AR_SHEET_スキル,"タフネス")*5</f>
        <v>5</v>
      </c>
      <c r="I23" s="46" t="s">
        <v>42</v>
      </c>
      <c r="J23" s="47">
        <f>B23+D23+F23+H23</f>
        <v>36</v>
      </c>
      <c r="L23" s="45">
        <f>J15+IF(C36="犯罪者",-3,0)</f>
        <v>6</v>
      </c>
      <c r="M23" s="46" t="s">
        <v>41</v>
      </c>
      <c r="N23" s="46">
        <f>VLOOKUP(D4,リファレンス!B:M,10,0)</f>
        <v>9</v>
      </c>
      <c r="O23" s="46" t="s">
        <v>41</v>
      </c>
      <c r="P23" s="46">
        <f>VLOOKUP(D5,リファレンス!B:M,10,0)</f>
        <v>10</v>
      </c>
      <c r="Q23" s="46" t="s">
        <v>41</v>
      </c>
      <c r="R23" s="46">
        <f>IF(C36="超病弱",5,0)+COUNTIF(AR_SHEET_スキル,"フォティテュード")*5</f>
        <v>0</v>
      </c>
      <c r="S23" s="46" t="s">
        <v>42</v>
      </c>
      <c r="T23" s="47">
        <f>L23+N23+P23+R23</f>
        <v>25</v>
      </c>
    </row>
    <row r="24" ht="13.5">
      <c r="A24" s="14"/>
    </row>
    <row r="25" spans="1:11" ht="13.5">
      <c r="A25" s="14" t="s">
        <v>55</v>
      </c>
      <c r="K25" s="14" t="s">
        <v>56</v>
      </c>
    </row>
    <row r="26" spans="2:20" ht="15" customHeight="1">
      <c r="B26" s="40" t="s">
        <v>37</v>
      </c>
      <c r="C26" s="24"/>
      <c r="D26" s="25" t="s">
        <v>57</v>
      </c>
      <c r="E26" s="24"/>
      <c r="F26" s="41" t="s">
        <v>58</v>
      </c>
      <c r="L26" s="48" t="s">
        <v>59</v>
      </c>
      <c r="M26" s="48"/>
      <c r="N26" s="48"/>
      <c r="O26" s="48"/>
      <c r="P26" s="48"/>
      <c r="Q26" s="48"/>
      <c r="R26" s="48"/>
      <c r="S26" s="48"/>
      <c r="T26" s="48"/>
    </row>
    <row r="27" spans="2:20" ht="15" customHeight="1">
      <c r="B27" s="45">
        <v>5</v>
      </c>
      <c r="C27" s="46" t="s">
        <v>60</v>
      </c>
      <c r="D27" s="46">
        <f>COUNTIF(C36,"英雄")+COUNTIF(AR_SHEET_スキル,"プロヴィデンス")</f>
        <v>0</v>
      </c>
      <c r="E27" s="46" t="s">
        <v>61</v>
      </c>
      <c r="F27" s="47">
        <f>B27+D27</f>
        <v>5</v>
      </c>
      <c r="L27" s="49" t="s">
        <v>62</v>
      </c>
      <c r="M27" s="49"/>
      <c r="N27" s="49"/>
      <c r="O27" s="49"/>
      <c r="P27" s="49"/>
      <c r="Q27" s="49"/>
      <c r="R27" s="49"/>
      <c r="S27" s="49"/>
      <c r="T27" s="49"/>
    </row>
    <row r="28" ht="13.5">
      <c r="A28" s="14"/>
    </row>
    <row r="29" spans="1:11" ht="13.5">
      <c r="A29" s="14" t="s">
        <v>63</v>
      </c>
      <c r="K29" s="14" t="s">
        <v>64</v>
      </c>
    </row>
    <row r="30" spans="1:18" ht="13.5">
      <c r="A30" s="14"/>
      <c r="B30" s="40" t="s">
        <v>65</v>
      </c>
      <c r="C30" s="24"/>
      <c r="D30" s="25" t="s">
        <v>57</v>
      </c>
      <c r="E30" s="24"/>
      <c r="F30" s="25" t="s">
        <v>66</v>
      </c>
      <c r="G30" s="24"/>
      <c r="H30" s="41" t="s">
        <v>67</v>
      </c>
      <c r="L30" s="40" t="s">
        <v>68</v>
      </c>
      <c r="M30" s="24"/>
      <c r="N30" s="25" t="s">
        <v>69</v>
      </c>
      <c r="O30" s="24"/>
      <c r="P30" s="25" t="s">
        <v>57</v>
      </c>
      <c r="Q30" s="24"/>
      <c r="R30" s="41" t="s">
        <v>70</v>
      </c>
    </row>
    <row r="31" spans="1:18" ht="13.5">
      <c r="A31" s="14"/>
      <c r="B31" s="45">
        <v>500</v>
      </c>
      <c r="C31" s="46" t="s">
        <v>60</v>
      </c>
      <c r="D31" s="46">
        <f>IF(C36="権力者",300,0)</f>
        <v>0</v>
      </c>
      <c r="E31" s="46" t="s">
        <v>60</v>
      </c>
      <c r="F31" s="50"/>
      <c r="G31" s="46" t="s">
        <v>61</v>
      </c>
      <c r="H31" s="47">
        <f>SUM(B31:F31)</f>
        <v>500</v>
      </c>
      <c r="L31" s="45">
        <f>T12</f>
        <v>5</v>
      </c>
      <c r="M31" s="46" t="s">
        <v>60</v>
      </c>
      <c r="N31" s="46">
        <f>T14</f>
        <v>3</v>
      </c>
      <c r="O31" s="46" t="s">
        <v>60</v>
      </c>
      <c r="P31" s="46"/>
      <c r="Q31" s="46" t="s">
        <v>61</v>
      </c>
      <c r="R31" s="47">
        <f>SUM(L31,N31,P31)</f>
        <v>8</v>
      </c>
    </row>
    <row r="32" spans="2:12" ht="13.5">
      <c r="B32" s="14" t="s">
        <v>71</v>
      </c>
      <c r="L32" s="14" t="s">
        <v>72</v>
      </c>
    </row>
    <row r="33" ht="13.5">
      <c r="A33" s="14"/>
    </row>
    <row r="34" ht="13.5">
      <c r="A34" s="14" t="s">
        <v>73</v>
      </c>
    </row>
    <row r="35" spans="1:20" ht="14.25" customHeight="1">
      <c r="A35" s="14"/>
      <c r="B35" s="15"/>
      <c r="C35" s="51"/>
      <c r="D35" s="51"/>
      <c r="E35" s="51" t="s">
        <v>74</v>
      </c>
      <c r="F35" s="51"/>
      <c r="G35" s="51"/>
      <c r="H35" s="52"/>
      <c r="I35" s="52"/>
      <c r="J35" s="52"/>
      <c r="K35" s="52"/>
      <c r="L35" s="52"/>
      <c r="M35" s="52"/>
      <c r="N35" s="52"/>
      <c r="O35" s="52"/>
      <c r="P35" s="52"/>
      <c r="Q35" s="52"/>
      <c r="R35" s="52"/>
      <c r="S35" s="52"/>
      <c r="T35" s="53"/>
    </row>
    <row r="36" spans="2:20" ht="13.5" customHeight="1">
      <c r="B36" s="30" t="s">
        <v>75</v>
      </c>
      <c r="C36" s="54" t="s">
        <v>76</v>
      </c>
      <c r="D36" s="54"/>
      <c r="E36" s="55" t="str">
        <f>VLOOKUP($C36,ライフパス!A:D,2,0)</f>
        <v>65～66</v>
      </c>
      <c r="F36" s="55"/>
      <c r="G36" s="55"/>
      <c r="H36" s="56" t="s">
        <v>77</v>
      </c>
      <c r="I36" s="57" t="str">
        <f>VLOOKUP(C36,ライフパス!A:D,3,0)</f>
        <v>妖魔の血</v>
      </c>
      <c r="J36" s="57"/>
      <c r="K36" s="58" t="str">
        <f>VLOOKUP(C36,ライフパス!A:D,4,0)</f>
        <v>【HP】+5/正体を隠そうとする</v>
      </c>
      <c r="L36" s="58"/>
      <c r="M36" s="58"/>
      <c r="N36" s="58"/>
      <c r="O36" s="58"/>
      <c r="P36" s="58"/>
      <c r="Q36" s="58"/>
      <c r="R36" s="58"/>
      <c r="S36" s="58"/>
      <c r="T36" s="58"/>
    </row>
    <row r="37" spans="2:20" ht="13.5">
      <c r="B37" s="30" t="s">
        <v>78</v>
      </c>
      <c r="C37" s="54" t="s">
        <v>79</v>
      </c>
      <c r="D37" s="54"/>
      <c r="E37" s="55" t="str">
        <f>VLOOKUP($C37,ライフパス!A:D,2,0)</f>
        <v>53～54</v>
      </c>
      <c r="F37" s="55"/>
      <c r="G37" s="55"/>
      <c r="H37" s="59" t="str">
        <f>VLOOKUP($C37,ライフパス!A:D,3,0)</f>
        <v>解説が入ります。(未実装)</v>
      </c>
      <c r="I37" s="59"/>
      <c r="J37" s="59"/>
      <c r="K37" s="59"/>
      <c r="L37" s="59"/>
      <c r="M37" s="59"/>
      <c r="N37" s="59"/>
      <c r="O37" s="59"/>
      <c r="P37" s="59"/>
      <c r="Q37" s="59"/>
      <c r="R37" s="59"/>
      <c r="S37" s="59"/>
      <c r="T37" s="59"/>
    </row>
    <row r="38" spans="2:20" ht="14.25" customHeight="1">
      <c r="B38" s="20" t="s">
        <v>80</v>
      </c>
      <c r="C38" s="60" t="s">
        <v>81</v>
      </c>
      <c r="D38" s="60"/>
      <c r="E38" s="61" t="str">
        <f>VLOOKUP($C38,ライフパス!A:D,2,0)</f>
        <v>41～42</v>
      </c>
      <c r="F38" s="61"/>
      <c r="G38" s="61"/>
      <c r="H38" s="62" t="str">
        <f>VLOOKUP($C38,ライフパス!A:D,3,0)</f>
        <v>解説が入ります。(未実装)</v>
      </c>
      <c r="I38" s="62"/>
      <c r="J38" s="62"/>
      <c r="K38" s="62"/>
      <c r="L38" s="62"/>
      <c r="M38" s="62"/>
      <c r="N38" s="62"/>
      <c r="O38" s="62"/>
      <c r="P38" s="62"/>
      <c r="Q38" s="62"/>
      <c r="R38" s="62"/>
      <c r="S38" s="62"/>
      <c r="T38" s="62"/>
    </row>
    <row r="40" ht="13.5">
      <c r="A40" s="14" t="s">
        <v>82</v>
      </c>
    </row>
    <row r="41" ht="13.5">
      <c r="B41" s="14" t="s">
        <v>83</v>
      </c>
    </row>
  </sheetData>
  <mergeCells count="30">
    <mergeCell ref="A1:T1"/>
    <mergeCell ref="B4:C4"/>
    <mergeCell ref="D4:G4"/>
    <mergeCell ref="M4:Q4"/>
    <mergeCell ref="B5:C5"/>
    <mergeCell ref="D5:G5"/>
    <mergeCell ref="T8:T9"/>
    <mergeCell ref="B10:C10"/>
    <mergeCell ref="B11:C11"/>
    <mergeCell ref="B12:C12"/>
    <mergeCell ref="B13:C13"/>
    <mergeCell ref="B14:C14"/>
    <mergeCell ref="B15:C15"/>
    <mergeCell ref="B16:C16"/>
    <mergeCell ref="J21:J22"/>
    <mergeCell ref="T21:T22"/>
    <mergeCell ref="L26:T26"/>
    <mergeCell ref="L27:T27"/>
    <mergeCell ref="C35:D35"/>
    <mergeCell ref="E35:G35"/>
    <mergeCell ref="C36:D36"/>
    <mergeCell ref="E36:G36"/>
    <mergeCell ref="I36:J36"/>
    <mergeCell ref="K36:T36"/>
    <mergeCell ref="C37:D37"/>
    <mergeCell ref="E37:G37"/>
    <mergeCell ref="H37:T37"/>
    <mergeCell ref="C38:D38"/>
    <mergeCell ref="E38:G38"/>
    <mergeCell ref="H38:T38"/>
  </mergeCells>
  <dataValidations count="6">
    <dataValidation type="list" allowBlank="1" sqref="C36:D36">
      <formula1>AR_出自</formula1>
      <formula2>0</formula2>
    </dataValidation>
    <dataValidation type="list" allowBlank="1" sqref="C37:D37">
      <formula1>AR_境遇</formula1>
      <formula2>0</formula2>
    </dataValidation>
    <dataValidation type="list" allowBlank="1" sqref="C38:D38">
      <formula1>AR_運命</formula1>
      <formula2>0</formula2>
    </dataValidation>
    <dataValidation type="list" allowBlank="1" sqref="D4:G4">
      <formula1>AR_メインクラス</formula1>
      <formula2>0</formula2>
    </dataValidation>
    <dataValidation type="list" allowBlank="1" sqref="D5:G5">
      <formula1>AR_サポートクラス初期</formula1>
      <formula2>0</formula2>
    </dataValidation>
    <dataValidation type="list" allowBlank="1" sqref="M4:Q4">
      <formula1>AR_種族</formula1>
      <formula2>0</formula2>
    </dataValidation>
  </dataValidations>
  <printOptions/>
  <pageMargins left="0.7875" right="0.7875" top="0.9840277777777777" bottom="0.9840277777777777"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sheetPr codeName="Sheet4"/>
  <dimension ref="A1:M28"/>
  <sheetViews>
    <sheetView workbookViewId="0" topLeftCell="A1">
      <selection activeCell="M3" sqref="M3"/>
    </sheetView>
  </sheetViews>
  <sheetFormatPr defaultColWidth="9.00390625" defaultRowHeight="13.5"/>
  <cols>
    <col min="1" max="1" width="5.875" style="63" customWidth="1"/>
    <col min="2" max="2" width="8.625" style="63" customWidth="1"/>
    <col min="3" max="3" width="9.00390625" style="63" customWidth="1"/>
    <col min="4" max="4" width="1.875" style="63" customWidth="1"/>
    <col min="5" max="5" width="8.00390625" style="63" customWidth="1"/>
    <col min="6" max="6" width="1.4921875" style="63" customWidth="1"/>
    <col min="7" max="7" width="7.875" style="63" customWidth="1"/>
    <col min="8" max="8" width="6.50390625" style="63" customWidth="1"/>
    <col min="9" max="9" width="6.625" style="63" customWidth="1"/>
    <col min="10" max="10" width="10.875" style="63" customWidth="1"/>
    <col min="11" max="16384" width="9.00390625" style="63" customWidth="1"/>
  </cols>
  <sheetData>
    <row r="1" spans="1:11" ht="13.5">
      <c r="A1" s="64" t="s">
        <v>84</v>
      </c>
      <c r="B1" s="64"/>
      <c r="C1" s="64"/>
      <c r="D1" s="64"/>
      <c r="E1" s="64"/>
      <c r="F1" s="64"/>
      <c r="G1" s="64"/>
      <c r="H1" s="64"/>
      <c r="I1" s="64"/>
      <c r="J1" s="64"/>
      <c r="K1" s="64"/>
    </row>
    <row r="2" ht="13.5">
      <c r="M2" s="63" t="s">
        <v>85</v>
      </c>
    </row>
    <row r="3" spans="1:11" ht="13.5">
      <c r="A3" s="65" t="s">
        <v>86</v>
      </c>
      <c r="B3" s="66" t="s">
        <v>87</v>
      </c>
      <c r="C3" s="67" t="s">
        <v>88</v>
      </c>
      <c r="D3" s="68"/>
      <c r="E3" s="68" t="s">
        <v>89</v>
      </c>
      <c r="F3" s="68"/>
      <c r="G3" s="69" t="s">
        <v>90</v>
      </c>
      <c r="I3" s="70" t="s">
        <v>91</v>
      </c>
      <c r="J3" s="70"/>
      <c r="K3" s="70"/>
    </row>
    <row r="4" spans="1:11" ht="13.5">
      <c r="A4" s="71" t="s">
        <v>92</v>
      </c>
      <c r="B4" s="72"/>
      <c r="C4" s="73">
        <v>15</v>
      </c>
      <c r="D4" s="74" t="s">
        <v>93</v>
      </c>
      <c r="E4" s="75"/>
      <c r="F4" s="74" t="s">
        <v>61</v>
      </c>
      <c r="G4" s="76">
        <f>C4-E4</f>
        <v>15</v>
      </c>
      <c r="I4" s="77" t="s">
        <v>94</v>
      </c>
      <c r="J4" s="77"/>
      <c r="K4" s="78">
        <v>1</v>
      </c>
    </row>
    <row r="5" spans="1:11" ht="13.5">
      <c r="A5" s="71">
        <v>1</v>
      </c>
      <c r="B5" s="72">
        <v>39753</v>
      </c>
      <c r="C5" s="73">
        <v>20</v>
      </c>
      <c r="D5" s="74" t="s">
        <v>93</v>
      </c>
      <c r="E5" s="75">
        <v>3</v>
      </c>
      <c r="F5" s="74" t="s">
        <v>61</v>
      </c>
      <c r="G5" s="76">
        <f>C5-E5</f>
        <v>17</v>
      </c>
      <c r="I5" s="79" t="s">
        <v>95</v>
      </c>
      <c r="J5" s="79"/>
      <c r="K5" s="80">
        <v>4</v>
      </c>
    </row>
    <row r="6" spans="1:11" ht="13.5">
      <c r="A6" s="71">
        <v>2</v>
      </c>
      <c r="B6" s="72">
        <v>39774</v>
      </c>
      <c r="C6" s="73">
        <v>33</v>
      </c>
      <c r="D6" s="74" t="s">
        <v>93</v>
      </c>
      <c r="E6" s="75">
        <v>5</v>
      </c>
      <c r="F6" s="74" t="s">
        <v>61</v>
      </c>
      <c r="G6" s="76">
        <f aca="true" t="shared" si="0" ref="G6:G23">C6-E6</f>
        <v>28</v>
      </c>
      <c r="I6" s="79" t="s">
        <v>96</v>
      </c>
      <c r="J6" s="79"/>
      <c r="K6" s="80">
        <v>10</v>
      </c>
    </row>
    <row r="7" spans="1:11" ht="13.5">
      <c r="A7" s="71">
        <v>3</v>
      </c>
      <c r="B7" s="72">
        <v>39872</v>
      </c>
      <c r="C7" s="73">
        <v>20</v>
      </c>
      <c r="D7" s="74" t="s">
        <v>93</v>
      </c>
      <c r="E7" s="75">
        <v>7</v>
      </c>
      <c r="F7" s="74" t="s">
        <v>61</v>
      </c>
      <c r="G7" s="76">
        <f t="shared" si="0"/>
        <v>13</v>
      </c>
      <c r="I7" s="81" t="s">
        <v>97</v>
      </c>
      <c r="J7" s="81"/>
      <c r="K7" s="82">
        <f>E28-K6</f>
        <v>18</v>
      </c>
    </row>
    <row r="8" spans="1:11" ht="13.5">
      <c r="A8" s="71">
        <v>4</v>
      </c>
      <c r="B8" s="72">
        <v>39935</v>
      </c>
      <c r="C8" s="73">
        <v>46</v>
      </c>
      <c r="D8" s="74" t="s">
        <v>93</v>
      </c>
      <c r="E8" s="75">
        <v>5</v>
      </c>
      <c r="F8" s="74" t="s">
        <v>61</v>
      </c>
      <c r="G8" s="76">
        <f t="shared" si="0"/>
        <v>41</v>
      </c>
      <c r="I8" s="83" t="s">
        <v>91</v>
      </c>
      <c r="J8" s="83"/>
      <c r="K8" s="84" t="s">
        <v>96</v>
      </c>
    </row>
    <row r="9" spans="1:11" ht="13.5">
      <c r="A9" s="71">
        <v>5</v>
      </c>
      <c r="B9" s="72"/>
      <c r="C9" s="73"/>
      <c r="D9" s="74" t="s">
        <v>93</v>
      </c>
      <c r="E9" s="75"/>
      <c r="F9" s="74" t="s">
        <v>61</v>
      </c>
      <c r="G9" s="76">
        <f t="shared" si="0"/>
        <v>0</v>
      </c>
      <c r="I9" s="85" t="s">
        <v>93</v>
      </c>
      <c r="J9" s="86">
        <v>1</v>
      </c>
      <c r="K9" s="80">
        <v>0</v>
      </c>
    </row>
    <row r="10" spans="1:11" ht="13.5">
      <c r="A10" s="71">
        <v>6</v>
      </c>
      <c r="B10" s="72"/>
      <c r="C10" s="73"/>
      <c r="D10" s="74" t="s">
        <v>93</v>
      </c>
      <c r="E10" s="75"/>
      <c r="F10" s="74" t="s">
        <v>61</v>
      </c>
      <c r="G10" s="76">
        <f t="shared" si="0"/>
        <v>0</v>
      </c>
      <c r="I10" s="85" t="s">
        <v>93</v>
      </c>
      <c r="J10" s="86">
        <v>2</v>
      </c>
      <c r="K10" s="80">
        <f>$J9*10+$K9</f>
        <v>10</v>
      </c>
    </row>
    <row r="11" spans="1:11" ht="13.5">
      <c r="A11" s="71">
        <v>7</v>
      </c>
      <c r="B11" s="72"/>
      <c r="C11" s="73"/>
      <c r="D11" s="74" t="s">
        <v>93</v>
      </c>
      <c r="E11" s="75"/>
      <c r="F11" s="74" t="s">
        <v>61</v>
      </c>
      <c r="G11" s="76">
        <f t="shared" si="0"/>
        <v>0</v>
      </c>
      <c r="I11" s="85" t="s">
        <v>93</v>
      </c>
      <c r="J11" s="86">
        <v>3</v>
      </c>
      <c r="K11" s="80">
        <f aca="true" t="shared" si="1" ref="K11:K24">$J10*10+$K10</f>
        <v>30</v>
      </c>
    </row>
    <row r="12" spans="1:11" ht="13.5">
      <c r="A12" s="71">
        <v>8</v>
      </c>
      <c r="B12" s="72"/>
      <c r="C12" s="73"/>
      <c r="D12" s="74" t="s">
        <v>93</v>
      </c>
      <c r="E12" s="75"/>
      <c r="F12" s="74" t="s">
        <v>61</v>
      </c>
      <c r="G12" s="76">
        <f t="shared" si="0"/>
        <v>0</v>
      </c>
      <c r="I12" s="85" t="s">
        <v>98</v>
      </c>
      <c r="J12" s="86">
        <v>4</v>
      </c>
      <c r="K12" s="80">
        <f t="shared" si="1"/>
        <v>60</v>
      </c>
    </row>
    <row r="13" spans="1:11" ht="13.5">
      <c r="A13" s="71">
        <v>9</v>
      </c>
      <c r="B13" s="72"/>
      <c r="C13" s="73"/>
      <c r="D13" s="74" t="s">
        <v>93</v>
      </c>
      <c r="E13" s="75"/>
      <c r="F13" s="74" t="s">
        <v>61</v>
      </c>
      <c r="G13" s="76">
        <f t="shared" si="0"/>
        <v>0</v>
      </c>
      <c r="I13" s="85" t="s">
        <v>93</v>
      </c>
      <c r="J13" s="86">
        <v>5</v>
      </c>
      <c r="K13" s="80">
        <f t="shared" si="1"/>
        <v>100</v>
      </c>
    </row>
    <row r="14" spans="1:11" ht="13.5">
      <c r="A14" s="71">
        <v>10</v>
      </c>
      <c r="B14" s="72"/>
      <c r="C14" s="73"/>
      <c r="D14" s="74" t="s">
        <v>93</v>
      </c>
      <c r="E14" s="75"/>
      <c r="F14" s="74" t="s">
        <v>61</v>
      </c>
      <c r="G14" s="76">
        <f t="shared" si="0"/>
        <v>0</v>
      </c>
      <c r="I14" s="85" t="s">
        <v>93</v>
      </c>
      <c r="J14" s="86">
        <v>6</v>
      </c>
      <c r="K14" s="80">
        <f t="shared" si="1"/>
        <v>150</v>
      </c>
    </row>
    <row r="15" spans="1:11" ht="13.5">
      <c r="A15" s="71">
        <v>11</v>
      </c>
      <c r="B15" s="72"/>
      <c r="C15" s="73"/>
      <c r="D15" s="74" t="s">
        <v>93</v>
      </c>
      <c r="E15" s="75"/>
      <c r="F15" s="74" t="s">
        <v>61</v>
      </c>
      <c r="G15" s="76">
        <f t="shared" si="0"/>
        <v>0</v>
      </c>
      <c r="I15" s="85" t="s">
        <v>93</v>
      </c>
      <c r="J15" s="86">
        <v>7</v>
      </c>
      <c r="K15" s="80">
        <f t="shared" si="1"/>
        <v>210</v>
      </c>
    </row>
    <row r="16" spans="1:11" ht="13.5">
      <c r="A16" s="71">
        <v>12</v>
      </c>
      <c r="B16" s="72"/>
      <c r="C16" s="73"/>
      <c r="D16" s="74" t="s">
        <v>93</v>
      </c>
      <c r="E16" s="75"/>
      <c r="F16" s="74" t="s">
        <v>61</v>
      </c>
      <c r="G16" s="76">
        <f t="shared" si="0"/>
        <v>0</v>
      </c>
      <c r="I16" s="85" t="s">
        <v>93</v>
      </c>
      <c r="J16" s="86">
        <v>8</v>
      </c>
      <c r="K16" s="80">
        <f t="shared" si="1"/>
        <v>280</v>
      </c>
    </row>
    <row r="17" spans="1:11" ht="13.5">
      <c r="A17" s="71">
        <v>13</v>
      </c>
      <c r="B17" s="72"/>
      <c r="C17" s="73"/>
      <c r="D17" s="74" t="s">
        <v>93</v>
      </c>
      <c r="E17" s="75"/>
      <c r="F17" s="74" t="s">
        <v>61</v>
      </c>
      <c r="G17" s="76">
        <f t="shared" si="0"/>
        <v>0</v>
      </c>
      <c r="I17" s="85" t="s">
        <v>93</v>
      </c>
      <c r="J17" s="86">
        <v>9</v>
      </c>
      <c r="K17" s="80">
        <f t="shared" si="1"/>
        <v>360</v>
      </c>
    </row>
    <row r="18" spans="1:11" ht="13.5">
      <c r="A18" s="71">
        <v>14</v>
      </c>
      <c r="B18" s="72"/>
      <c r="C18" s="73"/>
      <c r="D18" s="74" t="s">
        <v>93</v>
      </c>
      <c r="E18" s="75"/>
      <c r="F18" s="74" t="s">
        <v>61</v>
      </c>
      <c r="G18" s="76">
        <f t="shared" si="0"/>
        <v>0</v>
      </c>
      <c r="I18" s="85" t="s">
        <v>93</v>
      </c>
      <c r="J18" s="86">
        <v>10</v>
      </c>
      <c r="K18" s="80">
        <f t="shared" si="1"/>
        <v>450</v>
      </c>
    </row>
    <row r="19" spans="1:11" ht="13.5">
      <c r="A19" s="71">
        <v>15</v>
      </c>
      <c r="B19" s="72"/>
      <c r="C19" s="73"/>
      <c r="D19" s="74" t="s">
        <v>93</v>
      </c>
      <c r="E19" s="75"/>
      <c r="F19" s="74" t="s">
        <v>61</v>
      </c>
      <c r="G19" s="76">
        <f t="shared" si="0"/>
        <v>0</v>
      </c>
      <c r="I19" s="85" t="s">
        <v>93</v>
      </c>
      <c r="J19" s="86">
        <v>11</v>
      </c>
      <c r="K19" s="80">
        <f t="shared" si="1"/>
        <v>550</v>
      </c>
    </row>
    <row r="20" spans="1:11" ht="13.5">
      <c r="A20" s="71">
        <v>16</v>
      </c>
      <c r="B20" s="72"/>
      <c r="C20" s="73"/>
      <c r="D20" s="74" t="s">
        <v>93</v>
      </c>
      <c r="E20" s="75"/>
      <c r="F20" s="74" t="s">
        <v>61</v>
      </c>
      <c r="G20" s="76">
        <f t="shared" si="0"/>
        <v>0</v>
      </c>
      <c r="I20" s="85" t="s">
        <v>93</v>
      </c>
      <c r="J20" s="86">
        <v>12</v>
      </c>
      <c r="K20" s="80">
        <f t="shared" si="1"/>
        <v>660</v>
      </c>
    </row>
    <row r="21" spans="1:11" ht="13.5">
      <c r="A21" s="71">
        <v>17</v>
      </c>
      <c r="B21" s="72"/>
      <c r="C21" s="73"/>
      <c r="D21" s="74" t="s">
        <v>93</v>
      </c>
      <c r="E21" s="75"/>
      <c r="F21" s="74" t="s">
        <v>61</v>
      </c>
      <c r="G21" s="76">
        <f t="shared" si="0"/>
        <v>0</v>
      </c>
      <c r="I21" s="85" t="s">
        <v>93</v>
      </c>
      <c r="J21" s="86">
        <v>13</v>
      </c>
      <c r="K21" s="80">
        <f t="shared" si="1"/>
        <v>780</v>
      </c>
    </row>
    <row r="22" spans="1:11" ht="13.5">
      <c r="A22" s="71">
        <v>18</v>
      </c>
      <c r="B22" s="72"/>
      <c r="C22" s="73"/>
      <c r="D22" s="74" t="s">
        <v>93</v>
      </c>
      <c r="E22" s="75"/>
      <c r="F22" s="74" t="s">
        <v>61</v>
      </c>
      <c r="G22" s="76">
        <f t="shared" si="0"/>
        <v>0</v>
      </c>
      <c r="I22" s="85" t="s">
        <v>93</v>
      </c>
      <c r="J22" s="86">
        <v>14</v>
      </c>
      <c r="K22" s="80">
        <f t="shared" si="1"/>
        <v>910</v>
      </c>
    </row>
    <row r="23" spans="1:11" ht="13.5">
      <c r="A23" s="71">
        <v>19</v>
      </c>
      <c r="B23" s="72"/>
      <c r="C23" s="87"/>
      <c r="D23" s="88" t="s">
        <v>93</v>
      </c>
      <c r="E23" s="89"/>
      <c r="F23" s="88" t="s">
        <v>61</v>
      </c>
      <c r="G23" s="90">
        <f t="shared" si="0"/>
        <v>0</v>
      </c>
      <c r="I23" s="85" t="s">
        <v>93</v>
      </c>
      <c r="J23" s="86">
        <v>15</v>
      </c>
      <c r="K23" s="80">
        <f t="shared" si="1"/>
        <v>1050</v>
      </c>
    </row>
    <row r="24" spans="1:11" ht="13.5">
      <c r="A24" s="91" t="s">
        <v>99</v>
      </c>
      <c r="B24" s="91"/>
      <c r="C24" s="91"/>
      <c r="D24" s="91"/>
      <c r="E24" s="91"/>
      <c r="F24" s="88" t="s">
        <v>61</v>
      </c>
      <c r="G24" s="92">
        <f>SUM(G4:G23)</f>
        <v>114</v>
      </c>
      <c r="I24" s="93" t="s">
        <v>93</v>
      </c>
      <c r="J24" s="94">
        <v>16</v>
      </c>
      <c r="K24" s="82">
        <f t="shared" si="1"/>
        <v>1200</v>
      </c>
    </row>
    <row r="26" spans="1:5" ht="13.5">
      <c r="A26" s="95" t="s">
        <v>100</v>
      </c>
      <c r="B26" s="96"/>
      <c r="C26" s="96"/>
      <c r="D26" s="97" t="s">
        <v>61</v>
      </c>
      <c r="E26" s="98">
        <f>SUM(E4:E23)</f>
        <v>20</v>
      </c>
    </row>
    <row r="27" spans="1:5" ht="13.5">
      <c r="A27" s="99" t="s">
        <v>101</v>
      </c>
      <c r="B27" s="100"/>
      <c r="C27" s="100"/>
      <c r="D27" s="74" t="s">
        <v>61</v>
      </c>
      <c r="E27" s="101">
        <v>8</v>
      </c>
    </row>
    <row r="28" spans="1:5" ht="13.5">
      <c r="A28" s="102" t="s">
        <v>102</v>
      </c>
      <c r="B28" s="103"/>
      <c r="C28" s="103"/>
      <c r="D28" s="104" t="s">
        <v>61</v>
      </c>
      <c r="E28" s="105">
        <f>SUM(E26:E27)</f>
        <v>28</v>
      </c>
    </row>
  </sheetData>
  <mergeCells count="8">
    <mergeCell ref="A1:K1"/>
    <mergeCell ref="I3:K3"/>
    <mergeCell ref="I4:J4"/>
    <mergeCell ref="I5:J5"/>
    <mergeCell ref="I6:J6"/>
    <mergeCell ref="I7:J7"/>
    <mergeCell ref="I8:J8"/>
    <mergeCell ref="A24:E24"/>
  </mergeCells>
  <dataValidations count="1">
    <dataValidation type="list" allowBlank="1" showErrorMessage="1" sqref="I9:I24">
      <formula1>レベル選択</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codeName="Sheet5"/>
  <dimension ref="A1:S63"/>
  <sheetViews>
    <sheetView workbookViewId="0" topLeftCell="A1">
      <selection activeCell="S17" sqref="S17"/>
    </sheetView>
  </sheetViews>
  <sheetFormatPr defaultColWidth="9.00390625" defaultRowHeight="13.5"/>
  <cols>
    <col min="1" max="1" width="5.25390625" style="11" customWidth="1"/>
    <col min="2" max="2" width="3.625" style="11" customWidth="1"/>
    <col min="3" max="3" width="5.875" style="11" customWidth="1"/>
    <col min="4" max="4" width="6.375" style="11" customWidth="1"/>
    <col min="5" max="5" width="10.00390625" style="11" customWidth="1"/>
    <col min="6" max="6" width="5.625" style="11" customWidth="1"/>
    <col min="7" max="7" width="5.875" style="11" customWidth="1"/>
    <col min="8" max="8" width="10.625" style="11" customWidth="1"/>
    <col min="9" max="9" width="5.50390625" style="11" customWidth="1"/>
    <col min="10" max="10" width="5.875" style="11" customWidth="1"/>
    <col min="11" max="13" width="5.25390625" style="11" customWidth="1"/>
    <col min="14" max="14" width="1.25" style="11" customWidth="1"/>
    <col min="15" max="15" width="10.50390625" style="11" customWidth="1"/>
    <col min="16" max="16" width="8.875" style="11" customWidth="1"/>
    <col min="17" max="17" width="8.375" style="11" customWidth="1"/>
    <col min="18" max="18" width="1.37890625" style="11" customWidth="1"/>
    <col min="19" max="16384" width="9.00390625" style="11" customWidth="1"/>
  </cols>
  <sheetData>
    <row r="1" spans="1:17" s="63" customFormat="1" ht="12">
      <c r="A1" s="106" t="s">
        <v>103</v>
      </c>
      <c r="B1" s="106"/>
      <c r="C1" s="106"/>
      <c r="D1" s="106"/>
      <c r="E1" s="106"/>
      <c r="F1" s="106"/>
      <c r="G1" s="106"/>
      <c r="H1" s="106"/>
      <c r="I1" s="106"/>
      <c r="J1" s="106"/>
      <c r="K1" s="106"/>
      <c r="L1" s="106"/>
      <c r="M1" s="106"/>
      <c r="N1" s="106"/>
      <c r="O1" s="106"/>
      <c r="P1" s="106"/>
      <c r="Q1" s="106"/>
    </row>
    <row r="2" spans="1:11" ht="12.75" customHeight="1">
      <c r="A2" s="107"/>
      <c r="B2" s="22">
        <f>IF(COUNTIF(A6:A63,"◎")=1,"","※現在レベルを示す「◎」印が「現在Lv」列(A列)にないか、または2つ以上存在しています。")</f>
      </c>
      <c r="C2" s="14"/>
      <c r="K2" s="22">
        <f>IF(COUNTIF(O29:O59,"◎")=1,"","※フェイト成長を示す「◎」印が「フェイト成長」列(O列)にないか、または2つ以上存在しています。")</f>
      </c>
    </row>
    <row r="3" spans="1:19" ht="13.5">
      <c r="A3" s="70" t="s">
        <v>104</v>
      </c>
      <c r="B3" s="70"/>
      <c r="C3" s="70"/>
      <c r="D3" s="70"/>
      <c r="E3" s="70"/>
      <c r="F3" s="70"/>
      <c r="G3" s="70"/>
      <c r="H3" s="70"/>
      <c r="I3" s="70"/>
      <c r="J3" s="70"/>
      <c r="K3" s="70"/>
      <c r="L3" s="70"/>
      <c r="M3" s="70"/>
      <c r="O3" s="70" t="s">
        <v>105</v>
      </c>
      <c r="P3" s="70"/>
      <c r="Q3" s="70"/>
      <c r="S3" s="14"/>
    </row>
    <row r="4" spans="1:17" ht="13.5">
      <c r="A4" s="108" t="s">
        <v>106</v>
      </c>
      <c r="B4" s="109" t="s">
        <v>107</v>
      </c>
      <c r="C4" s="110" t="s">
        <v>96</v>
      </c>
      <c r="D4" s="110"/>
      <c r="E4" s="110" t="s">
        <v>108</v>
      </c>
      <c r="F4" s="110" t="s">
        <v>109</v>
      </c>
      <c r="G4" s="110" t="s">
        <v>110</v>
      </c>
      <c r="H4" s="110" t="s">
        <v>111</v>
      </c>
      <c r="I4" s="110" t="s">
        <v>109</v>
      </c>
      <c r="J4" s="111" t="s">
        <v>110</v>
      </c>
      <c r="K4" s="112" t="s">
        <v>105</v>
      </c>
      <c r="L4" s="112"/>
      <c r="M4" s="112"/>
      <c r="O4" s="113" t="s">
        <v>112</v>
      </c>
      <c r="P4" s="114" t="s">
        <v>113</v>
      </c>
      <c r="Q4" s="115" t="s">
        <v>114</v>
      </c>
    </row>
    <row r="5" spans="1:17" ht="13.5">
      <c r="A5" s="108"/>
      <c r="B5" s="109"/>
      <c r="C5" s="116" t="s">
        <v>115</v>
      </c>
      <c r="D5" s="116" t="s">
        <v>116</v>
      </c>
      <c r="E5" s="116" t="s">
        <v>117</v>
      </c>
      <c r="F5" s="116" t="s">
        <v>116</v>
      </c>
      <c r="G5" s="116" t="s">
        <v>116</v>
      </c>
      <c r="H5" s="116" t="s">
        <v>117</v>
      </c>
      <c r="I5" s="116" t="s">
        <v>116</v>
      </c>
      <c r="J5" s="117" t="s">
        <v>116</v>
      </c>
      <c r="K5" s="112"/>
      <c r="L5" s="112"/>
      <c r="M5" s="112"/>
      <c r="O5" s="118" t="s">
        <v>40</v>
      </c>
      <c r="P5" s="119">
        <f aca="true" t="shared" si="0" ref="P5:P11">COUNTIF($K$7:$M$43,O5)</f>
        <v>4</v>
      </c>
      <c r="Q5" s="120">
        <f>①コンストラクション!J10+③レベルアップ!P5</f>
        <v>14</v>
      </c>
    </row>
    <row r="6" spans="1:17" ht="13.5" customHeight="1">
      <c r="A6" s="85" t="s">
        <v>93</v>
      </c>
      <c r="B6" s="121">
        <v>1</v>
      </c>
      <c r="C6" s="122">
        <v>0</v>
      </c>
      <c r="D6" s="122"/>
      <c r="E6" s="121"/>
      <c r="F6" s="121">
        <v>0</v>
      </c>
      <c r="G6" s="121">
        <v>0</v>
      </c>
      <c r="H6" s="121"/>
      <c r="I6" s="121">
        <v>0</v>
      </c>
      <c r="J6" s="123">
        <v>0</v>
      </c>
      <c r="K6" s="124"/>
      <c r="L6" s="124"/>
      <c r="M6" s="124"/>
      <c r="O6" s="118" t="s">
        <v>44</v>
      </c>
      <c r="P6" s="119">
        <f t="shared" si="0"/>
        <v>3</v>
      </c>
      <c r="Q6" s="120">
        <f>①コンストラクション!J11+③レベルアップ!P6</f>
        <v>12</v>
      </c>
    </row>
    <row r="7" spans="1:17" ht="13.5">
      <c r="A7" s="85" t="s">
        <v>93</v>
      </c>
      <c r="B7" s="55">
        <v>2</v>
      </c>
      <c r="C7" s="55">
        <v>10</v>
      </c>
      <c r="D7" s="55">
        <v>10</v>
      </c>
      <c r="E7" s="125" t="str">
        <f>①コンストラクション!$D$4</f>
        <v>■ウォーリア</v>
      </c>
      <c r="F7" s="125">
        <f>VLOOKUP(E7,リファレンス!B:M,11,0)</f>
        <v>3</v>
      </c>
      <c r="G7" s="125">
        <f>VLOOKUP(E7,リファレンス!B:M,12,0)</f>
        <v>1</v>
      </c>
      <c r="H7" s="125" t="str">
        <f>①コンストラクション!D5</f>
        <v>□サムライ</v>
      </c>
      <c r="I7" s="55">
        <f>VLOOKUP(H7,リファレンス!B:M,11,0)</f>
        <v>3</v>
      </c>
      <c r="J7" s="126">
        <f>VLOOKUP(H7,リファレンス!B:M,12,0)</f>
        <v>1</v>
      </c>
      <c r="K7" s="127" t="s">
        <v>40</v>
      </c>
      <c r="L7" s="128" t="s">
        <v>40</v>
      </c>
      <c r="M7" s="129" t="s">
        <v>47</v>
      </c>
      <c r="O7" s="118" t="s">
        <v>45</v>
      </c>
      <c r="P7" s="119">
        <f t="shared" si="0"/>
        <v>3</v>
      </c>
      <c r="Q7" s="120">
        <f>①コンストラクション!J12+③レベルアップ!P7</f>
        <v>15</v>
      </c>
    </row>
    <row r="8" spans="1:17" ht="13.5">
      <c r="A8" s="85" t="s">
        <v>93</v>
      </c>
      <c r="B8" s="55" t="s">
        <v>118</v>
      </c>
      <c r="C8" s="122">
        <v>10</v>
      </c>
      <c r="D8" s="122"/>
      <c r="E8" s="130"/>
      <c r="F8" s="130"/>
      <c r="G8" s="130"/>
      <c r="H8" s="131" t="str">
        <f>H7</f>
        <v>□サムライ</v>
      </c>
      <c r="I8" s="132"/>
      <c r="J8" s="132"/>
      <c r="K8" s="133"/>
      <c r="L8" s="133"/>
      <c r="M8" s="133"/>
      <c r="O8" s="118" t="s">
        <v>46</v>
      </c>
      <c r="P8" s="119">
        <f t="shared" si="0"/>
        <v>0</v>
      </c>
      <c r="Q8" s="120">
        <f>①コンストラクション!J13+③レベルアップ!P8</f>
        <v>8</v>
      </c>
    </row>
    <row r="9" spans="1:17" ht="13.5">
      <c r="A9" s="85" t="s">
        <v>93</v>
      </c>
      <c r="B9" s="55">
        <v>3</v>
      </c>
      <c r="C9" s="55">
        <f>B7*10</f>
        <v>20</v>
      </c>
      <c r="D9" s="55">
        <f>D7+B7*10</f>
        <v>30</v>
      </c>
      <c r="E9" s="125" t="str">
        <f>①コンストラクション!$D$4</f>
        <v>■ウォーリア</v>
      </c>
      <c r="F9" s="55">
        <f>VLOOKUP(E9,リファレンス!$B:$M,11,0)+F7</f>
        <v>6</v>
      </c>
      <c r="G9" s="55">
        <f>VLOOKUP(E9,リファレンス!$B:$M,12,0)+G7</f>
        <v>2</v>
      </c>
      <c r="H9" s="125" t="str">
        <f>H8</f>
        <v>□サムライ</v>
      </c>
      <c r="I9" s="55">
        <f>VLOOKUP(H9,リファレンス!$B:$M,11,0)+I7</f>
        <v>6</v>
      </c>
      <c r="J9" s="126">
        <f>VLOOKUP(H9,リファレンス!$B:$M,12,0)+J7</f>
        <v>2</v>
      </c>
      <c r="K9" s="127" t="s">
        <v>48</v>
      </c>
      <c r="L9" s="128" t="s">
        <v>45</v>
      </c>
      <c r="M9" s="129" t="s">
        <v>44</v>
      </c>
      <c r="O9" s="118" t="s">
        <v>47</v>
      </c>
      <c r="P9" s="119">
        <f t="shared" si="0"/>
        <v>1</v>
      </c>
      <c r="Q9" s="120">
        <f>①コンストラクション!J14+③レベルアップ!P9</f>
        <v>12</v>
      </c>
    </row>
    <row r="10" spans="1:17" ht="13.5">
      <c r="A10" s="85" t="s">
        <v>93</v>
      </c>
      <c r="B10" s="55" t="s">
        <v>118</v>
      </c>
      <c r="C10" s="122">
        <v>10</v>
      </c>
      <c r="D10" s="122"/>
      <c r="E10" s="130"/>
      <c r="F10" s="130"/>
      <c r="G10" s="130"/>
      <c r="H10" s="131" t="str">
        <f aca="true" t="shared" si="1" ref="H10:H34">H9</f>
        <v>□サムライ</v>
      </c>
      <c r="I10" s="132"/>
      <c r="J10" s="132"/>
      <c r="K10" s="133"/>
      <c r="L10" s="133"/>
      <c r="M10" s="133"/>
      <c r="O10" s="118" t="s">
        <v>48</v>
      </c>
      <c r="P10" s="119">
        <f t="shared" si="0"/>
        <v>1</v>
      </c>
      <c r="Q10" s="120">
        <f>①コンストラクション!J15+③レベルアップ!P10</f>
        <v>7</v>
      </c>
    </row>
    <row r="11" spans="1:17" ht="13.5">
      <c r="A11" s="85" t="s">
        <v>93</v>
      </c>
      <c r="B11" s="55">
        <v>4</v>
      </c>
      <c r="C11" s="55">
        <f>B9*10</f>
        <v>30</v>
      </c>
      <c r="D11" s="55">
        <f>D9+B9*10</f>
        <v>60</v>
      </c>
      <c r="E11" s="125" t="str">
        <f>①コンストラクション!$D$4</f>
        <v>■ウォーリア</v>
      </c>
      <c r="F11" s="55">
        <f>VLOOKUP(E11,リファレンス!$B:$M,11,0)+F9</f>
        <v>9</v>
      </c>
      <c r="G11" s="55">
        <f>VLOOKUP(E11,リファレンス!$B:$M,12,0)+G9</f>
        <v>3</v>
      </c>
      <c r="H11" s="125" t="str">
        <f t="shared" si="1"/>
        <v>□サムライ</v>
      </c>
      <c r="I11" s="55">
        <f>VLOOKUP(H11,リファレンス!$B:$M,11,0)+I9</f>
        <v>9</v>
      </c>
      <c r="J11" s="126">
        <f>VLOOKUP(H11,リファレンス!$B:$M,12,0)+J9</f>
        <v>3</v>
      </c>
      <c r="K11" s="127" t="s">
        <v>45</v>
      </c>
      <c r="L11" s="128" t="s">
        <v>44</v>
      </c>
      <c r="M11" s="129" t="s">
        <v>40</v>
      </c>
      <c r="O11" s="134" t="s">
        <v>49</v>
      </c>
      <c r="P11" s="135">
        <f t="shared" si="0"/>
        <v>0</v>
      </c>
      <c r="Q11" s="136">
        <f>①コンストラクション!J16+③レベルアップ!P11</f>
        <v>8</v>
      </c>
    </row>
    <row r="12" spans="1:17" ht="13.5">
      <c r="A12" s="85" t="s">
        <v>93</v>
      </c>
      <c r="B12" s="55" t="s">
        <v>118</v>
      </c>
      <c r="C12" s="122">
        <v>10</v>
      </c>
      <c r="D12" s="122"/>
      <c r="E12" s="130"/>
      <c r="F12" s="130"/>
      <c r="G12" s="130"/>
      <c r="H12" s="131" t="s">
        <v>119</v>
      </c>
      <c r="I12" s="132"/>
      <c r="J12" s="132"/>
      <c r="K12" s="133"/>
      <c r="L12" s="133"/>
      <c r="M12" s="133"/>
      <c r="O12" s="137"/>
      <c r="P12" s="137"/>
      <c r="Q12" s="137"/>
    </row>
    <row r="13" spans="1:17" ht="13.5">
      <c r="A13" s="85" t="s">
        <v>98</v>
      </c>
      <c r="B13" s="55">
        <v>5</v>
      </c>
      <c r="C13" s="55">
        <f>B11*10</f>
        <v>40</v>
      </c>
      <c r="D13" s="55">
        <f>D11+B11*10</f>
        <v>100</v>
      </c>
      <c r="E13" s="125" t="str">
        <f>①コンストラクション!$D$4</f>
        <v>■ウォーリア</v>
      </c>
      <c r="F13" s="55">
        <f>VLOOKUP(E13,リファレンス!$B:$M,11,0)+F11</f>
        <v>12</v>
      </c>
      <c r="G13" s="55">
        <f>VLOOKUP(E13,リファレンス!$B:$M,12,0)+G11</f>
        <v>4</v>
      </c>
      <c r="H13" s="125" t="str">
        <f t="shared" si="1"/>
        <v>■シーフ</v>
      </c>
      <c r="I13" s="55">
        <f>VLOOKUP(H13,リファレンス!$B:$M,11,0)+I11</f>
        <v>11</v>
      </c>
      <c r="J13" s="126">
        <f>VLOOKUP(H13,リファレンス!$B:$M,12,0)+J11</f>
        <v>5</v>
      </c>
      <c r="K13" s="127" t="s">
        <v>44</v>
      </c>
      <c r="L13" s="128" t="s">
        <v>45</v>
      </c>
      <c r="M13" s="129" t="s">
        <v>40</v>
      </c>
      <c r="O13" s="70" t="s">
        <v>120</v>
      </c>
      <c r="P13" s="70"/>
      <c r="Q13" s="70"/>
    </row>
    <row r="14" spans="1:17" ht="13.5">
      <c r="A14" s="85" t="s">
        <v>93</v>
      </c>
      <c r="B14" s="55" t="s">
        <v>118</v>
      </c>
      <c r="C14" s="122">
        <v>10</v>
      </c>
      <c r="D14" s="122"/>
      <c r="E14" s="130"/>
      <c r="F14" s="130"/>
      <c r="G14" s="130"/>
      <c r="H14" s="131" t="str">
        <f t="shared" si="1"/>
        <v>■シーフ</v>
      </c>
      <c r="I14" s="132"/>
      <c r="J14" s="132"/>
      <c r="K14" s="133"/>
      <c r="L14" s="133"/>
      <c r="M14" s="133"/>
      <c r="O14" s="113" t="s">
        <v>99</v>
      </c>
      <c r="P14" s="113"/>
      <c r="Q14" s="138">
        <f>'②成長点記録・ギルドレベル'!G24</f>
        <v>114</v>
      </c>
    </row>
    <row r="15" spans="1:17" ht="13.5">
      <c r="A15" s="85" t="s">
        <v>93</v>
      </c>
      <c r="B15" s="55">
        <v>6</v>
      </c>
      <c r="C15" s="55">
        <f>B13*10</f>
        <v>50</v>
      </c>
      <c r="D15" s="55">
        <f>D13+B13*10</f>
        <v>150</v>
      </c>
      <c r="E15" s="125" t="str">
        <f>①コンストラクション!$D$4</f>
        <v>■ウォーリア</v>
      </c>
      <c r="F15" s="55">
        <f>VLOOKUP(E15,リファレンス!$B:$M,11,0)+F13</f>
        <v>15</v>
      </c>
      <c r="G15" s="55">
        <f>VLOOKUP(E15,リファレンス!$B:$M,12,0)+G13</f>
        <v>5</v>
      </c>
      <c r="H15" s="125" t="str">
        <f t="shared" si="1"/>
        <v>■シーフ</v>
      </c>
      <c r="I15" s="55">
        <f>VLOOKUP(H15,リファレンス!$B:$M,11,0)+I13</f>
        <v>13</v>
      </c>
      <c r="J15" s="126">
        <f>VLOOKUP(H15,リファレンス!$B:$M,12,0)+J13</f>
        <v>7</v>
      </c>
      <c r="K15" s="127" t="s">
        <v>93</v>
      </c>
      <c r="L15" s="128" t="s">
        <v>93</v>
      </c>
      <c r="M15" s="129" t="s">
        <v>93</v>
      </c>
      <c r="O15" s="118" t="s">
        <v>121</v>
      </c>
      <c r="P15" s="118"/>
      <c r="Q15" s="139">
        <f>VLOOKUP("◎",A:B,2,0)</f>
        <v>5</v>
      </c>
    </row>
    <row r="16" spans="1:17" ht="11.25">
      <c r="A16" s="85" t="s">
        <v>93</v>
      </c>
      <c r="B16" s="55" t="s">
        <v>118</v>
      </c>
      <c r="C16" s="122">
        <v>10</v>
      </c>
      <c r="D16" s="122"/>
      <c r="E16" s="130"/>
      <c r="F16" s="130"/>
      <c r="G16" s="130"/>
      <c r="H16" s="131" t="str">
        <f t="shared" si="1"/>
        <v>■シーフ</v>
      </c>
      <c r="I16" s="132"/>
      <c r="J16" s="132"/>
      <c r="K16" s="133"/>
      <c r="L16" s="133"/>
      <c r="M16" s="133"/>
      <c r="O16" s="118" t="s">
        <v>122</v>
      </c>
      <c r="P16" s="118"/>
      <c r="Q16" s="120">
        <f>COUNTIF(A6:A63,リファレンス!B49)</f>
        <v>0</v>
      </c>
    </row>
    <row r="17" spans="1:17" ht="11.25">
      <c r="A17" s="85" t="s">
        <v>93</v>
      </c>
      <c r="B17" s="55">
        <v>7</v>
      </c>
      <c r="C17" s="55">
        <f>B15*10</f>
        <v>60</v>
      </c>
      <c r="D17" s="55">
        <f>D15+B15*10</f>
        <v>210</v>
      </c>
      <c r="E17" s="125" t="str">
        <f>①コンストラクション!$D$4</f>
        <v>■ウォーリア</v>
      </c>
      <c r="F17" s="55">
        <f>VLOOKUP(E17,リファレンス!$B:$M,11,0)+F15</f>
        <v>18</v>
      </c>
      <c r="G17" s="55">
        <f>VLOOKUP(E17,リファレンス!$B:$M,12,0)+G15</f>
        <v>6</v>
      </c>
      <c r="H17" s="125" t="str">
        <f t="shared" si="1"/>
        <v>■シーフ</v>
      </c>
      <c r="I17" s="55">
        <f>VLOOKUP(H17,リファレンス!$B:$M,11,0)+I15</f>
        <v>15</v>
      </c>
      <c r="J17" s="126">
        <f>VLOOKUP(H17,リファレンス!$B:$M,12,0)+J15</f>
        <v>9</v>
      </c>
      <c r="K17" s="127" t="s">
        <v>93</v>
      </c>
      <c r="L17" s="128" t="s">
        <v>93</v>
      </c>
      <c r="M17" s="129" t="s">
        <v>93</v>
      </c>
      <c r="O17" s="140" t="s">
        <v>123</v>
      </c>
      <c r="P17" s="140"/>
      <c r="Q17" s="141" t="s">
        <v>93</v>
      </c>
    </row>
    <row r="18" spans="1:17" ht="11.25">
      <c r="A18" s="85" t="s">
        <v>93</v>
      </c>
      <c r="B18" s="55" t="s">
        <v>118</v>
      </c>
      <c r="C18" s="122">
        <v>10</v>
      </c>
      <c r="D18" s="122"/>
      <c r="E18" s="130"/>
      <c r="F18" s="130"/>
      <c r="G18" s="130"/>
      <c r="H18" s="131" t="str">
        <f t="shared" si="1"/>
        <v>■シーフ</v>
      </c>
      <c r="I18" s="132"/>
      <c r="J18" s="132"/>
      <c r="K18" s="133"/>
      <c r="L18" s="133"/>
      <c r="M18" s="133"/>
      <c r="O18" s="118" t="s">
        <v>124</v>
      </c>
      <c r="P18" s="118"/>
      <c r="Q18" s="120">
        <f>COUNTIF(A6:A63,リファレンス!B50)</f>
        <v>0</v>
      </c>
    </row>
    <row r="19" spans="1:17" ht="11.25">
      <c r="A19" s="85" t="s">
        <v>93</v>
      </c>
      <c r="B19" s="55">
        <v>8</v>
      </c>
      <c r="C19" s="55">
        <f>B17*10</f>
        <v>70</v>
      </c>
      <c r="D19" s="55">
        <f>D17+B17*10</f>
        <v>280</v>
      </c>
      <c r="E19" s="125" t="str">
        <f>①コンストラクション!$D$4</f>
        <v>■ウォーリア</v>
      </c>
      <c r="F19" s="55">
        <f>VLOOKUP(E19,リファレンス!$B:$M,11,0)+F17</f>
        <v>21</v>
      </c>
      <c r="G19" s="55">
        <f>VLOOKUP(E19,リファレンス!$B:$M,12,0)+G17</f>
        <v>7</v>
      </c>
      <c r="H19" s="125" t="str">
        <f t="shared" si="1"/>
        <v>■シーフ</v>
      </c>
      <c r="I19" s="55">
        <f>VLOOKUP(H19,リファレンス!$B:$M,11,0)+I17</f>
        <v>17</v>
      </c>
      <c r="J19" s="126">
        <f>VLOOKUP(H19,リファレンス!$B:$M,12,0)+J17</f>
        <v>11</v>
      </c>
      <c r="K19" s="127" t="s">
        <v>93</v>
      </c>
      <c r="L19" s="128" t="s">
        <v>93</v>
      </c>
      <c r="M19" s="129" t="s">
        <v>93</v>
      </c>
      <c r="O19" s="118" t="s">
        <v>125</v>
      </c>
      <c r="P19" s="118"/>
      <c r="Q19" s="139">
        <f>VLOOKUP(Q15,$B:$D,3,0)+Q16*10+VLOOKUP("◎",$O$29:$Q$59,3,0)+COUNTIF(Q17,"◎")*10+Q18*10</f>
        <v>100</v>
      </c>
    </row>
    <row r="20" spans="1:19" ht="11.25">
      <c r="A20" s="85" t="s">
        <v>93</v>
      </c>
      <c r="B20" s="55" t="s">
        <v>118</v>
      </c>
      <c r="C20" s="122">
        <v>10</v>
      </c>
      <c r="D20" s="122"/>
      <c r="E20" s="130"/>
      <c r="F20" s="130"/>
      <c r="G20" s="130"/>
      <c r="H20" s="131" t="str">
        <f t="shared" si="1"/>
        <v>■シーフ</v>
      </c>
      <c r="I20" s="132"/>
      <c r="J20" s="132"/>
      <c r="K20" s="133"/>
      <c r="L20" s="133"/>
      <c r="M20" s="133"/>
      <c r="O20" s="118" t="s">
        <v>97</v>
      </c>
      <c r="P20" s="118"/>
      <c r="Q20" s="139">
        <f>Q14-Q19</f>
        <v>14</v>
      </c>
      <c r="S20" s="22">
        <f>IF(Q20&gt;=0,"","※成長点が足りません。")</f>
      </c>
    </row>
    <row r="21" spans="1:17" ht="11.25">
      <c r="A21" s="85" t="s">
        <v>93</v>
      </c>
      <c r="B21" s="55">
        <v>9</v>
      </c>
      <c r="C21" s="55">
        <f>B19*10</f>
        <v>80</v>
      </c>
      <c r="D21" s="55">
        <f>D19+B19*10</f>
        <v>360</v>
      </c>
      <c r="E21" s="125" t="str">
        <f>①コンストラクション!$D$4</f>
        <v>■ウォーリア</v>
      </c>
      <c r="F21" s="55">
        <f>VLOOKUP(E21,リファレンス!$B:$M,11,0)+F19</f>
        <v>24</v>
      </c>
      <c r="G21" s="55">
        <f>VLOOKUP(E21,リファレンス!$B:$M,12,0)+G19</f>
        <v>8</v>
      </c>
      <c r="H21" s="125" t="str">
        <f t="shared" si="1"/>
        <v>■シーフ</v>
      </c>
      <c r="I21" s="55">
        <f>VLOOKUP(H21,リファレンス!$B:$M,11,0)+I19</f>
        <v>19</v>
      </c>
      <c r="J21" s="126">
        <f>VLOOKUP(H21,リファレンス!$B:$M,12,0)+J19</f>
        <v>13</v>
      </c>
      <c r="K21" s="127" t="s">
        <v>93</v>
      </c>
      <c r="L21" s="128" t="s">
        <v>93</v>
      </c>
      <c r="M21" s="129" t="s">
        <v>93</v>
      </c>
      <c r="O21" s="118" t="s">
        <v>126</v>
      </c>
      <c r="P21" s="118"/>
      <c r="Q21" s="139">
        <f>VLOOKUP("◎",$A:$J,6,0)+VLOOKUP("◎",$A:$J,9,0)</f>
        <v>23</v>
      </c>
    </row>
    <row r="22" spans="1:17" ht="11.25">
      <c r="A22" s="85" t="s">
        <v>93</v>
      </c>
      <c r="B22" s="55" t="s">
        <v>118</v>
      </c>
      <c r="C22" s="122">
        <v>10</v>
      </c>
      <c r="D22" s="122"/>
      <c r="E22" s="130"/>
      <c r="F22" s="130"/>
      <c r="G22" s="130"/>
      <c r="H22" s="131" t="str">
        <f t="shared" si="1"/>
        <v>■シーフ</v>
      </c>
      <c r="I22" s="132"/>
      <c r="J22" s="132"/>
      <c r="K22" s="133"/>
      <c r="L22" s="133"/>
      <c r="M22" s="133"/>
      <c r="O22" s="118" t="s">
        <v>127</v>
      </c>
      <c r="P22" s="118"/>
      <c r="Q22" s="139">
        <f>VLOOKUP("◎",$A:$J,7,0)+VLOOKUP("◎",$A:$J,10,0)</f>
        <v>9</v>
      </c>
    </row>
    <row r="23" spans="1:17" ht="11.25">
      <c r="A23" s="85" t="s">
        <v>93</v>
      </c>
      <c r="B23" s="55">
        <v>10</v>
      </c>
      <c r="C23" s="55">
        <f>B21*10</f>
        <v>90</v>
      </c>
      <c r="D23" s="55">
        <f>D21+B21*10</f>
        <v>450</v>
      </c>
      <c r="E23" s="125" t="str">
        <f>①コンストラクション!$D$4</f>
        <v>■ウォーリア</v>
      </c>
      <c r="F23" s="55">
        <f>VLOOKUP(E23,リファレンス!$B:$M,11,0)+F21</f>
        <v>27</v>
      </c>
      <c r="G23" s="55">
        <f>VLOOKUP(E23,リファレンス!$B:$M,12,0)+G21</f>
        <v>9</v>
      </c>
      <c r="H23" s="125" t="str">
        <f t="shared" si="1"/>
        <v>■シーフ</v>
      </c>
      <c r="I23" s="55">
        <f>VLOOKUP(H23,リファレンス!$B:$M,11,0)+I21</f>
        <v>21</v>
      </c>
      <c r="J23" s="126">
        <f>VLOOKUP(H23,リファレンス!$B:$M,12,0)+J21</f>
        <v>15</v>
      </c>
      <c r="K23" s="127" t="s">
        <v>93</v>
      </c>
      <c r="L23" s="128" t="s">
        <v>93</v>
      </c>
      <c r="M23" s="129" t="s">
        <v>93</v>
      </c>
      <c r="O23" s="134" t="s">
        <v>128</v>
      </c>
      <c r="P23" s="134"/>
      <c r="Q23" s="142">
        <f>(VLOOKUP("◎",$A:$B,2,0)-1)*2+Q16+6+COUNTIF(①コンストラクション!C36,"始祖の紋章")+COUNTIF(①コンストラクション!C36,"人工生命")+COUNTIF(①コンストラクション!C36,"異種族の親")+COUNTIF(①コンストラクション!C36,"特別な血統")+COUNTIF(①コンストラクション!C36,"滅んだ民族の血")-COUNTIF(リファレンス!Q4,"クラス重複")</f>
        <v>14</v>
      </c>
    </row>
    <row r="24" spans="1:13" ht="11.25">
      <c r="A24" s="85" t="s">
        <v>93</v>
      </c>
      <c r="B24" s="55" t="s">
        <v>118</v>
      </c>
      <c r="C24" s="122">
        <v>10</v>
      </c>
      <c r="D24" s="122"/>
      <c r="E24" s="143" t="str">
        <f>E23</f>
        <v>■ウォーリア</v>
      </c>
      <c r="F24" s="144"/>
      <c r="G24" s="145"/>
      <c r="H24" s="131" t="str">
        <f t="shared" si="1"/>
        <v>■シーフ</v>
      </c>
      <c r="I24" s="132"/>
      <c r="J24" s="132"/>
      <c r="K24" s="133"/>
      <c r="L24" s="133"/>
      <c r="M24" s="133"/>
    </row>
    <row r="25" spans="1:17" ht="11.25">
      <c r="A25" s="85" t="s">
        <v>93</v>
      </c>
      <c r="B25" s="55">
        <v>11</v>
      </c>
      <c r="C25" s="55">
        <f>B23*10</f>
        <v>100</v>
      </c>
      <c r="D25" s="55">
        <f>D23+B23*10</f>
        <v>550</v>
      </c>
      <c r="E25" s="146" t="str">
        <f>E24</f>
        <v>■ウォーリア</v>
      </c>
      <c r="F25" s="55">
        <f>VLOOKUP(E25,リファレンス!$B:$M,11,0)+F23</f>
        <v>30</v>
      </c>
      <c r="G25" s="55">
        <f>VLOOKUP(E25,リファレンス!$B:$M,12,0)+G23</f>
        <v>10</v>
      </c>
      <c r="H25" s="125" t="str">
        <f t="shared" si="1"/>
        <v>■シーフ</v>
      </c>
      <c r="I25" s="55">
        <f>VLOOKUP(H25,リファレンス!$B:$M,11,0)+I23</f>
        <v>23</v>
      </c>
      <c r="J25" s="126">
        <f>VLOOKUP(H25,リファレンス!$B:$M,12,0)+J23</f>
        <v>17</v>
      </c>
      <c r="K25" s="127" t="s">
        <v>93</v>
      </c>
      <c r="L25" s="128" t="s">
        <v>93</v>
      </c>
      <c r="M25" s="129" t="s">
        <v>93</v>
      </c>
      <c r="O25" s="70" t="s">
        <v>129</v>
      </c>
      <c r="P25" s="70"/>
      <c r="Q25" s="70"/>
    </row>
    <row r="26" spans="1:17" ht="13.5">
      <c r="A26" s="85" t="s">
        <v>93</v>
      </c>
      <c r="B26" s="55" t="s">
        <v>118</v>
      </c>
      <c r="C26" s="122">
        <v>10</v>
      </c>
      <c r="D26" s="122"/>
      <c r="E26" s="143" t="str">
        <f aca="true" t="shared" si="2" ref="E26:E43">E25</f>
        <v>■ウォーリア</v>
      </c>
      <c r="F26" s="144"/>
      <c r="G26" s="145"/>
      <c r="H26" s="131" t="str">
        <f t="shared" si="1"/>
        <v>■シーフ</v>
      </c>
      <c r="I26" s="132"/>
      <c r="J26" s="132"/>
      <c r="K26" s="133"/>
      <c r="L26" s="133"/>
      <c r="M26" s="133"/>
      <c r="O26" s="147" t="s">
        <v>130</v>
      </c>
      <c r="P26" s="147"/>
      <c r="Q26" s="148">
        <f>①コンストラクション!F27</f>
        <v>5</v>
      </c>
    </row>
    <row r="27" spans="1:17" ht="13.5">
      <c r="A27" s="85" t="s">
        <v>93</v>
      </c>
      <c r="B27" s="55">
        <v>12</v>
      </c>
      <c r="C27" s="55">
        <f>B25*10</f>
        <v>110</v>
      </c>
      <c r="D27" s="55">
        <f>D25+B25*10</f>
        <v>660</v>
      </c>
      <c r="E27" s="146" t="str">
        <f t="shared" si="2"/>
        <v>■ウォーリア</v>
      </c>
      <c r="F27" s="55">
        <f>VLOOKUP(E27,リファレンス!$B:$M,11,0)+F25</f>
        <v>33</v>
      </c>
      <c r="G27" s="55">
        <f>VLOOKUP(E27,リファレンス!$B:$M,12,0)+G25</f>
        <v>11</v>
      </c>
      <c r="H27" s="125" t="str">
        <f t="shared" si="1"/>
        <v>■シーフ</v>
      </c>
      <c r="I27" s="55">
        <f>VLOOKUP(H27,リファレンス!$B:$M,11,0)+I25</f>
        <v>25</v>
      </c>
      <c r="J27" s="126">
        <f>VLOOKUP(H27,リファレンス!$B:$M,12,0)+J25</f>
        <v>19</v>
      </c>
      <c r="K27" s="127" t="s">
        <v>93</v>
      </c>
      <c r="L27" s="128" t="s">
        <v>93</v>
      </c>
      <c r="M27" s="129" t="s">
        <v>93</v>
      </c>
      <c r="O27" s="147" t="s">
        <v>131</v>
      </c>
      <c r="P27" s="147"/>
      <c r="Q27" s="149">
        <f>VLOOKUP("◎",$O$29:$Q$44,2,0)+$Q$26</f>
        <v>5</v>
      </c>
    </row>
    <row r="28" spans="1:17" ht="13.5">
      <c r="A28" s="85" t="s">
        <v>93</v>
      </c>
      <c r="B28" s="55" t="s">
        <v>118</v>
      </c>
      <c r="C28" s="122">
        <v>10</v>
      </c>
      <c r="D28" s="122"/>
      <c r="E28" s="143" t="str">
        <f t="shared" si="2"/>
        <v>■ウォーリア</v>
      </c>
      <c r="F28" s="144"/>
      <c r="G28" s="145"/>
      <c r="H28" s="131" t="str">
        <f t="shared" si="1"/>
        <v>■シーフ</v>
      </c>
      <c r="I28" s="132"/>
      <c r="J28" s="132"/>
      <c r="K28" s="133"/>
      <c r="L28" s="133"/>
      <c r="M28" s="133"/>
      <c r="O28" s="83" t="s">
        <v>129</v>
      </c>
      <c r="P28" s="83"/>
      <c r="Q28" s="84" t="s">
        <v>96</v>
      </c>
    </row>
    <row r="29" spans="1:17" ht="13.5">
      <c r="A29" s="85" t="s">
        <v>93</v>
      </c>
      <c r="B29" s="55">
        <v>13</v>
      </c>
      <c r="C29" s="55">
        <f>B27*10</f>
        <v>120</v>
      </c>
      <c r="D29" s="55">
        <f>D27+B27*10</f>
        <v>780</v>
      </c>
      <c r="E29" s="146" t="str">
        <f>E28</f>
        <v>■ウォーリア</v>
      </c>
      <c r="F29" s="55">
        <f>VLOOKUP(E29,リファレンス!$B:$M,11,0)+F27</f>
        <v>36</v>
      </c>
      <c r="G29" s="55">
        <f>VLOOKUP(E29,リファレンス!$B:$M,12,0)+G27</f>
        <v>12</v>
      </c>
      <c r="H29" s="125" t="str">
        <f>H28</f>
        <v>■シーフ</v>
      </c>
      <c r="I29" s="55">
        <f>VLOOKUP(H29,リファレンス!$B:$M,11,0)+I27</f>
        <v>27</v>
      </c>
      <c r="J29" s="126">
        <f>VLOOKUP(H29,リファレンス!$B:$M,12,0)+J27</f>
        <v>21</v>
      </c>
      <c r="K29" s="127" t="s">
        <v>93</v>
      </c>
      <c r="L29" s="128" t="s">
        <v>93</v>
      </c>
      <c r="M29" s="129" t="s">
        <v>93</v>
      </c>
      <c r="O29" s="85" t="s">
        <v>98</v>
      </c>
      <c r="P29" s="150">
        <v>0</v>
      </c>
      <c r="Q29" s="80">
        <v>0</v>
      </c>
    </row>
    <row r="30" spans="1:17" ht="13.5">
      <c r="A30" s="85" t="s">
        <v>93</v>
      </c>
      <c r="B30" s="55" t="s">
        <v>118</v>
      </c>
      <c r="C30" s="122">
        <v>10</v>
      </c>
      <c r="D30" s="122"/>
      <c r="E30" s="143" t="str">
        <f t="shared" si="2"/>
        <v>■ウォーリア</v>
      </c>
      <c r="F30" s="144"/>
      <c r="G30" s="145"/>
      <c r="H30" s="131" t="str">
        <f t="shared" si="1"/>
        <v>■シーフ</v>
      </c>
      <c r="I30" s="132"/>
      <c r="J30" s="132"/>
      <c r="K30" s="133"/>
      <c r="L30" s="133"/>
      <c r="M30" s="133"/>
      <c r="O30" s="85" t="s">
        <v>93</v>
      </c>
      <c r="P30" s="150">
        <v>1</v>
      </c>
      <c r="Q30" s="80">
        <f>($Q$26+P30-1)*2</f>
        <v>10</v>
      </c>
    </row>
    <row r="31" spans="1:17" ht="13.5">
      <c r="A31" s="85" t="s">
        <v>93</v>
      </c>
      <c r="B31" s="55">
        <v>14</v>
      </c>
      <c r="C31" s="55">
        <f>B29*10</f>
        <v>130</v>
      </c>
      <c r="D31" s="55">
        <f>D29+B29*10</f>
        <v>910</v>
      </c>
      <c r="E31" s="146" t="str">
        <f t="shared" si="2"/>
        <v>■ウォーリア</v>
      </c>
      <c r="F31" s="55">
        <f>VLOOKUP(E31,リファレンス!$B:$M,11,0)+F29</f>
        <v>39</v>
      </c>
      <c r="G31" s="55">
        <f>VLOOKUP(E31,リファレンス!$B:$M,12,0)+G29</f>
        <v>13</v>
      </c>
      <c r="H31" s="125" t="str">
        <f t="shared" si="1"/>
        <v>■シーフ</v>
      </c>
      <c r="I31" s="55">
        <f>VLOOKUP(H31,リファレンス!$B:$M,11,0)+I29</f>
        <v>29</v>
      </c>
      <c r="J31" s="126">
        <f>VLOOKUP(H31,リファレンス!$B:$M,12,0)+J29</f>
        <v>23</v>
      </c>
      <c r="K31" s="127" t="s">
        <v>93</v>
      </c>
      <c r="L31" s="128" t="s">
        <v>93</v>
      </c>
      <c r="M31" s="129" t="s">
        <v>93</v>
      </c>
      <c r="O31" s="85" t="s">
        <v>93</v>
      </c>
      <c r="P31" s="150">
        <v>2</v>
      </c>
      <c r="Q31" s="80">
        <f aca="true" t="shared" si="3" ref="Q31:Q59">($Q$26+P31-1)*2+Q30</f>
        <v>22</v>
      </c>
    </row>
    <row r="32" spans="1:17" ht="13.5">
      <c r="A32" s="85" t="s">
        <v>93</v>
      </c>
      <c r="B32" s="55" t="s">
        <v>118</v>
      </c>
      <c r="C32" s="122">
        <v>10</v>
      </c>
      <c r="D32" s="122"/>
      <c r="E32" s="143" t="str">
        <f t="shared" si="2"/>
        <v>■ウォーリア</v>
      </c>
      <c r="F32" s="144"/>
      <c r="G32" s="145"/>
      <c r="H32" s="131" t="str">
        <f t="shared" si="1"/>
        <v>■シーフ</v>
      </c>
      <c r="I32" s="132"/>
      <c r="J32" s="132"/>
      <c r="K32" s="133"/>
      <c r="L32" s="133"/>
      <c r="M32" s="133"/>
      <c r="O32" s="85" t="s">
        <v>93</v>
      </c>
      <c r="P32" s="150">
        <v>3</v>
      </c>
      <c r="Q32" s="80">
        <f t="shared" si="3"/>
        <v>36</v>
      </c>
    </row>
    <row r="33" spans="1:17" ht="13.5">
      <c r="A33" s="85" t="s">
        <v>93</v>
      </c>
      <c r="B33" s="55">
        <v>15</v>
      </c>
      <c r="C33" s="55">
        <f>B31*10</f>
        <v>140</v>
      </c>
      <c r="D33" s="55">
        <f>D31+B31*10</f>
        <v>1050</v>
      </c>
      <c r="E33" s="146" t="str">
        <f t="shared" si="2"/>
        <v>■ウォーリア</v>
      </c>
      <c r="F33" s="55">
        <f>VLOOKUP(E33,リファレンス!$B:$M,11,0)+F31</f>
        <v>42</v>
      </c>
      <c r="G33" s="55">
        <f>VLOOKUP(E33,リファレンス!$B:$M,12,0)+G31</f>
        <v>14</v>
      </c>
      <c r="H33" s="125" t="str">
        <f t="shared" si="1"/>
        <v>■シーフ</v>
      </c>
      <c r="I33" s="55">
        <f>VLOOKUP(H33,リファレンス!$B:$M,11,0)+I31</f>
        <v>31</v>
      </c>
      <c r="J33" s="126">
        <f>VLOOKUP(H33,リファレンス!$B:$M,12,0)+J31</f>
        <v>25</v>
      </c>
      <c r="K33" s="127" t="s">
        <v>93</v>
      </c>
      <c r="L33" s="128" t="s">
        <v>93</v>
      </c>
      <c r="M33" s="129" t="s">
        <v>93</v>
      </c>
      <c r="O33" s="85" t="s">
        <v>93</v>
      </c>
      <c r="P33" s="150">
        <v>4</v>
      </c>
      <c r="Q33" s="80">
        <f t="shared" si="3"/>
        <v>52</v>
      </c>
    </row>
    <row r="34" spans="1:17" ht="13.5">
      <c r="A34" s="85" t="s">
        <v>93</v>
      </c>
      <c r="B34" s="55" t="s">
        <v>118</v>
      </c>
      <c r="C34" s="122">
        <v>10</v>
      </c>
      <c r="D34" s="122"/>
      <c r="E34" s="143" t="str">
        <f t="shared" si="2"/>
        <v>■ウォーリア</v>
      </c>
      <c r="F34" s="144"/>
      <c r="G34" s="145"/>
      <c r="H34" s="131" t="str">
        <f t="shared" si="1"/>
        <v>■シーフ</v>
      </c>
      <c r="I34" s="132"/>
      <c r="J34" s="132"/>
      <c r="K34" s="133"/>
      <c r="L34" s="133"/>
      <c r="M34" s="133"/>
      <c r="O34" s="85" t="s">
        <v>93</v>
      </c>
      <c r="P34" s="150">
        <v>5</v>
      </c>
      <c r="Q34" s="80">
        <f>($Q$26+P34-1)*2+Q33</f>
        <v>70</v>
      </c>
    </row>
    <row r="35" spans="1:17" ht="13.5">
      <c r="A35" s="85" t="s">
        <v>93</v>
      </c>
      <c r="B35" s="55">
        <v>16</v>
      </c>
      <c r="C35" s="55">
        <f>B33*10</f>
        <v>150</v>
      </c>
      <c r="D35" s="55">
        <f>D33+B33*10</f>
        <v>1200</v>
      </c>
      <c r="E35" s="146" t="str">
        <f t="shared" si="2"/>
        <v>■ウォーリア</v>
      </c>
      <c r="F35" s="55">
        <f>VLOOKUP(E35,リファレンス!$B:$M,11,0)+F33</f>
        <v>45</v>
      </c>
      <c r="G35" s="55">
        <f>VLOOKUP(E35,リファレンス!$B:$M,12,0)+G33</f>
        <v>15</v>
      </c>
      <c r="H35" s="125" t="str">
        <f>H34</f>
        <v>■シーフ</v>
      </c>
      <c r="I35" s="55">
        <f>VLOOKUP(H35,リファレンス!$B:$M,11,0)+I33</f>
        <v>33</v>
      </c>
      <c r="J35" s="126">
        <f>VLOOKUP(H35,リファレンス!$B:$M,12,0)+J33</f>
        <v>27</v>
      </c>
      <c r="K35" s="127" t="s">
        <v>93</v>
      </c>
      <c r="L35" s="128" t="s">
        <v>93</v>
      </c>
      <c r="M35" s="129" t="s">
        <v>93</v>
      </c>
      <c r="O35" s="85" t="s">
        <v>93</v>
      </c>
      <c r="P35" s="150">
        <v>6</v>
      </c>
      <c r="Q35" s="80">
        <f t="shared" si="3"/>
        <v>90</v>
      </c>
    </row>
    <row r="36" spans="1:17" ht="13.5">
      <c r="A36" s="85" t="s">
        <v>93</v>
      </c>
      <c r="B36" s="55" t="s">
        <v>118</v>
      </c>
      <c r="C36" s="122">
        <v>10</v>
      </c>
      <c r="D36" s="122"/>
      <c r="E36" s="143" t="str">
        <f t="shared" si="2"/>
        <v>■ウォーリア</v>
      </c>
      <c r="F36" s="144"/>
      <c r="G36" s="145"/>
      <c r="H36" s="131" t="str">
        <f>H35</f>
        <v>■シーフ</v>
      </c>
      <c r="I36" s="132"/>
      <c r="J36" s="132"/>
      <c r="K36" s="133"/>
      <c r="L36" s="133"/>
      <c r="M36" s="133"/>
      <c r="O36" s="85" t="s">
        <v>93</v>
      </c>
      <c r="P36" s="150">
        <v>7</v>
      </c>
      <c r="Q36" s="80">
        <f t="shared" si="3"/>
        <v>112</v>
      </c>
    </row>
    <row r="37" spans="1:17" ht="13.5">
      <c r="A37" s="85" t="s">
        <v>93</v>
      </c>
      <c r="B37" s="55">
        <v>17</v>
      </c>
      <c r="C37" s="55">
        <f>B35*10</f>
        <v>160</v>
      </c>
      <c r="D37" s="55">
        <f>D35+B35*10</f>
        <v>1360</v>
      </c>
      <c r="E37" s="146" t="str">
        <f t="shared" si="2"/>
        <v>■ウォーリア</v>
      </c>
      <c r="F37" s="55">
        <f>VLOOKUP(E37,リファレンス!$B:$M,11,0)+F35</f>
        <v>48</v>
      </c>
      <c r="G37" s="55">
        <f>VLOOKUP(E37,リファレンス!$B:$M,12,0)+G35</f>
        <v>16</v>
      </c>
      <c r="H37" s="125" t="str">
        <f aca="true" t="shared" si="4" ref="H37:H48">H36</f>
        <v>■シーフ</v>
      </c>
      <c r="I37" s="55">
        <f>VLOOKUP(H37,リファレンス!$B:$M,11,0)+I35</f>
        <v>35</v>
      </c>
      <c r="J37" s="126">
        <f>VLOOKUP(H37,リファレンス!$B:$M,12,0)+J35</f>
        <v>29</v>
      </c>
      <c r="K37" s="127" t="s">
        <v>93</v>
      </c>
      <c r="L37" s="128" t="s">
        <v>93</v>
      </c>
      <c r="M37" s="129" t="s">
        <v>93</v>
      </c>
      <c r="O37" s="85" t="s">
        <v>93</v>
      </c>
      <c r="P37" s="150">
        <v>8</v>
      </c>
      <c r="Q37" s="80">
        <f t="shared" si="3"/>
        <v>136</v>
      </c>
    </row>
    <row r="38" spans="1:17" ht="13.5">
      <c r="A38" s="85" t="s">
        <v>93</v>
      </c>
      <c r="B38" s="55" t="s">
        <v>118</v>
      </c>
      <c r="C38" s="122">
        <v>10</v>
      </c>
      <c r="D38" s="122"/>
      <c r="E38" s="143" t="str">
        <f t="shared" si="2"/>
        <v>■ウォーリア</v>
      </c>
      <c r="F38" s="144"/>
      <c r="G38" s="145"/>
      <c r="H38" s="131" t="str">
        <f t="shared" si="4"/>
        <v>■シーフ</v>
      </c>
      <c r="I38" s="132"/>
      <c r="J38" s="132"/>
      <c r="K38" s="133"/>
      <c r="L38" s="133"/>
      <c r="M38" s="133"/>
      <c r="O38" s="85" t="s">
        <v>93</v>
      </c>
      <c r="P38" s="150">
        <v>9</v>
      </c>
      <c r="Q38" s="80">
        <f t="shared" si="3"/>
        <v>162</v>
      </c>
    </row>
    <row r="39" spans="1:17" ht="13.5">
      <c r="A39" s="85" t="s">
        <v>93</v>
      </c>
      <c r="B39" s="55">
        <v>18</v>
      </c>
      <c r="C39" s="55">
        <f>B37*10</f>
        <v>170</v>
      </c>
      <c r="D39" s="55">
        <f>D37+B37*10</f>
        <v>1530</v>
      </c>
      <c r="E39" s="146" t="str">
        <f t="shared" si="2"/>
        <v>■ウォーリア</v>
      </c>
      <c r="F39" s="55">
        <f>VLOOKUP(E39,リファレンス!$B:$M,11,0)+F37</f>
        <v>51</v>
      </c>
      <c r="G39" s="55">
        <f>VLOOKUP(E39,リファレンス!$B:$M,12,0)+G37</f>
        <v>17</v>
      </c>
      <c r="H39" s="125" t="str">
        <f t="shared" si="4"/>
        <v>■シーフ</v>
      </c>
      <c r="I39" s="55">
        <f>VLOOKUP(H39,リファレンス!$B:$M,11,0)+I37</f>
        <v>37</v>
      </c>
      <c r="J39" s="126">
        <f>VLOOKUP(H39,リファレンス!$B:$M,12,0)+J37</f>
        <v>31</v>
      </c>
      <c r="K39" s="127" t="s">
        <v>93</v>
      </c>
      <c r="L39" s="128" t="s">
        <v>93</v>
      </c>
      <c r="M39" s="129" t="s">
        <v>93</v>
      </c>
      <c r="O39" s="85" t="s">
        <v>93</v>
      </c>
      <c r="P39" s="150">
        <v>10</v>
      </c>
      <c r="Q39" s="80">
        <f t="shared" si="3"/>
        <v>190</v>
      </c>
    </row>
    <row r="40" spans="1:17" ht="13.5">
      <c r="A40" s="85" t="s">
        <v>93</v>
      </c>
      <c r="B40" s="55" t="s">
        <v>118</v>
      </c>
      <c r="C40" s="122">
        <v>10</v>
      </c>
      <c r="D40" s="122"/>
      <c r="E40" s="143" t="str">
        <f t="shared" si="2"/>
        <v>■ウォーリア</v>
      </c>
      <c r="F40" s="144"/>
      <c r="G40" s="145"/>
      <c r="H40" s="131" t="str">
        <f t="shared" si="4"/>
        <v>■シーフ</v>
      </c>
      <c r="I40" s="132"/>
      <c r="J40" s="132"/>
      <c r="K40" s="133"/>
      <c r="L40" s="133"/>
      <c r="M40" s="133"/>
      <c r="O40" s="85" t="s">
        <v>93</v>
      </c>
      <c r="P40" s="150">
        <v>11</v>
      </c>
      <c r="Q40" s="80">
        <f t="shared" si="3"/>
        <v>220</v>
      </c>
    </row>
    <row r="41" spans="1:17" ht="13.5">
      <c r="A41" s="85" t="s">
        <v>93</v>
      </c>
      <c r="B41" s="55">
        <v>19</v>
      </c>
      <c r="C41" s="55">
        <f>B39*10</f>
        <v>180</v>
      </c>
      <c r="D41" s="55">
        <f>D39+B39*10</f>
        <v>1710</v>
      </c>
      <c r="E41" s="146" t="str">
        <f t="shared" si="2"/>
        <v>■ウォーリア</v>
      </c>
      <c r="F41" s="55">
        <f>VLOOKUP(E41,リファレンス!$B:$M,11,0)+F39</f>
        <v>54</v>
      </c>
      <c r="G41" s="55">
        <f>VLOOKUP(E41,リファレンス!$B:$M,12,0)+G39</f>
        <v>18</v>
      </c>
      <c r="H41" s="125" t="str">
        <f t="shared" si="4"/>
        <v>■シーフ</v>
      </c>
      <c r="I41" s="55">
        <f>VLOOKUP(H41,リファレンス!$B:$M,11,0)+I39</f>
        <v>39</v>
      </c>
      <c r="J41" s="126">
        <f>VLOOKUP(H41,リファレンス!$B:$M,12,0)+J39</f>
        <v>33</v>
      </c>
      <c r="K41" s="127" t="s">
        <v>93</v>
      </c>
      <c r="L41" s="128" t="s">
        <v>93</v>
      </c>
      <c r="M41" s="129" t="s">
        <v>93</v>
      </c>
      <c r="O41" s="85" t="s">
        <v>93</v>
      </c>
      <c r="P41" s="150">
        <v>12</v>
      </c>
      <c r="Q41" s="80">
        <f t="shared" si="3"/>
        <v>252</v>
      </c>
    </row>
    <row r="42" spans="1:17" ht="13.5">
      <c r="A42" s="85" t="s">
        <v>93</v>
      </c>
      <c r="B42" s="55" t="s">
        <v>118</v>
      </c>
      <c r="C42" s="122">
        <v>10</v>
      </c>
      <c r="D42" s="122"/>
      <c r="E42" s="143" t="str">
        <f>E41</f>
        <v>■ウォーリア</v>
      </c>
      <c r="F42" s="144"/>
      <c r="G42" s="145"/>
      <c r="H42" s="131" t="str">
        <f>H41</f>
        <v>■シーフ</v>
      </c>
      <c r="I42" s="132"/>
      <c r="J42" s="132"/>
      <c r="K42" s="133"/>
      <c r="L42" s="133"/>
      <c r="M42" s="133"/>
      <c r="O42" s="85" t="s">
        <v>93</v>
      </c>
      <c r="P42" s="150">
        <v>13</v>
      </c>
      <c r="Q42" s="80">
        <f t="shared" si="3"/>
        <v>286</v>
      </c>
    </row>
    <row r="43" spans="1:17" ht="13.5">
      <c r="A43" s="151" t="s">
        <v>93</v>
      </c>
      <c r="B43" s="152">
        <v>20</v>
      </c>
      <c r="C43" s="152">
        <f>B41*10</f>
        <v>190</v>
      </c>
      <c r="D43" s="152">
        <f>D41+B41*10</f>
        <v>1900</v>
      </c>
      <c r="E43" s="153" t="str">
        <f t="shared" si="2"/>
        <v>■ウォーリア</v>
      </c>
      <c r="F43" s="152">
        <f>VLOOKUP(E43,リファレンス!$B:$M,11,0)+F41</f>
        <v>57</v>
      </c>
      <c r="G43" s="152">
        <f>VLOOKUP(E43,リファレンス!$B:$M,12,0)+G41</f>
        <v>19</v>
      </c>
      <c r="H43" s="154" t="str">
        <f t="shared" si="4"/>
        <v>■シーフ</v>
      </c>
      <c r="I43" s="152">
        <f>VLOOKUP(H43,リファレンス!$B:$M,11,0)+I41</f>
        <v>41</v>
      </c>
      <c r="J43" s="155">
        <f>VLOOKUP(H43,リファレンス!$B:$M,12,0)+J41</f>
        <v>35</v>
      </c>
      <c r="K43" s="127" t="s">
        <v>93</v>
      </c>
      <c r="L43" s="128" t="s">
        <v>93</v>
      </c>
      <c r="M43" s="129" t="s">
        <v>93</v>
      </c>
      <c r="O43" s="85" t="s">
        <v>93</v>
      </c>
      <c r="P43" s="150">
        <v>14</v>
      </c>
      <c r="Q43" s="80">
        <f>($Q$26+P43-1)*2+Q42</f>
        <v>322</v>
      </c>
    </row>
    <row r="44" spans="1:17" ht="13.5">
      <c r="A44" s="85" t="s">
        <v>93</v>
      </c>
      <c r="B44" s="55" t="s">
        <v>118</v>
      </c>
      <c r="C44" s="122">
        <v>10</v>
      </c>
      <c r="D44" s="122"/>
      <c r="E44" s="143" t="str">
        <f aca="true" t="shared" si="5" ref="E44:E49">E43</f>
        <v>■ウォーリア</v>
      </c>
      <c r="F44" s="144"/>
      <c r="G44" s="145"/>
      <c r="H44" s="131" t="str">
        <f t="shared" si="4"/>
        <v>■シーフ</v>
      </c>
      <c r="I44" s="132"/>
      <c r="J44" s="132"/>
      <c r="K44" s="133"/>
      <c r="L44" s="133"/>
      <c r="M44" s="133"/>
      <c r="O44" s="85" t="s">
        <v>93</v>
      </c>
      <c r="P44" s="150">
        <v>15</v>
      </c>
      <c r="Q44" s="80">
        <f t="shared" si="3"/>
        <v>360</v>
      </c>
    </row>
    <row r="45" spans="1:17" ht="13.5">
      <c r="A45" s="85" t="s">
        <v>93</v>
      </c>
      <c r="B45" s="55">
        <v>21</v>
      </c>
      <c r="C45" s="55">
        <f>B43*10</f>
        <v>200</v>
      </c>
      <c r="D45" s="55">
        <f>D43+B43*10</f>
        <v>2100</v>
      </c>
      <c r="E45" s="146" t="str">
        <f t="shared" si="5"/>
        <v>■ウォーリア</v>
      </c>
      <c r="F45" s="55">
        <f>VLOOKUP(E45,リファレンス!$B:$M,11,0)+F43</f>
        <v>60</v>
      </c>
      <c r="G45" s="55">
        <f>VLOOKUP(E45,リファレンス!$B:$M,12,0)+G43</f>
        <v>20</v>
      </c>
      <c r="H45" s="125" t="str">
        <f t="shared" si="4"/>
        <v>■シーフ</v>
      </c>
      <c r="I45" s="55">
        <f>VLOOKUP(H45,リファレンス!$B:$M,11,0)+I43</f>
        <v>43</v>
      </c>
      <c r="J45" s="126">
        <f>VLOOKUP(H45,リファレンス!$B:$M,12,0)+J43</f>
        <v>37</v>
      </c>
      <c r="K45" s="127" t="s">
        <v>93</v>
      </c>
      <c r="L45" s="128" t="s">
        <v>93</v>
      </c>
      <c r="M45" s="129" t="s">
        <v>93</v>
      </c>
      <c r="O45" s="85" t="s">
        <v>93</v>
      </c>
      <c r="P45" s="150">
        <v>16</v>
      </c>
      <c r="Q45" s="80">
        <f t="shared" si="3"/>
        <v>400</v>
      </c>
    </row>
    <row r="46" spans="1:17" ht="13.5">
      <c r="A46" s="85" t="s">
        <v>93</v>
      </c>
      <c r="B46" s="55" t="s">
        <v>118</v>
      </c>
      <c r="C46" s="122">
        <v>10</v>
      </c>
      <c r="D46" s="122"/>
      <c r="E46" s="143" t="str">
        <f t="shared" si="5"/>
        <v>■ウォーリア</v>
      </c>
      <c r="F46" s="144"/>
      <c r="G46" s="145"/>
      <c r="H46" s="131" t="str">
        <f t="shared" si="4"/>
        <v>■シーフ</v>
      </c>
      <c r="I46" s="132"/>
      <c r="J46" s="132"/>
      <c r="K46" s="133"/>
      <c r="L46" s="133"/>
      <c r="M46" s="133"/>
      <c r="O46" s="85" t="s">
        <v>93</v>
      </c>
      <c r="P46" s="150">
        <v>17</v>
      </c>
      <c r="Q46" s="80">
        <f t="shared" si="3"/>
        <v>442</v>
      </c>
    </row>
    <row r="47" spans="1:17" ht="13.5">
      <c r="A47" s="85" t="s">
        <v>93</v>
      </c>
      <c r="B47" s="55">
        <v>22</v>
      </c>
      <c r="C47" s="55">
        <f>B45*10</f>
        <v>210</v>
      </c>
      <c r="D47" s="55">
        <f>D45+B45*10</f>
        <v>2310</v>
      </c>
      <c r="E47" s="146" t="str">
        <f t="shared" si="5"/>
        <v>■ウォーリア</v>
      </c>
      <c r="F47" s="55">
        <f>VLOOKUP(E47,リファレンス!$B:$M,11,0)+F45</f>
        <v>63</v>
      </c>
      <c r="G47" s="55">
        <f>VLOOKUP(E47,リファレンス!$B:$M,12,0)+G45</f>
        <v>21</v>
      </c>
      <c r="H47" s="125" t="str">
        <f t="shared" si="4"/>
        <v>■シーフ</v>
      </c>
      <c r="I47" s="55">
        <f>VLOOKUP(H47,リファレンス!$B:$M,11,0)+I45</f>
        <v>45</v>
      </c>
      <c r="J47" s="126">
        <f>VLOOKUP(H47,リファレンス!$B:$M,12,0)+J45</f>
        <v>39</v>
      </c>
      <c r="K47" s="127" t="s">
        <v>93</v>
      </c>
      <c r="L47" s="128" t="s">
        <v>93</v>
      </c>
      <c r="M47" s="129" t="s">
        <v>93</v>
      </c>
      <c r="O47" s="85" t="s">
        <v>93</v>
      </c>
      <c r="P47" s="150">
        <v>18</v>
      </c>
      <c r="Q47" s="80">
        <f t="shared" si="3"/>
        <v>486</v>
      </c>
    </row>
    <row r="48" spans="1:17" ht="13.5">
      <c r="A48" s="85" t="s">
        <v>93</v>
      </c>
      <c r="B48" s="55" t="s">
        <v>118</v>
      </c>
      <c r="C48" s="122">
        <v>10</v>
      </c>
      <c r="D48" s="122"/>
      <c r="E48" s="143" t="str">
        <f t="shared" si="5"/>
        <v>■ウォーリア</v>
      </c>
      <c r="F48" s="144"/>
      <c r="G48" s="145"/>
      <c r="H48" s="131" t="str">
        <f t="shared" si="4"/>
        <v>■シーフ</v>
      </c>
      <c r="I48" s="132"/>
      <c r="J48" s="132"/>
      <c r="K48" s="133"/>
      <c r="L48" s="133"/>
      <c r="M48" s="133"/>
      <c r="O48" s="85" t="s">
        <v>93</v>
      </c>
      <c r="P48" s="150">
        <v>19</v>
      </c>
      <c r="Q48" s="80">
        <f t="shared" si="3"/>
        <v>532</v>
      </c>
    </row>
    <row r="49" spans="1:17" ht="13.5">
      <c r="A49" s="85" t="s">
        <v>93</v>
      </c>
      <c r="B49" s="55">
        <v>23</v>
      </c>
      <c r="C49" s="55">
        <f>B47*10</f>
        <v>220</v>
      </c>
      <c r="D49" s="55">
        <f>D47+B47*10</f>
        <v>2530</v>
      </c>
      <c r="E49" s="146" t="str">
        <f t="shared" si="5"/>
        <v>■ウォーリア</v>
      </c>
      <c r="F49" s="55">
        <f>VLOOKUP(E49,リファレンス!$B:$M,11,0)+F47</f>
        <v>66</v>
      </c>
      <c r="G49" s="55">
        <f>VLOOKUP(E49,リファレンス!$B:$M,12,0)+G47</f>
        <v>22</v>
      </c>
      <c r="H49" s="125" t="str">
        <f aca="true" t="shared" si="6" ref="H49:H56">H48</f>
        <v>■シーフ</v>
      </c>
      <c r="I49" s="55">
        <f>VLOOKUP(H49,リファレンス!$B:$M,11,0)+I47</f>
        <v>47</v>
      </c>
      <c r="J49" s="126">
        <f>VLOOKUP(H49,リファレンス!$B:$M,12,0)+J47</f>
        <v>41</v>
      </c>
      <c r="K49" s="127" t="s">
        <v>93</v>
      </c>
      <c r="L49" s="128" t="s">
        <v>93</v>
      </c>
      <c r="M49" s="129" t="s">
        <v>93</v>
      </c>
      <c r="O49" s="85" t="s">
        <v>93</v>
      </c>
      <c r="P49" s="150">
        <v>20</v>
      </c>
      <c r="Q49" s="80">
        <f t="shared" si="3"/>
        <v>580</v>
      </c>
    </row>
    <row r="50" spans="1:17" ht="13.5">
      <c r="A50" s="85" t="s">
        <v>93</v>
      </c>
      <c r="B50" s="55" t="s">
        <v>118</v>
      </c>
      <c r="C50" s="122">
        <v>10</v>
      </c>
      <c r="D50" s="122"/>
      <c r="E50" s="143" t="str">
        <f aca="true" t="shared" si="7" ref="E50:E61">E49</f>
        <v>■ウォーリア</v>
      </c>
      <c r="F50" s="144"/>
      <c r="G50" s="145"/>
      <c r="H50" s="131" t="str">
        <f t="shared" si="6"/>
        <v>■シーフ</v>
      </c>
      <c r="I50" s="132"/>
      <c r="J50" s="132"/>
      <c r="K50" s="133"/>
      <c r="L50" s="133"/>
      <c r="M50" s="133"/>
      <c r="O50" s="85" t="s">
        <v>93</v>
      </c>
      <c r="P50" s="150">
        <v>21</v>
      </c>
      <c r="Q50" s="80">
        <f t="shared" si="3"/>
        <v>630</v>
      </c>
    </row>
    <row r="51" spans="1:17" ht="13.5">
      <c r="A51" s="85" t="s">
        <v>93</v>
      </c>
      <c r="B51" s="55">
        <v>24</v>
      </c>
      <c r="C51" s="55">
        <f>B49*10</f>
        <v>230</v>
      </c>
      <c r="D51" s="55">
        <f>D49+B49*10</f>
        <v>2760</v>
      </c>
      <c r="E51" s="146" t="str">
        <f t="shared" si="7"/>
        <v>■ウォーリア</v>
      </c>
      <c r="F51" s="55">
        <f>VLOOKUP(E51,リファレンス!$B:$M,11,0)+F49</f>
        <v>69</v>
      </c>
      <c r="G51" s="55">
        <f>VLOOKUP(E51,リファレンス!$B:$M,12,0)+G49</f>
        <v>23</v>
      </c>
      <c r="H51" s="125" t="str">
        <f t="shared" si="6"/>
        <v>■シーフ</v>
      </c>
      <c r="I51" s="55">
        <f>VLOOKUP(H51,リファレンス!$B:$M,11,0)+I49</f>
        <v>49</v>
      </c>
      <c r="J51" s="126">
        <f>VLOOKUP(H51,リファレンス!$B:$M,12,0)+J49</f>
        <v>43</v>
      </c>
      <c r="K51" s="127" t="s">
        <v>93</v>
      </c>
      <c r="L51" s="128" t="s">
        <v>93</v>
      </c>
      <c r="M51" s="129" t="s">
        <v>93</v>
      </c>
      <c r="O51" s="85" t="s">
        <v>93</v>
      </c>
      <c r="P51" s="150">
        <v>22</v>
      </c>
      <c r="Q51" s="80">
        <f t="shared" si="3"/>
        <v>682</v>
      </c>
    </row>
    <row r="52" spans="1:17" ht="13.5">
      <c r="A52" s="85" t="s">
        <v>93</v>
      </c>
      <c r="B52" s="55" t="s">
        <v>118</v>
      </c>
      <c r="C52" s="122">
        <v>10</v>
      </c>
      <c r="D52" s="122"/>
      <c r="E52" s="143" t="str">
        <f t="shared" si="7"/>
        <v>■ウォーリア</v>
      </c>
      <c r="F52" s="144"/>
      <c r="G52" s="145"/>
      <c r="H52" s="131" t="str">
        <f t="shared" si="6"/>
        <v>■シーフ</v>
      </c>
      <c r="I52" s="132"/>
      <c r="J52" s="132"/>
      <c r="K52" s="133"/>
      <c r="L52" s="133"/>
      <c r="M52" s="133"/>
      <c r="O52" s="85" t="s">
        <v>93</v>
      </c>
      <c r="P52" s="150">
        <v>23</v>
      </c>
      <c r="Q52" s="80">
        <f t="shared" si="3"/>
        <v>736</v>
      </c>
    </row>
    <row r="53" spans="1:17" ht="13.5">
      <c r="A53" s="85" t="s">
        <v>93</v>
      </c>
      <c r="B53" s="55">
        <v>25</v>
      </c>
      <c r="C53" s="55">
        <f>B51*10</f>
        <v>240</v>
      </c>
      <c r="D53" s="55">
        <f>D51+B51*10</f>
        <v>3000</v>
      </c>
      <c r="E53" s="146" t="str">
        <f t="shared" si="7"/>
        <v>■ウォーリア</v>
      </c>
      <c r="F53" s="55">
        <f>VLOOKUP(E53,リファレンス!$B:$M,11,0)+F51</f>
        <v>72</v>
      </c>
      <c r="G53" s="55">
        <f>VLOOKUP(E53,リファレンス!$B:$M,12,0)+G51</f>
        <v>24</v>
      </c>
      <c r="H53" s="125" t="str">
        <f t="shared" si="6"/>
        <v>■シーフ</v>
      </c>
      <c r="I53" s="55">
        <f>VLOOKUP(H53,リファレンス!$B:$M,11,0)+I51</f>
        <v>51</v>
      </c>
      <c r="J53" s="126">
        <f>VLOOKUP(H53,リファレンス!$B:$M,12,0)+J51</f>
        <v>45</v>
      </c>
      <c r="K53" s="127" t="s">
        <v>93</v>
      </c>
      <c r="L53" s="128" t="s">
        <v>93</v>
      </c>
      <c r="M53" s="129" t="s">
        <v>93</v>
      </c>
      <c r="O53" s="85" t="s">
        <v>93</v>
      </c>
      <c r="P53" s="150">
        <v>24</v>
      </c>
      <c r="Q53" s="80">
        <f t="shared" si="3"/>
        <v>792</v>
      </c>
    </row>
    <row r="54" spans="1:17" ht="13.5">
      <c r="A54" s="85" t="s">
        <v>93</v>
      </c>
      <c r="B54" s="55" t="s">
        <v>118</v>
      </c>
      <c r="C54" s="122">
        <v>10</v>
      </c>
      <c r="D54" s="122"/>
      <c r="E54" s="143" t="str">
        <f t="shared" si="7"/>
        <v>■ウォーリア</v>
      </c>
      <c r="F54" s="144"/>
      <c r="G54" s="145"/>
      <c r="H54" s="131" t="str">
        <f t="shared" si="6"/>
        <v>■シーフ</v>
      </c>
      <c r="I54" s="132"/>
      <c r="J54" s="132"/>
      <c r="K54" s="133"/>
      <c r="L54" s="133"/>
      <c r="M54" s="133"/>
      <c r="O54" s="85" t="s">
        <v>93</v>
      </c>
      <c r="P54" s="150">
        <v>25</v>
      </c>
      <c r="Q54" s="80">
        <f t="shared" si="3"/>
        <v>850</v>
      </c>
    </row>
    <row r="55" spans="1:17" ht="13.5">
      <c r="A55" s="85" t="s">
        <v>93</v>
      </c>
      <c r="B55" s="55">
        <v>26</v>
      </c>
      <c r="C55" s="55">
        <f>B53*10</f>
        <v>250</v>
      </c>
      <c r="D55" s="55">
        <f>D53+B53*10</f>
        <v>3250</v>
      </c>
      <c r="E55" s="146" t="str">
        <f t="shared" si="7"/>
        <v>■ウォーリア</v>
      </c>
      <c r="F55" s="55">
        <f>VLOOKUP(E55,リファレンス!$B:$M,11,0)+F53</f>
        <v>75</v>
      </c>
      <c r="G55" s="55">
        <f>VLOOKUP(E55,リファレンス!$B:$M,12,0)+G53</f>
        <v>25</v>
      </c>
      <c r="H55" s="125" t="str">
        <f t="shared" si="6"/>
        <v>■シーフ</v>
      </c>
      <c r="I55" s="55">
        <f>VLOOKUP(H55,リファレンス!$B:$M,11,0)+I53</f>
        <v>53</v>
      </c>
      <c r="J55" s="126">
        <f>VLOOKUP(H55,リファレンス!$B:$M,12,0)+J53</f>
        <v>47</v>
      </c>
      <c r="K55" s="127" t="s">
        <v>93</v>
      </c>
      <c r="L55" s="128" t="s">
        <v>93</v>
      </c>
      <c r="M55" s="129" t="s">
        <v>93</v>
      </c>
      <c r="O55" s="85" t="s">
        <v>93</v>
      </c>
      <c r="P55" s="150">
        <v>26</v>
      </c>
      <c r="Q55" s="80">
        <f t="shared" si="3"/>
        <v>910</v>
      </c>
    </row>
    <row r="56" spans="1:17" ht="13.5">
      <c r="A56" s="85" t="s">
        <v>93</v>
      </c>
      <c r="B56" s="55" t="s">
        <v>118</v>
      </c>
      <c r="C56" s="122">
        <v>10</v>
      </c>
      <c r="D56" s="122"/>
      <c r="E56" s="143" t="str">
        <f t="shared" si="7"/>
        <v>■ウォーリア</v>
      </c>
      <c r="F56" s="144"/>
      <c r="G56" s="145"/>
      <c r="H56" s="131" t="str">
        <f t="shared" si="6"/>
        <v>■シーフ</v>
      </c>
      <c r="I56" s="132"/>
      <c r="J56" s="132"/>
      <c r="K56" s="133"/>
      <c r="L56" s="133"/>
      <c r="M56" s="133"/>
      <c r="O56" s="85" t="s">
        <v>93</v>
      </c>
      <c r="P56" s="150">
        <v>27</v>
      </c>
      <c r="Q56" s="80">
        <f t="shared" si="3"/>
        <v>972</v>
      </c>
    </row>
    <row r="57" spans="1:17" ht="13.5">
      <c r="A57" s="85" t="s">
        <v>93</v>
      </c>
      <c r="B57" s="55">
        <v>27</v>
      </c>
      <c r="C57" s="55">
        <f>B55*10</f>
        <v>260</v>
      </c>
      <c r="D57" s="55">
        <f>D55+B55*10</f>
        <v>3510</v>
      </c>
      <c r="E57" s="146" t="str">
        <f t="shared" si="7"/>
        <v>■ウォーリア</v>
      </c>
      <c r="F57" s="55">
        <f>VLOOKUP(E57,リファレンス!$B:$M,11,0)+F55</f>
        <v>78</v>
      </c>
      <c r="G57" s="55">
        <f>VLOOKUP(E57,リファレンス!$B:$M,12,0)+G55</f>
        <v>26</v>
      </c>
      <c r="H57" s="125" t="str">
        <f aca="true" t="shared" si="8" ref="H57:H63">H56</f>
        <v>■シーフ</v>
      </c>
      <c r="I57" s="55">
        <f>VLOOKUP(H57,リファレンス!$B:$M,11,0)+I55</f>
        <v>55</v>
      </c>
      <c r="J57" s="126">
        <f>VLOOKUP(H57,リファレンス!$B:$M,12,0)+J55</f>
        <v>49</v>
      </c>
      <c r="K57" s="127" t="s">
        <v>93</v>
      </c>
      <c r="L57" s="128" t="s">
        <v>93</v>
      </c>
      <c r="M57" s="129" t="s">
        <v>93</v>
      </c>
      <c r="O57" s="85" t="s">
        <v>93</v>
      </c>
      <c r="P57" s="150">
        <v>28</v>
      </c>
      <c r="Q57" s="80">
        <f t="shared" si="3"/>
        <v>1036</v>
      </c>
    </row>
    <row r="58" spans="1:17" ht="13.5">
      <c r="A58" s="85" t="s">
        <v>93</v>
      </c>
      <c r="B58" s="55" t="s">
        <v>118</v>
      </c>
      <c r="C58" s="122">
        <v>10</v>
      </c>
      <c r="D58" s="122"/>
      <c r="E58" s="143" t="str">
        <f t="shared" si="7"/>
        <v>■ウォーリア</v>
      </c>
      <c r="F58" s="144"/>
      <c r="G58" s="145"/>
      <c r="H58" s="131" t="str">
        <f t="shared" si="8"/>
        <v>■シーフ</v>
      </c>
      <c r="I58" s="132"/>
      <c r="J58" s="132"/>
      <c r="K58" s="133"/>
      <c r="L58" s="133"/>
      <c r="M58" s="133"/>
      <c r="O58" s="85" t="s">
        <v>93</v>
      </c>
      <c r="P58" s="150">
        <v>29</v>
      </c>
      <c r="Q58" s="80">
        <f t="shared" si="3"/>
        <v>1102</v>
      </c>
    </row>
    <row r="59" spans="1:17" ht="13.5">
      <c r="A59" s="85" t="s">
        <v>93</v>
      </c>
      <c r="B59" s="55">
        <v>28</v>
      </c>
      <c r="C59" s="55">
        <f>B57*10</f>
        <v>270</v>
      </c>
      <c r="D59" s="55">
        <f>D57+B57*10</f>
        <v>3780</v>
      </c>
      <c r="E59" s="146" t="str">
        <f t="shared" si="7"/>
        <v>■ウォーリア</v>
      </c>
      <c r="F59" s="55">
        <f>VLOOKUP(E59,リファレンス!$B:$M,11,0)+F57</f>
        <v>81</v>
      </c>
      <c r="G59" s="55">
        <f>VLOOKUP(E59,リファレンス!$B:$M,12,0)+G57</f>
        <v>27</v>
      </c>
      <c r="H59" s="125" t="str">
        <f t="shared" si="8"/>
        <v>■シーフ</v>
      </c>
      <c r="I59" s="55">
        <f>VLOOKUP(H59,リファレンス!$B:$M,11,0)+I57</f>
        <v>57</v>
      </c>
      <c r="J59" s="126">
        <f>VLOOKUP(H59,リファレンス!$B:$M,12,0)+J57</f>
        <v>51</v>
      </c>
      <c r="K59" s="127" t="s">
        <v>93</v>
      </c>
      <c r="L59" s="128" t="s">
        <v>93</v>
      </c>
      <c r="M59" s="129" t="s">
        <v>93</v>
      </c>
      <c r="O59" s="93" t="s">
        <v>93</v>
      </c>
      <c r="P59" s="156">
        <v>30</v>
      </c>
      <c r="Q59" s="82">
        <f t="shared" si="3"/>
        <v>1170</v>
      </c>
    </row>
    <row r="60" spans="1:13" ht="13.5">
      <c r="A60" s="85" t="s">
        <v>93</v>
      </c>
      <c r="B60" s="55" t="s">
        <v>118</v>
      </c>
      <c r="C60" s="122">
        <v>10</v>
      </c>
      <c r="D60" s="122"/>
      <c r="E60" s="143" t="str">
        <f t="shared" si="7"/>
        <v>■ウォーリア</v>
      </c>
      <c r="F60" s="144"/>
      <c r="G60" s="145"/>
      <c r="H60" s="131" t="str">
        <f t="shared" si="8"/>
        <v>■シーフ</v>
      </c>
      <c r="I60" s="132"/>
      <c r="J60" s="132"/>
      <c r="K60" s="133"/>
      <c r="L60" s="133"/>
      <c r="M60" s="133"/>
    </row>
    <row r="61" spans="1:13" ht="13.5">
      <c r="A61" s="85" t="s">
        <v>93</v>
      </c>
      <c r="B61" s="55">
        <v>29</v>
      </c>
      <c r="C61" s="55">
        <f>B59*10</f>
        <v>280</v>
      </c>
      <c r="D61" s="55">
        <f>D59+B59*10</f>
        <v>4060</v>
      </c>
      <c r="E61" s="146" t="str">
        <f t="shared" si="7"/>
        <v>■ウォーリア</v>
      </c>
      <c r="F61" s="55">
        <f>VLOOKUP(E61,リファレンス!$B:$M,11,0)+F59</f>
        <v>84</v>
      </c>
      <c r="G61" s="55">
        <f>VLOOKUP(E61,リファレンス!$B:$M,12,0)+G59</f>
        <v>28</v>
      </c>
      <c r="H61" s="125" t="str">
        <f t="shared" si="8"/>
        <v>■シーフ</v>
      </c>
      <c r="I61" s="55">
        <f>VLOOKUP(H61,リファレンス!$B:$M,11,0)+I59</f>
        <v>59</v>
      </c>
      <c r="J61" s="126">
        <f>VLOOKUP(H61,リファレンス!$B:$M,12,0)+J59</f>
        <v>53</v>
      </c>
      <c r="K61" s="127" t="s">
        <v>93</v>
      </c>
      <c r="L61" s="128" t="s">
        <v>93</v>
      </c>
      <c r="M61" s="129" t="s">
        <v>93</v>
      </c>
    </row>
    <row r="62" spans="1:13" ht="13.5">
      <c r="A62" s="85" t="s">
        <v>93</v>
      </c>
      <c r="B62" s="55" t="s">
        <v>118</v>
      </c>
      <c r="C62" s="122">
        <v>10</v>
      </c>
      <c r="D62" s="122"/>
      <c r="E62" s="143" t="str">
        <f>E61</f>
        <v>■ウォーリア</v>
      </c>
      <c r="F62" s="144"/>
      <c r="G62" s="145"/>
      <c r="H62" s="131" t="str">
        <f t="shared" si="8"/>
        <v>■シーフ</v>
      </c>
      <c r="I62" s="132"/>
      <c r="J62" s="132"/>
      <c r="K62" s="133"/>
      <c r="L62" s="133"/>
      <c r="M62" s="133"/>
    </row>
    <row r="63" spans="1:13" ht="13.5">
      <c r="A63" s="93" t="s">
        <v>93</v>
      </c>
      <c r="B63" s="157">
        <v>30</v>
      </c>
      <c r="C63" s="157">
        <f>B61*10</f>
        <v>290</v>
      </c>
      <c r="D63" s="157">
        <f>D61+B61*10</f>
        <v>4350</v>
      </c>
      <c r="E63" s="158" t="str">
        <f>E62</f>
        <v>■ウォーリア</v>
      </c>
      <c r="F63" s="157">
        <f>VLOOKUP(E63,リファレンス!$B:$M,11,0)+F61</f>
        <v>87</v>
      </c>
      <c r="G63" s="157">
        <f>VLOOKUP(E63,リファレンス!$B:$M,12,0)+G61</f>
        <v>29</v>
      </c>
      <c r="H63" s="159" t="str">
        <f t="shared" si="8"/>
        <v>■シーフ</v>
      </c>
      <c r="I63" s="157">
        <f>VLOOKUP(H63,リファレンス!$B:$M,11,0)+I61</f>
        <v>61</v>
      </c>
      <c r="J63" s="160">
        <f>VLOOKUP(H63,リファレンス!$B:$M,12,0)+J61</f>
        <v>55</v>
      </c>
      <c r="K63" s="161" t="s">
        <v>93</v>
      </c>
      <c r="L63" s="162" t="s">
        <v>93</v>
      </c>
      <c r="M63" s="163" t="s">
        <v>93</v>
      </c>
    </row>
  </sheetData>
  <mergeCells count="116">
    <mergeCell ref="A1:Q1"/>
    <mergeCell ref="A3:M3"/>
    <mergeCell ref="O3:Q3"/>
    <mergeCell ref="A4:A5"/>
    <mergeCell ref="B4:B5"/>
    <mergeCell ref="C4:D4"/>
    <mergeCell ref="K4:M5"/>
    <mergeCell ref="C6:D6"/>
    <mergeCell ref="K6:M6"/>
    <mergeCell ref="C8:D8"/>
    <mergeCell ref="E8:G8"/>
    <mergeCell ref="I8:J8"/>
    <mergeCell ref="K8:M8"/>
    <mergeCell ref="C10:D10"/>
    <mergeCell ref="E10:G10"/>
    <mergeCell ref="I10:J10"/>
    <mergeCell ref="K10:M10"/>
    <mergeCell ref="C12:D12"/>
    <mergeCell ref="E12:G12"/>
    <mergeCell ref="I12:J12"/>
    <mergeCell ref="K12:M12"/>
    <mergeCell ref="O13:Q13"/>
    <mergeCell ref="C14:D14"/>
    <mergeCell ref="E14:G14"/>
    <mergeCell ref="I14:J14"/>
    <mergeCell ref="K14:M14"/>
    <mergeCell ref="O14:P14"/>
    <mergeCell ref="O15:P15"/>
    <mergeCell ref="C16:D16"/>
    <mergeCell ref="E16:G16"/>
    <mergeCell ref="I16:J16"/>
    <mergeCell ref="K16:M16"/>
    <mergeCell ref="O16:P16"/>
    <mergeCell ref="O17:P17"/>
    <mergeCell ref="C18:D18"/>
    <mergeCell ref="E18:G18"/>
    <mergeCell ref="I18:J18"/>
    <mergeCell ref="K18:M18"/>
    <mergeCell ref="O18:P18"/>
    <mergeCell ref="O19:P19"/>
    <mergeCell ref="C20:D20"/>
    <mergeCell ref="E20:G20"/>
    <mergeCell ref="I20:J20"/>
    <mergeCell ref="K20:M20"/>
    <mergeCell ref="O20:P20"/>
    <mergeCell ref="O21:P21"/>
    <mergeCell ref="C22:D22"/>
    <mergeCell ref="E22:G22"/>
    <mergeCell ref="I22:J22"/>
    <mergeCell ref="K22:M22"/>
    <mergeCell ref="O22:P22"/>
    <mergeCell ref="O23:P23"/>
    <mergeCell ref="C24:D24"/>
    <mergeCell ref="I24:J24"/>
    <mergeCell ref="K24:M24"/>
    <mergeCell ref="O25:Q25"/>
    <mergeCell ref="C26:D26"/>
    <mergeCell ref="I26:J26"/>
    <mergeCell ref="K26:M26"/>
    <mergeCell ref="O26:P26"/>
    <mergeCell ref="O27:P27"/>
    <mergeCell ref="C28:D28"/>
    <mergeCell ref="I28:J28"/>
    <mergeCell ref="K28:M28"/>
    <mergeCell ref="O28:P28"/>
    <mergeCell ref="C30:D30"/>
    <mergeCell ref="I30:J30"/>
    <mergeCell ref="K30:M30"/>
    <mergeCell ref="C32:D32"/>
    <mergeCell ref="I32:J32"/>
    <mergeCell ref="K32:M32"/>
    <mergeCell ref="C34:D34"/>
    <mergeCell ref="I34:J34"/>
    <mergeCell ref="K34:M34"/>
    <mergeCell ref="C36:D36"/>
    <mergeCell ref="I36:J36"/>
    <mergeCell ref="K36:M36"/>
    <mergeCell ref="C38:D38"/>
    <mergeCell ref="I38:J38"/>
    <mergeCell ref="K38:M38"/>
    <mergeCell ref="C40:D40"/>
    <mergeCell ref="I40:J40"/>
    <mergeCell ref="K40:M40"/>
    <mergeCell ref="C42:D42"/>
    <mergeCell ref="I42:J42"/>
    <mergeCell ref="K42:M42"/>
    <mergeCell ref="C44:D44"/>
    <mergeCell ref="I44:J44"/>
    <mergeCell ref="K44:M44"/>
    <mergeCell ref="C46:D46"/>
    <mergeCell ref="I46:J46"/>
    <mergeCell ref="K46:M46"/>
    <mergeCell ref="C48:D48"/>
    <mergeCell ref="I48:J48"/>
    <mergeCell ref="K48:M48"/>
    <mergeCell ref="C50:D50"/>
    <mergeCell ref="I50:J50"/>
    <mergeCell ref="K50:M50"/>
    <mergeCell ref="C52:D52"/>
    <mergeCell ref="I52:J52"/>
    <mergeCell ref="K52:M52"/>
    <mergeCell ref="C54:D54"/>
    <mergeCell ref="I54:J54"/>
    <mergeCell ref="K54:M54"/>
    <mergeCell ref="C56:D56"/>
    <mergeCell ref="I56:J56"/>
    <mergeCell ref="K56:M56"/>
    <mergeCell ref="C58:D58"/>
    <mergeCell ref="I58:J58"/>
    <mergeCell ref="K58:M58"/>
    <mergeCell ref="C60:D60"/>
    <mergeCell ref="I60:J60"/>
    <mergeCell ref="K60:M60"/>
    <mergeCell ref="C62:D62"/>
    <mergeCell ref="I62:J62"/>
    <mergeCell ref="K62:M62"/>
  </mergeCells>
  <dataValidations count="6">
    <dataValidation type="list" allowBlank="1" showErrorMessage="1" sqref="A6:A7 A9 A11 A13 A15 A17 Q17 A19 A21 A23 A25 A27 A29 O29:O59 A31 A33 A35 A37 A39 A41 A43 A45 A47 A49 A51 A53 A55 A57 A59 A61 A63">
      <formula1>レベル選択</formula1>
      <formula2>0</formula2>
    </dataValidation>
    <dataValidation type="list" allowBlank="1" showErrorMessage="1" sqref="H7:H63">
      <formula1>AR_サポートクラス</formula1>
      <formula2>0</formula2>
    </dataValidation>
    <dataValidation type="list" allowBlank="1" showErrorMessage="1" sqref="A8 A10 A12 A14 A16 A18 A20 A22 A24 A26 A28 A30 A32 A34 A36 A38 A40 A42 A44 A46 A48 A50 A52 A54 A56 A58 A60 A62">
      <formula1>転職選択</formula1>
      <formula2>0</formula2>
    </dataValidation>
    <dataValidation type="list" allowBlank="1" showErrorMessage="1" sqref="K7:M7 K9:M9 K11:M11 K13:M13 K15:M15 K17:M17 K19:M19 K21:M21 K23:M23 K25:M25 K27:M27 K29:M29 K31:M31 K33:M33 K35:M35 K37:M37 K39:M39 K41:M41 K43:M43 K45:M45 K47:M47 K49:M49 K51:M51 K53:M53 K55:M55 K57:M57 K59:M59 K61:M61 K63:M63">
      <formula1>AR_能力値選択</formula1>
      <formula2>0</formula2>
    </dataValidation>
    <dataValidation type="list" allowBlank="1" showErrorMessage="1" sqref="E26 E28 E30 E32 E34 E36 E38 E40 E42 E46 E50 E52 E54 E56 E58 E60 E62">
      <formula1>AR_上級クラス</formula1>
      <formula2>0</formula2>
    </dataValidation>
    <dataValidation type="list" allowBlank="1" sqref="E24 E44">
      <formula1>AR_上級クラス</formula1>
      <formula2>0</formula2>
    </dataValidation>
  </dataValidations>
  <printOptions/>
  <pageMargins left="0.7479166666666667" right="0.7479166666666667" top="0.9840277777777777" bottom="0.9840277777777777" header="0.5118055555555555" footer="0.5118055555555555"/>
  <pageSetup horizontalDpi="300" verticalDpi="300" orientation="landscape" paperSize="9"/>
  <legacyDrawing r:id="rId2"/>
</worksheet>
</file>

<file path=xl/worksheets/sheet5.xml><?xml version="1.0" encoding="utf-8"?>
<worksheet xmlns="http://schemas.openxmlformats.org/spreadsheetml/2006/main" xmlns:r="http://schemas.openxmlformats.org/officeDocument/2006/relationships">
  <sheetPr codeName="Sheet6"/>
  <dimension ref="A1:AB64"/>
  <sheetViews>
    <sheetView workbookViewId="0" topLeftCell="A1">
      <selection activeCell="H77" sqref="H77"/>
    </sheetView>
  </sheetViews>
  <sheetFormatPr defaultColWidth="9.00390625" defaultRowHeight="13.5"/>
  <cols>
    <col min="1" max="1" width="4.125" style="11" customWidth="1"/>
    <col min="2" max="2" width="5.50390625" style="11" customWidth="1"/>
    <col min="3" max="3" width="3.875" style="11" customWidth="1"/>
    <col min="4" max="4" width="12.375" style="11" customWidth="1"/>
    <col min="5" max="5" width="13.625" style="11" customWidth="1"/>
    <col min="6" max="6" width="19.125" style="164" customWidth="1"/>
    <col min="7" max="7" width="3.875" style="165" customWidth="1"/>
    <col min="8" max="8" width="12.625" style="11" customWidth="1"/>
    <col min="9" max="9" width="14.625" style="11" customWidth="1"/>
    <col min="10" max="10" width="19.375" style="11" customWidth="1"/>
    <col min="11" max="11" width="5.625" style="11" customWidth="1"/>
    <col min="12" max="12" width="12.625" style="11" customWidth="1"/>
    <col min="13" max="13" width="11.125" style="11" customWidth="1"/>
    <col min="14" max="14" width="16.375" style="11" customWidth="1"/>
    <col min="15" max="15" width="1.12109375" style="11" customWidth="1"/>
    <col min="16" max="16" width="3.50390625" style="11" customWidth="1"/>
    <col min="17" max="17" width="5.875" style="11" customWidth="1"/>
    <col min="18" max="18" width="5.625" style="11" customWidth="1"/>
    <col min="19" max="19" width="12.625" style="11" customWidth="1"/>
    <col min="20" max="20" width="11.125" style="11" customWidth="1"/>
    <col min="21" max="21" width="16.375" style="11" customWidth="1"/>
    <col min="22" max="22" width="2.25390625" style="11" customWidth="1"/>
    <col min="23" max="23" width="3.50390625" style="11" customWidth="1"/>
    <col min="24" max="24" width="5.875" style="11" customWidth="1"/>
    <col min="25" max="25" width="5.625" style="11" customWidth="1"/>
    <col min="26" max="26" width="11.50390625" style="11" customWidth="1"/>
    <col min="27" max="27" width="11.125" style="11" customWidth="1"/>
    <col min="28" max="28" width="16.375" style="11" customWidth="1"/>
    <col min="29" max="16384" width="9.00390625" style="11" customWidth="1"/>
  </cols>
  <sheetData>
    <row r="1" spans="1:28" ht="13.5">
      <c r="A1" s="12" t="s">
        <v>132</v>
      </c>
      <c r="B1" s="12"/>
      <c r="C1" s="12"/>
      <c r="D1" s="12"/>
      <c r="E1" s="12"/>
      <c r="F1" s="12"/>
      <c r="G1" s="12"/>
      <c r="H1" s="12"/>
      <c r="I1" s="12"/>
      <c r="J1" s="12"/>
      <c r="K1" s="166"/>
      <c r="L1" s="166"/>
      <c r="M1" s="166"/>
      <c r="N1" s="166"/>
      <c r="O1" s="167"/>
      <c r="P1" s="167"/>
      <c r="Q1" s="167"/>
      <c r="R1" s="167"/>
      <c r="S1" s="167"/>
      <c r="T1" s="167"/>
      <c r="U1" s="167"/>
      <c r="W1" s="167"/>
      <c r="X1" s="167"/>
      <c r="Y1" s="167"/>
      <c r="Z1" s="167"/>
      <c r="AA1" s="167"/>
      <c r="AB1" s="167"/>
    </row>
    <row r="2" ht="13.5">
      <c r="B2" s="168" t="s">
        <v>133</v>
      </c>
    </row>
    <row r="3" spans="1:10" ht="13.5">
      <c r="A3" s="169" t="s">
        <v>121</v>
      </c>
      <c r="B3" s="170" t="s">
        <v>134</v>
      </c>
      <c r="C3" s="170" t="s">
        <v>135</v>
      </c>
      <c r="D3" s="170" t="s">
        <v>136</v>
      </c>
      <c r="E3" s="170" t="s">
        <v>137</v>
      </c>
      <c r="F3" s="171" t="s">
        <v>138</v>
      </c>
      <c r="G3" s="170" t="s">
        <v>135</v>
      </c>
      <c r="H3" s="170" t="s">
        <v>136</v>
      </c>
      <c r="I3" s="170" t="s">
        <v>137</v>
      </c>
      <c r="J3" s="171" t="s">
        <v>138</v>
      </c>
    </row>
    <row r="4" spans="1:10" ht="13.5">
      <c r="A4" s="172">
        <v>1</v>
      </c>
      <c r="B4" s="173" t="str">
        <f>③レベルアップ!A6</f>
        <v>-</v>
      </c>
      <c r="C4" s="174" t="s">
        <v>139</v>
      </c>
      <c r="D4" s="175" t="s">
        <v>140</v>
      </c>
      <c r="E4" s="176" t="str">
        <f>①コンストラクション!M4</f>
        <v>ヴァーナ</v>
      </c>
      <c r="F4" s="177"/>
      <c r="G4" s="174" t="s">
        <v>139</v>
      </c>
      <c r="H4" s="175" t="s">
        <v>22</v>
      </c>
      <c r="I4" s="176" t="str">
        <f>①コンストラクション!D4</f>
        <v>■ウォーリア</v>
      </c>
      <c r="J4" s="178"/>
    </row>
    <row r="5" spans="1:10" ht="13.5">
      <c r="A5" s="172"/>
      <c r="B5" s="173"/>
      <c r="C5" s="126" t="s">
        <v>139</v>
      </c>
      <c r="D5" s="179" t="s">
        <v>141</v>
      </c>
      <c r="E5" s="180" t="str">
        <f>①コンストラクション!D4</f>
        <v>■ウォーリア</v>
      </c>
      <c r="F5" s="181" t="str">
        <f>IF(E5="","",HLOOKUP(E5,リファレンス!$I$70:$V$72,3,0))</f>
        <v>ボルテクスアタック</v>
      </c>
      <c r="G5" s="126" t="s">
        <v>139</v>
      </c>
      <c r="H5" s="179" t="s">
        <v>22</v>
      </c>
      <c r="I5" s="180" t="str">
        <f>①コンストラクション!D4</f>
        <v>■ウォーリア</v>
      </c>
      <c r="J5" s="182"/>
    </row>
    <row r="6" spans="1:10" ht="13.5">
      <c r="A6" s="172"/>
      <c r="B6" s="173"/>
      <c r="C6" s="126" t="s">
        <v>139</v>
      </c>
      <c r="D6" s="179" t="s">
        <v>142</v>
      </c>
      <c r="E6" s="180" t="str">
        <f>①コンストラクション!D5</f>
        <v>□サムライ</v>
      </c>
      <c r="F6" s="181" t="str">
        <f>IF(E6="","",HLOOKUP(E6,リファレンス!$I$70:$V$72,3,0))</f>
        <v>トルネードブラスト</v>
      </c>
      <c r="G6" s="155" t="s">
        <v>139</v>
      </c>
      <c r="H6" s="183" t="s">
        <v>26</v>
      </c>
      <c r="I6" s="184" t="str">
        <f>①コンストラクション!D5</f>
        <v>□サムライ</v>
      </c>
      <c r="J6" s="185"/>
    </row>
    <row r="7" spans="1:10" ht="13.5">
      <c r="A7" s="172"/>
      <c r="B7" s="173"/>
      <c r="C7" s="155" t="str">
        <f>IF(COUNTIF(①コンストラクション!C36,"始祖の紋章")+COUNTIF(①コンストラクション!C36,"人工生命")+COUNTIF(①コンストラクション!C36,"異種族の親")+COUNTIF(①コンストラクション!C36,"特別な血統")+COUNTIF(①コンストラクション!C36,"滅んだ民族の血")&gt;0,"●","×")</f>
        <v>×</v>
      </c>
      <c r="D7" s="184" t="str">
        <f>①コンストラクション!C36</f>
        <v>邪神の祝福</v>
      </c>
      <c r="E7" s="128" t="str">
        <f>IF(D7="始祖の紋章",①コンストラクション!D4,IF(D7="人工生命",①コンストラクション!D5,"-"))</f>
        <v>-</v>
      </c>
      <c r="F7" s="186"/>
      <c r="G7" s="160" t="str">
        <f>IF(F4="ハーフブラッド","●","×")</f>
        <v>×</v>
      </c>
      <c r="H7" s="187" t="s">
        <v>143</v>
      </c>
      <c r="I7" s="162" t="s">
        <v>144</v>
      </c>
      <c r="J7" s="188"/>
    </row>
    <row r="8" spans="1:10" ht="13.5">
      <c r="A8" s="189">
        <v>2</v>
      </c>
      <c r="B8" s="190" t="str">
        <f>③レベルアップ!$A7</f>
        <v>-</v>
      </c>
      <c r="C8" s="191" t="s">
        <v>139</v>
      </c>
      <c r="D8" s="192" t="s">
        <v>93</v>
      </c>
      <c r="E8" s="192" t="str">
        <f>IF($D8="メインクラス",③レベルアップ!$E7,IF($D8="サポートクラス",③レベルアップ!$H7,IF($D8="その他","この欄を選択","←左欄を選択")))</f>
        <v>←左欄を選択</v>
      </c>
      <c r="F8" s="177"/>
      <c r="G8" s="193" t="s">
        <v>139</v>
      </c>
      <c r="H8" s="194" t="s">
        <v>93</v>
      </c>
      <c r="I8" s="194" t="str">
        <f>IF($H8="メインクラス",③レベルアップ!$E7,IF($H8="サポートクラス",③レベルアップ!$H7,IF($H8="その他","この欄を選択","←左欄を選択")))</f>
        <v>←左欄を選択</v>
      </c>
      <c r="J8" s="195"/>
    </row>
    <row r="9" spans="1:10" ht="13.5">
      <c r="A9" s="172" t="s">
        <v>118</v>
      </c>
      <c r="B9" s="196" t="str">
        <f>③レベルアップ!$A8</f>
        <v>-</v>
      </c>
      <c r="C9" s="197" t="str">
        <f>IF($B9="★","●","×")</f>
        <v>×</v>
      </c>
      <c r="D9" s="198" t="str">
        <f>IF($C9="●","サポートクラス(自)","-")</f>
        <v>-</v>
      </c>
      <c r="E9" s="198" t="str">
        <f>IF($C9="●",③レベルアップ!$H8,"-")</f>
        <v>-</v>
      </c>
      <c r="F9" s="199">
        <f>IF($E9="-","",HLOOKUP($E9,リファレンス!$I$70:$V$72,3,0))</f>
      </c>
      <c r="G9" s="200"/>
      <c r="H9" s="201"/>
      <c r="I9" s="201"/>
      <c r="J9" s="202"/>
    </row>
    <row r="10" spans="1:10" ht="13.5">
      <c r="A10" s="189">
        <v>3</v>
      </c>
      <c r="B10" s="190" t="str">
        <f>③レベルアップ!$A9</f>
        <v>-</v>
      </c>
      <c r="C10" s="191" t="s">
        <v>139</v>
      </c>
      <c r="D10" s="192" t="s">
        <v>93</v>
      </c>
      <c r="E10" s="192" t="str">
        <f>IF($D10="メインクラス",③レベルアップ!$E9,IF($D10="サポートクラス",③レベルアップ!$H9,IF($D10="その他","この欄を選択","←左欄を選択")))</f>
        <v>←左欄を選択</v>
      </c>
      <c r="F10" s="177"/>
      <c r="G10" s="193" t="s">
        <v>139</v>
      </c>
      <c r="H10" s="194" t="s">
        <v>93</v>
      </c>
      <c r="I10" s="194" t="str">
        <f>IF($H10="メインクラス",③レベルアップ!$E9,IF($H10="サポートクラス",③レベルアップ!$H9,IF($H10="その他","この欄を選択","←左欄を選択")))</f>
        <v>←左欄を選択</v>
      </c>
      <c r="J10" s="195"/>
    </row>
    <row r="11" spans="1:10" ht="13.5">
      <c r="A11" s="172" t="s">
        <v>118</v>
      </c>
      <c r="B11" s="196" t="str">
        <f>③レベルアップ!$A10</f>
        <v>-</v>
      </c>
      <c r="C11" s="197" t="str">
        <f>IF($B11="★","●","×")</f>
        <v>×</v>
      </c>
      <c r="D11" s="198" t="str">
        <f>IF($C11="●","サポートクラス(自)","-")</f>
        <v>-</v>
      </c>
      <c r="E11" s="198" t="str">
        <f>IF($C11="●",③レベルアップ!$H10,"-")</f>
        <v>-</v>
      </c>
      <c r="F11" s="199">
        <f>IF($E11="-","",HLOOKUP($E11,リファレンス!$I$70:$V$72,3,0))</f>
      </c>
      <c r="G11" s="200"/>
      <c r="H11" s="201"/>
      <c r="I11" s="201"/>
      <c r="J11" s="202"/>
    </row>
    <row r="12" spans="1:10" ht="13.5">
      <c r="A12" s="189">
        <v>4</v>
      </c>
      <c r="B12" s="190" t="str">
        <f>③レベルアップ!$A11</f>
        <v>-</v>
      </c>
      <c r="C12" s="191" t="s">
        <v>139</v>
      </c>
      <c r="D12" s="192" t="s">
        <v>93</v>
      </c>
      <c r="E12" s="192" t="str">
        <f>IF($D12="メインクラス",③レベルアップ!$E11,IF($D12="サポートクラス",③レベルアップ!$H11,IF($D12="その他","この欄を選択","←左欄を選択")))</f>
        <v>←左欄を選択</v>
      </c>
      <c r="F12" s="177"/>
      <c r="G12" s="193" t="s">
        <v>139</v>
      </c>
      <c r="H12" s="194" t="s">
        <v>93</v>
      </c>
      <c r="I12" s="194" t="str">
        <f>IF($H12="メインクラス",③レベルアップ!$E11,IF($H12="サポートクラス",③レベルアップ!$H11,IF($H12="その他","この欄を選択","←左欄を選択")))</f>
        <v>←左欄を選択</v>
      </c>
      <c r="J12" s="195"/>
    </row>
    <row r="13" spans="1:10" ht="13.5">
      <c r="A13" s="172" t="s">
        <v>118</v>
      </c>
      <c r="B13" s="196" t="str">
        <f>③レベルアップ!$A12</f>
        <v>-</v>
      </c>
      <c r="C13" s="197" t="str">
        <f>IF($B13="★","●","×")</f>
        <v>×</v>
      </c>
      <c r="D13" s="198" t="str">
        <f>IF($C13="●","サポートクラス(自)","-")</f>
        <v>-</v>
      </c>
      <c r="E13" s="198" t="str">
        <f>IF($C13="●",③レベルアップ!$H12,"-")</f>
        <v>-</v>
      </c>
      <c r="F13" s="199">
        <f>IF($E13="-","",HLOOKUP($E13,リファレンス!$I$70:$V$72,3,0))</f>
      </c>
      <c r="G13" s="200"/>
      <c r="H13" s="201"/>
      <c r="I13" s="201"/>
      <c r="J13" s="202"/>
    </row>
    <row r="14" spans="1:10" ht="13.5">
      <c r="A14" s="189">
        <v>5</v>
      </c>
      <c r="B14" s="190" t="str">
        <f>③レベルアップ!$A13</f>
        <v>◎</v>
      </c>
      <c r="C14" s="191" t="s">
        <v>139</v>
      </c>
      <c r="D14" s="192" t="s">
        <v>93</v>
      </c>
      <c r="E14" s="192" t="str">
        <f>IF($D14="メインクラス",③レベルアップ!$E13,IF($D14="サポートクラス",③レベルアップ!$H13,IF($D14="その他","この欄を選択","←左欄を選択")))</f>
        <v>←左欄を選択</v>
      </c>
      <c r="F14" s="177"/>
      <c r="G14" s="193" t="s">
        <v>139</v>
      </c>
      <c r="H14" s="194" t="s">
        <v>93</v>
      </c>
      <c r="I14" s="194" t="str">
        <f>IF($H14="メインクラス",③レベルアップ!$E13,IF($H14="サポートクラス",③レベルアップ!$H13,IF($H14="その他","この欄を選択","←左欄を選択")))</f>
        <v>←左欄を選択</v>
      </c>
      <c r="J14" s="195"/>
    </row>
    <row r="15" spans="1:10" ht="13.5">
      <c r="A15" s="172" t="s">
        <v>118</v>
      </c>
      <c r="B15" s="196" t="str">
        <f>③レベルアップ!$A14</f>
        <v>-</v>
      </c>
      <c r="C15" s="197" t="str">
        <f>IF($B15="★","●","×")</f>
        <v>×</v>
      </c>
      <c r="D15" s="198" t="str">
        <f>IF($C15="●","サポートクラス(自)","-")</f>
        <v>-</v>
      </c>
      <c r="E15" s="198" t="str">
        <f>IF($C15="●",③レベルアップ!$H14,"-")</f>
        <v>-</v>
      </c>
      <c r="F15" s="199">
        <f>IF($E15="-","",HLOOKUP($E15,リファレンス!$I$70:$V$72,3,0))</f>
      </c>
      <c r="G15" s="200"/>
      <c r="H15" s="201"/>
      <c r="I15" s="201"/>
      <c r="J15" s="202"/>
    </row>
    <row r="16" spans="1:10" ht="13.5">
      <c r="A16" s="189">
        <v>6</v>
      </c>
      <c r="B16" s="190" t="str">
        <f>③レベルアップ!$A15</f>
        <v>-</v>
      </c>
      <c r="C16" s="191" t="s">
        <v>139</v>
      </c>
      <c r="D16" s="192" t="s">
        <v>93</v>
      </c>
      <c r="E16" s="192" t="str">
        <f>IF($D16="メインクラス",③レベルアップ!$E15,IF($D16="サポートクラス",③レベルアップ!$H15,IF($D16="その他","この欄を選択","←左欄を選択")))</f>
        <v>←左欄を選択</v>
      </c>
      <c r="F16" s="177"/>
      <c r="G16" s="193" t="s">
        <v>139</v>
      </c>
      <c r="H16" s="194" t="s">
        <v>93</v>
      </c>
      <c r="I16" s="194" t="str">
        <f>IF($H16="メインクラス",③レベルアップ!$E15,IF($H16="サポートクラス",③レベルアップ!$H15,IF($H16="その他","この欄を選択","←左欄を選択")))</f>
        <v>←左欄を選択</v>
      </c>
      <c r="J16" s="195"/>
    </row>
    <row r="17" spans="1:10" ht="13.5">
      <c r="A17" s="172" t="s">
        <v>118</v>
      </c>
      <c r="B17" s="196" t="str">
        <f>③レベルアップ!$A16</f>
        <v>-</v>
      </c>
      <c r="C17" s="197" t="str">
        <f>IF($B17="★","●","×")</f>
        <v>×</v>
      </c>
      <c r="D17" s="198" t="str">
        <f>IF($C17="●","サポートクラス(自)","-")</f>
        <v>-</v>
      </c>
      <c r="E17" s="198" t="str">
        <f>IF($C17="●",③レベルアップ!$H16,"-")</f>
        <v>-</v>
      </c>
      <c r="F17" s="199">
        <f>IF($E17="-","",HLOOKUP($E17,リファレンス!$I$70:$V$72,3,0))</f>
      </c>
      <c r="G17" s="200"/>
      <c r="H17" s="201"/>
      <c r="I17" s="201"/>
      <c r="J17" s="202"/>
    </row>
    <row r="18" spans="1:10" ht="13.5">
      <c r="A18" s="189">
        <v>7</v>
      </c>
      <c r="B18" s="190" t="str">
        <f>③レベルアップ!$A17</f>
        <v>-</v>
      </c>
      <c r="C18" s="191" t="s">
        <v>139</v>
      </c>
      <c r="D18" s="192" t="s">
        <v>93</v>
      </c>
      <c r="E18" s="192" t="str">
        <f>IF($D18="メインクラス",③レベルアップ!$E17,IF($D18="サポートクラス",③レベルアップ!$H17,IF($D18="その他","この欄を選択","←左欄を選択")))</f>
        <v>←左欄を選択</v>
      </c>
      <c r="F18" s="177"/>
      <c r="G18" s="193" t="s">
        <v>139</v>
      </c>
      <c r="H18" s="194" t="s">
        <v>93</v>
      </c>
      <c r="I18" s="194" t="str">
        <f>IF($H18="メインクラス",③レベルアップ!$E17,IF($H18="サポートクラス",③レベルアップ!$H17,IF($H18="その他","この欄を選択","←左欄を選択")))</f>
        <v>←左欄を選択</v>
      </c>
      <c r="J18" s="195"/>
    </row>
    <row r="19" spans="1:10" ht="13.5">
      <c r="A19" s="172" t="s">
        <v>118</v>
      </c>
      <c r="B19" s="196" t="str">
        <f>③レベルアップ!$A18</f>
        <v>-</v>
      </c>
      <c r="C19" s="197" t="str">
        <f>IF($B19="★","●","×")</f>
        <v>×</v>
      </c>
      <c r="D19" s="198" t="str">
        <f>IF($C19="●","サポートクラス(自)","-")</f>
        <v>-</v>
      </c>
      <c r="E19" s="198" t="str">
        <f>IF($C19="●",③レベルアップ!$H18,"-")</f>
        <v>-</v>
      </c>
      <c r="F19" s="199">
        <f>IF($E19="-","",HLOOKUP($E19,リファレンス!$I$70:$V$72,3,0))</f>
      </c>
      <c r="G19" s="200"/>
      <c r="H19" s="201"/>
      <c r="I19" s="201"/>
      <c r="J19" s="202"/>
    </row>
    <row r="20" spans="1:10" ht="13.5">
      <c r="A20" s="189">
        <v>8</v>
      </c>
      <c r="B20" s="190" t="str">
        <f>③レベルアップ!$A19</f>
        <v>-</v>
      </c>
      <c r="C20" s="191" t="s">
        <v>139</v>
      </c>
      <c r="D20" s="192" t="s">
        <v>93</v>
      </c>
      <c r="E20" s="192" t="str">
        <f>IF($D20="メインクラス",③レベルアップ!$E19,IF($D20="サポートクラス",③レベルアップ!$H19,IF($D20="その他","この欄を選択","←左欄を選択")))</f>
        <v>←左欄を選択</v>
      </c>
      <c r="F20" s="177"/>
      <c r="G20" s="193" t="s">
        <v>139</v>
      </c>
      <c r="H20" s="194" t="s">
        <v>93</v>
      </c>
      <c r="I20" s="194" t="str">
        <f>IF($H20="メインクラス",③レベルアップ!$E19,IF($H20="サポートクラス",③レベルアップ!$H19,IF($H20="その他","この欄を選択","←左欄を選択")))</f>
        <v>←左欄を選択</v>
      </c>
      <c r="J20" s="195"/>
    </row>
    <row r="21" spans="1:10" ht="13.5">
      <c r="A21" s="172" t="s">
        <v>118</v>
      </c>
      <c r="B21" s="196" t="str">
        <f>③レベルアップ!$A20</f>
        <v>-</v>
      </c>
      <c r="C21" s="197" t="str">
        <f>IF($B21="★","●","×")</f>
        <v>×</v>
      </c>
      <c r="D21" s="198" t="str">
        <f>IF($C21="●","サポートクラス(自)","-")</f>
        <v>-</v>
      </c>
      <c r="E21" s="198" t="str">
        <f>IF($C21="●",③レベルアップ!$H20,"-")</f>
        <v>-</v>
      </c>
      <c r="F21" s="199">
        <f>IF($E21="-","",HLOOKUP($E21,リファレンス!$I$70:$V$72,3,0))</f>
      </c>
      <c r="G21" s="200"/>
      <c r="H21" s="201"/>
      <c r="I21" s="201"/>
      <c r="J21" s="202"/>
    </row>
    <row r="22" spans="1:10" ht="13.5">
      <c r="A22" s="189">
        <v>9</v>
      </c>
      <c r="B22" s="190" t="str">
        <f>③レベルアップ!$A21</f>
        <v>-</v>
      </c>
      <c r="C22" s="191" t="s">
        <v>139</v>
      </c>
      <c r="D22" s="192" t="s">
        <v>93</v>
      </c>
      <c r="E22" s="192" t="str">
        <f>IF($D22="メインクラス",③レベルアップ!$E21,IF($D22="サポートクラス",③レベルアップ!$H21,IF($D22="その他","この欄を選択","←左欄を選択")))</f>
        <v>←左欄を選択</v>
      </c>
      <c r="F22" s="177"/>
      <c r="G22" s="193" t="s">
        <v>139</v>
      </c>
      <c r="H22" s="194" t="s">
        <v>93</v>
      </c>
      <c r="I22" s="194" t="str">
        <f>IF($H22="メインクラス",③レベルアップ!$E21,IF($H22="サポートクラス",③レベルアップ!$H21,IF($H22="その他","この欄を選択","←左欄を選択")))</f>
        <v>←左欄を選択</v>
      </c>
      <c r="J22" s="195"/>
    </row>
    <row r="23" spans="1:10" ht="13.5">
      <c r="A23" s="172" t="s">
        <v>118</v>
      </c>
      <c r="B23" s="196" t="str">
        <f>③レベルアップ!$A22</f>
        <v>-</v>
      </c>
      <c r="C23" s="197" t="str">
        <f>IF($B23="★","●","×")</f>
        <v>×</v>
      </c>
      <c r="D23" s="198" t="str">
        <f>IF($C23="●","サポートクラス(自)","-")</f>
        <v>-</v>
      </c>
      <c r="E23" s="198" t="str">
        <f>IF($C23="●",③レベルアップ!$H22,"-")</f>
        <v>-</v>
      </c>
      <c r="F23" s="199">
        <f>IF($E23="-","",HLOOKUP($E23,リファレンス!$I$70:$V$72,3,0))</f>
      </c>
      <c r="G23" s="200"/>
      <c r="H23" s="201"/>
      <c r="I23" s="201"/>
      <c r="J23" s="202"/>
    </row>
    <row r="24" spans="1:10" ht="13.5">
      <c r="A24" s="189">
        <v>10</v>
      </c>
      <c r="B24" s="190" t="str">
        <f>③レベルアップ!$A23</f>
        <v>-</v>
      </c>
      <c r="C24" s="191" t="s">
        <v>139</v>
      </c>
      <c r="D24" s="192" t="s">
        <v>93</v>
      </c>
      <c r="E24" s="192" t="str">
        <f>IF($D24="メインクラス",③レベルアップ!$E23,IF($D24="サポートクラス",③レベルアップ!$H23,IF($D24="その他","この欄を選択","←左欄を選択")))</f>
        <v>←左欄を選択</v>
      </c>
      <c r="F24" s="177"/>
      <c r="G24" s="193" t="s">
        <v>139</v>
      </c>
      <c r="H24" s="194" t="s">
        <v>93</v>
      </c>
      <c r="I24" s="194" t="str">
        <f>IF($H24="メインクラス",③レベルアップ!$E23,IF($H24="サポートクラス",③レベルアップ!$H23,IF($H24="その他","この欄を選択","←左欄を選択")))</f>
        <v>←左欄を選択</v>
      </c>
      <c r="J24" s="195"/>
    </row>
    <row r="25" spans="1:10" ht="13.5">
      <c r="A25" s="172" t="s">
        <v>118</v>
      </c>
      <c r="B25" s="196" t="str">
        <f>③レベルアップ!$A24</f>
        <v>-</v>
      </c>
      <c r="C25" s="197" t="str">
        <f>IF($B25="★","●","×")</f>
        <v>×</v>
      </c>
      <c r="D25" s="198" t="str">
        <f>IF($C25="●","サポートクラス(自)","-")</f>
        <v>-</v>
      </c>
      <c r="E25" s="198" t="str">
        <f>IF($C25="●",③レベルアップ!$H24,"-")</f>
        <v>-</v>
      </c>
      <c r="F25" s="199">
        <f>IF($E25="-","",HLOOKUP($E25,リファレンス!$I$70:$V$72,3,0))</f>
      </c>
      <c r="G25" s="200"/>
      <c r="H25" s="201"/>
      <c r="I25" s="201"/>
      <c r="J25" s="202"/>
    </row>
    <row r="26" spans="1:10" ht="13.5">
      <c r="A26" s="189">
        <v>11</v>
      </c>
      <c r="B26" s="190" t="str">
        <f>③レベルアップ!$A25</f>
        <v>-</v>
      </c>
      <c r="C26" s="191" t="s">
        <v>139</v>
      </c>
      <c r="D26" s="192" t="s">
        <v>93</v>
      </c>
      <c r="E26" s="192" t="str">
        <f>IF($D26="メインクラス",③レベルアップ!$E25,IF($D26="サポートクラス",③レベルアップ!$H25,IF($D26="その他","この欄を選択","←左欄を選択")))</f>
        <v>←左欄を選択</v>
      </c>
      <c r="F26" s="177"/>
      <c r="G26" s="193" t="s">
        <v>139</v>
      </c>
      <c r="H26" s="194" t="s">
        <v>93</v>
      </c>
      <c r="I26" s="194" t="str">
        <f>IF($H26="メインクラス",③レベルアップ!$E25,IF($H26="サポートクラス",③レベルアップ!$H25,IF($H26="その他","この欄を選択","←左欄を選択")))</f>
        <v>←左欄を選択</v>
      </c>
      <c r="J26" s="195"/>
    </row>
    <row r="27" spans="1:10" ht="13.5">
      <c r="A27" s="172" t="s">
        <v>118</v>
      </c>
      <c r="B27" s="196" t="str">
        <f>③レベルアップ!$A26</f>
        <v>-</v>
      </c>
      <c r="C27" s="197" t="str">
        <f>IF($B27="★","●","×")</f>
        <v>×</v>
      </c>
      <c r="D27" s="198" t="str">
        <f>IF($C27="●","サポートクラス(自)","-")</f>
        <v>-</v>
      </c>
      <c r="E27" s="198" t="str">
        <f>IF($C27="●",③レベルアップ!$H26,"-")</f>
        <v>-</v>
      </c>
      <c r="F27" s="199">
        <f>IF($E27="-","",HLOOKUP($E27,リファレンス!$I$70:$V$72,3,0))</f>
      </c>
      <c r="G27" s="200"/>
      <c r="H27" s="201"/>
      <c r="I27" s="201"/>
      <c r="J27" s="202"/>
    </row>
    <row r="28" spans="1:10" ht="13.5">
      <c r="A28" s="189">
        <v>12</v>
      </c>
      <c r="B28" s="190" t="str">
        <f>③レベルアップ!$A27</f>
        <v>-</v>
      </c>
      <c r="C28" s="191" t="s">
        <v>139</v>
      </c>
      <c r="D28" s="192" t="s">
        <v>93</v>
      </c>
      <c r="E28" s="192" t="str">
        <f>IF($D28="メインクラス",③レベルアップ!$E27,IF($D28="サポートクラス",③レベルアップ!$H27,IF($D28="その他","この欄を選択","←左欄を選択")))</f>
        <v>←左欄を選択</v>
      </c>
      <c r="F28" s="177"/>
      <c r="G28" s="193" t="s">
        <v>139</v>
      </c>
      <c r="H28" s="194" t="s">
        <v>93</v>
      </c>
      <c r="I28" s="194" t="str">
        <f>IF($H28="メインクラス",③レベルアップ!$E27,IF($H28="サポートクラス",③レベルアップ!$H27,IF($H28="その他","この欄を選択","←左欄を選択")))</f>
        <v>←左欄を選択</v>
      </c>
      <c r="J28" s="195"/>
    </row>
    <row r="29" spans="1:10" ht="13.5">
      <c r="A29" s="172" t="s">
        <v>118</v>
      </c>
      <c r="B29" s="196" t="str">
        <f>③レベルアップ!$A28</f>
        <v>-</v>
      </c>
      <c r="C29" s="197" t="str">
        <f>IF($B29="★","●","×")</f>
        <v>×</v>
      </c>
      <c r="D29" s="198" t="str">
        <f>IF($C29="●","サポートクラス(自)","-")</f>
        <v>-</v>
      </c>
      <c r="E29" s="198" t="str">
        <f>IF($C29="●",③レベルアップ!$H28,"-")</f>
        <v>-</v>
      </c>
      <c r="F29" s="199">
        <f>IF($E29="-","",HLOOKUP($E29,リファレンス!$I$70:$V$72,3,0))</f>
      </c>
      <c r="G29" s="200"/>
      <c r="H29" s="201"/>
      <c r="I29" s="201"/>
      <c r="J29" s="202"/>
    </row>
    <row r="30" spans="1:10" ht="13.5">
      <c r="A30" s="189">
        <v>13</v>
      </c>
      <c r="B30" s="190" t="str">
        <f>③レベルアップ!$A29</f>
        <v>-</v>
      </c>
      <c r="C30" s="191" t="s">
        <v>139</v>
      </c>
      <c r="D30" s="192" t="s">
        <v>93</v>
      </c>
      <c r="E30" s="192" t="str">
        <f>IF($D30="メインクラス",③レベルアップ!$E29,IF($D30="サポートクラス",③レベルアップ!$H29,IF($D30="その他","この欄を選択","←左欄を選択")))</f>
        <v>←左欄を選択</v>
      </c>
      <c r="F30" s="177"/>
      <c r="G30" s="193" t="s">
        <v>139</v>
      </c>
      <c r="H30" s="194" t="s">
        <v>93</v>
      </c>
      <c r="I30" s="194" t="str">
        <f>IF($H30="メインクラス",③レベルアップ!$E29,IF($H30="サポートクラス",③レベルアップ!$H29,IF($H30="その他","この欄を選択","←左欄を選択")))</f>
        <v>←左欄を選択</v>
      </c>
      <c r="J30" s="195"/>
    </row>
    <row r="31" spans="1:10" ht="13.5">
      <c r="A31" s="172" t="s">
        <v>118</v>
      </c>
      <c r="B31" s="196" t="str">
        <f>③レベルアップ!$A30</f>
        <v>-</v>
      </c>
      <c r="C31" s="197" t="str">
        <f>IF($B31="★","●","×")</f>
        <v>×</v>
      </c>
      <c r="D31" s="198" t="str">
        <f>IF($C31="●","サポートクラス(自)","-")</f>
        <v>-</v>
      </c>
      <c r="E31" s="198" t="str">
        <f>IF($C31="●",③レベルアップ!$H30,"-")</f>
        <v>-</v>
      </c>
      <c r="F31" s="199">
        <f>IF($E31="-","",HLOOKUP($E31,リファレンス!$I$70:$V$72,3,0))</f>
      </c>
      <c r="G31" s="200"/>
      <c r="H31" s="201"/>
      <c r="I31" s="201"/>
      <c r="J31" s="202"/>
    </row>
    <row r="32" spans="1:10" ht="13.5">
      <c r="A32" s="189">
        <v>14</v>
      </c>
      <c r="B32" s="190" t="str">
        <f>③レベルアップ!$A31</f>
        <v>-</v>
      </c>
      <c r="C32" s="191" t="s">
        <v>139</v>
      </c>
      <c r="D32" s="192" t="s">
        <v>93</v>
      </c>
      <c r="E32" s="192" t="str">
        <f>IF($D32="メインクラス",③レベルアップ!$E31,IF($D32="サポートクラス",③レベルアップ!$H31,IF($D32="その他","この欄を選択","←左欄を選択")))</f>
        <v>←左欄を選択</v>
      </c>
      <c r="F32" s="177"/>
      <c r="G32" s="193" t="s">
        <v>139</v>
      </c>
      <c r="H32" s="194" t="s">
        <v>93</v>
      </c>
      <c r="I32" s="194" t="str">
        <f>IF($H32="メインクラス",③レベルアップ!$E31,IF($H32="サポートクラス",③レベルアップ!$H31,IF($H32="その他","この欄を選択","←左欄を選択")))</f>
        <v>←左欄を選択</v>
      </c>
      <c r="J32" s="195"/>
    </row>
    <row r="33" spans="1:10" ht="13.5">
      <c r="A33" s="172" t="s">
        <v>118</v>
      </c>
      <c r="B33" s="196" t="str">
        <f>③レベルアップ!$A32</f>
        <v>-</v>
      </c>
      <c r="C33" s="197" t="str">
        <f>IF($B33="★","●","×")</f>
        <v>×</v>
      </c>
      <c r="D33" s="198" t="str">
        <f>IF($C33="●","サポートクラス(自)","-")</f>
        <v>-</v>
      </c>
      <c r="E33" s="198" t="str">
        <f>IF($C33="●",③レベルアップ!$H32,"-")</f>
        <v>-</v>
      </c>
      <c r="F33" s="199">
        <f>IF($E33="-","",HLOOKUP($E33,リファレンス!$I$70:$V$72,3,0))</f>
      </c>
      <c r="G33" s="200"/>
      <c r="H33" s="201"/>
      <c r="I33" s="201"/>
      <c r="J33" s="202"/>
    </row>
    <row r="34" spans="1:10" ht="13.5">
      <c r="A34" s="189">
        <v>15</v>
      </c>
      <c r="B34" s="190" t="str">
        <f>③レベルアップ!$A33</f>
        <v>-</v>
      </c>
      <c r="C34" s="191" t="s">
        <v>139</v>
      </c>
      <c r="D34" s="192" t="s">
        <v>93</v>
      </c>
      <c r="E34" s="192" t="str">
        <f>IF($D34="メインクラス",③レベルアップ!$E33,IF($D34="サポートクラス",③レベルアップ!$H33,IF($D34="その他","この欄を選択","←左欄を選択")))</f>
        <v>←左欄を選択</v>
      </c>
      <c r="F34" s="177"/>
      <c r="G34" s="193" t="s">
        <v>139</v>
      </c>
      <c r="H34" s="194" t="s">
        <v>93</v>
      </c>
      <c r="I34" s="194" t="str">
        <f>IF($H34="メインクラス",③レベルアップ!$E33,IF($H34="サポートクラス",③レベルアップ!$H33,IF($H34="その他","この欄を選択","←左欄を選択")))</f>
        <v>←左欄を選択</v>
      </c>
      <c r="J34" s="195"/>
    </row>
    <row r="35" spans="1:10" ht="13.5">
      <c r="A35" s="172" t="s">
        <v>118</v>
      </c>
      <c r="B35" s="196" t="str">
        <f>③レベルアップ!$A34</f>
        <v>-</v>
      </c>
      <c r="C35" s="197" t="str">
        <f>IF($B35="★","●","×")</f>
        <v>×</v>
      </c>
      <c r="D35" s="198" t="str">
        <f>IF($C35="●","サポートクラス(自)","-")</f>
        <v>-</v>
      </c>
      <c r="E35" s="198" t="str">
        <f>IF($C35="●",③レベルアップ!$H34,"-")</f>
        <v>-</v>
      </c>
      <c r="F35" s="199">
        <f>IF($E35="-","",HLOOKUP($E35,リファレンス!$I$70:$V$72,3,0))</f>
      </c>
      <c r="G35" s="200"/>
      <c r="H35" s="201"/>
      <c r="I35" s="201"/>
      <c r="J35" s="202"/>
    </row>
    <row r="36" spans="1:10" ht="13.5">
      <c r="A36" s="189">
        <v>16</v>
      </c>
      <c r="B36" s="190" t="str">
        <f>③レベルアップ!$A35</f>
        <v>-</v>
      </c>
      <c r="C36" s="191" t="s">
        <v>139</v>
      </c>
      <c r="D36" s="192" t="s">
        <v>93</v>
      </c>
      <c r="E36" s="192" t="str">
        <f>IF($D36="メインクラス",③レベルアップ!$E35,IF($D36="サポートクラス",③レベルアップ!$H35,IF($D36="その他","この欄を選択","←左欄を選択")))</f>
        <v>←左欄を選択</v>
      </c>
      <c r="F36" s="177"/>
      <c r="G36" s="193" t="s">
        <v>139</v>
      </c>
      <c r="H36" s="194" t="s">
        <v>93</v>
      </c>
      <c r="I36" s="194" t="str">
        <f>IF($H36="メインクラス",③レベルアップ!$E35,IF($H36="サポートクラス",③レベルアップ!$H35,IF($H36="その他","この欄を選択","←左欄を選択")))</f>
        <v>←左欄を選択</v>
      </c>
      <c r="J36" s="195"/>
    </row>
    <row r="37" spans="1:10" ht="13.5">
      <c r="A37" s="172" t="s">
        <v>118</v>
      </c>
      <c r="B37" s="196" t="str">
        <f>③レベルアップ!$A36</f>
        <v>-</v>
      </c>
      <c r="C37" s="197" t="str">
        <f>IF($B37="★","●","×")</f>
        <v>×</v>
      </c>
      <c r="D37" s="198" t="str">
        <f>IF($C37="●","サポートクラス(自)","-")</f>
        <v>-</v>
      </c>
      <c r="E37" s="198" t="str">
        <f>IF($C37="●",③レベルアップ!$H36,"-")</f>
        <v>-</v>
      </c>
      <c r="F37" s="199">
        <f>IF($E37="-","",HLOOKUP($E37,リファレンス!$I$70:$V$72,3,0))</f>
      </c>
      <c r="G37" s="200"/>
      <c r="H37" s="201"/>
      <c r="I37" s="201"/>
      <c r="J37" s="202"/>
    </row>
    <row r="38" spans="1:10" ht="13.5">
      <c r="A38" s="189">
        <v>17</v>
      </c>
      <c r="B38" s="190" t="str">
        <f>③レベルアップ!$A37</f>
        <v>-</v>
      </c>
      <c r="C38" s="191" t="s">
        <v>139</v>
      </c>
      <c r="D38" s="192" t="s">
        <v>93</v>
      </c>
      <c r="E38" s="192" t="str">
        <f>IF($D38="メインクラス",③レベルアップ!$E37,IF($D38="サポートクラス",③レベルアップ!$H37,IF($D38="その他","この欄を選択","←左欄を選択")))</f>
        <v>←左欄を選択</v>
      </c>
      <c r="F38" s="177"/>
      <c r="G38" s="193" t="s">
        <v>139</v>
      </c>
      <c r="H38" s="194" t="s">
        <v>93</v>
      </c>
      <c r="I38" s="194" t="str">
        <f>IF($H38="メインクラス",③レベルアップ!$E37,IF($H38="サポートクラス",③レベルアップ!$H37,IF($H38="その他","この欄を選択","←左欄を選択")))</f>
        <v>←左欄を選択</v>
      </c>
      <c r="J38" s="195"/>
    </row>
    <row r="39" spans="1:10" ht="13.5">
      <c r="A39" s="172" t="s">
        <v>118</v>
      </c>
      <c r="B39" s="196" t="str">
        <f>③レベルアップ!$A38</f>
        <v>-</v>
      </c>
      <c r="C39" s="197" t="str">
        <f>IF($B39="★","●","×")</f>
        <v>×</v>
      </c>
      <c r="D39" s="198" t="str">
        <f>IF($C39="●","サポートクラス(自)","-")</f>
        <v>-</v>
      </c>
      <c r="E39" s="198" t="str">
        <f>IF($C39="●",③レベルアップ!$H38,"-")</f>
        <v>-</v>
      </c>
      <c r="F39" s="199">
        <f>IF($E39="-","",HLOOKUP($E39,リファレンス!$I$70:$V$72,3,0))</f>
      </c>
      <c r="G39" s="200"/>
      <c r="H39" s="201"/>
      <c r="I39" s="201"/>
      <c r="J39" s="202"/>
    </row>
    <row r="40" spans="1:10" ht="13.5">
      <c r="A40" s="189">
        <v>18</v>
      </c>
      <c r="B40" s="190" t="str">
        <f>③レベルアップ!$A39</f>
        <v>-</v>
      </c>
      <c r="C40" s="191" t="s">
        <v>139</v>
      </c>
      <c r="D40" s="192" t="s">
        <v>93</v>
      </c>
      <c r="E40" s="192" t="str">
        <f>IF($D40="メインクラス",③レベルアップ!$E39,IF($D40="サポートクラス",③レベルアップ!$H39,IF($D40="その他","この欄を選択","←左欄を選択")))</f>
        <v>←左欄を選択</v>
      </c>
      <c r="F40" s="177"/>
      <c r="G40" s="193" t="s">
        <v>139</v>
      </c>
      <c r="H40" s="194" t="s">
        <v>93</v>
      </c>
      <c r="I40" s="194" t="str">
        <f>IF($H40="メインクラス",③レベルアップ!$E39,IF($H40="サポートクラス",③レベルアップ!$H39,IF($H40="その他","この欄を選択","←左欄を選択")))</f>
        <v>←左欄を選択</v>
      </c>
      <c r="J40" s="195"/>
    </row>
    <row r="41" spans="1:10" ht="13.5">
      <c r="A41" s="172" t="s">
        <v>118</v>
      </c>
      <c r="B41" s="196" t="str">
        <f>③レベルアップ!$A40</f>
        <v>-</v>
      </c>
      <c r="C41" s="197" t="str">
        <f>IF($B41="★","●","×")</f>
        <v>×</v>
      </c>
      <c r="D41" s="198" t="str">
        <f>IF($C41="●","サポートクラス(自)","-")</f>
        <v>-</v>
      </c>
      <c r="E41" s="198" t="str">
        <f>IF($C41="●",③レベルアップ!$H40,"-")</f>
        <v>-</v>
      </c>
      <c r="F41" s="199">
        <f>IF($E41="-","",HLOOKUP($E41,リファレンス!$I$70:$V$72,3,0))</f>
      </c>
      <c r="G41" s="200"/>
      <c r="H41" s="201"/>
      <c r="I41" s="201"/>
      <c r="J41" s="202"/>
    </row>
    <row r="42" spans="1:10" ht="13.5">
      <c r="A42" s="189">
        <v>19</v>
      </c>
      <c r="B42" s="190" t="str">
        <f>③レベルアップ!$A41</f>
        <v>-</v>
      </c>
      <c r="C42" s="191" t="s">
        <v>139</v>
      </c>
      <c r="D42" s="192" t="s">
        <v>93</v>
      </c>
      <c r="E42" s="192" t="str">
        <f>IF($D42="メインクラス",③レベルアップ!$E41,IF($D42="サポートクラス",③レベルアップ!$H41,IF($D42="その他","この欄を選択","←左欄を選択")))</f>
        <v>←左欄を選択</v>
      </c>
      <c r="F42" s="177"/>
      <c r="G42" s="193" t="s">
        <v>139</v>
      </c>
      <c r="H42" s="194" t="s">
        <v>93</v>
      </c>
      <c r="I42" s="194" t="str">
        <f>IF($H42="メインクラス",③レベルアップ!$E41,IF($H42="サポートクラス",③レベルアップ!$H41,IF($H42="その他","この欄を選択","←左欄を選択")))</f>
        <v>←左欄を選択</v>
      </c>
      <c r="J42" s="195"/>
    </row>
    <row r="43" spans="1:10" ht="13.5">
      <c r="A43" s="172" t="s">
        <v>118</v>
      </c>
      <c r="B43" s="196" t="str">
        <f>③レベルアップ!$A42</f>
        <v>-</v>
      </c>
      <c r="C43" s="197" t="str">
        <f>IF($B43="★","●","×")</f>
        <v>×</v>
      </c>
      <c r="D43" s="198" t="str">
        <f>IF($C43="●","サポートクラス(自)","-")</f>
        <v>-</v>
      </c>
      <c r="E43" s="198" t="str">
        <f>IF($C43="●",③レベルアップ!$H42,"-")</f>
        <v>-</v>
      </c>
      <c r="F43" s="199">
        <f>IF($E43="-","",HLOOKUP($E43,リファレンス!$I$70:$V$72,3,0))</f>
      </c>
      <c r="G43" s="200"/>
      <c r="H43" s="201"/>
      <c r="I43" s="201"/>
      <c r="J43" s="202"/>
    </row>
    <row r="44" spans="1:10" ht="13.5">
      <c r="A44" s="189">
        <v>20</v>
      </c>
      <c r="B44" s="190" t="str">
        <f>③レベルアップ!$A43</f>
        <v>-</v>
      </c>
      <c r="C44" s="191" t="s">
        <v>139</v>
      </c>
      <c r="D44" s="192" t="s">
        <v>93</v>
      </c>
      <c r="E44" s="192" t="str">
        <f>IF($D44="メインクラス",③レベルアップ!$E43,IF($D44="サポートクラス",③レベルアップ!$H43,IF($D44="その他","この欄を選択","←左欄を選択")))</f>
        <v>←左欄を選択</v>
      </c>
      <c r="F44" s="177"/>
      <c r="G44" s="193" t="s">
        <v>139</v>
      </c>
      <c r="H44" s="194" t="s">
        <v>93</v>
      </c>
      <c r="I44" s="194" t="str">
        <f>IF($H44="メインクラス",③レベルアップ!$E43,IF($H44="サポートクラス",③レベルアップ!$H43,IF($H44="その他","この欄を選択","←左欄を選択")))</f>
        <v>←左欄を選択</v>
      </c>
      <c r="J44" s="195"/>
    </row>
    <row r="45" spans="1:10" ht="13.5">
      <c r="A45" s="172" t="s">
        <v>118</v>
      </c>
      <c r="B45" s="196" t="str">
        <f>③レベルアップ!$A44</f>
        <v>-</v>
      </c>
      <c r="C45" s="197" t="str">
        <f>IF($B45="★","●","×")</f>
        <v>×</v>
      </c>
      <c r="D45" s="198" t="str">
        <f>IF($C45="●","サポートクラス(自)","-")</f>
        <v>-</v>
      </c>
      <c r="E45" s="198" t="str">
        <f>IF($C45="●",③レベルアップ!$H44,"-")</f>
        <v>-</v>
      </c>
      <c r="F45" s="199">
        <f>IF($E45="-","",HLOOKUP($E45,リファレンス!$I$70:$V$72,3,0))</f>
      </c>
      <c r="G45" s="200"/>
      <c r="H45" s="201"/>
      <c r="I45" s="201"/>
      <c r="J45" s="202"/>
    </row>
    <row r="46" spans="1:10" ht="13.5">
      <c r="A46" s="189">
        <v>21</v>
      </c>
      <c r="B46" s="190" t="str">
        <f>③レベルアップ!$A45</f>
        <v>-</v>
      </c>
      <c r="C46" s="191" t="s">
        <v>139</v>
      </c>
      <c r="D46" s="192" t="s">
        <v>93</v>
      </c>
      <c r="E46" s="192" t="str">
        <f>IF($D46="メインクラス",③レベルアップ!$E45,IF($D46="サポートクラス",③レベルアップ!$H45,IF($D46="その他","この欄を選択","←左欄を選択")))</f>
        <v>←左欄を選択</v>
      </c>
      <c r="F46" s="177"/>
      <c r="G46" s="193" t="s">
        <v>139</v>
      </c>
      <c r="H46" s="194" t="s">
        <v>93</v>
      </c>
      <c r="I46" s="194" t="str">
        <f>IF($H46="メインクラス",③レベルアップ!$E45,IF($H46="サポートクラス",③レベルアップ!$H45,IF($H46="その他","この欄を選択","←左欄を選択")))</f>
        <v>←左欄を選択</v>
      </c>
      <c r="J46" s="195"/>
    </row>
    <row r="47" spans="1:10" ht="13.5">
      <c r="A47" s="172" t="s">
        <v>118</v>
      </c>
      <c r="B47" s="196" t="str">
        <f>③レベルアップ!$A46</f>
        <v>-</v>
      </c>
      <c r="C47" s="197" t="str">
        <f>IF($B47="★","●","×")</f>
        <v>×</v>
      </c>
      <c r="D47" s="198" t="str">
        <f>IF($C47="●","サポートクラス(自)","-")</f>
        <v>-</v>
      </c>
      <c r="E47" s="198" t="str">
        <f>IF($C47="●",③レベルアップ!$H46,"-")</f>
        <v>-</v>
      </c>
      <c r="F47" s="199">
        <f>IF($E47="-","",HLOOKUP($E47,リファレンス!$I$70:$V$72,3,0))</f>
      </c>
      <c r="G47" s="200"/>
      <c r="H47" s="201"/>
      <c r="I47" s="201"/>
      <c r="J47" s="202"/>
    </row>
    <row r="48" spans="1:10" ht="13.5">
      <c r="A48" s="189">
        <v>22</v>
      </c>
      <c r="B48" s="190" t="str">
        <f>③レベルアップ!$A47</f>
        <v>-</v>
      </c>
      <c r="C48" s="191" t="s">
        <v>139</v>
      </c>
      <c r="D48" s="192" t="s">
        <v>93</v>
      </c>
      <c r="E48" s="192" t="str">
        <f>IF($D48="メインクラス",③レベルアップ!$E47,IF($D48="サポートクラス",③レベルアップ!$H47,IF($D48="その他","この欄を選択","←左欄を選択")))</f>
        <v>←左欄を選択</v>
      </c>
      <c r="F48" s="177"/>
      <c r="G48" s="193" t="s">
        <v>139</v>
      </c>
      <c r="H48" s="194" t="s">
        <v>93</v>
      </c>
      <c r="I48" s="194" t="str">
        <f>IF($H48="メインクラス",③レベルアップ!$E47,IF($H48="サポートクラス",③レベルアップ!$H47,IF($H48="その他","この欄を選択","←左欄を選択")))</f>
        <v>←左欄を選択</v>
      </c>
      <c r="J48" s="195"/>
    </row>
    <row r="49" spans="1:10" ht="13.5">
      <c r="A49" s="172" t="s">
        <v>118</v>
      </c>
      <c r="B49" s="196" t="str">
        <f>③レベルアップ!$A48</f>
        <v>-</v>
      </c>
      <c r="C49" s="197" t="str">
        <f>IF($B49="★","●","×")</f>
        <v>×</v>
      </c>
      <c r="D49" s="198" t="str">
        <f>IF($C49="●","サポートクラス(自)","-")</f>
        <v>-</v>
      </c>
      <c r="E49" s="198" t="str">
        <f>IF($C49="●",③レベルアップ!$H48,"-")</f>
        <v>-</v>
      </c>
      <c r="F49" s="199">
        <f>IF($E49="-","",HLOOKUP($E49,リファレンス!$I$70:$V$72,3,0))</f>
      </c>
      <c r="G49" s="200"/>
      <c r="H49" s="201"/>
      <c r="I49" s="201"/>
      <c r="J49" s="202"/>
    </row>
    <row r="50" spans="1:10" ht="13.5">
      <c r="A50" s="189">
        <v>23</v>
      </c>
      <c r="B50" s="190" t="str">
        <f>③レベルアップ!$A49</f>
        <v>-</v>
      </c>
      <c r="C50" s="191" t="s">
        <v>139</v>
      </c>
      <c r="D50" s="192" t="s">
        <v>93</v>
      </c>
      <c r="E50" s="192" t="str">
        <f>IF($D50="メインクラス",③レベルアップ!$E49,IF($D50="サポートクラス",③レベルアップ!$H49,IF($D50="その他","この欄を選択","←左欄を選択")))</f>
        <v>←左欄を選択</v>
      </c>
      <c r="F50" s="177"/>
      <c r="G50" s="193" t="s">
        <v>139</v>
      </c>
      <c r="H50" s="194" t="s">
        <v>93</v>
      </c>
      <c r="I50" s="194" t="str">
        <f>IF($H50="メインクラス",③レベルアップ!$E49,IF($H50="サポートクラス",③レベルアップ!$H49,IF($H50="その他","この欄を選択","←左欄を選択")))</f>
        <v>←左欄を選択</v>
      </c>
      <c r="J50" s="195"/>
    </row>
    <row r="51" spans="1:10" ht="13.5">
      <c r="A51" s="172" t="s">
        <v>118</v>
      </c>
      <c r="B51" s="196" t="str">
        <f>③レベルアップ!$A50</f>
        <v>-</v>
      </c>
      <c r="C51" s="197" t="str">
        <f>IF($B51="★","●","×")</f>
        <v>×</v>
      </c>
      <c r="D51" s="198" t="str">
        <f>IF($C51="●","サポートクラス(自)","-")</f>
        <v>-</v>
      </c>
      <c r="E51" s="198" t="str">
        <f>IF($C51="●",③レベルアップ!$H50,"-")</f>
        <v>-</v>
      </c>
      <c r="F51" s="199">
        <f>IF($E51="-","",HLOOKUP($E51,リファレンス!$I$70:$V$72,3,0))</f>
      </c>
      <c r="G51" s="200"/>
      <c r="H51" s="201"/>
      <c r="I51" s="201"/>
      <c r="J51" s="202"/>
    </row>
    <row r="52" spans="1:10" ht="13.5">
      <c r="A52" s="189">
        <v>24</v>
      </c>
      <c r="B52" s="190" t="str">
        <f>③レベルアップ!$A51</f>
        <v>-</v>
      </c>
      <c r="C52" s="191" t="s">
        <v>139</v>
      </c>
      <c r="D52" s="192" t="s">
        <v>93</v>
      </c>
      <c r="E52" s="192" t="str">
        <f>IF($D52="メインクラス",③レベルアップ!$E51,IF($D52="サポートクラス",③レベルアップ!$H51,IF($D52="その他","この欄を選択","←左欄を選択")))</f>
        <v>←左欄を選択</v>
      </c>
      <c r="F52" s="177"/>
      <c r="G52" s="193" t="s">
        <v>139</v>
      </c>
      <c r="H52" s="194" t="s">
        <v>93</v>
      </c>
      <c r="I52" s="194" t="str">
        <f>IF($H52="メインクラス",③レベルアップ!$E51,IF($H52="サポートクラス",③レベルアップ!$H51,IF($H52="その他","この欄を選択","←左欄を選択")))</f>
        <v>←左欄を選択</v>
      </c>
      <c r="J52" s="195"/>
    </row>
    <row r="53" spans="1:10" ht="13.5">
      <c r="A53" s="172" t="s">
        <v>118</v>
      </c>
      <c r="B53" s="196" t="str">
        <f>③レベルアップ!$A52</f>
        <v>-</v>
      </c>
      <c r="C53" s="197" t="str">
        <f>IF($B53="★","●","×")</f>
        <v>×</v>
      </c>
      <c r="D53" s="198" t="str">
        <f>IF($C53="●","サポートクラス(自)","-")</f>
        <v>-</v>
      </c>
      <c r="E53" s="198" t="str">
        <f>IF($C53="●",③レベルアップ!$H52,"-")</f>
        <v>-</v>
      </c>
      <c r="F53" s="199">
        <f>IF($E53="-","",HLOOKUP($E53,リファレンス!$I$70:$V$72,3,0))</f>
      </c>
      <c r="G53" s="200"/>
      <c r="H53" s="201"/>
      <c r="I53" s="201"/>
      <c r="J53" s="202"/>
    </row>
    <row r="54" spans="1:10" ht="13.5">
      <c r="A54" s="189">
        <v>25</v>
      </c>
      <c r="B54" s="190" t="str">
        <f>③レベルアップ!$A53</f>
        <v>-</v>
      </c>
      <c r="C54" s="191" t="s">
        <v>139</v>
      </c>
      <c r="D54" s="192" t="s">
        <v>93</v>
      </c>
      <c r="E54" s="192" t="str">
        <f>IF($D54="メインクラス",③レベルアップ!$E53,IF($D54="サポートクラス",③レベルアップ!$H53,IF($D54="その他","この欄を選択","←左欄を選択")))</f>
        <v>←左欄を選択</v>
      </c>
      <c r="F54" s="177"/>
      <c r="G54" s="193" t="s">
        <v>139</v>
      </c>
      <c r="H54" s="194" t="s">
        <v>93</v>
      </c>
      <c r="I54" s="194" t="str">
        <f>IF($H54="メインクラス",③レベルアップ!$E53,IF($H54="サポートクラス",③レベルアップ!$H53,IF($H54="その他","この欄を選択","←左欄を選択")))</f>
        <v>←左欄を選択</v>
      </c>
      <c r="J54" s="195"/>
    </row>
    <row r="55" spans="1:10" ht="13.5">
      <c r="A55" s="172" t="s">
        <v>118</v>
      </c>
      <c r="B55" s="196" t="str">
        <f>③レベルアップ!$A54</f>
        <v>-</v>
      </c>
      <c r="C55" s="197" t="str">
        <f>IF($B55="★","●","×")</f>
        <v>×</v>
      </c>
      <c r="D55" s="198" t="str">
        <f>IF($C55="●","サポートクラス(自)","-")</f>
        <v>-</v>
      </c>
      <c r="E55" s="198" t="str">
        <f>IF($C55="●",③レベルアップ!$H54,"-")</f>
        <v>-</v>
      </c>
      <c r="F55" s="199">
        <f>IF($E55="-","",HLOOKUP($E55,リファレンス!$I$70:$V$72,3,0))</f>
      </c>
      <c r="G55" s="200"/>
      <c r="H55" s="201"/>
      <c r="I55" s="201"/>
      <c r="J55" s="202"/>
    </row>
    <row r="56" spans="1:10" ht="13.5">
      <c r="A56" s="189">
        <v>26</v>
      </c>
      <c r="B56" s="190" t="str">
        <f>③レベルアップ!$A55</f>
        <v>-</v>
      </c>
      <c r="C56" s="191" t="s">
        <v>139</v>
      </c>
      <c r="D56" s="192" t="s">
        <v>93</v>
      </c>
      <c r="E56" s="192" t="str">
        <f>IF($D56="メインクラス",③レベルアップ!$E55,IF($D56="サポートクラス",③レベルアップ!$H55,IF($D56="その他","この欄を選択","←左欄を選択")))</f>
        <v>←左欄を選択</v>
      </c>
      <c r="F56" s="177"/>
      <c r="G56" s="193" t="s">
        <v>139</v>
      </c>
      <c r="H56" s="194" t="s">
        <v>93</v>
      </c>
      <c r="I56" s="194" t="str">
        <f>IF($H56="メインクラス",③レベルアップ!$E55,IF($H56="サポートクラス",③レベルアップ!$H55,IF($H56="その他","この欄を選択","←左欄を選択")))</f>
        <v>←左欄を選択</v>
      </c>
      <c r="J56" s="195"/>
    </row>
    <row r="57" spans="1:10" ht="13.5">
      <c r="A57" s="172" t="s">
        <v>118</v>
      </c>
      <c r="B57" s="196" t="str">
        <f>③レベルアップ!$A56</f>
        <v>-</v>
      </c>
      <c r="C57" s="197" t="str">
        <f>IF($B57="★","●","×")</f>
        <v>×</v>
      </c>
      <c r="D57" s="198" t="str">
        <f>IF($C57="●","サポートクラス(自)","-")</f>
        <v>-</v>
      </c>
      <c r="E57" s="198" t="str">
        <f>IF($C57="●",③レベルアップ!$H56,"-")</f>
        <v>-</v>
      </c>
      <c r="F57" s="199">
        <f>IF($E57="-","",HLOOKUP($E57,リファレンス!$I$70:$V$72,3,0))</f>
      </c>
      <c r="G57" s="200"/>
      <c r="H57" s="201"/>
      <c r="I57" s="201"/>
      <c r="J57" s="202"/>
    </row>
    <row r="58" spans="1:10" ht="13.5">
      <c r="A58" s="189">
        <v>27</v>
      </c>
      <c r="B58" s="190" t="str">
        <f>③レベルアップ!$A57</f>
        <v>-</v>
      </c>
      <c r="C58" s="191" t="s">
        <v>139</v>
      </c>
      <c r="D58" s="192" t="s">
        <v>93</v>
      </c>
      <c r="E58" s="192" t="str">
        <f>IF($D58="メインクラス",③レベルアップ!$E57,IF($D58="サポートクラス",③レベルアップ!$H57,IF($D58="その他","この欄を選択","←左欄を選択")))</f>
        <v>←左欄を選択</v>
      </c>
      <c r="F58" s="177"/>
      <c r="G58" s="193" t="s">
        <v>139</v>
      </c>
      <c r="H58" s="194" t="s">
        <v>93</v>
      </c>
      <c r="I58" s="194" t="str">
        <f>IF($H58="メインクラス",③レベルアップ!$E57,IF($H58="サポートクラス",③レベルアップ!$H57,IF($H58="その他","この欄を選択","←左欄を選択")))</f>
        <v>←左欄を選択</v>
      </c>
      <c r="J58" s="195"/>
    </row>
    <row r="59" spans="1:10" ht="13.5">
      <c r="A59" s="172" t="s">
        <v>118</v>
      </c>
      <c r="B59" s="196" t="str">
        <f>③レベルアップ!$A58</f>
        <v>-</v>
      </c>
      <c r="C59" s="197" t="str">
        <f>IF($B59="★","●","×")</f>
        <v>×</v>
      </c>
      <c r="D59" s="198" t="str">
        <f>IF($C59="●","サポートクラス(自)","-")</f>
        <v>-</v>
      </c>
      <c r="E59" s="198" t="str">
        <f>IF($C59="●",③レベルアップ!$H58,"-")</f>
        <v>-</v>
      </c>
      <c r="F59" s="199">
        <f>IF($E59="-","",HLOOKUP($E59,リファレンス!$I$70:$V$72,3,0))</f>
      </c>
      <c r="G59" s="200"/>
      <c r="H59" s="201"/>
      <c r="I59" s="201"/>
      <c r="J59" s="202"/>
    </row>
    <row r="60" spans="1:10" ht="13.5">
      <c r="A60" s="189">
        <v>28</v>
      </c>
      <c r="B60" s="190" t="str">
        <f>③レベルアップ!$A59</f>
        <v>-</v>
      </c>
      <c r="C60" s="191" t="s">
        <v>139</v>
      </c>
      <c r="D60" s="192" t="s">
        <v>93</v>
      </c>
      <c r="E60" s="192" t="str">
        <f>IF($D60="メインクラス",③レベルアップ!$E59,IF($D60="サポートクラス",③レベルアップ!$H59,IF($D60="その他","この欄を選択","←左欄を選択")))</f>
        <v>←左欄を選択</v>
      </c>
      <c r="F60" s="177"/>
      <c r="G60" s="193" t="s">
        <v>139</v>
      </c>
      <c r="H60" s="194" t="s">
        <v>93</v>
      </c>
      <c r="I60" s="194" t="str">
        <f>IF($H60="メインクラス",③レベルアップ!$E59,IF($H60="サポートクラス",③レベルアップ!$H59,IF($H60="その他","この欄を選択","←左欄を選択")))</f>
        <v>←左欄を選択</v>
      </c>
      <c r="J60" s="195"/>
    </row>
    <row r="61" spans="1:10" ht="13.5">
      <c r="A61" s="172" t="s">
        <v>118</v>
      </c>
      <c r="B61" s="196" t="str">
        <f>③レベルアップ!$A60</f>
        <v>-</v>
      </c>
      <c r="C61" s="197" t="str">
        <f>IF($B61="★","●","×")</f>
        <v>×</v>
      </c>
      <c r="D61" s="198" t="str">
        <f>IF($C61="●","サポートクラス(自)","-")</f>
        <v>-</v>
      </c>
      <c r="E61" s="198" t="str">
        <f>IF($C61="●",③レベルアップ!$H60,"-")</f>
        <v>-</v>
      </c>
      <c r="F61" s="199">
        <f>IF($E61="-","",HLOOKUP($E61,リファレンス!$I$70:$V$72,3,0))</f>
      </c>
      <c r="G61" s="200"/>
      <c r="H61" s="201"/>
      <c r="I61" s="201"/>
      <c r="J61" s="202"/>
    </row>
    <row r="62" spans="1:10" ht="13.5">
      <c r="A62" s="189">
        <v>29</v>
      </c>
      <c r="B62" s="190" t="str">
        <f>③レベルアップ!$A61</f>
        <v>-</v>
      </c>
      <c r="C62" s="191" t="s">
        <v>139</v>
      </c>
      <c r="D62" s="192" t="s">
        <v>93</v>
      </c>
      <c r="E62" s="192" t="str">
        <f>IF($D62="メインクラス",③レベルアップ!$E61,IF($D62="サポートクラス",③レベルアップ!$H61,IF($D62="その他","この欄を選択","←左欄を選択")))</f>
        <v>←左欄を選択</v>
      </c>
      <c r="F62" s="177"/>
      <c r="G62" s="193" t="s">
        <v>139</v>
      </c>
      <c r="H62" s="194" t="s">
        <v>93</v>
      </c>
      <c r="I62" s="194" t="str">
        <f>IF($H62="メインクラス",③レベルアップ!$E61,IF($H62="サポートクラス",③レベルアップ!$H61,IF($H62="その他","この欄を選択","←左欄を選択")))</f>
        <v>←左欄を選択</v>
      </c>
      <c r="J62" s="195"/>
    </row>
    <row r="63" spans="1:10" ht="13.5">
      <c r="A63" s="172" t="s">
        <v>118</v>
      </c>
      <c r="B63" s="196" t="str">
        <f>③レベルアップ!$A62</f>
        <v>-</v>
      </c>
      <c r="C63" s="197" t="str">
        <f>IF($B63="★","●","×")</f>
        <v>×</v>
      </c>
      <c r="D63" s="198" t="str">
        <f>IF($C63="●","サポートクラス(自)","-")</f>
        <v>-</v>
      </c>
      <c r="E63" s="198" t="str">
        <f>IF($C63="●",③レベルアップ!$H62,"-")</f>
        <v>-</v>
      </c>
      <c r="F63" s="199">
        <f>IF($E63="-","",HLOOKUP($E63,リファレンス!$I$70:$V$72,3,0))</f>
      </c>
      <c r="G63" s="200"/>
      <c r="H63" s="201"/>
      <c r="I63" s="201"/>
      <c r="J63" s="202"/>
    </row>
    <row r="64" spans="1:10" ht="13.5">
      <c r="A64" s="172">
        <v>30</v>
      </c>
      <c r="B64" s="173" t="str">
        <f>③レベルアップ!$A63</f>
        <v>-</v>
      </c>
      <c r="C64" s="197" t="s">
        <v>139</v>
      </c>
      <c r="D64" s="194" t="s">
        <v>93</v>
      </c>
      <c r="E64" s="194" t="str">
        <f>IF($D64="メインクラス",③レベルアップ!$E63,IF($D64="サポートクラス",③レベルアップ!$H63,IF($D64="その他","この欄を選択","←左欄を選択")))</f>
        <v>←左欄を選択</v>
      </c>
      <c r="F64" s="203"/>
      <c r="G64" s="193" t="s">
        <v>139</v>
      </c>
      <c r="H64" s="194" t="s">
        <v>93</v>
      </c>
      <c r="I64" s="194" t="str">
        <f>IF($H64="メインクラス",③レベルアップ!$E63,IF($H64="サポートクラス",③レベルアップ!$H63,IF($H64="その他","この欄を選択","←左欄を選択")))</f>
        <v>←左欄を選択</v>
      </c>
      <c r="J64" s="195"/>
    </row>
  </sheetData>
  <mergeCells count="3">
    <mergeCell ref="A1:J1"/>
    <mergeCell ref="A4:A7"/>
    <mergeCell ref="B4:B7"/>
  </mergeCells>
  <dataValidations count="7">
    <dataValidation type="list" allowBlank="1" sqref="F4 F7:F8 F10 F12 F14 F16 F18 F20 F22 F24 F26 F28 F30 F32 F34 F36 F38 F40 F42 F44 F46 F48 F50 F52 F54 F56 F58 F60 F62 F64">
      <formula1>INDIRECT($E4)</formula1>
      <formula2>0</formula2>
    </dataValidation>
    <dataValidation type="list" allowBlank="1" sqref="J4:J8 J10 J12 J14 J16 J18 J20 J22 J24 J26 J28 J30 J32 J34 J36 J38 J40 J42 J44 J46 J48 J50 J52 J54 J56 J58 J60 J62 J64">
      <formula1>INDIRECT($I4)</formula1>
      <formula2>0</formula2>
    </dataValidation>
    <dataValidation type="list" allowBlank="1" sqref="E8 I8 E10 I10 E12 I12 E14 I14 E16 I16 E18 I18 E20 I20 E22 I22 E24 I24 E26 I26 E28 I28 E30 I30 E32 I32 E34 I34 E36 I36 E38 I38 E40 I40 E42 I42 E44 I44 E46 I46 E48 I48 E50 I50 E52 I52 E54 I54 E56 I56 E58 I58 E60 I60 E62 I62 E64 I64">
      <formula1>成長時選択可能スキル</formula1>
      <formula2>0</formula2>
    </dataValidation>
    <dataValidation type="list" allowBlank="1" showErrorMessage="1" sqref="D8 H8 D10 H10 D12 H12 D14 H14 D16 H16 D18 H18 D20 H20 D22 H22 D24 H24 D26 H26 D28 H28 D30 H30 D32 H32 D34 H34 D36 H36 D38 H38 D40 H40 D42 H42 D44 H44 D46 H46 D48 H48 D50 H50 D52 H52 D54 H54 D56 H56 D58 H58 D60 H60 D62 H62 D64 H64">
      <formula1>AR_メイン_サポート</formula1>
      <formula2>0</formula2>
    </dataValidation>
    <dataValidation type="list" allowBlank="1" sqref="E7">
      <formula1>AR_スキル</formula1>
      <formula2>0</formula2>
    </dataValidation>
    <dataValidation type="list" allowBlank="1" showErrorMessage="1" sqref="I7">
      <formula1>AR_種族</formula1>
      <formula2>0</formula2>
    </dataValidation>
    <dataValidation allowBlank="1" sqref="F5:F6 G8 G10 G12 G14 G16 G18 G20 G22 G24 G26 G28 G30 G32 G34 G36 G38 G40 G42 G44 G46 G48 G50 G52 G54 G56 G58 G60 G62 G64">
      <formula1>0</formula1>
      <formula2>0</formula2>
    </dataValidation>
  </dataValidation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codeName="Sheet7"/>
  <dimension ref="A1:BE69"/>
  <sheetViews>
    <sheetView tabSelected="1" workbookViewId="0" topLeftCell="A1">
      <selection activeCell="M12" sqref="M12"/>
    </sheetView>
  </sheetViews>
  <sheetFormatPr defaultColWidth="6.00390625" defaultRowHeight="13.5"/>
  <cols>
    <col min="1" max="1" width="1.875" style="11" customWidth="1"/>
    <col min="2" max="2" width="5.375" style="11" customWidth="1"/>
    <col min="3" max="3" width="4.25390625" style="11" customWidth="1"/>
    <col min="4" max="4" width="5.25390625" style="11" customWidth="1"/>
    <col min="5" max="5" width="4.75390625" style="11" customWidth="1"/>
    <col min="6" max="6" width="5.125" style="11" customWidth="1"/>
    <col min="7" max="7" width="4.875" style="11" customWidth="1"/>
    <col min="8" max="8" width="5.50390625" style="11" customWidth="1"/>
    <col min="9" max="9" width="3.625" style="11" customWidth="1"/>
    <col min="10" max="10" width="3.875" style="11" customWidth="1"/>
    <col min="11" max="11" width="4.75390625" style="11" customWidth="1"/>
    <col min="12" max="12" width="4.375" style="11" customWidth="1"/>
    <col min="13" max="13" width="4.625" style="11" customWidth="1"/>
    <col min="14" max="14" width="2.00390625" style="11" customWidth="1"/>
    <col min="15" max="15" width="2.25390625" style="11" customWidth="1"/>
    <col min="16" max="17" width="4.625" style="11" customWidth="1"/>
    <col min="18" max="18" width="7.625" style="11" customWidth="1"/>
    <col min="19" max="19" width="5.125" style="11" customWidth="1"/>
    <col min="20" max="20" width="7.50390625" style="11" customWidth="1"/>
    <col min="21" max="21" width="7.75390625" style="11" customWidth="1"/>
    <col min="22" max="22" width="7.25390625" style="11" customWidth="1"/>
    <col min="23" max="23" width="5.875" style="11" customWidth="1"/>
    <col min="24" max="24" width="6.375" style="11" customWidth="1"/>
    <col min="25" max="25" width="2.875" style="11" customWidth="1"/>
    <col min="26" max="27" width="3.625" style="11" customWidth="1"/>
    <col min="28" max="29" width="3.50390625" style="11" customWidth="1"/>
    <col min="30" max="30" width="3.875" style="11" customWidth="1"/>
    <col min="31" max="31" width="14.125" style="11" customWidth="1"/>
    <col min="32" max="32" width="9.625" style="11" customWidth="1"/>
    <col min="33" max="33" width="1.12109375" style="204" customWidth="1"/>
    <col min="34" max="34" width="12.50390625" style="204" customWidth="1"/>
    <col min="35" max="35" width="12.875" style="165" customWidth="1"/>
    <col min="36" max="36" width="2.375" style="204" customWidth="1"/>
    <col min="37" max="37" width="4.125" style="165" customWidth="1"/>
    <col min="38" max="38" width="1.625" style="204" customWidth="1"/>
    <col min="39" max="39" width="2.375" style="165" customWidth="1"/>
    <col min="40" max="40" width="3.875" style="204" customWidth="1"/>
    <col min="41" max="41" width="1.25" style="204" customWidth="1"/>
    <col min="42" max="42" width="2.25390625" style="165" customWidth="1"/>
    <col min="43" max="43" width="4.375" style="204" customWidth="1"/>
    <col min="44" max="44" width="1.75390625" style="204" customWidth="1"/>
    <col min="45" max="45" width="3.50390625" style="165" customWidth="1"/>
    <col min="46" max="46" width="4.00390625" style="204" customWidth="1"/>
    <col min="47" max="47" width="1.625" style="204" customWidth="1"/>
    <col min="48" max="48" width="7.125" style="11" customWidth="1"/>
    <col min="49" max="49" width="3.00390625" style="11" customWidth="1"/>
    <col min="50" max="50" width="3.625" style="11" customWidth="1"/>
    <col min="51" max="51" width="1.875" style="11" customWidth="1"/>
    <col min="52" max="52" width="3.625" style="11" customWidth="1"/>
    <col min="53" max="53" width="4.50390625" style="11" customWidth="1"/>
    <col min="54" max="54" width="1.37890625" style="11" customWidth="1"/>
    <col min="55" max="55" width="14.50390625" style="11" customWidth="1"/>
    <col min="56" max="56" width="7.50390625" style="11" customWidth="1"/>
    <col min="57" max="16384" width="5.50390625" style="11" customWidth="1"/>
  </cols>
  <sheetData>
    <row r="1" spans="1:57" s="19" customFormat="1" ht="11.25">
      <c r="A1" s="205" t="s">
        <v>145</v>
      </c>
      <c r="B1" s="205"/>
      <c r="C1" s="205"/>
      <c r="D1" s="205"/>
      <c r="E1" s="205"/>
      <c r="F1" s="205"/>
      <c r="G1" s="205"/>
      <c r="H1" s="205"/>
      <c r="I1" s="205"/>
      <c r="J1" s="205"/>
      <c r="K1" s="205"/>
      <c r="L1" s="205"/>
      <c r="M1" s="206" t="s">
        <v>146</v>
      </c>
      <c r="N1" s="206"/>
      <c r="O1" s="206"/>
      <c r="P1" s="206"/>
      <c r="Q1" s="206"/>
      <c r="R1" s="206"/>
      <c r="S1" s="207" t="s">
        <v>147</v>
      </c>
      <c r="T1" s="208" t="s">
        <v>148</v>
      </c>
      <c r="U1" s="209" t="s">
        <v>149</v>
      </c>
      <c r="V1" s="210" t="s">
        <v>150</v>
      </c>
      <c r="W1" s="110" t="s">
        <v>151</v>
      </c>
      <c r="X1" s="211" t="s">
        <v>152</v>
      </c>
      <c r="Y1" s="212" t="s">
        <v>153</v>
      </c>
      <c r="Z1" s="212"/>
      <c r="AA1" s="212"/>
      <c r="AB1" s="212"/>
      <c r="AC1" s="212"/>
      <c r="AD1" s="213"/>
      <c r="AE1" s="214" t="s">
        <v>154</v>
      </c>
      <c r="AF1" s="214"/>
      <c r="AG1" s="215"/>
      <c r="AH1" s="216" t="s">
        <v>155</v>
      </c>
      <c r="AI1" s="217" t="s">
        <v>156</v>
      </c>
      <c r="AJ1" s="218" t="s">
        <v>157</v>
      </c>
      <c r="AK1" s="219" t="s">
        <v>158</v>
      </c>
      <c r="AL1" s="109"/>
      <c r="AM1" s="109" t="s">
        <v>159</v>
      </c>
      <c r="AN1" s="109"/>
      <c r="AO1" s="109"/>
      <c r="AP1" s="109" t="s">
        <v>160</v>
      </c>
      <c r="AQ1" s="109"/>
      <c r="AR1" s="109"/>
      <c r="AS1" s="220" t="s">
        <v>161</v>
      </c>
      <c r="AT1" s="220"/>
      <c r="AU1" s="215"/>
      <c r="AV1" s="108"/>
      <c r="AW1" s="109" t="s">
        <v>39</v>
      </c>
      <c r="AX1" s="109"/>
      <c r="AY1" s="109"/>
      <c r="AZ1" s="218" t="s">
        <v>116</v>
      </c>
      <c r="BA1" s="218"/>
      <c r="BB1" s="221"/>
      <c r="BC1" s="222" t="s">
        <v>162</v>
      </c>
      <c r="BD1" s="222"/>
      <c r="BE1" s="223"/>
    </row>
    <row r="2" spans="1:57" ht="13.5">
      <c r="A2" s="224" t="s">
        <v>163</v>
      </c>
      <c r="B2" s="118" t="s">
        <v>164</v>
      </c>
      <c r="C2" s="118"/>
      <c r="D2" s="225" t="s">
        <v>165</v>
      </c>
      <c r="E2" s="225"/>
      <c r="F2" s="225"/>
      <c r="G2" s="225"/>
      <c r="H2" s="226" t="s">
        <v>24</v>
      </c>
      <c r="I2" s="139" t="str">
        <f>①コンストラクション!M4</f>
        <v>ヴァーナ</v>
      </c>
      <c r="J2" s="139"/>
      <c r="K2" s="139"/>
      <c r="L2" s="139"/>
      <c r="M2" s="118" t="s">
        <v>75</v>
      </c>
      <c r="N2" s="227" t="str">
        <f>①コンストラクション!C36</f>
        <v>邪神の祝福</v>
      </c>
      <c r="O2" s="227"/>
      <c r="P2" s="227"/>
      <c r="Q2" s="228" t="s">
        <v>78</v>
      </c>
      <c r="R2" s="31" t="str">
        <f>①コンストラクション!C37</f>
        <v>策謀</v>
      </c>
      <c r="S2" s="229" t="s">
        <v>166</v>
      </c>
      <c r="T2" s="230" t="str">
        <f>AZ2&amp;"("&amp;BA2&amp;"D)"</f>
        <v>4(2D)</v>
      </c>
      <c r="U2" s="231" t="str">
        <f>AZ3&amp;"("&amp;BA3&amp;"D)"</f>
        <v>4(2D)</v>
      </c>
      <c r="V2" s="159" t="str">
        <f>IF($V$1="","",VLOOKUP($V$1,$AH$14:$AI$26,2,0))</f>
        <v>+0(+1D)</v>
      </c>
      <c r="W2" s="232"/>
      <c r="X2" s="233"/>
      <c r="Y2" s="234"/>
      <c r="Z2" s="234"/>
      <c r="AA2" s="234"/>
      <c r="AB2" s="234"/>
      <c r="AC2" s="234"/>
      <c r="AE2" s="79" t="s">
        <v>167</v>
      </c>
      <c r="AF2" s="235"/>
      <c r="AG2" s="215"/>
      <c r="AH2" s="79" t="s">
        <v>168</v>
      </c>
      <c r="AI2" s="236" t="s">
        <v>169</v>
      </c>
      <c r="AJ2" s="146">
        <f>IF(COUNTIF(AR_SHEET_スキル,"バトルブレイン")=1,$H$11,$H$9)+$J$22</f>
        <v>4</v>
      </c>
      <c r="AK2" s="237">
        <v>2</v>
      </c>
      <c r="AL2" s="125" t="s">
        <v>60</v>
      </c>
      <c r="AM2" s="238">
        <f>COUNTIF(AR_SHEET_スキル,"コンバットマスタリー")+COUNTIF(AR_SHEET_スキル,"ファイティングロウ")*4+IF(ISERROR(VLOOKUP("ジャッジアタック",AR_スキルSL,7,0))=TRUE,"-2",VLOOKUP("ジャッジアタック",AR_スキルSL,7,0))+2</f>
        <v>0</v>
      </c>
      <c r="AN2" s="237">
        <f>+COUNTIF(AR_SHEET_スキル,"アキュレイト")+COUNTIF(AR_SHEET_ギルドスキル,"修練：器用")</f>
        <v>0</v>
      </c>
      <c r="AO2" s="125" t="s">
        <v>60</v>
      </c>
      <c r="AP2" s="238">
        <f>COUNTIF(AR_SHEET_装備,"器用のナイフ")*2+COUNTIF(AR_SHEET_装備,"バトルバックラー")*2</f>
        <v>0</v>
      </c>
      <c r="AQ2" s="237">
        <f>COUNTIF(AR_SHEET_装備,"アサシンガーブ")</f>
        <v>0</v>
      </c>
      <c r="AR2" s="239" t="s">
        <v>61</v>
      </c>
      <c r="AS2" s="238">
        <f>SUM(AJ2,AM2,AP2)</f>
        <v>4</v>
      </c>
      <c r="AT2" s="240">
        <f>SUM(AK2,AN2,AQ2)</f>
        <v>2</v>
      </c>
      <c r="AU2" s="241" t="s">
        <v>60</v>
      </c>
      <c r="AV2" s="79" t="s">
        <v>170</v>
      </c>
      <c r="AW2" s="126">
        <f>IF(ISERROR(VLOOKUP("イーグルアイ",AR_スキルSL,7,0))=TRUE,"0",VLOOKUP("イーグルアイ",AR_スキルSL,7,0))*2</f>
        <v>0</v>
      </c>
      <c r="AX2" s="242">
        <v>0</v>
      </c>
      <c r="AY2" s="55" t="s">
        <v>61</v>
      </c>
      <c r="AZ2" s="126">
        <f>SUM(AS2,AW2)</f>
        <v>4</v>
      </c>
      <c r="BA2" s="243">
        <f>SUM(AT2,AX2)</f>
        <v>2</v>
      </c>
      <c r="BB2" s="244"/>
      <c r="BC2" s="245"/>
      <c r="BD2" s="246"/>
      <c r="BE2" s="223"/>
    </row>
    <row r="3" spans="1:57" ht="13.5">
      <c r="A3" s="224"/>
      <c r="B3" s="118" t="s">
        <v>171</v>
      </c>
      <c r="C3" s="118"/>
      <c r="D3" s="225" t="s">
        <v>172</v>
      </c>
      <c r="E3" s="225"/>
      <c r="F3" s="225"/>
      <c r="G3" s="225"/>
      <c r="H3" s="247" t="s">
        <v>173</v>
      </c>
      <c r="I3" s="248" t="s">
        <v>174</v>
      </c>
      <c r="J3" s="248"/>
      <c r="K3" s="248"/>
      <c r="L3" s="248"/>
      <c r="M3" s="118" t="s">
        <v>175</v>
      </c>
      <c r="N3" s="249" t="str">
        <f>①コンストラクション!I36</f>
        <v>妖魔の血</v>
      </c>
      <c r="O3" s="249"/>
      <c r="P3" s="249"/>
      <c r="Q3" s="228" t="s">
        <v>80</v>
      </c>
      <c r="R3" s="31" t="str">
        <f>①コンストラクション!C38</f>
        <v>旅立ち</v>
      </c>
      <c r="S3" s="250" t="s">
        <v>176</v>
      </c>
      <c r="T3" s="230"/>
      <c r="U3" s="231"/>
      <c r="V3" s="159"/>
      <c r="W3" s="251"/>
      <c r="X3" s="251"/>
      <c r="Y3" s="234"/>
      <c r="Z3" s="234"/>
      <c r="AA3" s="234"/>
      <c r="AB3" s="234"/>
      <c r="AC3" s="234"/>
      <c r="AE3" s="79" t="s">
        <v>177</v>
      </c>
      <c r="AF3" s="235"/>
      <c r="AG3" s="215"/>
      <c r="AH3" s="79"/>
      <c r="AI3" s="236"/>
      <c r="AJ3" s="146"/>
      <c r="AK3" s="237"/>
      <c r="AL3" s="125"/>
      <c r="AM3" s="238"/>
      <c r="AN3" s="237"/>
      <c r="AO3" s="125"/>
      <c r="AP3" s="238"/>
      <c r="AQ3" s="237"/>
      <c r="AR3" s="239"/>
      <c r="AS3" s="238"/>
      <c r="AT3" s="240"/>
      <c r="AU3" s="241"/>
      <c r="AV3" s="79" t="s">
        <v>178</v>
      </c>
      <c r="AW3" s="126">
        <f>COUNTIF(AR_SHEET_装備,"鷹の目")</f>
        <v>0</v>
      </c>
      <c r="AX3" s="242">
        <f>COUNTIF(AR_SHEET_スキル,"ストレイトショット")</f>
        <v>0</v>
      </c>
      <c r="AY3" s="55" t="s">
        <v>61</v>
      </c>
      <c r="AZ3" s="126">
        <f>SUM(AS2,AW3)</f>
        <v>4</v>
      </c>
      <c r="BA3" s="243">
        <f>SUM(AT2,AX3)</f>
        <v>2</v>
      </c>
      <c r="BB3" s="244"/>
      <c r="BC3" s="147" t="s">
        <v>179</v>
      </c>
      <c r="BD3" s="148" t="str">
        <f>"+"&amp;COUNTIF(AR_SHEET_スキル,"ラーニングポーション")*2+COUNTIF(AR_SHEET_装備,"酔いどれの斧")*2&amp;"(+"&amp;COUNTIF(AR_SHEET_スキル,"エリクサー")&amp;"D)"</f>
        <v>+0(+0D)</v>
      </c>
      <c r="BE3" s="252"/>
    </row>
    <row r="4" spans="1:57" ht="11.25">
      <c r="A4" s="224"/>
      <c r="B4" s="253" t="s">
        <v>180</v>
      </c>
      <c r="C4" s="253"/>
      <c r="D4" s="254" t="str">
        <f>③レベルアップ!$E$63</f>
        <v>■ウォーリア</v>
      </c>
      <c r="E4" s="254"/>
      <c r="F4" s="254"/>
      <c r="G4" s="228" t="s">
        <v>121</v>
      </c>
      <c r="H4" s="255">
        <f>③レベルアップ!Q15</f>
        <v>5</v>
      </c>
      <c r="I4" s="256" t="s">
        <v>181</v>
      </c>
      <c r="J4" s="257" t="str">
        <f>③レベルアップ!Q20&amp;" / 総計 "&amp;③レベルアップ!Q14</f>
        <v>14 / 総計 114</v>
      </c>
      <c r="K4" s="257"/>
      <c r="L4" s="257"/>
      <c r="M4" s="229" t="s">
        <v>182</v>
      </c>
      <c r="N4" s="229"/>
      <c r="O4" s="229"/>
      <c r="P4" s="258" t="str">
        <f>AF2&amp;"/"&amp;AF3&amp;"/"&amp;AF4&amp;"/"&amp;AF5&amp;"cm "</f>
        <v>///cm </v>
      </c>
      <c r="Q4" s="258"/>
      <c r="R4" s="258"/>
      <c r="S4" s="259" t="s">
        <v>183</v>
      </c>
      <c r="T4" s="260" t="str">
        <f>AZ4&amp;"("&amp;BA4&amp;"D)"</f>
        <v>14(2D)</v>
      </c>
      <c r="U4" s="261" t="str">
        <f>AZ5&amp;"("&amp;BA5&amp;"D)"</f>
        <v>14(2D)</v>
      </c>
      <c r="V4" s="159" t="str">
        <f>IF($V$1="","",VLOOKUP($V$1,$AH$29:$AI$41,2,0))</f>
        <v>+0(+1D)</v>
      </c>
      <c r="W4" s="262"/>
      <c r="X4" s="263"/>
      <c r="Y4" s="234"/>
      <c r="Z4" s="234"/>
      <c r="AA4" s="234"/>
      <c r="AB4" s="234"/>
      <c r="AC4" s="234"/>
      <c r="AE4" s="79" t="s">
        <v>184</v>
      </c>
      <c r="AF4" s="235"/>
      <c r="AG4" s="215"/>
      <c r="AH4" s="79" t="s">
        <v>185</v>
      </c>
      <c r="AI4" s="236" t="s">
        <v>160</v>
      </c>
      <c r="AJ4" s="146">
        <f>$K$22</f>
        <v>12</v>
      </c>
      <c r="AK4" s="237">
        <v>2</v>
      </c>
      <c r="AL4" s="125" t="s">
        <v>60</v>
      </c>
      <c r="AM4" s="238">
        <f>COUNTIF(AR_SHEET_スキル,"フォーチュンヒット")*$H$14+COUNTIF(AR_SHEET_スキル,"ハイパーゲイン")*$H$8+IF(ISERROR(VLOOKUP("ヴァニッシュパワー",AR_スキルSL,7,0))=TRUE,"0",VLOOKUP("ヴァニッシュパワー",AR_スキルSL,7,0))*4</f>
        <v>0</v>
      </c>
      <c r="AN4" s="237">
        <v>0</v>
      </c>
      <c r="AO4" s="125" t="s">
        <v>60</v>
      </c>
      <c r="AP4" s="238">
        <f>COUNTIF(AR_SHEET_装備,"魔性面")*2+COUNTIF(AR_SHEET_装備,"ストライクシールド")*7</f>
        <v>2</v>
      </c>
      <c r="AQ4" s="237">
        <f>COUNTIF(AR_SHEET_装備,"魔骨の兜")</f>
        <v>0</v>
      </c>
      <c r="AR4" s="239" t="s">
        <v>61</v>
      </c>
      <c r="AS4" s="238">
        <f>SUM(AJ4,AM4,AP4)</f>
        <v>14</v>
      </c>
      <c r="AT4" s="240">
        <f>SUM(AK4,AN4,AQ4)</f>
        <v>2</v>
      </c>
      <c r="AU4" s="241" t="s">
        <v>60</v>
      </c>
      <c r="AV4" s="79" t="s">
        <v>170</v>
      </c>
      <c r="AW4" s="126">
        <f>COUNTIF(AR_SHEET_スキル,"ストロング")*2+IF(ISERROR(VLOOKUP("アクセルヒット",AR_スキルSL,7,0))=TRUE,"0",VLOOKUP("アクセルヒット",AR_スキルSL,7,0))*4+COUNTIF(AR_SHEET_装備,"ライオンマスク")*5+COUNTIF(AR_SHEET_装備,"バトルマスター")*20</f>
        <v>0</v>
      </c>
      <c r="AX4" s="242">
        <v>0</v>
      </c>
      <c r="AY4" s="55" t="s">
        <v>61</v>
      </c>
      <c r="AZ4" s="126">
        <f>SUM(AS4,AW4)</f>
        <v>14</v>
      </c>
      <c r="BA4" s="243">
        <f>SUM(AT4,AX4)</f>
        <v>2</v>
      </c>
      <c r="BB4" s="244"/>
      <c r="BC4" s="264" t="s">
        <v>186</v>
      </c>
      <c r="BD4" s="148" t="str">
        <f>"+"&amp;IF(ISERROR(VLOOKUP("ヴァニッシュパワー",AR_スキルSL,7,0))=TRUE,"0",VLOOKUP("ヴァニッシュパワー",AR_スキルSL,7,0))*4&amp;"(+"&amp;+IF(ISERROR(VLOOKUP("グレネードマテリアル",AR_スキルSL,7,0))=TRUE,"0",VLOOKUP("グレネードマテリアル",AR_スキルSL,7,0))+COUNTIF(AR_SHEET_装備,"魔骨の兜")&amp;"D)"</f>
        <v>+0(+0D)</v>
      </c>
      <c r="BE4" s="252"/>
    </row>
    <row r="5" spans="1:57" ht="11.25">
      <c r="A5" s="224"/>
      <c r="B5" s="134" t="s">
        <v>187</v>
      </c>
      <c r="C5" s="134"/>
      <c r="D5" s="265" t="str">
        <f>③レベルアップ!$H$63</f>
        <v>■シーフ</v>
      </c>
      <c r="E5" s="265"/>
      <c r="F5" s="265"/>
      <c r="G5" s="266" t="s">
        <v>188</v>
      </c>
      <c r="H5" s="267"/>
      <c r="I5" s="268" t="s">
        <v>189</v>
      </c>
      <c r="J5" s="269"/>
      <c r="K5" s="270" t="s">
        <v>190</v>
      </c>
      <c r="L5" s="270"/>
      <c r="M5" s="271" t="s">
        <v>191</v>
      </c>
      <c r="N5" s="271"/>
      <c r="O5" s="271"/>
      <c r="P5" s="271"/>
      <c r="Q5" s="271"/>
      <c r="R5" s="272">
        <f>H4</f>
        <v>5</v>
      </c>
      <c r="S5" s="250" t="s">
        <v>192</v>
      </c>
      <c r="T5" s="260"/>
      <c r="U5" s="261"/>
      <c r="V5" s="159"/>
      <c r="W5" s="251"/>
      <c r="X5" s="251"/>
      <c r="Y5" s="234"/>
      <c r="Z5" s="234"/>
      <c r="AA5" s="234"/>
      <c r="AB5" s="234"/>
      <c r="AC5" s="234"/>
      <c r="AE5" s="81" t="s">
        <v>193</v>
      </c>
      <c r="AF5" s="273"/>
      <c r="AG5" s="274"/>
      <c r="AH5" s="79"/>
      <c r="AI5" s="236"/>
      <c r="AJ5" s="146"/>
      <c r="AK5" s="237"/>
      <c r="AL5" s="125"/>
      <c r="AM5" s="238"/>
      <c r="AN5" s="237"/>
      <c r="AO5" s="125"/>
      <c r="AP5" s="238"/>
      <c r="AQ5" s="237"/>
      <c r="AR5" s="239"/>
      <c r="AS5" s="238"/>
      <c r="AT5" s="240"/>
      <c r="AU5" s="241"/>
      <c r="AV5" s="81" t="s">
        <v>178</v>
      </c>
      <c r="AW5" s="160">
        <f>IF(ISERROR(VLOOKUP("マークスマン",AR_スキルSL,7,0))=TRUE,"0",VLOOKUP("マークスマン",AR_スキルSL,7,0))*3</f>
        <v>0</v>
      </c>
      <c r="AX5" s="275">
        <f>IF(ISERROR(VLOOKUP("スナイピング",AR_スキルSL,7,0))=TRUE,"0",VLOOKUP("スナイピング",AR_スキルSL,7,0))+COUNTIF(AR_SHEET_装備,"斬滅環")*2</f>
        <v>0</v>
      </c>
      <c r="AY5" s="157" t="s">
        <v>61</v>
      </c>
      <c r="AZ5" s="160">
        <f>SUM(AS4,AW5)</f>
        <v>14</v>
      </c>
      <c r="BA5" s="276">
        <f>SUM(AT4,AX5)</f>
        <v>2</v>
      </c>
      <c r="BB5" s="244"/>
      <c r="BC5" s="277" t="s">
        <v>194</v>
      </c>
      <c r="BD5" s="278" t="str">
        <f>"-"&amp;0&amp;"(-"&amp;COUNTIF(AR_SHEET_スキル,"ブレットレイブ")+COUNTIF(AR_SHEET_スキル,"スネイクビート")+COUNTIF(AR_SHEET_装備,"クラッチクロウ")+COUNTIF(AR_SHEET_装備,"マルチヘッド")&amp;"D)"</f>
        <v>-0(-0D)</v>
      </c>
      <c r="BE5" s="252"/>
    </row>
    <row r="6" spans="1:57" ht="11.25">
      <c r="A6" s="224"/>
      <c r="B6" s="279" t="s">
        <v>36</v>
      </c>
      <c r="C6" s="279"/>
      <c r="D6" s="279"/>
      <c r="E6" s="279"/>
      <c r="F6" s="279"/>
      <c r="G6" s="279"/>
      <c r="H6" s="279"/>
      <c r="I6" s="279"/>
      <c r="J6" s="279"/>
      <c r="K6" s="118" t="s">
        <v>195</v>
      </c>
      <c r="L6" s="118"/>
      <c r="M6" s="280" t="str">
        <f>①コンストラクション!L27</f>
        <v>サンバルカン</v>
      </c>
      <c r="N6" s="280"/>
      <c r="O6" s="280"/>
      <c r="P6" s="280"/>
      <c r="Q6" s="281" t="s">
        <v>196</v>
      </c>
      <c r="R6" s="282">
        <f>'②成長点記録・ギルドレベル'!K5</f>
        <v>4</v>
      </c>
      <c r="S6" s="283" t="s">
        <v>197</v>
      </c>
      <c r="T6" s="284" t="s">
        <v>198</v>
      </c>
      <c r="U6" s="285" t="s">
        <v>199</v>
      </c>
      <c r="V6" s="283" t="s">
        <v>70</v>
      </c>
      <c r="W6" s="286" t="s">
        <v>200</v>
      </c>
      <c r="X6" s="287" t="s">
        <v>201</v>
      </c>
      <c r="Y6" s="234"/>
      <c r="Z6" s="234"/>
      <c r="AA6" s="234"/>
      <c r="AB6" s="234"/>
      <c r="AC6" s="234"/>
      <c r="AE6" s="214" t="s">
        <v>202</v>
      </c>
      <c r="AF6" s="214"/>
      <c r="AG6" s="215"/>
      <c r="AH6" s="79" t="s">
        <v>203</v>
      </c>
      <c r="AI6" s="236" t="s">
        <v>204</v>
      </c>
      <c r="AJ6" s="146">
        <f>$H$10+$L$22</f>
        <v>7</v>
      </c>
      <c r="AK6" s="237">
        <v>2</v>
      </c>
      <c r="AL6" s="125" t="s">
        <v>60</v>
      </c>
      <c r="AM6" s="238">
        <f>COUNTIF(AR_SHEET_スキル,"ニンブル")+IF(ISERROR(VLOOKUP("オートガード",AR_スキルSL,7,0))=TRUE,"0",VLOOKUP("オートガード",AR_スキルSL,7,0))</f>
        <v>0</v>
      </c>
      <c r="AN6" s="237">
        <f>COUNTIF(AR_SHEET_スキル,"バタフライダンス")+COUNTIF(AR_SHEET_ギルドスキル,"修練：敏捷")</f>
        <v>1</v>
      </c>
      <c r="AO6" s="125" t="s">
        <v>60</v>
      </c>
      <c r="AP6" s="238">
        <v>0</v>
      </c>
      <c r="AQ6" s="237">
        <f>-COUNTIF(AR_SHEET_装備,"ストライクシールド")</f>
        <v>0</v>
      </c>
      <c r="AR6" s="239" t="s">
        <v>61</v>
      </c>
      <c r="AS6" s="238">
        <f>SUM(AJ6,AM6,AP6)</f>
        <v>7</v>
      </c>
      <c r="AT6" s="240">
        <f>SUM(AK6,AN6,AQ6)</f>
        <v>3</v>
      </c>
      <c r="AU6" s="241"/>
      <c r="BC6" s="288" t="s">
        <v>205</v>
      </c>
      <c r="BD6" s="289" t="str">
        <f>"+"&amp;+IF(ISERROR(VLOOKUP("エフィシエント",AR_スキルSL,7,0))=TRUE,"0",VLOOKUP("エフィシエント",AR_スキルSL,7,0))*2+COUNTIF(AR_SHEET_装備,"ケセドの杖")*10+COUNTIF(AR_SHEET_装備,"ブーストロッド")*2&amp;"(+"&amp;0&amp;"D)"</f>
        <v>+0(+0D)</v>
      </c>
      <c r="BE6" s="252"/>
    </row>
    <row r="7" spans="1:57" ht="11.25">
      <c r="A7" s="224"/>
      <c r="B7" s="290"/>
      <c r="C7" s="291" t="s">
        <v>37</v>
      </c>
      <c r="D7" s="253" t="s">
        <v>30</v>
      </c>
      <c r="E7" s="292" t="s">
        <v>206</v>
      </c>
      <c r="F7" s="292" t="s">
        <v>207</v>
      </c>
      <c r="G7" s="293" t="s">
        <v>39</v>
      </c>
      <c r="H7" s="294" t="s">
        <v>33</v>
      </c>
      <c r="I7" s="295" t="s">
        <v>39</v>
      </c>
      <c r="J7" s="295"/>
      <c r="K7" s="134" t="s">
        <v>208</v>
      </c>
      <c r="L7" s="134"/>
      <c r="M7" s="296"/>
      <c r="N7" s="296"/>
      <c r="O7" s="296"/>
      <c r="P7" s="296"/>
      <c r="Q7" s="297" t="s">
        <v>90</v>
      </c>
      <c r="R7" s="298">
        <f>'②成長点記録・ギルドレベル'!K7</f>
        <v>18</v>
      </c>
      <c r="S7" s="283"/>
      <c r="T7" s="299">
        <f>AS8</f>
        <v>13</v>
      </c>
      <c r="U7" s="300">
        <f>AS9</f>
        <v>3</v>
      </c>
      <c r="V7" s="283"/>
      <c r="W7" s="301">
        <f>AS10</f>
        <v>12</v>
      </c>
      <c r="X7" s="302" t="str">
        <f>"+"&amp;IF(ISERROR(VLOOKUP("ライディング",AR_スキルSL,7,0))=TRUE,"0",VLOOKUP("ライディング",AR_スキルSL,7,0))*2</f>
        <v>+0</v>
      </c>
      <c r="Y7" s="234"/>
      <c r="Z7" s="234"/>
      <c r="AA7" s="234"/>
      <c r="AB7" s="234"/>
      <c r="AC7" s="234"/>
      <c r="AE7" s="79" t="s">
        <v>209</v>
      </c>
      <c r="AF7" s="303" t="s">
        <v>210</v>
      </c>
      <c r="AG7" s="223"/>
      <c r="AH7" s="79" t="s">
        <v>211</v>
      </c>
      <c r="AI7" s="236"/>
      <c r="AJ7" s="146"/>
      <c r="AK7" s="237"/>
      <c r="AL7" s="125"/>
      <c r="AM7" s="238">
        <f>COUNTIF(AR_SHEET_スキル,"ニンブル")</f>
        <v>0</v>
      </c>
      <c r="AN7" s="237">
        <f>COUNTIF(AR_SHEET_スキル,"バタフライダンス")+COUNTIF(AR_SHEET_ギルドスキル,"修練：敏捷")</f>
        <v>1</v>
      </c>
      <c r="AO7" s="304" t="s">
        <v>60</v>
      </c>
      <c r="AP7" s="238">
        <v>0</v>
      </c>
      <c r="AQ7" s="237">
        <f>-COUNTIF(AR_SHEET_装備,"ストライクシールド")</f>
        <v>0</v>
      </c>
      <c r="AR7" s="239" t="s">
        <v>61</v>
      </c>
      <c r="AS7" s="238">
        <f>SUM(AJ6,AM7,AP7)</f>
        <v>7</v>
      </c>
      <c r="AT7" s="240">
        <f>SUM(AK6,AN7,AQ7)</f>
        <v>3</v>
      </c>
      <c r="AU7" s="241"/>
      <c r="BC7" s="305" t="s">
        <v>212</v>
      </c>
      <c r="BD7" s="306" t="str">
        <f>"+"&amp;COUNTIF(AR_SHEET_装備,"フレンドベレー")*5&amp;"(+"&amp;COUNTIF(AR_SHEET_スキル,"ハイサモナー")&amp;"D)"</f>
        <v>+0(+0D)</v>
      </c>
      <c r="BE7" s="307"/>
    </row>
    <row r="8" spans="1:57" ht="11.25">
      <c r="A8" s="224"/>
      <c r="B8" s="79" t="s">
        <v>40</v>
      </c>
      <c r="C8" s="146">
        <f>③レベルアップ!Q5+IF(ISERROR(VLOOKUP("マシンリム",AR_スキルSL,7,0))=TRUE,"0",VLOOKUP("マシンリム",AR_スキルSL,7,0))+COUNTIF(AR_SHEET_装備,"マッスルゲイン")*3+COUNTIF(AR_SHEET_スキル,"トレーニング：筋力")*3</f>
        <v>14</v>
      </c>
      <c r="D8" s="308">
        <f aca="true" t="shared" si="0" ref="D8:D14">INT(C8/3)</f>
        <v>4</v>
      </c>
      <c r="E8" s="179">
        <f>VLOOKUP(③レベルアップ!$E$63,リファレンス!$B:$M,2,0)</f>
        <v>1</v>
      </c>
      <c r="F8" s="179">
        <f>VLOOKUP(③レベルアップ!$H$63,リファレンス!$B:$M,2,0)</f>
        <v>0</v>
      </c>
      <c r="G8" s="120">
        <f>COUNTIF(AR_SHEET_スキル,"オールラウンド：筋力")</f>
        <v>0</v>
      </c>
      <c r="H8" s="33">
        <f aca="true" t="shared" si="1" ref="H8:H14">SUM(D8:G8)</f>
        <v>5</v>
      </c>
      <c r="I8" s="309">
        <f>COUNTIF(AR_SHEET_装備,"筋力のナイフ")*2</f>
        <v>0</v>
      </c>
      <c r="J8" s="310">
        <f>2+COUNTIF(AR_SHEET_装備,"怪力の籠手")+COUNTIF(AR_SHEET_ギルドスキル,"修練：筋力")</f>
        <v>2</v>
      </c>
      <c r="K8" s="311" t="s">
        <v>213</v>
      </c>
      <c r="L8" s="311"/>
      <c r="M8" s="311"/>
      <c r="N8" s="311"/>
      <c r="O8" s="311"/>
      <c r="P8" s="311"/>
      <c r="Q8" s="311"/>
      <c r="R8" s="311"/>
      <c r="S8" s="312" t="s">
        <v>214</v>
      </c>
      <c r="T8" s="313">
        <f>IF(ISERROR(VLOOKUP("加護",AR_SHEET_ギルドスキル,7,0))=TRUE,"0",VLOOKUP("加護",AR_SHEET_ギルドスキル,7,0))*2+COUNTIF(AR_SHEET_装備,"古代の冠")*20+COUNTIF(AR_SHEET_スキル,"アダマント")*3</f>
        <v>0</v>
      </c>
      <c r="U8" s="314">
        <f>IF(ISERROR(VLOOKUP("加護",AR_SHEET_ギルドスキル,7,0))=TRUE,"0",VLOOKUP("加護",AR_SHEET_ギルドスキル,7,0))*2+COUNTIF(AR_SHEET_装備,"古代の冠")*20+COUNTIF(AR_SHEET_装備,"マジックレジスト")*3</f>
        <v>0</v>
      </c>
      <c r="V8" s="312" t="s">
        <v>215</v>
      </c>
      <c r="W8" s="315">
        <f>AS11</f>
        <v>17</v>
      </c>
      <c r="X8" s="316">
        <f>W8+IF(ISERROR(VLOOKUP("ライディング",AR_スキルSL,7,0))=TRUE,"0",VLOOKUP("ライディング",AR_スキルSL,7,0))*2+COUNTIF(W25:AC36,"乗用馬")*10+COUNTIF(W25:AC36,"軍馬")*15+COUNTIF(W25:AC36,"名馬")*20+COUNTIF(W25:AC36,"錬金馬")*20+COUNTIF(W25:AC36,"騎竜")*25</f>
        <v>17</v>
      </c>
      <c r="Y8" s="234"/>
      <c r="Z8" s="234"/>
      <c r="AA8" s="234"/>
      <c r="AB8" s="234"/>
      <c r="AC8" s="234"/>
      <c r="AE8" s="317" t="str">
        <f aca="true" t="shared" si="2" ref="AE8:AE13">C16</f>
        <v>菊一文字</v>
      </c>
      <c r="AF8" s="318">
        <f aca="true" t="shared" si="3" ref="AF8:AF13">IF($C16="","",VLOOKUP($C16,AR_アイテム,14,0))</f>
        <v>0</v>
      </c>
      <c r="AG8" s="223"/>
      <c r="AH8" s="79" t="s">
        <v>216</v>
      </c>
      <c r="AI8" s="236" t="s">
        <v>160</v>
      </c>
      <c r="AJ8" s="236">
        <f>$M$22</f>
        <v>13</v>
      </c>
      <c r="AK8" s="236"/>
      <c r="AL8" s="125" t="s">
        <v>60</v>
      </c>
      <c r="AM8" s="236">
        <f>+COUNTIF(AR_SHEET_スキル,"ファイナルガード")*5+COUNTIF(AR_SHEET_スキル,"レギリアス")*$H$13+IF(ISERROR(VLOOKUP("パーフェクトシールド",AR_スキルSL,7,0))=TRUE,"0",VLOOKUP("パーフェクトシールド",AR_スキルSL,7,0))*2+IF(ISERROR(VLOOKUP("インプラグナブル",AR_スキルSL,7,0))=TRUE,"0",VLOOKUP("インプラグナブル",AR_スキルSL,7,0))*3</f>
        <v>0</v>
      </c>
      <c r="AN8" s="236"/>
      <c r="AO8" s="236" t="s">
        <v>60</v>
      </c>
      <c r="AP8" s="236">
        <f>COUNTIF(W25:AC36,"錬金馬")*5</f>
        <v>0</v>
      </c>
      <c r="AQ8" s="236"/>
      <c r="AR8" s="236" t="s">
        <v>61</v>
      </c>
      <c r="AS8" s="319">
        <f>SUM(AJ8,AM8,AP8)</f>
        <v>13</v>
      </c>
      <c r="AT8" s="319"/>
      <c r="AU8" s="320"/>
      <c r="BC8" s="108" t="s">
        <v>217</v>
      </c>
      <c r="BD8" s="289" t="str">
        <f>"+"&amp;COUNTIF(AR_SHEET_スキル,"ハイプロテクション")*5+IF(ISERROR(VLOOKUP("ハイプロテクション",AR_スキルSL,7,0))=TRUE,"0",VLOOKUP("ハイプロテクション",AR_スキルSL,7,0))*3+IF(ISERROR(VLOOKUP("エフィシエント",AR_スキルSL,7,0))=TRUE,"0",VLOOKUP("エフィシエント",AR_スキルSL,7,0))*2&amp;"(+"&amp;0&amp;"D)"</f>
        <v>+0(+0D)</v>
      </c>
      <c r="BE8" s="204"/>
    </row>
    <row r="9" spans="1:57" ht="11.25">
      <c r="A9" s="224"/>
      <c r="B9" s="79" t="s">
        <v>44</v>
      </c>
      <c r="C9" s="146">
        <f>③レベルアップ!Q6+COUNTIF(AR_SHEET_スキル,"トレーニング：器用")*3</f>
        <v>12</v>
      </c>
      <c r="D9" s="308">
        <f t="shared" si="0"/>
        <v>4</v>
      </c>
      <c r="E9" s="179">
        <f>VLOOKUP(③レベルアップ!$E$63,リファレンス!$B:$M,3,0)</f>
        <v>1</v>
      </c>
      <c r="F9" s="179">
        <f>VLOOKUP(③レベルアップ!$H$63,リファレンス!$B:$M,3,0)</f>
        <v>1</v>
      </c>
      <c r="G9" s="120">
        <f>COUNTIF(AR_SHEET_スキル,"オールラウンド：器用")+COUNTIF(AR_SHEET_装備,"太陽の腕輪")*2</f>
        <v>0</v>
      </c>
      <c r="H9" s="33">
        <f t="shared" si="1"/>
        <v>6</v>
      </c>
      <c r="I9" s="309">
        <f>COUNTIF(AR_SHEET_スキル,"テクニックマスター")+COUNTIF(AR_SHEET_装備,"器用のナイフ")*2</f>
        <v>0</v>
      </c>
      <c r="J9" s="310">
        <f>2+COUNTIF(AR_SHEET_スキル,"アキュレイト")+COUNTIF(AR_SHEET_ギルドスキル,"修練：器用")</f>
        <v>2</v>
      </c>
      <c r="K9" s="321" t="s">
        <v>218</v>
      </c>
      <c r="L9" s="322">
        <f>SUM(①コンストラクション!J23,③レベルアップ!Q21)+COUNTIF(AR_SHEET_スキル,"インテンション")*リファレンス!Q2*5+COUNTIF(AR_SHEET_装備,"古代の盾")*20+IF(ISERROR(VLOOKUP("クアハウス",AR_SHEET_ギルドスキル,7,0))=TRUE,"0",VLOOKUP("クアハウス",AR_SHEET_ギルドスキル,7,0))*5</f>
        <v>59</v>
      </c>
      <c r="M9" s="323" t="s">
        <v>219</v>
      </c>
      <c r="N9" s="323"/>
      <c r="O9" s="323"/>
      <c r="P9" s="323"/>
      <c r="Q9" s="323"/>
      <c r="R9" s="323"/>
      <c r="S9" s="311" t="s">
        <v>162</v>
      </c>
      <c r="T9" s="311"/>
      <c r="U9" s="311"/>
      <c r="V9" s="259" t="s">
        <v>220</v>
      </c>
      <c r="W9" s="286" t="s">
        <v>221</v>
      </c>
      <c r="X9" s="287" t="s">
        <v>222</v>
      </c>
      <c r="Y9" s="234"/>
      <c r="Z9" s="234"/>
      <c r="AA9" s="234"/>
      <c r="AB9" s="234"/>
      <c r="AC9" s="234"/>
      <c r="AE9" s="317" t="str">
        <f t="shared" si="2"/>
        <v>バックラー</v>
      </c>
      <c r="AF9" s="318">
        <f t="shared" si="3"/>
        <v>50</v>
      </c>
      <c r="AG9" s="223"/>
      <c r="AH9" s="324" t="s">
        <v>223</v>
      </c>
      <c r="AI9" s="236" t="s">
        <v>224</v>
      </c>
      <c r="AJ9" s="236">
        <f>$H$13+$N$22</f>
        <v>3</v>
      </c>
      <c r="AK9" s="236"/>
      <c r="AL9" s="125" t="s">
        <v>60</v>
      </c>
      <c r="AM9" s="236">
        <f>+COUNTIF(AR_SHEET_スキル,"ファイナルガード")*5+COUNTIF(AR_SHEET_スキル,"レギリアス")*$H$13+リファレンス!Q18+IF(ISERROR(VLOOKUP("パーフェクトシールド",AR_スキルSL,7,0))=TRUE,"0",VLOOKUP("パーフェクトシールド",AR_スキルSL,7,0))*2*リファレンス!Q17+IF(ISERROR(VLOOKUP("インプラグナブル",AR_スキルSL,7,0))=TRUE,"0",VLOOKUP("インプラグナブル",AR_スキルSL,7,0))*3</f>
        <v>0</v>
      </c>
      <c r="AN9" s="236"/>
      <c r="AO9" s="236" t="s">
        <v>60</v>
      </c>
      <c r="AP9" s="236">
        <v>0</v>
      </c>
      <c r="AQ9" s="236"/>
      <c r="AR9" s="236" t="s">
        <v>61</v>
      </c>
      <c r="AS9" s="319">
        <f>SUM(AJ9,AM9,AP9)</f>
        <v>3</v>
      </c>
      <c r="AT9" s="319"/>
      <c r="AU9" s="320"/>
      <c r="AV9" s="14"/>
      <c r="BC9" s="81" t="s">
        <v>225</v>
      </c>
      <c r="BD9" s="325" t="str">
        <f>"+"&amp;+COUNTIF(AR_SHEET_装備,"癒しの衣")*3+COUNTIF(AR_SHEET_装備,"聖印")+COUNTIF(AR_SHEET_装備,"高位聖印")*3+IF(ISERROR(VLOOKUP("エフィシエント",AR_スキルSL,7,0))=TRUE,"0",VLOOKUP("エフィシエント",AR_スキルSL,7,0))*2&amp;"(+"&amp;COUNTIF(AR_SHEET_スキル,"アフェクション")+COUNTIF(AR_SHEET_装備,"ホワイトスタッフ")*3&amp;"D)"</f>
        <v>+0(+0D)</v>
      </c>
      <c r="BE9" s="307"/>
    </row>
    <row r="10" spans="1:57" ht="13.5">
      <c r="A10" s="224"/>
      <c r="B10" s="79" t="s">
        <v>45</v>
      </c>
      <c r="C10" s="146">
        <f>③レベルアップ!Q7+COUNTIF(AR_SHEET_スキル,"トレーニング：敏捷")*3</f>
        <v>15</v>
      </c>
      <c r="D10" s="308">
        <f t="shared" si="0"/>
        <v>5</v>
      </c>
      <c r="E10" s="179">
        <f>VLOOKUP(③レベルアップ!$E$63,リファレンス!$B:$M,4,0)</f>
        <v>1</v>
      </c>
      <c r="F10" s="179">
        <f>VLOOKUP(③レベルアップ!$H$63,リファレンス!$B:$M,4,0)</f>
        <v>1</v>
      </c>
      <c r="G10" s="120">
        <f>COUNTIF(AR_SHEET_スキル,"オールラウンド：敏捷")</f>
        <v>0</v>
      </c>
      <c r="H10" s="33">
        <f t="shared" si="1"/>
        <v>7</v>
      </c>
      <c r="I10" s="309">
        <f>COUNTIF(AR_SHEET_スキル,"アクロバット")+COUNTIF(AR_SHEET_装備,"敏捷のナイフ")*2</f>
        <v>1</v>
      </c>
      <c r="J10" s="310">
        <f>2+COUNTIF(AR_SHEET_ギルドスキル,"修練：敏捷")</f>
        <v>2</v>
      </c>
      <c r="K10" s="321"/>
      <c r="L10" s="322"/>
      <c r="M10" s="326"/>
      <c r="N10" s="326"/>
      <c r="O10" s="326"/>
      <c r="P10" s="326"/>
      <c r="Q10" s="326"/>
      <c r="R10" s="326"/>
      <c r="S10" s="327"/>
      <c r="T10" s="327"/>
      <c r="U10" s="328">
        <f>IF($S10="","",VLOOKUP($S10,$BC:$BD,2,0))</f>
      </c>
      <c r="V10" s="250" t="s">
        <v>176</v>
      </c>
      <c r="W10" s="329" t="str">
        <f>AS6&amp;"("&amp;AT6&amp;"D)"</f>
        <v>7(3D)</v>
      </c>
      <c r="X10" s="330" t="str">
        <f>AS7&amp;"("&amp;AT7&amp;"D)"</f>
        <v>7(3D)</v>
      </c>
      <c r="Y10" s="234"/>
      <c r="Z10" s="234"/>
      <c r="AA10" s="234"/>
      <c r="AB10" s="234"/>
      <c r="AC10" s="234"/>
      <c r="AE10" s="317">
        <f t="shared" si="2"/>
        <v>0</v>
      </c>
      <c r="AF10" s="318">
        <f t="shared" si="3"/>
      </c>
      <c r="AG10" s="223"/>
      <c r="AH10" s="324" t="s">
        <v>70</v>
      </c>
      <c r="AI10" s="236" t="s">
        <v>226</v>
      </c>
      <c r="AJ10" s="236">
        <f>$H$10+$H$12+$P$22</f>
        <v>12</v>
      </c>
      <c r="AK10" s="236"/>
      <c r="AL10" s="125" t="s">
        <v>60</v>
      </c>
      <c r="AM10" s="236">
        <f>COUNTIF(AR_SHEET_スキル,"ジャッジメント")*2+IF(ISERROR(VLOOKUP("クイックムーブ",AR_スキルSL,7,0))=TRUE,"0",VLOOKUP("クイックムーブ",AR_スキルSL,7,0))*2</f>
        <v>0</v>
      </c>
      <c r="AN10" s="236"/>
      <c r="AO10" s="236" t="s">
        <v>60</v>
      </c>
      <c r="AP10" s="236">
        <v>0</v>
      </c>
      <c r="AQ10" s="236"/>
      <c r="AR10" s="236" t="s">
        <v>61</v>
      </c>
      <c r="AS10" s="319">
        <f>SUM(AJ10,AM10,AP10)</f>
        <v>12</v>
      </c>
      <c r="AT10" s="319"/>
      <c r="AU10" s="320"/>
      <c r="BC10" s="288" t="s">
        <v>227</v>
      </c>
      <c r="BD10" s="289" t="str">
        <f>"+"&amp;COUNTIF(AR_SHEET_スキル,"オフェンシブセンス")+IF(ISERROR(VLOOKUP("アンプリフィケイション",AR_スキルSL,7,0))=TRUE,"0",VLOOKUP("アンプリフィケイション",AR_スキルSL,7,0))*4+COUNTIF(AR_SHEET_装備,"赤き斜陽の剣")*3+COUNTIF(AR_SHEET_装備,"フォースワンド")*8+COUNTIF(AR_SHEET_装備,"イレイションローブ")*5+COUNTIF(AR_SHEET_装備,"ヴァニッシュローブ")*10+IF(ISERROR(VLOOKUP("ヴァニッシュパワー",AR_スキルSL,7,0))=TRUE,"0",VLOOKUP("ヴァニッシュパワー",AR_スキルSL,7,0))*4+IF(ISERROR(VLOOKUP("アグレッシブマジック",AR_スキルSL,7,0))=TRUE,"0",VLOOKUP("アグレッシブマジック",AR_スキルSL,7,0))*3+COUNTIF(AR_SHEET_装備,"トワイライトソード")*6&amp;"(+"&amp;COUNTIF(AR_SHEET_装備,"魔骨の兜")&amp;"D)"</f>
        <v>+0(+0D)</v>
      </c>
      <c r="BE10" s="307"/>
    </row>
    <row r="11" spans="1:57" ht="13.5">
      <c r="A11" s="224"/>
      <c r="B11" s="79" t="s">
        <v>46</v>
      </c>
      <c r="C11" s="146">
        <f>③レベルアップ!Q8+COUNTIF(AR_SHEET_スキル,"トレーニング：知力")*3</f>
        <v>8</v>
      </c>
      <c r="D11" s="308">
        <f t="shared" si="0"/>
        <v>2</v>
      </c>
      <c r="E11" s="179">
        <f>VLOOKUP(③レベルアップ!$E$63,リファレンス!$B:$M,5,0)</f>
        <v>0</v>
      </c>
      <c r="F11" s="179">
        <f>VLOOKUP(③レベルアップ!$H$63,リファレンス!$B:$M,5,0)</f>
        <v>0</v>
      </c>
      <c r="G11" s="120">
        <f>COUNTIF(AR_SHEET_スキル,"オールラウンド：知力")+COUNTIF(AR_SHEET_装備,"黒のローブ")</f>
        <v>0</v>
      </c>
      <c r="H11" s="33">
        <f t="shared" si="1"/>
        <v>2</v>
      </c>
      <c r="I11" s="309">
        <f>COUNTIF(AR_SHEET_スキル,"イモータリティ")+IF(ISERROR(VLOOKUP("ハイウィズダム",AR_スキルSL,7,0))=TRUE,"0",VLOOKUP("ハイウィズダム",AR_スキルSL,7,0))+COUNTIF(AR_SHEET_装備,"知力のナイフ")*2</f>
        <v>0</v>
      </c>
      <c r="J11" s="310">
        <f>2+COUNTIF(AR_SHEET_スキル,"フィールドワーク")+COUNTIF(AR_SHEET_ギルドスキル,"ライブラリー")+COUNTIF(AR_SHEET_ギルドスキル,"修練：知力")</f>
        <v>2</v>
      </c>
      <c r="K11" s="331" t="s">
        <v>228</v>
      </c>
      <c r="L11" s="175">
        <f>SUM(①コンストラクション!T23,③レベルアップ!Q22)+COUNTIF(AR_SHEET_装備,"ガラスの王冠")*4+COUNTIF(AR_SHEET_装備,"大地のローブ")*10+COUNTIF(AR_SHEET_装備,"女神のネックレス")*8+COUNTIF(AR_SHEET_装備,"ハーミットスタッフ")*3+COUNTIF(AR_SHEET_装備,"ビショップワンド")*4+COUNTIF(AR_SHEET_装備,"ウィザードスタッフ")*5+IF(ISERROR(VLOOKUP("サルーン",AR_SHEET_ギルドスキル,7,0))=TRUE,"0",VLOOKUP("サルーン",AR_SHEET_ギルドスキル,7,0))*5+COUNTIF(AR_SHEET_装備,"ダオスタッフ")*20+COUNTIF(AR_SHEET_装備,"マリッドスタッフ")*20+COUNTIF(AR_SHEET_装備,"イフリートスタッフ")*20+COUNTIF(AR_SHEET_装備,"ディジニスタッフ")*20+COUNTIF(AR_SHEET_装備,"マライカスタッフ")*20+COUNTIF(AR_SHEET_装備,"ディアボロススタッフ")*20+COUNTIF(AR_SHEET_装備,"月光のサークレット")*10</f>
        <v>34</v>
      </c>
      <c r="M11" s="332"/>
      <c r="N11" s="332"/>
      <c r="O11" s="332"/>
      <c r="P11" s="332"/>
      <c r="Q11" s="332"/>
      <c r="R11" s="332"/>
      <c r="S11" s="333"/>
      <c r="T11" s="333"/>
      <c r="U11" s="328">
        <f>IF($S11="","",VLOOKUP($S11,$BC:$BD,2,0))</f>
      </c>
      <c r="V11" s="334"/>
      <c r="W11" s="334"/>
      <c r="X11" s="335">
        <f>IF($V11="","",VLOOKUP($V11,$BC:$BD,2,0))</f>
      </c>
      <c r="Y11" s="234"/>
      <c r="Z11" s="234"/>
      <c r="AA11" s="234"/>
      <c r="AB11" s="234"/>
      <c r="AC11" s="234"/>
      <c r="AE11" s="317" t="str">
        <f t="shared" si="2"/>
        <v>魔性面</v>
      </c>
      <c r="AF11" s="318">
        <f t="shared" si="3"/>
        <v>1000</v>
      </c>
      <c r="AG11" s="223"/>
      <c r="AH11" s="336" t="s">
        <v>215</v>
      </c>
      <c r="AI11" s="337" t="s">
        <v>229</v>
      </c>
      <c r="AJ11" s="337">
        <f>AS10+5</f>
        <v>17</v>
      </c>
      <c r="AK11" s="337"/>
      <c r="AL11" s="159" t="s">
        <v>60</v>
      </c>
      <c r="AM11" s="337">
        <f>COUNTIF(AR_SHEET_スキル,"オーバーパス")*5+IF(ISERROR(VLOOKUP("フルスピード",AR_スキルSL,7,0))=TRUE,"0",VLOOKUP("フルスピード",AR_スキルSL,7,0))*5</f>
        <v>0</v>
      </c>
      <c r="AN11" s="337"/>
      <c r="AO11" s="337" t="s">
        <v>60</v>
      </c>
      <c r="AP11" s="337">
        <v>0</v>
      </c>
      <c r="AQ11" s="337"/>
      <c r="AR11" s="337" t="s">
        <v>61</v>
      </c>
      <c r="AS11" s="338">
        <f>SUM(AJ11,AM11,AP11)</f>
        <v>17</v>
      </c>
      <c r="AT11" s="338"/>
      <c r="AU11" s="320"/>
      <c r="BC11" s="339" t="s">
        <v>230</v>
      </c>
      <c r="BD11" s="340" t="str">
        <f>"+"&amp;COUNTIF(AR_SHEET_装備,"竜爪の耳飾り：地")*5&amp;"(+"&amp;IF(ISERROR(VLOOKUP("アースシェイカー",AR_スキルSL,7,0))=TRUE,"0",VLOOKUP("アースシェイカー",AR_スキルSL,7,0))+COUNTIF(AR_SHEET_装備,"ダオスタッフ")*3+COUNTIF(AR_SHEET_装備,"ガイアスタッフ")&amp;"D)"</f>
        <v>+0(+0D)</v>
      </c>
      <c r="BE11" s="307"/>
    </row>
    <row r="12" spans="1:57" ht="13.5">
      <c r="A12" s="224"/>
      <c r="B12" s="79" t="s">
        <v>47</v>
      </c>
      <c r="C12" s="146">
        <f>③レベルアップ!Q9+COUNTIF(AR_SHEET_スキル,"トレーニング：感知")*3</f>
        <v>12</v>
      </c>
      <c r="D12" s="308">
        <f t="shared" si="0"/>
        <v>4</v>
      </c>
      <c r="E12" s="179">
        <f>VLOOKUP(③レベルアップ!$E$63,リファレンス!$B:$M,6,0)</f>
        <v>0</v>
      </c>
      <c r="F12" s="179">
        <f>VLOOKUP(③レベルアップ!$H$63,リファレンス!$B:$M,6,0)</f>
        <v>1</v>
      </c>
      <c r="G12" s="120">
        <f>COUNTIF(AR_SHEET_スキル,"オールラウンド：感知")</f>
        <v>0</v>
      </c>
      <c r="H12" s="33">
        <f t="shared" si="1"/>
        <v>5</v>
      </c>
      <c r="I12" s="309">
        <f>COUNTIF(AR_SHEET_スキル,"ワイルドセンス")+COUNTIF(AR_SHEET_装備,"感知のナイフ")*2</f>
        <v>0</v>
      </c>
      <c r="J12" s="310">
        <f>2+COUNTIF(AR_SHEET_スキル,"インテュイション")+COUNTIF(AR_SHEET_ギルドスキル,"修練：感知")+COUNTIF(AR_SHEET_装備,"飛燕の帽子")*3</f>
        <v>2</v>
      </c>
      <c r="K12" s="331"/>
      <c r="L12" s="175"/>
      <c r="M12" s="341"/>
      <c r="N12" s="341"/>
      <c r="O12" s="341"/>
      <c r="P12" s="341"/>
      <c r="Q12" s="341"/>
      <c r="R12" s="341"/>
      <c r="S12" s="327"/>
      <c r="T12" s="327"/>
      <c r="U12" s="328">
        <f>IF($S12="","",VLOOKUP($S12,$BC:$BD,2,0))</f>
      </c>
      <c r="V12" s="342"/>
      <c r="W12" s="342"/>
      <c r="X12" s="343">
        <f>IF($V12="","",VLOOKUP($V12,$BC:$BD,2,0))</f>
      </c>
      <c r="Y12" s="234"/>
      <c r="Z12" s="234"/>
      <c r="AA12" s="234"/>
      <c r="AB12" s="234"/>
      <c r="AC12" s="234"/>
      <c r="AE12" s="317" t="str">
        <f t="shared" si="2"/>
        <v>シルバーチェイン</v>
      </c>
      <c r="AF12" s="318">
        <f t="shared" si="3"/>
        <v>700</v>
      </c>
      <c r="AG12" s="223"/>
      <c r="AH12" s="223"/>
      <c r="AI12" s="320"/>
      <c r="AJ12" s="223"/>
      <c r="AK12" s="320"/>
      <c r="AL12" s="223"/>
      <c r="AM12" s="320"/>
      <c r="AN12" s="344"/>
      <c r="AO12" s="223"/>
      <c r="AP12" s="320"/>
      <c r="AQ12" s="223"/>
      <c r="AR12" s="223"/>
      <c r="AS12" s="320"/>
      <c r="AT12" s="223"/>
      <c r="AU12" s="223"/>
      <c r="BC12" s="339" t="s">
        <v>231</v>
      </c>
      <c r="BD12" s="340" t="str">
        <f>"+"&amp;COUNTIF(AR_SHEET_装備,"竜爪の耳飾り：水")*5&amp;"(+"&amp;IF(ISERROR(VLOOKUP("アクアマスター",AR_スキルSL,7,0))=TRUE,"0",VLOOKUP("アクアマスター",AR_スキルSL,7,0))+COUNTIF(AR_SHEET_装備,"アクエリスタッフ")+COUNTIF(AR_SHEET_装備,"マリッドスタッフ")*3&amp;"D)"</f>
        <v>+0(+0D)</v>
      </c>
      <c r="BE12" s="307"/>
    </row>
    <row r="13" spans="1:57" ht="13.5">
      <c r="A13" s="224"/>
      <c r="B13" s="79" t="s">
        <v>48</v>
      </c>
      <c r="C13" s="146">
        <f>③レベルアップ!Q10+COUNTIF(AR_SHEET_スキル,"トレーニング：精神")*3</f>
        <v>7</v>
      </c>
      <c r="D13" s="308">
        <f t="shared" si="0"/>
        <v>2</v>
      </c>
      <c r="E13" s="179">
        <f>VLOOKUP(③レベルアップ!$E$63,リファレンス!$B:$M,7,0)</f>
        <v>0</v>
      </c>
      <c r="F13" s="179">
        <f>VLOOKUP(③レベルアップ!$H$63,リファレンス!$B:$M,7,0)</f>
        <v>0</v>
      </c>
      <c r="G13" s="120">
        <f>COUNTIF(AR_SHEET_スキル,"オールラウンド：精神")+COUNTIF(AR_SHEET_装備,"白のローブ")+COUNTIF(AR_SHEET_装備,"豊穣の花冠")*2+COUNTIF(AR_SHEET_装備,"セイントシールド")*2+COUNTIF(AR_SHEET_装備,"魔性面")*-1</f>
        <v>-1</v>
      </c>
      <c r="H13" s="33">
        <f t="shared" si="1"/>
        <v>1</v>
      </c>
      <c r="I13" s="309">
        <f>COUNTIF(AR_SHEET_装備,"精神のナイフ")*2</f>
        <v>0</v>
      </c>
      <c r="J13" s="310">
        <f>2+COUNTIF(AR_SHEET_ギルドスキル,"修練：精神")</f>
        <v>2</v>
      </c>
      <c r="K13" s="345" t="s">
        <v>232</v>
      </c>
      <c r="L13" s="187">
        <f>COUNTIF(AR_SHEET_スキル,"ファミリア")*リファレンス!Q2*10+COUNTIF(AR_SHEET_装備,"マナリンクローブ")*30</f>
        <v>0</v>
      </c>
      <c r="M13" s="346"/>
      <c r="N13" s="346"/>
      <c r="O13" s="346"/>
      <c r="P13" s="346"/>
      <c r="Q13" s="346"/>
      <c r="R13" s="346"/>
      <c r="S13" s="327"/>
      <c r="T13" s="327"/>
      <c r="U13" s="328">
        <f>IF($S13="","",VLOOKUP($S13,$BC:$BD,2,0))</f>
      </c>
      <c r="V13" s="342"/>
      <c r="W13" s="342"/>
      <c r="X13" s="343">
        <f>IF($V13="","",VLOOKUP($V13,$BC:$BD,2,0))</f>
      </c>
      <c r="Y13" s="234"/>
      <c r="Z13" s="234"/>
      <c r="AA13" s="234"/>
      <c r="AB13" s="234"/>
      <c r="AC13" s="234"/>
      <c r="AE13" s="317" t="str">
        <f t="shared" si="2"/>
        <v>金剛の鞘</v>
      </c>
      <c r="AF13" s="318">
        <f t="shared" si="3"/>
        <v>2500</v>
      </c>
      <c r="AG13" s="223"/>
      <c r="AH13" s="214" t="s">
        <v>233</v>
      </c>
      <c r="AI13" s="214"/>
      <c r="AK13" s="320"/>
      <c r="AL13" s="320"/>
      <c r="AM13" s="320"/>
      <c r="AN13" s="320"/>
      <c r="AO13" s="320"/>
      <c r="AP13" s="320"/>
      <c r="AQ13" s="320"/>
      <c r="AR13" s="223"/>
      <c r="AS13" s="223"/>
      <c r="AT13" s="223"/>
      <c r="AU13" s="223"/>
      <c r="BC13" s="339" t="s">
        <v>234</v>
      </c>
      <c r="BD13" s="340" t="str">
        <f>"+"&amp;COUNTIF(AR_SHEET_装備,"竜爪の耳飾り：火")*5&amp;"(+"&amp;IF(ISERROR(VLOOKUP("フレイムロード",AR_スキルSL,7,0))=TRUE,"0",VLOOKUP("フレイムロード",AR_スキルSL,7,0))+COUNTIF(AR_SHEET_装備,"フレアスタッフ")+COUNTIF(AR_SHEET_装備,"イフリートスタッフ")*3&amp;"D)"</f>
        <v>+0(+0D)</v>
      </c>
      <c r="BE13" s="307"/>
    </row>
    <row r="14" spans="1:57" ht="13.5">
      <c r="A14" s="224"/>
      <c r="B14" s="81" t="s">
        <v>49</v>
      </c>
      <c r="C14" s="146">
        <f>③レベルアップ!Q11+COUNTIF(AR_SHEET_スキル,"トレーニング：幸運")*3</f>
        <v>8</v>
      </c>
      <c r="D14" s="347">
        <f t="shared" si="0"/>
        <v>2</v>
      </c>
      <c r="E14" s="179">
        <f>VLOOKUP(③レベルアップ!$E$63,リファレンス!$B:$M,8,0)</f>
        <v>0</v>
      </c>
      <c r="F14" s="187">
        <f>VLOOKUP(③レベルアップ!$H$63,リファレンス!$B:$M,8,0)</f>
        <v>0</v>
      </c>
      <c r="G14" s="136">
        <f>COUNTIF(AR_SHEET_スキル,"オールラウンド：幸運")+COUNTIF(AR_SHEET_装備,"幸せのサークレット")-COUNTIF(AR_SHEET_装備,"魔骨の兜")</f>
        <v>0</v>
      </c>
      <c r="H14" s="348">
        <f t="shared" si="1"/>
        <v>2</v>
      </c>
      <c r="I14" s="349">
        <f>COUNTIF(AR_SHEET_装備,"幸運のナイフ")*2</f>
        <v>0</v>
      </c>
      <c r="J14" s="350">
        <f>COUNTIF(AR_SHEET_スキル,"ラッキースター")+2+COUNTIF(AR_SHEET_ギルドスキル,"修練：幸運")</f>
        <v>2</v>
      </c>
      <c r="K14" s="351" t="s">
        <v>235</v>
      </c>
      <c r="L14" s="352">
        <f>③レベルアップ!Q27-AF42+IF(ISERROR(VLOOKUP("最後の力",AR_SHEET_ギルドスキル,7,0))=TRUE,"0",VLOOKUP("最後の力",AR_SHEET_ギルドスキル,7,0))</f>
        <v>5</v>
      </c>
      <c r="M14" s="353" t="s">
        <v>236</v>
      </c>
      <c r="N14" s="353"/>
      <c r="O14" s="353"/>
      <c r="P14" s="353"/>
      <c r="Q14" s="353"/>
      <c r="R14" s="353"/>
      <c r="S14" s="161"/>
      <c r="T14" s="161"/>
      <c r="U14" s="328">
        <f>IF($S14="","",VLOOKUP($S14,$BC:$BD,2,0))</f>
      </c>
      <c r="V14" s="354"/>
      <c r="W14" s="354"/>
      <c r="X14" s="355">
        <f>IF($V14="","",VLOOKUP($V14,$BC:$BD,2,0))</f>
      </c>
      <c r="Y14" s="234"/>
      <c r="Z14" s="234"/>
      <c r="AA14" s="234"/>
      <c r="AB14" s="234"/>
      <c r="AC14" s="234"/>
      <c r="AE14" s="79" t="s">
        <v>237</v>
      </c>
      <c r="AF14" s="303" t="s">
        <v>210</v>
      </c>
      <c r="AG14" s="223"/>
      <c r="AH14" s="79" t="s">
        <v>238</v>
      </c>
      <c r="AI14" s="80" t="str">
        <f>"+"&amp;0&amp;"(+"&amp;0&amp;"D)"</f>
        <v>+0(+0D)</v>
      </c>
      <c r="AK14" s="320"/>
      <c r="AL14" s="320"/>
      <c r="AM14" s="320"/>
      <c r="AN14" s="320"/>
      <c r="AO14" s="320"/>
      <c r="AP14" s="320"/>
      <c r="AQ14" s="320"/>
      <c r="AR14" s="223"/>
      <c r="AS14" s="223"/>
      <c r="AT14" s="223"/>
      <c r="AU14" s="223"/>
      <c r="BC14" s="339" t="s">
        <v>239</v>
      </c>
      <c r="BD14" s="340" t="str">
        <f>"+"&amp;COUNTIF(AR_SHEET_装備,"竜爪の耳飾り：風")*5&amp;"(+"&amp;IF(ISERROR(VLOOKUP("ウィンドセイバー",AR_スキルSL,7,0))=TRUE,"0",VLOOKUP("ウィンドセイバー",AR_スキルSL,7,0))+COUNTIF(AR_SHEET_装備,"エアロスタッフ")+COUNTIF(AR_SHEET_装備,"ディジニスタッフ")*3&amp;"D)"</f>
        <v>+0(+0D)</v>
      </c>
      <c r="BE14" s="307"/>
    </row>
    <row r="15" spans="1:57" ht="11.25">
      <c r="A15" s="224"/>
      <c r="B15" s="216" t="s">
        <v>209</v>
      </c>
      <c r="C15" s="216"/>
      <c r="D15" s="216"/>
      <c r="E15" s="216"/>
      <c r="F15" s="109" t="s">
        <v>240</v>
      </c>
      <c r="G15" s="356" t="s">
        <v>241</v>
      </c>
      <c r="H15" s="109" t="s">
        <v>242</v>
      </c>
      <c r="I15" s="220" t="s">
        <v>243</v>
      </c>
      <c r="J15" s="108" t="s">
        <v>166</v>
      </c>
      <c r="K15" s="109" t="s">
        <v>244</v>
      </c>
      <c r="L15" s="109" t="s">
        <v>220</v>
      </c>
      <c r="M15" s="109" t="s">
        <v>245</v>
      </c>
      <c r="N15" s="109" t="s">
        <v>246</v>
      </c>
      <c r="O15" s="109"/>
      <c r="P15" s="109" t="s">
        <v>247</v>
      </c>
      <c r="Q15" s="109" t="s">
        <v>248</v>
      </c>
      <c r="R15" s="220" t="s">
        <v>249</v>
      </c>
      <c r="S15" s="220"/>
      <c r="T15" s="220"/>
      <c r="U15" s="220"/>
      <c r="V15" s="220"/>
      <c r="W15" s="216" t="s">
        <v>250</v>
      </c>
      <c r="X15" s="216"/>
      <c r="Y15" s="218" t="s">
        <v>157</v>
      </c>
      <c r="Z15" s="114" t="s">
        <v>31</v>
      </c>
      <c r="AA15" s="356" t="s">
        <v>160</v>
      </c>
      <c r="AB15" s="220" t="s">
        <v>116</v>
      </c>
      <c r="AC15" s="220"/>
      <c r="AE15" s="317" t="str">
        <f aca="true" t="shared" si="4" ref="AE15:AE26">W25</f>
        <v>冒険者セット</v>
      </c>
      <c r="AF15" s="318">
        <f aca="true" t="shared" si="5" ref="AF15:AF21">IF($W25="","",VLOOKUP($W25,AR_アイテム,14,0))</f>
        <v>10</v>
      </c>
      <c r="AG15" s="223"/>
      <c r="AH15" s="357" t="s">
        <v>251</v>
      </c>
      <c r="AI15" s="80" t="str">
        <f>"+"&amp;COUNTIF(AR_SHEET_装備,"パワーリスト")*-1&amp;"(+"&amp;COUNTIF(AR_SHEET_スキル,"コンフロントマスタリー")+COUNTIF(AR_SHEET_スキル,"アームズロジック：格闘")&amp;"D)"</f>
        <v>+0(+0D)</v>
      </c>
      <c r="AK15" s="320"/>
      <c r="AL15" s="320"/>
      <c r="AM15" s="320"/>
      <c r="AN15" s="320"/>
      <c r="AO15" s="320"/>
      <c r="AP15" s="320"/>
      <c r="AQ15" s="320"/>
      <c r="AR15" s="223"/>
      <c r="AS15" s="223"/>
      <c r="AT15" s="223"/>
      <c r="AU15" s="223"/>
      <c r="BC15" s="339" t="s">
        <v>252</v>
      </c>
      <c r="BD15" s="340" t="str">
        <f>"+"&amp;COUNTIF(AR_SHEET_装備,"竜爪の耳飾り：光")*5&amp;"(+"&amp;IF(ISERROR(VLOOKUP("ミッドナイトサン",AR_スキルSL,7,0))=TRUE,"0",VLOOKUP("ミッドナイトサン",AR_スキルSL,7,0))+COUNTIF(AR_SHEET_装備,"シャインスタッフ")+COUNTIF(AR_SHEET_装備,"マライカスタッフ")*3&amp;"D)"</f>
        <v>+0(+0D)</v>
      </c>
      <c r="BE15" s="307"/>
    </row>
    <row r="16" spans="1:57" ht="11.25">
      <c r="A16" s="224"/>
      <c r="B16" s="79" t="s">
        <v>253</v>
      </c>
      <c r="C16" s="358" t="s">
        <v>254</v>
      </c>
      <c r="D16" s="358"/>
      <c r="E16" s="358"/>
      <c r="F16" s="55">
        <f aca="true" t="shared" si="6" ref="F16:F21">IF($C16="","",VLOOKUP($C16,AR_アイテム,2,0))</f>
        <v>4</v>
      </c>
      <c r="G16" s="131"/>
      <c r="H16" s="55" t="str">
        <f aca="true" t="shared" si="7" ref="H16:H21">IF($C16="","",VLOOKUP($C16,AR_アイテム,4,0))</f>
        <v>片手</v>
      </c>
      <c r="I16" s="80">
        <f aca="true" t="shared" si="8" ref="I16:I21">IF($C16="","",VLOOKUP($C16,AR_アイテム,5,0))</f>
        <v>8</v>
      </c>
      <c r="J16" s="317">
        <f aca="true" t="shared" si="9" ref="J16:J21">IF($C16="","",VLOOKUP($C16,AR_アイテム,6,0))</f>
        <v>-2</v>
      </c>
      <c r="K16" s="55">
        <f aca="true" t="shared" si="10" ref="K16:K21">IF($C16="","",VLOOKUP($C16,AR_アイテム,7,0))</f>
        <v>12</v>
      </c>
      <c r="L16" s="55">
        <f aca="true" t="shared" si="11" ref="L16:L21">IF($C16="","",VLOOKUP($C16,AR_アイテム,8,0))</f>
        <v>0</v>
      </c>
      <c r="M16" s="55">
        <f aca="true" t="shared" si="12" ref="M16:M21">IF($C16="","",VLOOKUP($C16,AR_アイテム,9,0))</f>
        <v>0</v>
      </c>
      <c r="N16" s="55">
        <f aca="true" t="shared" si="13" ref="N16:N21">IF($C16="","",VLOOKUP($C16,AR_アイテム,10,0))</f>
        <v>0</v>
      </c>
      <c r="O16" s="55"/>
      <c r="P16" s="55">
        <f aca="true" t="shared" si="14" ref="P16:P21">IF($C16="","",VLOOKUP($C16,AR_アイテム,11,0))</f>
        <v>0</v>
      </c>
      <c r="Q16" s="55" t="str">
        <f aca="true" t="shared" si="15" ref="Q16:Q21">IF($C16="","",VLOOKUP($C16,AR_アイテム,12,0))</f>
        <v>至近</v>
      </c>
      <c r="R16" s="359">
        <f aca="true" t="shared" si="16" ref="R16:R21">IF($C16="","",VLOOKUP($C16,AR_アイテム,13,0))</f>
        <v>0</v>
      </c>
      <c r="S16" s="359"/>
      <c r="T16" s="359"/>
      <c r="U16" s="359"/>
      <c r="V16" s="359"/>
      <c r="W16" s="360" t="s">
        <v>255</v>
      </c>
      <c r="X16" s="360"/>
      <c r="Y16" s="361">
        <f>$H$12</f>
        <v>5</v>
      </c>
      <c r="Z16" s="179">
        <f>COUNTIF(AR_SHEET_スキル,"ファインドトラップ")*リファレンス!Q2</f>
        <v>0</v>
      </c>
      <c r="AA16" s="227">
        <v>0</v>
      </c>
      <c r="AB16" s="361">
        <f>SUM(Y16:AA16)</f>
        <v>5</v>
      </c>
      <c r="AC16" s="362">
        <f>COUNTIF(AR_SHEET_スキル,"ヴィジランテ")+2+COUNTIF(AR_SHEET_スキル,"インテュイション")+COUNTIF(AR_SHEET_ギルドスキル,"修練：感知")+COUNTIF(AR_SHEET_装備,"飛燕の帽子")*3</f>
        <v>2</v>
      </c>
      <c r="AE16" s="317" t="str">
        <f t="shared" si="4"/>
        <v>ベルトポーチ</v>
      </c>
      <c r="AF16" s="318">
        <f t="shared" si="5"/>
        <v>15</v>
      </c>
      <c r="AG16" s="223"/>
      <c r="AH16" s="357" t="s">
        <v>256</v>
      </c>
      <c r="AI16" s="80" t="str">
        <f>"+"&amp;0&amp;"(+"&amp;COUNTIF(AR_SHEET_スキル,"ダガーマスタリー")+COUNTIF(AR_SHEET_スキル,"ツインフェンサー")+COUNTIF(AR_SHEET_スキル,"アームズロジック：短剣")&amp;"D)"</f>
        <v>+0(+0D)</v>
      </c>
      <c r="AK16" s="320"/>
      <c r="AL16" s="320"/>
      <c r="AM16" s="320"/>
      <c r="AN16" s="320"/>
      <c r="AO16" s="320"/>
      <c r="AP16" s="320"/>
      <c r="AQ16" s="320"/>
      <c r="AR16" s="223"/>
      <c r="AS16" s="223"/>
      <c r="AT16" s="223"/>
      <c r="AU16" s="223"/>
      <c r="BC16" s="339" t="s">
        <v>257</v>
      </c>
      <c r="BD16" s="340" t="str">
        <f>"+"&amp;COUNTIF(AR_SHEET_装備,"竜爪の耳飾り：闇")*5&amp;"(+"&amp;IF(ISERROR(VLOOKUP("ミッドナイトサン",AR_スキルSL,7,0))=TRUE,"0",VLOOKUP("ミッドナイトサン",AR_スキルSL,7,0))+COUNTIF(AR_SHEET_装備,"ダークスタッフ")+COUNTIF(AR_SHEET_装備,"ディアボロススタッフ")*3&amp;"D)"</f>
        <v>+0(+0D)</v>
      </c>
      <c r="BE16" s="307"/>
    </row>
    <row r="17" spans="1:57" ht="11.25">
      <c r="A17" s="224"/>
      <c r="B17" s="79" t="s">
        <v>258</v>
      </c>
      <c r="C17" s="358" t="s">
        <v>259</v>
      </c>
      <c r="D17" s="358"/>
      <c r="E17" s="358"/>
      <c r="F17" s="55">
        <f t="shared" si="6"/>
        <v>1</v>
      </c>
      <c r="G17" s="131"/>
      <c r="H17" s="55" t="str">
        <f t="shared" si="7"/>
        <v>WAT</v>
      </c>
      <c r="I17" s="80">
        <f t="shared" si="8"/>
        <v>2</v>
      </c>
      <c r="J17" s="317">
        <f t="shared" si="9"/>
        <v>0</v>
      </c>
      <c r="K17" s="55">
        <f t="shared" si="10"/>
        <v>0</v>
      </c>
      <c r="L17" s="55">
        <f t="shared" si="11"/>
        <v>0</v>
      </c>
      <c r="M17" s="55">
        <f t="shared" si="12"/>
        <v>1</v>
      </c>
      <c r="N17" s="55">
        <f t="shared" si="13"/>
        <v>0</v>
      </c>
      <c r="O17" s="55"/>
      <c r="P17" s="55">
        <f t="shared" si="14"/>
        <v>0</v>
      </c>
      <c r="Q17" s="55" t="str">
        <f t="shared" si="15"/>
        <v>-</v>
      </c>
      <c r="R17" s="359">
        <f t="shared" si="16"/>
        <v>0</v>
      </c>
      <c r="S17" s="359"/>
      <c r="T17" s="359"/>
      <c r="U17" s="359"/>
      <c r="V17" s="359"/>
      <c r="W17" s="360" t="s">
        <v>260</v>
      </c>
      <c r="X17" s="360"/>
      <c r="Y17" s="361">
        <f>IF(COUNTIF(AR_SHEET_スキル,"ディスマントル")=1,キャラクターシート!$H$11,$H$9)</f>
        <v>6</v>
      </c>
      <c r="Z17" s="179">
        <f>COUNTIF(AR_SHEET_スキル,"テクニックマスター")+COUNTIF(AR_SHEET_スキル,"リラックス")+IF(ISERROR(VLOOKUP("タイムマジック",AR_スキルSL,7,0))=TRUE,"0",VLOOKUP("タイムマジック",AR_スキルSL,7,0))*2</f>
        <v>0</v>
      </c>
      <c r="AA17" s="227">
        <f>COUNTIF(AR_SHEET_装備,"シーブズツール")+COUNTIF(AR_SHEET_装備,"セブン・ダブ")*2+COUNTIF(AR_SHEET_装備,"盗賊の籠手")*3+COUNTIF(AR_SHEET_装備,"器用のナイフ")*2</f>
        <v>0</v>
      </c>
      <c r="AB17" s="361">
        <f aca="true" t="shared" si="17" ref="AB17:AB23">SUM(Y17:AA17)</f>
        <v>6</v>
      </c>
      <c r="AC17" s="362">
        <f>COUNTIF(AR_SHEET_スキル,"リムーヴトラップ")+2+COUNTIF(AR_SHEET_スキル,"アキュレイト")+COUNTIF(AR_SHEET_ギルドスキル,"修練：器用")</f>
        <v>2</v>
      </c>
      <c r="AE17" s="317" t="str">
        <f t="shared" si="4"/>
        <v>HPポーション</v>
      </c>
      <c r="AF17" s="318">
        <f t="shared" si="5"/>
        <v>30</v>
      </c>
      <c r="AG17" s="223"/>
      <c r="AH17" s="357" t="s">
        <v>261</v>
      </c>
      <c r="AI17" s="80" t="str">
        <f>"+"&amp;0&amp;"(+"&amp;COUNTIF(AR_SHEET_スキル,"ソードマスタリー")+COUNTIF(AR_SHEET_スキル,"アームズロジック：長剣")&amp;"D)"</f>
        <v>+0(+0D)</v>
      </c>
      <c r="AK17" s="320"/>
      <c r="AL17" s="320"/>
      <c r="AM17" s="320"/>
      <c r="AN17" s="320"/>
      <c r="AO17" s="320"/>
      <c r="AP17" s="320"/>
      <c r="AQ17" s="320"/>
      <c r="AR17" s="223"/>
      <c r="AS17" s="223"/>
      <c r="AT17" s="223"/>
      <c r="AU17" s="223"/>
      <c r="BC17" s="305" t="s">
        <v>262</v>
      </c>
      <c r="BD17" s="340" t="str">
        <f>"+"&amp;0&amp;"(+"&amp;COUNTIF(AR_SHEET_装備,"ホワイトスタッフ")*3&amp;"D)"</f>
        <v>+0(+0D)</v>
      </c>
      <c r="BE17" s="307"/>
    </row>
    <row r="18" spans="1:57" ht="11.25">
      <c r="A18" s="224"/>
      <c r="B18" s="79" t="s">
        <v>263</v>
      </c>
      <c r="C18" s="131"/>
      <c r="D18" s="131"/>
      <c r="E18" s="131"/>
      <c r="F18" s="55">
        <f t="shared" si="6"/>
      </c>
      <c r="G18" s="131"/>
      <c r="H18" s="55">
        <f t="shared" si="7"/>
      </c>
      <c r="I18" s="80">
        <f t="shared" si="8"/>
      </c>
      <c r="J18" s="317">
        <f t="shared" si="9"/>
      </c>
      <c r="K18" s="55">
        <f t="shared" si="10"/>
      </c>
      <c r="L18" s="55">
        <f t="shared" si="11"/>
      </c>
      <c r="M18" s="55">
        <f t="shared" si="12"/>
      </c>
      <c r="N18" s="55">
        <f t="shared" si="13"/>
      </c>
      <c r="O18" s="55"/>
      <c r="P18" s="55">
        <f t="shared" si="14"/>
      </c>
      <c r="Q18" s="55">
        <f t="shared" si="15"/>
      </c>
      <c r="R18" s="359">
        <f t="shared" si="16"/>
      </c>
      <c r="S18" s="359"/>
      <c r="T18" s="359"/>
      <c r="U18" s="359"/>
      <c r="V18" s="359"/>
      <c r="W18" s="360" t="s">
        <v>264</v>
      </c>
      <c r="X18" s="360"/>
      <c r="Y18" s="361">
        <f>$H$12</f>
        <v>5</v>
      </c>
      <c r="Z18" s="179">
        <f>COUNTIF(AR_SHEET_スキル,"ワイルドセンス")+COUNTIF(①コンストラクション!C36,"聖職者")*3</f>
        <v>0</v>
      </c>
      <c r="AA18" s="227">
        <f>COUNTIF(AR_SHEET_装備,"長い棒")</f>
        <v>0</v>
      </c>
      <c r="AB18" s="361">
        <f t="shared" si="17"/>
        <v>5</v>
      </c>
      <c r="AC18" s="362">
        <f>2+COUNTIF(AR_SHEET_スキル,"サーチリスク")+COUNTIF(AR_SHEET_スキル,"トラブルセンス")+COUNTIF(AR_SHEET_スキル,"インテュイション")+COUNTIF(AR_SHEET_ギルドスキル,"修練：感知")+COUNTIF(AR_SHEET_装備,"飛燕の帽子")*3</f>
        <v>2</v>
      </c>
      <c r="AE18" s="317" t="str">
        <f t="shared" si="4"/>
        <v>MPポーション</v>
      </c>
      <c r="AF18" s="318">
        <f t="shared" si="5"/>
        <v>50</v>
      </c>
      <c r="AG18" s="223"/>
      <c r="AH18" s="357" t="s">
        <v>265</v>
      </c>
      <c r="AI18" s="80" t="str">
        <f>"+"&amp;IF(COUNTIF(キャラクターシート!D4:F5,"■アコライト")&gt;0,COUNTIF(AR_SHEET_装備,"セレスチャルソード")*3,0)&amp;"(+"&amp;COUNTIF(AR_SHEET_スキル,"トゥーハンドソードマスタリー")+COUNTIF(AR_SHEET_スキル,"アームズロジック：両手剣")&amp;"D)"</f>
        <v>+0(+0D)</v>
      </c>
      <c r="AK18" s="320"/>
      <c r="AL18" s="320"/>
      <c r="AM18" s="320"/>
      <c r="AN18" s="320"/>
      <c r="AO18" s="320"/>
      <c r="AP18" s="320"/>
      <c r="AQ18" s="320"/>
      <c r="AR18" s="223"/>
      <c r="AS18" s="223"/>
      <c r="AT18" s="223"/>
      <c r="AU18" s="223"/>
      <c r="AV18" s="63"/>
      <c r="AW18" s="63"/>
      <c r="AX18" s="63"/>
      <c r="AY18" s="363"/>
      <c r="BC18" s="364" t="s">
        <v>266</v>
      </c>
      <c r="BD18" s="325" t="str">
        <f>"+"&amp;0&amp;"(+"&amp;IF(ISERROR(VLOOKUP("アトリビュート",AR_スキルSL,7,0))=TRUE,"0",VLOOKUP("アトリビュート",AR_スキルSL,7,0))&amp;"D)"</f>
        <v>+0(+0D)</v>
      </c>
      <c r="BE18" s="307"/>
    </row>
    <row r="19" spans="1:57" ht="11.25">
      <c r="A19" s="224"/>
      <c r="B19" s="79" t="s">
        <v>267</v>
      </c>
      <c r="C19" s="131" t="s">
        <v>268</v>
      </c>
      <c r="D19" s="131"/>
      <c r="E19" s="131"/>
      <c r="F19" s="55">
        <f t="shared" si="6"/>
        <v>3</v>
      </c>
      <c r="G19" s="55" t="s">
        <v>269</v>
      </c>
      <c r="H19" s="55" t="str">
        <f t="shared" si="7"/>
        <v>WATM</v>
      </c>
      <c r="I19" s="80">
        <f t="shared" si="8"/>
        <v>2</v>
      </c>
      <c r="J19" s="317">
        <f t="shared" si="9"/>
        <v>0</v>
      </c>
      <c r="K19" s="55">
        <f t="shared" si="10"/>
        <v>0</v>
      </c>
      <c r="L19" s="55" t="str">
        <f t="shared" si="11"/>
        <v>-</v>
      </c>
      <c r="M19" s="55">
        <f t="shared" si="12"/>
        <v>3</v>
      </c>
      <c r="N19" s="55">
        <f t="shared" si="13"/>
        <v>0</v>
      </c>
      <c r="O19" s="55"/>
      <c r="P19" s="55">
        <f t="shared" si="14"/>
        <v>0</v>
      </c>
      <c r="Q19" s="55" t="str">
        <f t="shared" si="15"/>
        <v>-</v>
      </c>
      <c r="R19" s="359">
        <f t="shared" si="16"/>
        <v>0</v>
      </c>
      <c r="S19" s="359"/>
      <c r="T19" s="359"/>
      <c r="U19" s="359"/>
      <c r="V19" s="359"/>
      <c r="W19" s="360" t="s">
        <v>270</v>
      </c>
      <c r="X19" s="360"/>
      <c r="Y19" s="361">
        <f>$H$11</f>
        <v>2</v>
      </c>
      <c r="Z19" s="179">
        <f>IF(ISERROR(VLOOKUP("モンスターロア",AR_スキルSL,7,0))=TRUE,"0",VLOOKUP("モンスターロア",AR_スキルSL,7,0))*2+COUNTIF(AR_SHEET_スキル,"イモータリティ")+IF(ISERROR(VLOOKUP("ハイウィズダム",AR_スキルSL,7,0))=TRUE,"0",VLOOKUP("ハイウィズダム",AR_スキルSL,7,0))+COUNTIF(①コンストラクション!C36,"放浪者")*3</f>
        <v>0</v>
      </c>
      <c r="AA19" s="227">
        <f>COUNTIF(AR_SHEET_装備,"知識の書")</f>
        <v>0</v>
      </c>
      <c r="AB19" s="361">
        <f t="shared" si="17"/>
        <v>2</v>
      </c>
      <c r="AC19" s="362">
        <f>COUNTIF(AR_SHEET_スキル,"エルディダイト")+2+COUNTIF(AR_SHEET_スキル,"フィールドワーク")+COUNTIF(AR_SHEET_ギルドスキル,"ライブラリー")+COUNTIF(AR_SHEET_ギルドスキル,"修練：知力")</f>
        <v>2</v>
      </c>
      <c r="AE19" s="317">
        <f t="shared" si="4"/>
        <v>0</v>
      </c>
      <c r="AF19" s="318">
        <f t="shared" si="5"/>
      </c>
      <c r="AG19" s="223"/>
      <c r="AH19" s="357" t="s">
        <v>150</v>
      </c>
      <c r="AI19" s="80" t="str">
        <f>"+"&amp;COUNTIF(AR_SHEET_装備,"修羅の鞘")&amp;"(+"&amp;COUNTIF(AR_SHEET_スキル,"カタナマスタリー")+COUNTIF(AR_SHEET_スキル,"アームズロジック：刀")&amp;"D)"</f>
        <v>+0(+1D)</v>
      </c>
      <c r="AK19" s="320"/>
      <c r="AL19" s="320"/>
      <c r="AM19" s="320"/>
      <c r="AN19" s="320"/>
      <c r="AO19" s="320"/>
      <c r="AP19" s="320"/>
      <c r="AQ19" s="320"/>
      <c r="AR19" s="223"/>
      <c r="AS19" s="223"/>
      <c r="AT19" s="223"/>
      <c r="AU19" s="223"/>
      <c r="AV19" s="63"/>
      <c r="AW19" s="63"/>
      <c r="AX19" s="63"/>
      <c r="AY19" s="363"/>
      <c r="BC19" s="83" t="s">
        <v>271</v>
      </c>
      <c r="BD19" s="365" t="str">
        <f>"+"&amp;COUNTIF(AR_SHEET_装備,"トパーズリング")*3+COUNTIF(AR_SHEET_装備,"地のタリスマン")*2&amp;"(+"&amp;0&amp;"D)"</f>
        <v>+0(+0D)</v>
      </c>
      <c r="BE19" s="307"/>
    </row>
    <row r="20" spans="1:57" ht="11.25">
      <c r="A20" s="224"/>
      <c r="B20" s="79" t="s">
        <v>272</v>
      </c>
      <c r="C20" s="131" t="s">
        <v>273</v>
      </c>
      <c r="D20" s="131"/>
      <c r="E20" s="131"/>
      <c r="F20" s="55">
        <f t="shared" si="6"/>
        <v>3</v>
      </c>
      <c r="G20" s="55" t="s">
        <v>274</v>
      </c>
      <c r="H20" s="55" t="str">
        <f t="shared" si="7"/>
        <v>W</v>
      </c>
      <c r="I20" s="80">
        <f t="shared" si="8"/>
        <v>8</v>
      </c>
      <c r="J20" s="317">
        <f t="shared" si="9"/>
        <v>0</v>
      </c>
      <c r="K20" s="55">
        <f t="shared" si="10"/>
        <v>0</v>
      </c>
      <c r="L20" s="55">
        <f t="shared" si="11"/>
        <v>0</v>
      </c>
      <c r="M20" s="55">
        <f t="shared" si="12"/>
        <v>7</v>
      </c>
      <c r="N20" s="55">
        <f t="shared" si="13"/>
        <v>0</v>
      </c>
      <c r="O20" s="55"/>
      <c r="P20" s="55">
        <f t="shared" si="14"/>
        <v>0</v>
      </c>
      <c r="Q20" s="55" t="str">
        <f t="shared" si="15"/>
        <v>-</v>
      </c>
      <c r="R20" s="359">
        <f t="shared" si="16"/>
        <v>0</v>
      </c>
      <c r="S20" s="359"/>
      <c r="T20" s="359"/>
      <c r="U20" s="359"/>
      <c r="V20" s="359"/>
      <c r="W20" s="360" t="s">
        <v>275</v>
      </c>
      <c r="X20" s="360"/>
      <c r="Y20" s="361">
        <f>$H$11</f>
        <v>2</v>
      </c>
      <c r="Z20" s="179">
        <f>COUNTIF(AR_SHEET_スキル,"イモータリティ")+IF(ISERROR(VLOOKUP("ハイウィズダム",AR_スキルSL,7,0))=TRUE,"0",VLOOKUP("ハイウィズダム",AR_スキルSL,7,0))+COUNTIF(①コンストラクション!C36,"冒険者")*3</f>
        <v>0</v>
      </c>
      <c r="AA20" s="227">
        <f>COUNTIF(AR_SHEET_装備,"大きな目")*3</f>
        <v>0</v>
      </c>
      <c r="AB20" s="361">
        <f t="shared" si="17"/>
        <v>2</v>
      </c>
      <c r="AC20" s="362">
        <f>COUNTIF(AR_SHEET_スキル,"オピニオン")+2+COUNTIF(AR_SHEET_スキル,"フィールドワーク")+COUNTIF(AR_SHEET_スキル,"アイデンティファイア")+COUNTIF(AR_SHEET_ギルドスキル,"ライブラリー")+COUNTIF(AR_SHEET_ギルドスキル,"修練：知力")</f>
        <v>2</v>
      </c>
      <c r="AE20" s="317">
        <f t="shared" si="4"/>
        <v>0</v>
      </c>
      <c r="AF20" s="318">
        <f t="shared" si="5"/>
      </c>
      <c r="AG20" s="223"/>
      <c r="AH20" s="357" t="s">
        <v>276</v>
      </c>
      <c r="AI20" s="80" t="str">
        <f>"+"&amp;0&amp;"(+"&amp;COUNTIF(AR_SHEET_スキル,"ウィップマスタリー")+COUNTIF(AR_SHEET_スキル,"アームズロジック：鞭")&amp;"D)"</f>
        <v>+0(+0D)</v>
      </c>
      <c r="AK20" s="320"/>
      <c r="AL20" s="320"/>
      <c r="AM20" s="320"/>
      <c r="AN20" s="320"/>
      <c r="AO20" s="320"/>
      <c r="AP20" s="320"/>
      <c r="AQ20" s="320"/>
      <c r="AR20" s="223"/>
      <c r="AS20" s="223"/>
      <c r="AT20" s="223"/>
      <c r="AU20" s="223"/>
      <c r="AV20" s="63"/>
      <c r="AW20" s="63"/>
      <c r="AX20" s="63"/>
      <c r="AY20" s="363"/>
      <c r="BC20" s="79" t="s">
        <v>277</v>
      </c>
      <c r="BD20" s="80" t="str">
        <f>"+"&amp;COUNTIF(AR_SHEET_装備,"サファイアリング")*3+COUNTIF(AR_SHEET_装備,"ドラゴンシールド")*10+COUNTIF(AR_SHEET_装備,"水のタリスマン")*2&amp;"(+"&amp;0&amp;"D)"</f>
        <v>+0(+0D)</v>
      </c>
      <c r="BE20" s="307"/>
    </row>
    <row r="21" spans="1:56" ht="11.25">
      <c r="A21" s="224"/>
      <c r="B21" s="366" t="s">
        <v>278</v>
      </c>
      <c r="C21" s="367" t="s">
        <v>279</v>
      </c>
      <c r="D21" s="367"/>
      <c r="E21" s="367"/>
      <c r="F21" s="152">
        <f t="shared" si="6"/>
        <v>3</v>
      </c>
      <c r="G21" s="152" t="s">
        <v>280</v>
      </c>
      <c r="H21" s="152" t="str">
        <f t="shared" si="7"/>
        <v>ｻﾑﾗｲ</v>
      </c>
      <c r="I21" s="368">
        <f t="shared" si="8"/>
        <v>2</v>
      </c>
      <c r="J21" s="369">
        <f t="shared" si="9"/>
        <v>0</v>
      </c>
      <c r="K21" s="152">
        <f t="shared" si="10"/>
        <v>0</v>
      </c>
      <c r="L21" s="152">
        <f t="shared" si="11"/>
        <v>0</v>
      </c>
      <c r="M21" s="152">
        <f t="shared" si="12"/>
        <v>2</v>
      </c>
      <c r="N21" s="152">
        <f t="shared" si="13"/>
        <v>2</v>
      </c>
      <c r="O21" s="152"/>
      <c r="P21" s="152">
        <f t="shared" si="14"/>
        <v>0</v>
      </c>
      <c r="Q21" s="55" t="str">
        <f t="shared" si="15"/>
        <v>-</v>
      </c>
      <c r="R21" s="370">
        <f t="shared" si="16"/>
        <v>0</v>
      </c>
      <c r="S21" s="370"/>
      <c r="T21" s="370"/>
      <c r="U21" s="370"/>
      <c r="V21" s="370"/>
      <c r="W21" s="360" t="s">
        <v>281</v>
      </c>
      <c r="X21" s="360"/>
      <c r="Y21" s="361">
        <f>$H$11</f>
        <v>2</v>
      </c>
      <c r="Z21" s="179">
        <f>COUNTIF(AR_SHEET_スキル,"マジックマスタリー")</f>
        <v>0</v>
      </c>
      <c r="AA21" s="227">
        <f>COUNTIF(AR_SHEET_装備,"クロスブレイド")+COUNTIF(AR_SHEET_装備,"アークスタッフ")*2+COUNTIF(AR_SHEET_装備,"ホーリークロス")+COUNTIF(AR_SHEET_装備,"アクエリスタッフ")*2+COUNTIF(AR_SHEET_装備,"ハーミットスタッフ")*2+COUNTIF(AR_SHEET_装備,"ビショップワンド")*2+COUNTIF(AR_SHEET_装備,"ウィザードスタッフ")*2+COUNTIF(AR_SHEET_装備,"グリモア")+COUNTIF(AR_SHEET_装備,"奥義書")*2+COUNTIF(AR_SHEET_装備,"忍者刀")+COUNTIF(AR_SHEET_装備,"メイジスタッフ")+COUNTIF(AR_SHEET_装備,"ガイアスタッフ")*2+COUNTIF(AR_SHEET_装備,"フレアスタッフ")*2+COUNTIF(AR_SHEET_装備,"エアロタッフ")*2+COUNTIF(AR_SHEET_装備,"シャインスタッフ")*2+COUNTIF(AR_SHEET_装備,"ダークスタッフ")*2</f>
        <v>0</v>
      </c>
      <c r="AB21" s="361">
        <f t="shared" si="17"/>
        <v>2</v>
      </c>
      <c r="AC21" s="362">
        <f>COUNTIF(AR_SHEET_スキル,"コンセントレイション")+2+COUNTIF(AR_SHEET_スキル,"フィールドワーク")+COUNTIF(AR_SHEET_ギルドスキル,"修練：知力")</f>
        <v>2</v>
      </c>
      <c r="AE21" s="317">
        <f t="shared" si="4"/>
        <v>0</v>
      </c>
      <c r="AF21" s="318">
        <f t="shared" si="5"/>
      </c>
      <c r="AG21" s="223"/>
      <c r="AH21" s="357" t="s">
        <v>282</v>
      </c>
      <c r="AI21" s="80" t="str">
        <f>"+"&amp;0&amp;"(+"&amp;COUNTIF(AR_SHEET_スキル,"アックスマスタリー")+COUNTIF(AR_SHEET_スキル,"アームズロジック：斧")&amp;"D)"</f>
        <v>+0(+0D)</v>
      </c>
      <c r="AK21" s="320"/>
      <c r="AL21" s="320"/>
      <c r="AM21" s="320"/>
      <c r="AN21" s="320"/>
      <c r="AO21" s="320"/>
      <c r="AP21" s="320"/>
      <c r="AQ21" s="320"/>
      <c r="AR21" s="223"/>
      <c r="AS21" s="223"/>
      <c r="AT21" s="223"/>
      <c r="AU21" s="223"/>
      <c r="AV21" s="63"/>
      <c r="AW21" s="63"/>
      <c r="AX21" s="63"/>
      <c r="AY21" s="363"/>
      <c r="BC21" s="79" t="s">
        <v>283</v>
      </c>
      <c r="BD21" s="80" t="str">
        <f>"+"&amp;COUNTIF(AR_SHEET_装備,"ドラゴンメイル")*10+COUNTIF(AR_SHEET_装備,"炎のタリスマン")*2+COUNTIF(AR_SHEET_装備,"ルビーリング")*3&amp;"(+"&amp;0&amp;"D)"</f>
        <v>+0(+0D)</v>
      </c>
    </row>
    <row r="22" spans="1:56" ht="12">
      <c r="A22" s="371"/>
      <c r="B22" s="372"/>
      <c r="C22" s="373" t="s">
        <v>284</v>
      </c>
      <c r="D22" s="374">
        <f>C8+IF(ISERROR(VLOOKUP("エンラージリミット",AR_スキルSL,7,0))=TRUE,"0",VLOOKUP("エンラージリミット",AR_スキルSL,7,0))*3</f>
        <v>14</v>
      </c>
      <c r="E22" s="375" t="s">
        <v>285</v>
      </c>
      <c r="F22" s="376" t="s">
        <v>286</v>
      </c>
      <c r="G22" s="376">
        <f>SUM(I16:I17)</f>
        <v>10</v>
      </c>
      <c r="H22" s="376" t="s">
        <v>287</v>
      </c>
      <c r="I22" s="377">
        <f>SUM(I19:I21)</f>
        <v>12</v>
      </c>
      <c r="J22" s="378">
        <f>SUM(IF(J16&gt;0,J16,リファレンス!Q10),IF(リファレンス!Q12&gt;0,IF(J17&gt;0,J17,リファレンス!Q15),0),J19:J21)</f>
        <v>-2</v>
      </c>
      <c r="K22" s="378">
        <f>SUM(K16,IF(リファレンス!Q12&gt;0,K17,0),K19:K21)</f>
        <v>12</v>
      </c>
      <c r="L22" s="378">
        <f>SUM(L16:L17,L19:L21)</f>
        <v>0</v>
      </c>
      <c r="M22" s="378">
        <f>SUM(M16:M17,M19:M21)</f>
        <v>13</v>
      </c>
      <c r="N22" s="378">
        <f>SUM(N16:O17,N19:O21)</f>
        <v>2</v>
      </c>
      <c r="O22" s="378"/>
      <c r="P22" s="378">
        <f>SUM(IF(P16&gt;0,P16,リファレンス!Q7),P17,P19:P21)</f>
        <v>0</v>
      </c>
      <c r="Q22" s="379"/>
      <c r="R22" s="380"/>
      <c r="S22" s="380"/>
      <c r="T22" s="380"/>
      <c r="U22" s="380"/>
      <c r="V22" s="380"/>
      <c r="W22" s="360" t="s">
        <v>288</v>
      </c>
      <c r="X22" s="360"/>
      <c r="Y22" s="361">
        <f>$H$13</f>
        <v>1</v>
      </c>
      <c r="Z22" s="179">
        <v>0</v>
      </c>
      <c r="AA22" s="227">
        <f>COUNTIF(AR_SHEET_装備,"楽器")</f>
        <v>0</v>
      </c>
      <c r="AB22" s="361">
        <f t="shared" si="17"/>
        <v>1</v>
      </c>
      <c r="AC22" s="362">
        <f>COUNTIF(AR_SHEET_スキル,"シルヴァリィソング")+2+COUNTIF(AR_SHEET_ギルドスキル,"修練：精神")</f>
        <v>2</v>
      </c>
      <c r="AE22" s="317">
        <f t="shared" si="4"/>
        <v>0</v>
      </c>
      <c r="AF22" s="318">
        <f>IF($W32="","",VLOOKUP($W32,AR_アイテム,14,0))</f>
      </c>
      <c r="AG22" s="223"/>
      <c r="AH22" s="357" t="s">
        <v>289</v>
      </c>
      <c r="AI22" s="80" t="str">
        <f>"+"&amp;0&amp;"(+"&amp;COUNTIF(AR_SHEET_スキル,"メイスマスタリー")+COUNTIF(AR_SHEET_スキル,"アームズロジック：打撃")&amp;"D)"</f>
        <v>+0(+0D)</v>
      </c>
      <c r="AK22" s="320"/>
      <c r="AL22" s="320"/>
      <c r="AM22" s="320"/>
      <c r="AN22" s="320"/>
      <c r="AO22" s="320"/>
      <c r="AP22" s="320"/>
      <c r="AQ22" s="320"/>
      <c r="AR22" s="223"/>
      <c r="AS22" s="223"/>
      <c r="AT22" s="223"/>
      <c r="AU22" s="223"/>
      <c r="AV22" s="63"/>
      <c r="AW22" s="63"/>
      <c r="AX22" s="63"/>
      <c r="AY22" s="363"/>
      <c r="BC22" s="79" t="s">
        <v>290</v>
      </c>
      <c r="BD22" s="80" t="str">
        <f>"+"&amp;COUNTIF(AR_SHEET_装備,"エメラルドリング")*3+COUNTIF(AR_SHEET_装備,"風のタリスマン")*2&amp;"(+"&amp;0&amp;"D)"</f>
        <v>+0(+0D)</v>
      </c>
    </row>
    <row r="23" spans="1:56" ht="11.25">
      <c r="A23" s="381" t="s">
        <v>291</v>
      </c>
      <c r="B23" s="216" t="s">
        <v>159</v>
      </c>
      <c r="C23" s="216"/>
      <c r="D23" s="216"/>
      <c r="E23" s="216"/>
      <c r="F23" s="109" t="s">
        <v>292</v>
      </c>
      <c r="G23" s="109"/>
      <c r="H23" s="109" t="s">
        <v>293</v>
      </c>
      <c r="I23" s="109" t="s">
        <v>294</v>
      </c>
      <c r="J23" s="109"/>
      <c r="K23" s="109" t="s">
        <v>176</v>
      </c>
      <c r="L23" s="109" t="s">
        <v>295</v>
      </c>
      <c r="M23" s="109" t="s">
        <v>248</v>
      </c>
      <c r="N23" s="109" t="s">
        <v>296</v>
      </c>
      <c r="O23" s="109"/>
      <c r="P23" s="109" t="s">
        <v>242</v>
      </c>
      <c r="Q23" s="218" t="s">
        <v>297</v>
      </c>
      <c r="R23" s="218"/>
      <c r="S23" s="382" t="s">
        <v>298</v>
      </c>
      <c r="T23" s="382"/>
      <c r="U23" s="383">
        <f>SUM(H24:H65)+COUNTIF(H24:H65,"★")</f>
        <v>14</v>
      </c>
      <c r="V23" s="384">
        <f>③レベルアップ!Q23+COUNTIF(AR_SHEET_スキル,"ハーフブラッド")</f>
        <v>14</v>
      </c>
      <c r="W23" s="385" t="s">
        <v>299</v>
      </c>
      <c r="X23" s="385"/>
      <c r="Y23" s="386">
        <f>$H$9</f>
        <v>6</v>
      </c>
      <c r="Z23" s="187">
        <f>COUNTIF(AR_SHEET_スキル,"マスターハンド")+IF(ISERROR(VLOOKUP("アルケミカルサークル",AR_スキルSL,7,0))=TRUE,"0",VLOOKUP("アルケミカルサークル",AR_スキルSL,7,0))</f>
        <v>0</v>
      </c>
      <c r="AA23" s="387">
        <f>COUNTIF(AR_SHEET_装備,"研究道具")+COUNTIF(AR_SHEET_装備,"器用のナイフ")*2</f>
        <v>0</v>
      </c>
      <c r="AB23" s="386">
        <f t="shared" si="17"/>
        <v>6</v>
      </c>
      <c r="AC23" s="388">
        <f>COUNTIF(AR_SHEET_スキル,"ラピス・フィロソフォルム")+2+COUNTIF(AR_SHEET_スキル,"アキュレイト")+COUNTIF(AR_SHEET_ギルドスキル,"修練：器用")</f>
        <v>2</v>
      </c>
      <c r="AE23" s="317">
        <f t="shared" si="4"/>
        <v>0</v>
      </c>
      <c r="AF23" s="318">
        <f>IF($W33="","",VLOOKUP($W33,AR_アイテム,14,0))</f>
      </c>
      <c r="AG23" s="223"/>
      <c r="AH23" s="357" t="s">
        <v>300</v>
      </c>
      <c r="AI23" s="80" t="str">
        <f>"+"&amp;0&amp;"(+"&amp;COUNTIF(AR_SHEET_スキル,"スピアマスタリー")+COUNTIF(AR_SHEET_スキル,"アームズロジック：槍")&amp;"D)"</f>
        <v>+0(+0D)</v>
      </c>
      <c r="AK23" s="320"/>
      <c r="AL23" s="320"/>
      <c r="AM23" s="320"/>
      <c r="AN23" s="320"/>
      <c r="AO23" s="320"/>
      <c r="AP23" s="320"/>
      <c r="AQ23" s="320"/>
      <c r="AR23" s="223"/>
      <c r="AS23" s="223"/>
      <c r="AT23" s="223"/>
      <c r="AU23" s="223"/>
      <c r="AV23" s="63"/>
      <c r="AW23" s="63"/>
      <c r="AX23" s="63"/>
      <c r="AY23" s="363"/>
      <c r="AZ23" s="63"/>
      <c r="BA23" s="63"/>
      <c r="BB23" s="63"/>
      <c r="BC23" s="79" t="s">
        <v>301</v>
      </c>
      <c r="BD23" s="80" t="str">
        <f>"+"&amp;COUNTIF(AR_SHEET_装備,"ダイヤモンドリング")*3+COUNTIF(AR_SHEET_装備,"光のタリスマン")*2&amp;"(+"&amp;0&amp;"D)"</f>
        <v>+0(+0D)</v>
      </c>
    </row>
    <row r="24" spans="1:56" ht="11.25">
      <c r="A24" s="381"/>
      <c r="B24" s="389" t="s">
        <v>302</v>
      </c>
      <c r="C24" s="389"/>
      <c r="D24" s="389"/>
      <c r="E24" s="389"/>
      <c r="F24" s="131" t="str">
        <f>①コンストラクション!M4</f>
        <v>ヴァーナ</v>
      </c>
      <c r="G24" s="131"/>
      <c r="H24" s="131" t="str">
        <f>IF($B24="","",VLOOKUP($B24,スキル!$A:$K,3,0))</f>
        <v>★</v>
      </c>
      <c r="I24" s="55" t="str">
        <f>IF($B24="","",VLOOKUP($B24,スキル!$A:$K,4,0))</f>
        <v>パッシヴ</v>
      </c>
      <c r="J24" s="55"/>
      <c r="K24" s="55" t="str">
        <f>IF($B24="","",VLOOKUP($B24,スキル!$A:$K,5,0))</f>
        <v>-</v>
      </c>
      <c r="L24" s="55" t="str">
        <f>IF($B24="","",VLOOKUP($B24,スキル!$A:$K,6,0))</f>
        <v>自身</v>
      </c>
      <c r="M24" s="55" t="str">
        <f>IF($B24="","",VLOOKUP($B24,スキル!$A:$K,7,0))</f>
        <v>-</v>
      </c>
      <c r="N24" s="55" t="str">
        <f>IF($B24="","",VLOOKUP($B24,スキル!$A:$K,8,0))</f>
        <v>-</v>
      </c>
      <c r="O24" s="55"/>
      <c r="P24" s="55" t="str">
        <f>IF($B24="","",VLOOKUP($B24,スキル!$A:$K,9,0))</f>
        <v>-</v>
      </c>
      <c r="Q24" s="390">
        <f>IF($B24="","",VLOOKUP($B24,スキル!$A:$K,10,0))</f>
        <v>0</v>
      </c>
      <c r="R24" s="390"/>
      <c r="S24" s="390"/>
      <c r="T24" s="390"/>
      <c r="U24" s="390"/>
      <c r="V24" s="390"/>
      <c r="W24" s="391" t="s">
        <v>237</v>
      </c>
      <c r="X24" s="391"/>
      <c r="Y24" s="392" t="s">
        <v>243</v>
      </c>
      <c r="Z24" s="392"/>
      <c r="AA24" s="393">
        <f>SUM(Y25:Y36,AC25:AC34,I18)</f>
        <v>11</v>
      </c>
      <c r="AB24" s="394" t="s">
        <v>303</v>
      </c>
      <c r="AC24" s="395">
        <f>$C$8+IF(ISERROR(VLOOKUP("エンラージリミット",AR_スキルSL,7,0))=TRUE,"0",VLOOKUP("エンラージリミット",AR_スキルSL,7,0))*3+COUNTIF(W25:AC36,"ベルトポーチ")*2+COUNTIF(W25:AC36,"バックパック")*5+COUNTIF(W25:AC36,"異次元バッグ")*10+COUNTIF(AR_SHEET_装備,"手提げバッグ")*3+IF(ISERROR(VLOOKUP("容量拡大",AR_SHEET_ギルドスキル,7,0))=TRUE,"0",VLOOKUP("容量拡大",AR_SHEET_ギルドスキル,7,0))*5+COUNTIF(W25:AC36,"乗用馬")*10+COUNTIF(W25:AC36,"軍馬")*15+COUNTIF(W25:AC36,"名馬")*10+COUNTIF(W25:AC36,"錬金馬")*25+COUNTIF(W25:AC36,"騎竜")*20+COUNTIF(W25:AC36,"馬車")*40</f>
        <v>16</v>
      </c>
      <c r="AE24" s="317">
        <f t="shared" si="4"/>
        <v>0</v>
      </c>
      <c r="AF24" s="318">
        <f>IF($W34="","",VLOOKUP($W34,AR_アイテム,14,0))</f>
      </c>
      <c r="AG24" s="223"/>
      <c r="AH24" s="357" t="s">
        <v>304</v>
      </c>
      <c r="AI24" s="80" t="str">
        <f>"+"&amp;0&amp;"(+"&amp;COUNTIF(AR_SHEET_スキル,"ボウマスタリー")+COUNTIF(AR_SHEET_スキル,"アームズロジック：弓")&amp;"D)"</f>
        <v>+0(+0D)</v>
      </c>
      <c r="AK24" s="320"/>
      <c r="AL24" s="320"/>
      <c r="AM24" s="320"/>
      <c r="AN24" s="320"/>
      <c r="AO24" s="320"/>
      <c r="AP24" s="320"/>
      <c r="AQ24" s="320"/>
      <c r="AR24" s="223"/>
      <c r="AS24" s="223"/>
      <c r="AT24" s="223"/>
      <c r="AU24" s="223"/>
      <c r="AV24" s="63"/>
      <c r="AW24" s="63"/>
      <c r="AX24" s="63"/>
      <c r="AY24" s="63"/>
      <c r="AZ24" s="63"/>
      <c r="BA24" s="63"/>
      <c r="BB24" s="63"/>
      <c r="BC24" s="79" t="s">
        <v>305</v>
      </c>
      <c r="BD24" s="80" t="str">
        <f>"+"&amp;COUNTIF(AR_SHEET_装備,"ブラックオニキスリング")*3+COUNTIF(AR_SHEET_装備,"闇のタリスマン")*2&amp;"(+"&amp;0&amp;"D)"</f>
        <v>+0(+0D)</v>
      </c>
    </row>
    <row r="25" spans="1:56" ht="11.25">
      <c r="A25" s="381"/>
      <c r="B25" s="389" t="s">
        <v>306</v>
      </c>
      <c r="C25" s="389"/>
      <c r="D25" s="389"/>
      <c r="E25" s="389"/>
      <c r="F25" s="131" t="str">
        <f>IF($B25="","",VLOOKUP($B25,スキル!$A:$K,2,0))</f>
        <v>■ウォーリア</v>
      </c>
      <c r="G25" s="131"/>
      <c r="H25" s="131" t="str">
        <f>IF($B25="","",VLOOKUP($B25,スキル!$A:$K,3,0))</f>
        <v>★</v>
      </c>
      <c r="I25" s="55" t="str">
        <f>IF($B25="","",VLOOKUP($B25,スキル!$A:$K,4,0))</f>
        <v>DR直前</v>
      </c>
      <c r="J25" s="55"/>
      <c r="K25" s="55" t="str">
        <f>IF($B25="","",VLOOKUP($B25,スキル!$A:$K,5,0))</f>
        <v>自動</v>
      </c>
      <c r="L25" s="55" t="str">
        <f>IF($B25="","",VLOOKUP($B25,スキル!$A:$K,6,0))</f>
        <v>自身</v>
      </c>
      <c r="M25" s="55" t="str">
        <f>IF($B25="","",VLOOKUP($B25,スキル!$A:$K,7,0))</f>
        <v>-</v>
      </c>
      <c r="N25" s="55" t="str">
        <f>IF($B25="","",VLOOKUP($B25,スキル!$A:$K,8,0))</f>
        <v>-</v>
      </c>
      <c r="O25" s="55"/>
      <c r="P25" s="55">
        <f>IF($B25="","",VLOOKUP($B25,スキル!$A:$K,9,0))</f>
        <v>1</v>
      </c>
      <c r="Q25" s="390">
        <f>IF($B25="","",VLOOKUP($B25,スキル!$A:$K,10,0))</f>
        <v>0</v>
      </c>
      <c r="R25" s="390"/>
      <c r="S25" s="390"/>
      <c r="T25" s="390"/>
      <c r="U25" s="390"/>
      <c r="V25" s="390"/>
      <c r="W25" s="396" t="s">
        <v>307</v>
      </c>
      <c r="X25" s="396"/>
      <c r="Y25" s="397">
        <f aca="true" t="shared" si="18" ref="Y25:Y36">IF($W25="","",VLOOKUP($W25,AR_アイテム,5,0))</f>
        <v>5</v>
      </c>
      <c r="Z25" s="398"/>
      <c r="AA25" s="398"/>
      <c r="AB25" s="398"/>
      <c r="AC25" s="399">
        <f aca="true" t="shared" si="19" ref="AC25:AC34">IF($Z25="","",VLOOKUP($Z25,AR_アイテム,5,0))</f>
      </c>
      <c r="AE25" s="317">
        <f t="shared" si="4"/>
        <v>0</v>
      </c>
      <c r="AF25" s="318">
        <f>IF($W35="","",VLOOKUP($W35,AR_アイテム,14,0))</f>
      </c>
      <c r="AG25" s="223"/>
      <c r="AH25" s="357" t="s">
        <v>308</v>
      </c>
      <c r="AI25" s="80" t="str">
        <f>"+"&amp;0&amp;"(+"&amp;COUNTIF(AR_SHEET_スキル,"ガンマスタリー")+COUNTIF(AR_SHEET_スキル,"アームズロジック：銃")&amp;"D)"</f>
        <v>+0(+0D)</v>
      </c>
      <c r="AK25" s="320"/>
      <c r="AL25" s="320"/>
      <c r="AM25" s="320"/>
      <c r="AN25" s="320"/>
      <c r="AO25" s="320"/>
      <c r="AP25" s="320"/>
      <c r="AQ25" s="320"/>
      <c r="AR25" s="223"/>
      <c r="AS25" s="223"/>
      <c r="AT25" s="223"/>
      <c r="AU25" s="223"/>
      <c r="AV25" s="63"/>
      <c r="AW25" s="63"/>
      <c r="AX25" s="63"/>
      <c r="AY25" s="63"/>
      <c r="AZ25" s="400"/>
      <c r="BA25" s="63"/>
      <c r="BB25" s="63"/>
      <c r="BC25" s="79" t="s">
        <v>309</v>
      </c>
      <c r="BD25" s="340" t="str">
        <f>"+"&amp;0&amp;"(+"&amp;IF(ISERROR(VLOOKUP("ジュエルスキン：地",AR_スキルSL,7,0))=TRUE,"0",VLOOKUP("ジュエルスキン：地",AR_スキルSL,7,0))&amp;"D)"</f>
        <v>+0(+0D)</v>
      </c>
    </row>
    <row r="26" spans="1:56" ht="11.25">
      <c r="A26" s="381"/>
      <c r="B26" s="389" t="s">
        <v>310</v>
      </c>
      <c r="C26" s="389"/>
      <c r="D26" s="389"/>
      <c r="E26" s="389"/>
      <c r="F26" s="131" t="str">
        <f>IF($B26="","",VLOOKUP($B26,スキル!$A:$K,2,0))</f>
        <v>□サムライ</v>
      </c>
      <c r="G26" s="131"/>
      <c r="H26" s="131" t="str">
        <f>IF($B26="","",VLOOKUP($B26,スキル!$A:$K,3,0))</f>
        <v>★</v>
      </c>
      <c r="I26" s="55" t="str">
        <f>IF($B26="","",VLOOKUP($B26,スキル!$A:$K,4,0))</f>
        <v>パッシヴ</v>
      </c>
      <c r="J26" s="55"/>
      <c r="K26" s="55" t="str">
        <f>IF($B26="","",VLOOKUP($B26,スキル!$A:$K,5,0))</f>
        <v>-</v>
      </c>
      <c r="L26" s="55" t="str">
        <f>IF($B26="","",VLOOKUP($B26,スキル!$A:$K,6,0))</f>
        <v>自身</v>
      </c>
      <c r="M26" s="55" t="str">
        <f>IF($B26="","",VLOOKUP($B26,スキル!$A:$K,7,0))</f>
        <v>-</v>
      </c>
      <c r="N26" s="55" t="str">
        <f>IF($B26="","",VLOOKUP($B26,スキル!$A:$K,8,0))</f>
        <v>-</v>
      </c>
      <c r="O26" s="55"/>
      <c r="P26" s="55" t="str">
        <f>IF($B26="","",VLOOKUP($B26,スキル!$A:$K,9,0))</f>
        <v>-</v>
      </c>
      <c r="Q26" s="390" t="str">
        <f>IF($B26="","",VLOOKUP($B26,スキル!$A:$K,10,0))</f>
        <v>「種別：刀」の[武器攻撃][命中判定]+1D6</v>
      </c>
      <c r="R26" s="390"/>
      <c r="S26" s="390"/>
      <c r="T26" s="390"/>
      <c r="U26" s="390"/>
      <c r="V26" s="390"/>
      <c r="W26" s="396" t="s">
        <v>311</v>
      </c>
      <c r="X26" s="396"/>
      <c r="Y26" s="397">
        <f t="shared" si="18"/>
        <v>0</v>
      </c>
      <c r="Z26" s="398"/>
      <c r="AA26" s="398"/>
      <c r="AB26" s="398"/>
      <c r="AC26" s="401">
        <f t="shared" si="19"/>
      </c>
      <c r="AE26" s="317">
        <f t="shared" si="4"/>
        <v>0</v>
      </c>
      <c r="AF26" s="318">
        <f>IF($W36="","",VLOOKUP($W36,AR_アイテム,14,0))</f>
      </c>
      <c r="AG26" s="223"/>
      <c r="AH26" s="402" t="s">
        <v>312</v>
      </c>
      <c r="AI26" s="82" t="str">
        <f>"+"&amp;0&amp;"(+"&amp;COUNTIF(AR_SHEET_スキル,"キャリバーマスタリー")+COUNTIF(AR_SHEET_スキル,"アームズロジック：魔導銃")&amp;"D)"</f>
        <v>+0(+0D)</v>
      </c>
      <c r="AK26" s="320"/>
      <c r="AL26" s="320"/>
      <c r="AM26" s="320"/>
      <c r="AN26" s="320"/>
      <c r="AO26" s="320"/>
      <c r="AP26" s="320"/>
      <c r="AQ26" s="320"/>
      <c r="AR26" s="223"/>
      <c r="AS26" s="223"/>
      <c r="AT26" s="223"/>
      <c r="AU26" s="223"/>
      <c r="AV26" s="63"/>
      <c r="AW26" s="63"/>
      <c r="AX26" s="63"/>
      <c r="AY26" s="63"/>
      <c r="AZ26" s="400"/>
      <c r="BA26" s="63"/>
      <c r="BB26" s="63"/>
      <c r="BC26" s="79" t="s">
        <v>313</v>
      </c>
      <c r="BD26" s="340" t="str">
        <f>"+"&amp;0&amp;"(+"&amp;IF(ISERROR(VLOOKUP("ジュエルスキン：水",AR_スキルSL,7,0))=TRUE,"0",VLOOKUP("ジュエルスキン：水",AR_スキルSL,7,0))&amp;"D)"</f>
        <v>+0(+0D)</v>
      </c>
    </row>
    <row r="27" spans="1:57" ht="11.25">
      <c r="A27" s="381"/>
      <c r="B27" s="389" t="s">
        <v>314</v>
      </c>
      <c r="C27" s="389"/>
      <c r="D27" s="389"/>
      <c r="E27" s="389"/>
      <c r="F27" s="131" t="str">
        <f>IF($B27="","",VLOOKUP($B27,スキル!$A:$K,2,0))</f>
        <v>■ウォーリア</v>
      </c>
      <c r="G27" s="131"/>
      <c r="H27" s="131">
        <v>3</v>
      </c>
      <c r="I27" s="55" t="str">
        <f>IF($B27="","",VLOOKUP($B27,スキル!$A:$K,4,0))</f>
        <v>メジャー</v>
      </c>
      <c r="J27" s="55"/>
      <c r="K27" s="55" t="str">
        <f>IF($B27="","",VLOOKUP($B27,スキル!$A:$K,5,0))</f>
        <v>命中</v>
      </c>
      <c r="L27" s="55" t="str">
        <f>IF($B27="","",VLOOKUP($B27,スキル!$A:$K,6,0))</f>
        <v>単体</v>
      </c>
      <c r="M27" s="55" t="str">
        <f>IF($B27="","",VLOOKUP($B27,スキル!$A:$K,7,0))</f>
        <v>武器</v>
      </c>
      <c r="N27" s="55">
        <f>IF($B27="","",VLOOKUP($B27,スキル!$A:$K,8,0))</f>
        <v>4</v>
      </c>
      <c r="O27" s="55"/>
      <c r="P27" s="55" t="str">
        <f>IF($B27="","",VLOOKUP($B27,スキル!$A:$K,9,0))</f>
        <v>-</v>
      </c>
      <c r="Q27" s="390">
        <f>IF($B27="","",VLOOKUP($B27,スキル!$A:$K,10,0))</f>
        <v>0</v>
      </c>
      <c r="R27" s="390"/>
      <c r="S27" s="390"/>
      <c r="T27" s="390"/>
      <c r="U27" s="390"/>
      <c r="V27" s="390"/>
      <c r="W27" s="396" t="s">
        <v>315</v>
      </c>
      <c r="X27" s="396"/>
      <c r="Y27" s="397">
        <v>4</v>
      </c>
      <c r="Z27" s="398"/>
      <c r="AA27" s="398"/>
      <c r="AB27" s="398"/>
      <c r="AC27" s="401">
        <f t="shared" si="19"/>
      </c>
      <c r="AE27" s="317">
        <f aca="true" t="shared" si="20" ref="AE27:AE33">Z25</f>
        <v>0</v>
      </c>
      <c r="AF27" s="318">
        <f aca="true" t="shared" si="21" ref="AF27:AF33">IF($Z25="","",VLOOKUP($Z25,AR_アイテム,14,0))</f>
      </c>
      <c r="AG27" s="223"/>
      <c r="AH27" s="63"/>
      <c r="AI27" s="11"/>
      <c r="AK27" s="320"/>
      <c r="AL27" s="320"/>
      <c r="AM27" s="320"/>
      <c r="AN27" s="320"/>
      <c r="AO27" s="320"/>
      <c r="AP27" s="320"/>
      <c r="AQ27" s="320"/>
      <c r="AR27" s="223"/>
      <c r="AS27" s="223"/>
      <c r="AT27" s="223"/>
      <c r="AU27" s="223"/>
      <c r="AV27" s="63"/>
      <c r="AW27" s="63"/>
      <c r="AX27" s="63"/>
      <c r="AY27" s="63"/>
      <c r="AZ27" s="400"/>
      <c r="BA27" s="63"/>
      <c r="BB27" s="63"/>
      <c r="BC27" s="79" t="s">
        <v>316</v>
      </c>
      <c r="BD27" s="340" t="str">
        <f>"+"&amp;0&amp;"(+"&amp;IF(ISERROR(VLOOKUP("ジュエルスキン：火",AR_スキルSL,7,0))=TRUE,"0",VLOOKUP("ジュエルスキン：火",AR_スキルSL,7,0))&amp;"D)"</f>
        <v>+0(+0D)</v>
      </c>
      <c r="BE27" s="307"/>
    </row>
    <row r="28" spans="1:57" ht="11.25">
      <c r="A28" s="381"/>
      <c r="B28" s="389" t="s">
        <v>317</v>
      </c>
      <c r="C28" s="389"/>
      <c r="D28" s="389"/>
      <c r="E28" s="389"/>
      <c r="F28" s="131" t="str">
        <f>IF($B28="","",VLOOKUP($B28,スキル!$A:$K,2,0))</f>
        <v>□サムライ</v>
      </c>
      <c r="G28" s="131"/>
      <c r="H28" s="131" t="str">
        <f>IF($B28="","",VLOOKUP($B28,スキル!$A:$K,3,0))</f>
        <v>★</v>
      </c>
      <c r="I28" s="55" t="str">
        <f>IF($B28="","",VLOOKUP($B28,スキル!$A:$K,4,0))</f>
        <v>メジャー</v>
      </c>
      <c r="J28" s="55"/>
      <c r="K28" s="55" t="str">
        <f>IF($B28="","",VLOOKUP($B28,スキル!$A:$K,5,0))</f>
        <v>自動</v>
      </c>
      <c r="L28" s="55" t="str">
        <f>IF($B28="","",VLOOKUP($B28,スキル!$A:$K,6,0))</f>
        <v>範選</v>
      </c>
      <c r="M28" s="55" t="str">
        <f>IF($B28="","",VLOOKUP($B28,スキル!$A:$K,7,0))</f>
        <v>武器</v>
      </c>
      <c r="N28" s="55" t="str">
        <f>IF($B28="","",VLOOKUP($B28,スキル!$A:$K,8,0))</f>
        <v>-</v>
      </c>
      <c r="O28" s="55"/>
      <c r="P28" s="55" t="str">
        <f>IF($B28="","",VLOOKUP($B28,スキル!$A:$K,9,0))</f>
        <v>CL</v>
      </c>
      <c r="Q28" s="390" t="str">
        <f>IF($B28="","",VLOOKUP($B28,スキル!$A:$K,10,0))</f>
        <v>自動取得/[CL+1]以下のモブ殲滅</v>
      </c>
      <c r="R28" s="390"/>
      <c r="S28" s="390"/>
      <c r="T28" s="390"/>
      <c r="U28" s="390"/>
      <c r="V28" s="390"/>
      <c r="W28" s="396" t="s">
        <v>318</v>
      </c>
      <c r="X28" s="396"/>
      <c r="Y28" s="397">
        <v>2</v>
      </c>
      <c r="Z28" s="398"/>
      <c r="AA28" s="398"/>
      <c r="AB28" s="398"/>
      <c r="AC28" s="401">
        <f t="shared" si="19"/>
      </c>
      <c r="AE28" s="317">
        <f t="shared" si="20"/>
        <v>0</v>
      </c>
      <c r="AF28" s="318">
        <f t="shared" si="21"/>
      </c>
      <c r="AG28" s="223"/>
      <c r="AH28" s="403" t="s">
        <v>319</v>
      </c>
      <c r="AI28" s="403"/>
      <c r="AK28" s="320"/>
      <c r="AL28" s="320"/>
      <c r="AM28" s="320"/>
      <c r="AN28" s="320"/>
      <c r="AO28" s="320"/>
      <c r="AP28" s="320"/>
      <c r="AQ28" s="320"/>
      <c r="AR28" s="223"/>
      <c r="AS28" s="223"/>
      <c r="AT28" s="223"/>
      <c r="AU28" s="223"/>
      <c r="AV28" s="63"/>
      <c r="AW28" s="63"/>
      <c r="AX28" s="63"/>
      <c r="AY28" s="63"/>
      <c r="AZ28" s="400"/>
      <c r="BA28" s="63"/>
      <c r="BB28" s="63"/>
      <c r="BC28" s="79" t="s">
        <v>320</v>
      </c>
      <c r="BD28" s="340" t="str">
        <f>"+"&amp;0&amp;"(+"&amp;IF(ISERROR(VLOOKUP("ジュエルスキン：風",AR_スキルSL,7,0))=TRUE,"0",VLOOKUP("ジュエルスキン：風",AR_スキルSL,7,0))&amp;"D)"</f>
        <v>+0(+0D)</v>
      </c>
      <c r="BE28" s="307"/>
    </row>
    <row r="29" spans="1:57" ht="11.25">
      <c r="A29" s="381"/>
      <c r="B29" s="404" t="s">
        <v>321</v>
      </c>
      <c r="C29" s="404"/>
      <c r="D29" s="404"/>
      <c r="E29" s="404"/>
      <c r="F29" s="131" t="str">
        <f>IF($B29="","",VLOOKUP($B29,スキル!$A:$K,2,0))</f>
        <v>□サムライ</v>
      </c>
      <c r="G29" s="131"/>
      <c r="H29" s="131" t="str">
        <f>IF($B29="","",VLOOKUP($B29,スキル!$A:$K,3,0))</f>
        <v>★</v>
      </c>
      <c r="I29" s="55" t="str">
        <f>IF($B29="","",VLOOKUP($B29,スキル!$A:$K,4,0))</f>
        <v>マイナー</v>
      </c>
      <c r="J29" s="55"/>
      <c r="K29" s="55" t="str">
        <f>IF($B29="","",VLOOKUP($B29,スキル!$A:$K,5,0))</f>
        <v>自動</v>
      </c>
      <c r="L29" s="55" t="str">
        <f>IF($B29="","",VLOOKUP($B29,スキル!$A:$K,6,0))</f>
        <v>自身</v>
      </c>
      <c r="M29" s="55" t="str">
        <f>IF($B29="","",VLOOKUP($B29,スキル!$A:$K,7,0))</f>
        <v>-</v>
      </c>
      <c r="N29" s="55">
        <f>IF($B29="","",VLOOKUP($B29,スキル!$A:$K,8,0))</f>
        <v>3</v>
      </c>
      <c r="O29" s="55"/>
      <c r="P29" s="55" t="str">
        <f>IF($B29="","",VLOOKUP($B29,スキル!$A:$K,9,0))</f>
        <v>-</v>
      </c>
      <c r="Q29" s="390" t="str">
        <f>IF($B29="","",VLOOKUP($B29,スキル!$A:$K,10,0))</f>
        <v>[武器攻撃]で[HPﾀﾞﾒｰｼﾞ]を与えると[放心]させる</v>
      </c>
      <c r="R29" s="390"/>
      <c r="S29" s="390"/>
      <c r="T29" s="390"/>
      <c r="U29" s="390"/>
      <c r="V29" s="390"/>
      <c r="W29" s="396"/>
      <c r="X29" s="396"/>
      <c r="Y29" s="397">
        <v>0</v>
      </c>
      <c r="Z29" s="398"/>
      <c r="AA29" s="398"/>
      <c r="AB29" s="398"/>
      <c r="AC29" s="401">
        <f t="shared" si="19"/>
      </c>
      <c r="AE29" s="317">
        <f t="shared" si="20"/>
        <v>0</v>
      </c>
      <c r="AF29" s="318">
        <f t="shared" si="21"/>
      </c>
      <c r="AG29" s="223"/>
      <c r="AH29" s="79" t="s">
        <v>238</v>
      </c>
      <c r="AI29" s="80" t="str">
        <f>"+"&amp;0&amp;"(+"&amp;0&amp;"D)"</f>
        <v>+0(+0D)</v>
      </c>
      <c r="AK29" s="320"/>
      <c r="AL29" s="320"/>
      <c r="AM29" s="320"/>
      <c r="AN29" s="320"/>
      <c r="AO29" s="320"/>
      <c r="AP29" s="320"/>
      <c r="AQ29" s="320"/>
      <c r="AR29" s="223"/>
      <c r="AS29" s="223"/>
      <c r="AT29" s="223"/>
      <c r="AU29" s="223"/>
      <c r="AV29" s="63"/>
      <c r="AW29" s="63"/>
      <c r="AX29" s="63"/>
      <c r="AY29" s="63"/>
      <c r="AZ29" s="400"/>
      <c r="BA29" s="63"/>
      <c r="BB29" s="63"/>
      <c r="BC29" s="79" t="s">
        <v>322</v>
      </c>
      <c r="BD29" s="340" t="str">
        <f>"+"&amp;0&amp;"(+"&amp;IF(ISERROR(VLOOKUP("ジュエルスキン：光",AR_スキルSL,7,0))=TRUE,"0",VLOOKUP("ジュエルスキン：光",AR_スキルSL,7,0))&amp;"D)"</f>
        <v>+0(+0D)</v>
      </c>
      <c r="BE29" s="307"/>
    </row>
    <row r="30" spans="1:57" ht="11.25">
      <c r="A30" s="381"/>
      <c r="B30" s="405" t="s">
        <v>323</v>
      </c>
      <c r="C30" s="405"/>
      <c r="D30" s="405"/>
      <c r="E30" s="405"/>
      <c r="F30" s="131" t="str">
        <f>IF($B30="","",VLOOKUP($B30,スキル!$A:$K,2,0))</f>
        <v>□サムライ</v>
      </c>
      <c r="G30" s="131"/>
      <c r="H30" s="131">
        <v>2</v>
      </c>
      <c r="I30" s="55" t="str">
        <f>IF($B30="","",VLOOKUP($B30,スキル!$A:$K,4,0))</f>
        <v>パッシヴ</v>
      </c>
      <c r="J30" s="55"/>
      <c r="K30" s="55" t="str">
        <f>IF($B30="","",VLOOKUP($B30,スキル!$A:$K,5,0))</f>
        <v>-</v>
      </c>
      <c r="L30" s="55" t="str">
        <f>IF($B30="","",VLOOKUP($B30,スキル!$A:$K,6,0))</f>
        <v>自身</v>
      </c>
      <c r="M30" s="55" t="str">
        <f>IF($B30="","",VLOOKUP($B30,スキル!$A:$K,7,0))</f>
        <v>-</v>
      </c>
      <c r="N30" s="55" t="str">
        <f>IF($B30="","",VLOOKUP($B30,スキル!$A:$K,8,0))</f>
        <v>-</v>
      </c>
      <c r="O30" s="55"/>
      <c r="P30" s="55" t="str">
        <f>IF($B30="","",VLOOKUP($B30,スキル!$A:$K,9,0))</f>
        <v>-</v>
      </c>
      <c r="Q30" s="390" t="str">
        <f>IF($B30="","",VLOOKUP($B30,スキル!$A:$K,10,0))</f>
        <v>「種別：刀」の武器入手</v>
      </c>
      <c r="R30" s="390"/>
      <c r="S30" s="390"/>
      <c r="T30" s="390"/>
      <c r="U30" s="390"/>
      <c r="V30" s="390"/>
      <c r="W30" s="396"/>
      <c r="X30" s="396"/>
      <c r="Y30" s="397">
        <f t="shared" si="18"/>
      </c>
      <c r="Z30" s="398"/>
      <c r="AA30" s="398"/>
      <c r="AB30" s="398"/>
      <c r="AC30" s="401">
        <f t="shared" si="19"/>
      </c>
      <c r="AE30" s="317">
        <f t="shared" si="20"/>
        <v>0</v>
      </c>
      <c r="AF30" s="318">
        <f t="shared" si="21"/>
      </c>
      <c r="AG30" s="223"/>
      <c r="AH30" s="357" t="s">
        <v>251</v>
      </c>
      <c r="AI30" s="80" t="str">
        <f>"+"&amp;COUNTIF(AR_SHEET_スキル,"アイアンフィスト")*$H$13+COUNTIF(AR_SHEET_装備,"秘伝書")*2+COUNTIF(AR_SHEET_装備,"パワーリスト")*3+COUNTIF(AR_SHEET_装備,"キックブーツ")*3&amp;"(+"&amp;COUNTIF(AR_SHEET_スキル,"ウェポンエキスパート：格闘")*2&amp;"D)"</f>
        <v>+0(+0D)</v>
      </c>
      <c r="AK30" s="320"/>
      <c r="AL30" s="320"/>
      <c r="AM30" s="320"/>
      <c r="AN30" s="320"/>
      <c r="AO30" s="320"/>
      <c r="AP30" s="320"/>
      <c r="AQ30" s="320"/>
      <c r="AR30" s="223"/>
      <c r="AS30" s="223"/>
      <c r="AT30" s="223"/>
      <c r="AU30" s="223"/>
      <c r="AV30" s="63"/>
      <c r="AW30" s="63"/>
      <c r="AX30" s="63"/>
      <c r="AY30" s="63"/>
      <c r="AZ30" s="400"/>
      <c r="BA30" s="63"/>
      <c r="BB30" s="63"/>
      <c r="BC30" s="366" t="s">
        <v>324</v>
      </c>
      <c r="BD30" s="306" t="str">
        <f>"+"&amp;0&amp;"(+"&amp;IF(ISERROR(VLOOKUP("ジュエルスキン：闇",AR_スキルSL,7,0))=TRUE,"0",VLOOKUP("ジュエルスキン：闇",AR_スキルSL,7,0))&amp;"D)"</f>
        <v>+0(+0D)</v>
      </c>
      <c r="BE30" s="307"/>
    </row>
    <row r="31" spans="1:57" ht="11.25">
      <c r="A31" s="381"/>
      <c r="B31" s="389" t="s">
        <v>325</v>
      </c>
      <c r="C31" s="389"/>
      <c r="D31" s="389"/>
      <c r="E31" s="389"/>
      <c r="F31" s="131" t="str">
        <f>IF($B31="","",VLOOKUP($B31,スキル!$A:$K,2,0))</f>
        <v>□サムライ</v>
      </c>
      <c r="G31" s="131"/>
      <c r="H31" s="131">
        <f>IF($B31="","",VLOOKUP($B31,スキル!$A:$K,3,0))</f>
        <v>1</v>
      </c>
      <c r="I31" s="55" t="str">
        <f>IF($B31="","",VLOOKUP($B31,スキル!$A:$K,4,0))</f>
        <v>マイナー</v>
      </c>
      <c r="J31" s="55"/>
      <c r="K31" s="55" t="str">
        <f>IF($B31="","",VLOOKUP($B31,スキル!$A:$K,5,0))</f>
        <v>自動</v>
      </c>
      <c r="L31" s="55" t="str">
        <f>IF($B31="","",VLOOKUP($B31,スキル!$A:$K,6,0))</f>
        <v>自身</v>
      </c>
      <c r="M31" s="55" t="str">
        <f>IF($B31="","",VLOOKUP($B31,スキル!$A:$K,7,0))</f>
        <v>-</v>
      </c>
      <c r="N31" s="55">
        <f>IF($B31="","",VLOOKUP($B31,スキル!$A:$K,8,0))</f>
        <v>6</v>
      </c>
      <c r="O31" s="55"/>
      <c r="P31" s="55" t="str">
        <f>IF($B31="","",VLOOKUP($B31,スキル!$A:$K,9,0))</f>
        <v>SL</v>
      </c>
      <c r="Q31" s="390"/>
      <c r="R31" s="390"/>
      <c r="S31" s="390"/>
      <c r="T31" s="390"/>
      <c r="U31" s="390"/>
      <c r="V31" s="390"/>
      <c r="W31" s="396"/>
      <c r="X31" s="396"/>
      <c r="Y31" s="397">
        <f t="shared" si="18"/>
      </c>
      <c r="Z31" s="398"/>
      <c r="AA31" s="398"/>
      <c r="AB31" s="398"/>
      <c r="AC31" s="401">
        <f t="shared" si="19"/>
      </c>
      <c r="AE31" s="317">
        <f t="shared" si="20"/>
        <v>0</v>
      </c>
      <c r="AF31" s="318">
        <f t="shared" si="21"/>
      </c>
      <c r="AG31" s="223"/>
      <c r="AH31" s="357" t="s">
        <v>256</v>
      </c>
      <c r="AI31" s="80" t="str">
        <f>"+"&amp;IF(ISERROR(VLOOKUP("ヴォーパルアーツ",AR_スキルSL,7,0))=TRUE,"0",VLOOKUP("ヴォーパルアーツ",AR_スキルSL,7,0))*3&amp;"(+"&amp;COUNTIF(AR_SHEET_スキル,"ウェポンエキスパート：短剣")*2&amp;"D)"</f>
        <v>+0(+0D)</v>
      </c>
      <c r="AK31" s="320"/>
      <c r="AL31" s="320"/>
      <c r="AM31" s="320"/>
      <c r="AN31" s="320"/>
      <c r="AO31" s="320"/>
      <c r="AP31" s="320"/>
      <c r="AQ31" s="320"/>
      <c r="AR31" s="223"/>
      <c r="AS31" s="223"/>
      <c r="AT31" s="223"/>
      <c r="AU31" s="223"/>
      <c r="AV31" s="63"/>
      <c r="AW31" s="63"/>
      <c r="AX31" s="63"/>
      <c r="AY31" s="63"/>
      <c r="AZ31" s="400"/>
      <c r="BA31" s="63"/>
      <c r="BB31" s="63"/>
      <c r="BC31" s="406" t="s">
        <v>326</v>
      </c>
      <c r="BD31" s="407" t="str">
        <f>"+"&amp;0&amp;"(+"&amp;COUNTIF(AR_SHEET_ギルドスキル,"宿敵：植物")&amp;"D)"</f>
        <v>+0(+0D)</v>
      </c>
      <c r="BE31" s="307"/>
    </row>
    <row r="32" spans="1:57" ht="13.5">
      <c r="A32" s="381"/>
      <c r="B32" s="389" t="s">
        <v>327</v>
      </c>
      <c r="C32" s="389"/>
      <c r="D32" s="389"/>
      <c r="E32" s="389"/>
      <c r="F32" s="131" t="str">
        <f>IF($B32="","",VLOOKUP($B32,スキル!$A:$K,2,0))</f>
        <v>□サムライ</v>
      </c>
      <c r="G32" s="131"/>
      <c r="H32" s="131">
        <f>IF($B32="","",VLOOKUP($B32,スキル!$A:$K,3,0))</f>
        <v>1</v>
      </c>
      <c r="I32" s="55" t="str">
        <f>IF($B32="","",VLOOKUP($B32,スキル!$A:$K,4,0))</f>
        <v>パッシヴ</v>
      </c>
      <c r="J32" s="55"/>
      <c r="K32" s="55" t="str">
        <f>IF($B32="","",VLOOKUP($B32,スキル!$A:$K,5,0))</f>
        <v>-</v>
      </c>
      <c r="L32" s="55" t="str">
        <f>IF($B32="","",VLOOKUP($B32,スキル!$A:$K,6,0))</f>
        <v>自身</v>
      </c>
      <c r="M32" s="55" t="str">
        <f>IF($B32="","",VLOOKUP($B32,スキル!$A:$K,7,0))</f>
        <v>-</v>
      </c>
      <c r="N32" s="55" t="str">
        <f>IF($B32="","",VLOOKUP($B32,スキル!$A:$K,8,0))</f>
        <v>-</v>
      </c>
      <c r="O32" s="55"/>
      <c r="P32" s="55" t="str">
        <f>IF($B32="","",VLOOKUP($B32,スキル!$A:$K,9,0))</f>
        <v>-</v>
      </c>
      <c r="Q32" s="390" t="str">
        <f>IF($B32="","",VLOOKUP($B32,スキル!$A:$K,10,0))</f>
        <v>「刀」のみ装備時/ﾀﾞﾒｰｼﾞ+[(SL)D6]</v>
      </c>
      <c r="R32" s="390"/>
      <c r="S32" s="390"/>
      <c r="T32" s="390"/>
      <c r="U32" s="390"/>
      <c r="V32" s="390"/>
      <c r="W32" s="396"/>
      <c r="X32" s="396"/>
      <c r="Y32" s="397">
        <f t="shared" si="18"/>
      </c>
      <c r="Z32" s="398"/>
      <c r="AA32" s="398"/>
      <c r="AB32" s="398"/>
      <c r="AC32" s="401">
        <f t="shared" si="19"/>
      </c>
      <c r="AE32" s="317">
        <f t="shared" si="20"/>
        <v>0</v>
      </c>
      <c r="AF32" s="318">
        <f t="shared" si="21"/>
      </c>
      <c r="AG32" s="223"/>
      <c r="AH32" s="357" t="s">
        <v>261</v>
      </c>
      <c r="AI32" s="80" t="str">
        <f>"+"&amp;0&amp;"(+"&amp;COUNTIF(AR_SHEET_スキル,"ウェポンエキスパート：長剣")*2+IF(ISERROR(VLOOKUP("ジャグリングアタック",AR_スキルSL,7,0))=TRUE,"0",VLOOKUP("ジャグリングアタック",AR_スキルSL,7,0))&amp;"D)"</f>
        <v>+0(+0D)</v>
      </c>
      <c r="AK32" s="320"/>
      <c r="AL32" s="320"/>
      <c r="AM32" s="320"/>
      <c r="AN32" s="320"/>
      <c r="AO32" s="320"/>
      <c r="AP32" s="320"/>
      <c r="AQ32" s="320"/>
      <c r="AR32" s="223"/>
      <c r="AS32" s="223"/>
      <c r="AT32" s="223"/>
      <c r="AU32" s="223"/>
      <c r="AV32" s="63"/>
      <c r="AW32" s="63"/>
      <c r="AX32" s="63"/>
      <c r="AY32" s="63"/>
      <c r="AZ32" s="400"/>
      <c r="BA32" s="63"/>
      <c r="BB32" s="63"/>
      <c r="BC32" s="408" t="s">
        <v>328</v>
      </c>
      <c r="BD32" s="340" t="str">
        <f>"+"&amp;0&amp;"(+"&amp;COUNTIF(AR_SHEET_スキル,"ビーストキラー")+COUNTIF(AR_SHEET_ギルドスキル,"宿敵：動物")&amp;"D)"</f>
        <v>+0(+0D)</v>
      </c>
      <c r="BE32" s="307"/>
    </row>
    <row r="33" spans="1:57" ht="13.5">
      <c r="A33" s="381"/>
      <c r="B33" s="389" t="s">
        <v>329</v>
      </c>
      <c r="C33" s="389"/>
      <c r="D33" s="389"/>
      <c r="E33" s="389"/>
      <c r="F33" s="131" t="str">
        <f>IF($B33="","",VLOOKUP($B33,スキル!$A:$K,2,0))</f>
        <v>■ウォーリア</v>
      </c>
      <c r="G33" s="131"/>
      <c r="H33" s="131" t="str">
        <f>IF($B33="","",VLOOKUP($B33,スキル!$A:$K,3,0))</f>
        <v>★</v>
      </c>
      <c r="I33" s="55" t="str">
        <f>IF($B33="","",VLOOKUP($B33,スキル!$A:$K,4,0))</f>
        <v>マイナー</v>
      </c>
      <c r="J33" s="55"/>
      <c r="K33" s="55" t="str">
        <f>IF($B33="","",VLOOKUP($B33,スキル!$A:$K,5,0))</f>
        <v>自動</v>
      </c>
      <c r="L33" s="55" t="str">
        <f>IF($B33="","",VLOOKUP($B33,スキル!$A:$K,6,0))</f>
        <v>自身</v>
      </c>
      <c r="M33" s="55" t="str">
        <f>IF($B33="","",VLOOKUP($B33,スキル!$A:$K,7,0))</f>
        <v>-</v>
      </c>
      <c r="N33" s="55">
        <f>IF($B33="","",VLOOKUP($B33,スキル!$A:$K,8,0))</f>
        <v>3</v>
      </c>
      <c r="O33" s="55"/>
      <c r="P33" s="55" t="str">
        <f>IF($B33="","",VLOOKUP($B33,スキル!$A:$K,9,0))</f>
        <v>-</v>
      </c>
      <c r="Q33" s="390">
        <f>IF($B33="","",VLOOKUP($B33,スキル!$A:$K,10,0))</f>
        <v>0</v>
      </c>
      <c r="R33" s="390"/>
      <c r="S33" s="390"/>
      <c r="T33" s="390"/>
      <c r="U33" s="390"/>
      <c r="V33" s="390"/>
      <c r="W33" s="396"/>
      <c r="X33" s="396"/>
      <c r="Y33" s="397">
        <f t="shared" si="18"/>
      </c>
      <c r="Z33" s="398"/>
      <c r="AA33" s="398"/>
      <c r="AB33" s="398"/>
      <c r="AC33" s="401">
        <f t="shared" si="19"/>
      </c>
      <c r="AE33" s="317">
        <f t="shared" si="20"/>
        <v>0</v>
      </c>
      <c r="AF33" s="318">
        <f t="shared" si="21"/>
      </c>
      <c r="AG33" s="223"/>
      <c r="AH33" s="357" t="s">
        <v>265</v>
      </c>
      <c r="AI33" s="80" t="str">
        <f>"+"&amp;0&amp;"(+"&amp;COUNTIF(AR_SHEET_スキル,"ウェポンエキスパート：両手剣")*2+IF(ISERROR(VLOOKUP("ジャグリングアタック",AR_スキルSL,7,0))=TRUE,"0",VLOOKUP("ジャグリングアタック",AR_スキルSL,7,0))&amp;"D)"</f>
        <v>+0(+0D)</v>
      </c>
      <c r="AK33" s="320"/>
      <c r="AL33" s="320"/>
      <c r="AM33" s="320"/>
      <c r="AN33" s="320"/>
      <c r="AO33" s="320"/>
      <c r="AP33" s="320"/>
      <c r="AQ33" s="320"/>
      <c r="AR33" s="223"/>
      <c r="AS33" s="223"/>
      <c r="AT33" s="223"/>
      <c r="AU33" s="223"/>
      <c r="AV33" s="63"/>
      <c r="AW33" s="63"/>
      <c r="AX33" s="63"/>
      <c r="AY33" s="63"/>
      <c r="AZ33" s="400"/>
      <c r="BA33" s="63"/>
      <c r="BB33" s="63"/>
      <c r="BC33" s="408" t="s">
        <v>330</v>
      </c>
      <c r="BD33" s="80" t="str">
        <f>"+"&amp;0&amp;"(+"&amp;COUNTIF(AR_SHEET_ギルドスキル,"宿敵：人間")&amp;"D)"</f>
        <v>+0(+0D)</v>
      </c>
      <c r="BE33" s="252"/>
    </row>
    <row r="34" spans="1:57" ht="13.5">
      <c r="A34" s="381"/>
      <c r="B34" s="389" t="s">
        <v>331</v>
      </c>
      <c r="C34" s="389"/>
      <c r="D34" s="389"/>
      <c r="E34" s="389"/>
      <c r="F34" s="131" t="str">
        <f>IF($B34="","",VLOOKUP($B34,スキル!$A:$K,2,0))</f>
        <v>■シーフ</v>
      </c>
      <c r="G34" s="131"/>
      <c r="H34" s="131" t="str">
        <f>IF($B34="","",VLOOKUP($B34,スキル!$A:$K,3,0))</f>
        <v>★</v>
      </c>
      <c r="I34" s="55" t="str">
        <f>IF($B34="","",VLOOKUP($B34,スキル!$A:$K,4,0))</f>
        <v>パッシヴ</v>
      </c>
      <c r="J34" s="55"/>
      <c r="K34" s="55" t="str">
        <f>IF($B34="","",VLOOKUP($B34,スキル!$A:$K,5,0))</f>
        <v>-</v>
      </c>
      <c r="L34" s="55" t="str">
        <f>IF($B34="","",VLOOKUP($B34,スキル!$A:$K,6,0))</f>
        <v>自身</v>
      </c>
      <c r="M34" s="55" t="str">
        <f>IF($B34="","",VLOOKUP($B34,スキル!$A:$K,7,0))</f>
        <v>-</v>
      </c>
      <c r="N34" s="55" t="str">
        <f>IF($B34="","",VLOOKUP($B34,スキル!$A:$K,8,0))</f>
        <v>-</v>
      </c>
      <c r="O34" s="55"/>
      <c r="P34" s="55" t="str">
        <f>IF($B34="","",VLOOKUP($B34,スキル!$A:$K,9,0))</f>
        <v>-</v>
      </c>
      <c r="Q34" s="390">
        <f>IF($B34="","",VLOOKUP($B34,スキル!$A:$K,10,0))</f>
        <v>0</v>
      </c>
      <c r="R34" s="390"/>
      <c r="S34" s="390"/>
      <c r="T34" s="390"/>
      <c r="U34" s="390"/>
      <c r="V34" s="390"/>
      <c r="W34" s="396"/>
      <c r="X34" s="396"/>
      <c r="Y34" s="397">
        <f t="shared" si="18"/>
      </c>
      <c r="Z34" s="398"/>
      <c r="AA34" s="398"/>
      <c r="AB34" s="398"/>
      <c r="AC34" s="399">
        <f t="shared" si="19"/>
      </c>
      <c r="AE34" s="317">
        <f>Z32</f>
        <v>0</v>
      </c>
      <c r="AF34" s="318">
        <f>IF($Z32="","",VLOOKUP($Z32,AR_アイテム,14,0))</f>
      </c>
      <c r="AG34" s="223"/>
      <c r="AH34" s="357" t="s">
        <v>150</v>
      </c>
      <c r="AI34" s="80" t="str">
        <f>"+"&amp;0&amp;"(+"&amp;IF(ISERROR(VLOOKUP("トゥーハンドアタック",AR_スキルSL,7,0))=TRUE,"0",VLOOKUP("トゥーハンドアタック",AR_スキルSL,7,0))+COUNTIF(AR_SHEET_スキル,"ウェポンエキスパート：刀")*2+IF(ISERROR(VLOOKUP("ジャグリングアタック",AR_スキルSL,7,0))=TRUE,"0",VLOOKUP("ジャグリングアタック",AR_スキルSL,7,0))&amp;"D)"</f>
        <v>+0(+1D)</v>
      </c>
      <c r="AK34" s="320"/>
      <c r="AL34" s="320"/>
      <c r="AM34" s="320"/>
      <c r="AN34" s="320"/>
      <c r="AO34" s="320"/>
      <c r="AP34" s="320"/>
      <c r="AQ34" s="320"/>
      <c r="AR34" s="223"/>
      <c r="AS34" s="223"/>
      <c r="AT34" s="223"/>
      <c r="AU34" s="223"/>
      <c r="AV34" s="63"/>
      <c r="AW34" s="63"/>
      <c r="AX34" s="63"/>
      <c r="AY34" s="63"/>
      <c r="AZ34" s="400"/>
      <c r="BA34" s="63"/>
      <c r="BB34" s="63"/>
      <c r="BC34" s="408" t="s">
        <v>332</v>
      </c>
      <c r="BD34" s="80" t="str">
        <f>"+"&amp;0&amp;"(+"&amp;COUNTIF(AR_SHEET_ギルドスキル,"宿敵：妖精")&amp;"D)"</f>
        <v>+0(+0D)</v>
      </c>
      <c r="BE34" s="252"/>
    </row>
    <row r="35" spans="1:57" ht="13.5">
      <c r="A35" s="381"/>
      <c r="B35" s="389"/>
      <c r="C35" s="389"/>
      <c r="D35" s="389"/>
      <c r="E35" s="389"/>
      <c r="F35" s="131">
        <f>IF($B35="","",VLOOKUP($B35,スキル!$A:$K,2,0))</f>
      </c>
      <c r="G35" s="131"/>
      <c r="H35" s="131">
        <f>IF($B35="","",VLOOKUP($B35,スキル!$A:$K,3,0))</f>
      </c>
      <c r="I35" s="55">
        <f>IF($B35="","",VLOOKUP($B35,スキル!$A:$K,4,0))</f>
      </c>
      <c r="J35" s="55"/>
      <c r="K35" s="55">
        <f>IF($B35="","",VLOOKUP($B35,スキル!$A:$K,5,0))</f>
      </c>
      <c r="L35" s="55">
        <f>IF($B35="","",VLOOKUP($B35,スキル!$A:$K,6,0))</f>
      </c>
      <c r="M35" s="55">
        <f>IF($B35="","",VLOOKUP($B35,スキル!$A:$K,7,0))</f>
      </c>
      <c r="N35" s="55">
        <f>IF($B35="","",VLOOKUP($B35,スキル!$A:$K,8,0))</f>
      </c>
      <c r="O35" s="55"/>
      <c r="P35" s="55">
        <f>IF($B35="","",VLOOKUP($B35,スキル!$A:$K,9,0))</f>
      </c>
      <c r="Q35" s="390">
        <f>IF($B35="","",VLOOKUP($B35,スキル!$A:$K,10,0))</f>
      </c>
      <c r="R35" s="390"/>
      <c r="S35" s="390"/>
      <c r="T35" s="390"/>
      <c r="U35" s="390"/>
      <c r="V35" s="390"/>
      <c r="W35" s="396"/>
      <c r="X35" s="396"/>
      <c r="Y35" s="397">
        <f t="shared" si="18"/>
      </c>
      <c r="Z35" s="409" t="s">
        <v>67</v>
      </c>
      <c r="AA35" s="409"/>
      <c r="AB35" s="409"/>
      <c r="AC35" s="409"/>
      <c r="AE35" s="317">
        <f>Z33</f>
        <v>0</v>
      </c>
      <c r="AF35" s="318">
        <f>IF($Z33="","",VLOOKUP($Z33,AR_アイテム,14,0))</f>
      </c>
      <c r="AG35" s="223"/>
      <c r="AH35" s="357" t="s">
        <v>276</v>
      </c>
      <c r="AI35" s="80" t="str">
        <f>"+"&amp;0&amp;"(+"&amp;COUNTIF(AR_SHEET_スキル,"ウェポンエキスパート：鞭")*2+IF(ISERROR(VLOOKUP("ジャグリングアタック",AR_スキルSL,7,0))=TRUE,"0",VLOOKUP("ジャグリングアタック",AR_スキルSL,7,0))&amp;"D)"</f>
        <v>+0(+0D)</v>
      </c>
      <c r="AK35" s="320"/>
      <c r="AL35" s="320"/>
      <c r="AM35" s="320"/>
      <c r="AN35" s="320"/>
      <c r="AO35" s="320"/>
      <c r="AP35" s="320"/>
      <c r="AQ35" s="320"/>
      <c r="AR35" s="223"/>
      <c r="AS35" s="223"/>
      <c r="AT35" s="223"/>
      <c r="AU35" s="223"/>
      <c r="AV35" s="63"/>
      <c r="AW35" s="63"/>
      <c r="AX35" s="63"/>
      <c r="AY35" s="63"/>
      <c r="AZ35" s="400"/>
      <c r="BA35" s="63"/>
      <c r="BB35" s="63"/>
      <c r="BC35" s="408" t="s">
        <v>333</v>
      </c>
      <c r="BD35" s="340" t="str">
        <f>"+"&amp;0&amp;"(+"&amp;COUNTIF(AR_SHEET_スキル,"ドラゴンバスター")+COUNTIF(AR_SHEET_ギルドスキル,"宿敵：妖魔")+COUNTIF(AR_SHEET_装備,"神罰者の紋章")&amp;"D)"</f>
        <v>+0(+0D)</v>
      </c>
      <c r="BE35" s="252"/>
    </row>
    <row r="36" spans="1:57" ht="13.5">
      <c r="A36" s="381"/>
      <c r="B36" s="389"/>
      <c r="C36" s="389"/>
      <c r="D36" s="389"/>
      <c r="E36" s="389"/>
      <c r="F36" s="131">
        <f>IF($B36="","",VLOOKUP($B36,スキル!$A:$K,2,0))</f>
      </c>
      <c r="G36" s="131"/>
      <c r="H36" s="131">
        <f>IF($B36="","",VLOOKUP($B36,スキル!$A:$K,3,0))</f>
      </c>
      <c r="I36" s="55">
        <f>IF($B36="","",VLOOKUP($B36,スキル!$A:$K,4,0))</f>
      </c>
      <c r="J36" s="55"/>
      <c r="K36" s="55">
        <f>IF($B36="","",VLOOKUP($B36,スキル!$A:$K,5,0))</f>
      </c>
      <c r="L36" s="55">
        <f>IF($B36="","",VLOOKUP($B36,スキル!$A:$K,6,0))</f>
      </c>
      <c r="M36" s="55">
        <f>IF($B36="","",VLOOKUP($B36,スキル!$A:$K,7,0))</f>
      </c>
      <c r="N36" s="55">
        <f>IF($B36="","",VLOOKUP($B36,スキル!$A:$K,8,0))</f>
      </c>
      <c r="O36" s="55"/>
      <c r="P36" s="55">
        <f>IF($B36="","",VLOOKUP($B36,スキル!$A:$K,9,0))</f>
      </c>
      <c r="Q36" s="390">
        <f>IF($B36="","",VLOOKUP($B36,スキル!$A:$K,10,0))</f>
      </c>
      <c r="R36" s="390"/>
      <c r="S36" s="390"/>
      <c r="T36" s="390"/>
      <c r="U36" s="390"/>
      <c r="V36" s="390"/>
      <c r="W36" s="410"/>
      <c r="X36" s="410"/>
      <c r="Y36" s="411">
        <f t="shared" si="18"/>
      </c>
      <c r="Z36" s="412">
        <v>2780</v>
      </c>
      <c r="AA36" s="412"/>
      <c r="AB36" s="412"/>
      <c r="AC36" s="412"/>
      <c r="AE36" s="317">
        <f>Z34</f>
        <v>0</v>
      </c>
      <c r="AF36" s="318">
        <f>IF($Z34="","",VLOOKUP($Z34,AR_アイテム,14,0))</f>
      </c>
      <c r="AG36" s="223"/>
      <c r="AH36" s="357" t="s">
        <v>282</v>
      </c>
      <c r="AI36" s="80" t="str">
        <f>"+"&amp;0&amp;"(+"&amp;COUNTIF(AR_SHEET_スキル,"ウェポンエキスパート：斧")*2+IF(ISERROR(VLOOKUP("ジャグリングアタック",AR_スキルSL,7,0))=TRUE,"0",VLOOKUP("ジャグリングアタック",AR_スキルSL,7,0))&amp;"D)"</f>
        <v>+0(+0D)</v>
      </c>
      <c r="AK36" s="320"/>
      <c r="AL36" s="320"/>
      <c r="AM36" s="320"/>
      <c r="AN36" s="320"/>
      <c r="AO36" s="320"/>
      <c r="AP36" s="320"/>
      <c r="AQ36" s="320"/>
      <c r="AR36" s="223"/>
      <c r="AS36" s="223"/>
      <c r="AT36" s="223"/>
      <c r="AU36" s="223"/>
      <c r="AV36" s="63"/>
      <c r="AW36" s="63"/>
      <c r="AX36" s="63"/>
      <c r="AY36" s="63"/>
      <c r="AZ36" s="400"/>
      <c r="BA36" s="63"/>
      <c r="BB36" s="63"/>
      <c r="BC36" s="408" t="s">
        <v>334</v>
      </c>
      <c r="BD36" s="80" t="str">
        <f>"+"&amp;0&amp;"(+"&amp;COUNTIF(AR_SHEET_ギルドスキル,"宿敵：ｱﾝﾃﾞｯﾄﾞ")&amp;"D)"</f>
        <v>+0(+0D)</v>
      </c>
      <c r="BE36" s="252"/>
    </row>
    <row r="37" spans="1:57" ht="13.5">
      <c r="A37" s="381"/>
      <c r="B37" s="389"/>
      <c r="C37" s="389"/>
      <c r="D37" s="389"/>
      <c r="E37" s="389"/>
      <c r="F37" s="131">
        <f>IF($B37="","",VLOOKUP($B37,スキル!$A:$K,2,0))</f>
      </c>
      <c r="G37" s="131"/>
      <c r="H37" s="131">
        <f>IF($B37="","",VLOOKUP($B37,スキル!$A:$K,3,0))</f>
      </c>
      <c r="I37" s="55">
        <f>IF($B37="","",VLOOKUP($B37,スキル!$A:$K,4,0))</f>
      </c>
      <c r="J37" s="55"/>
      <c r="K37" s="55">
        <f>IF($B37="","",VLOOKUP($B37,スキル!$A:$K,5,0))</f>
      </c>
      <c r="L37" s="55">
        <f>IF($B37="","",VLOOKUP($B37,スキル!$A:$K,6,0))</f>
      </c>
      <c r="M37" s="55">
        <f>IF($B37="","",VLOOKUP($B37,スキル!$A:$K,7,0))</f>
      </c>
      <c r="N37" s="55">
        <f>IF($B37="","",VLOOKUP($B37,スキル!$A:$K,8,0))</f>
      </c>
      <c r="O37" s="55"/>
      <c r="P37" s="55">
        <f>IF($B37="","",VLOOKUP($B37,スキル!$A:$K,9,0))</f>
      </c>
      <c r="Q37" s="390">
        <f>IF($B37="","",VLOOKUP($B37,スキル!$A:$K,10,0))</f>
      </c>
      <c r="R37" s="390"/>
      <c r="S37" s="390"/>
      <c r="T37" s="390"/>
      <c r="U37" s="390"/>
      <c r="V37" s="390"/>
      <c r="W37" s="391" t="s">
        <v>335</v>
      </c>
      <c r="X37" s="391"/>
      <c r="Y37" s="413" t="s">
        <v>336</v>
      </c>
      <c r="Z37" s="413"/>
      <c r="AA37" s="414">
        <f>IF(AC39="★",AB39,AC39*AB39)+IF(AC40="★",AB40,AC40*AB40)+IF(AC41="★",AB41,AC41*AB41)+IF(AC42="★",AB42,AC42*AB42)+IF(AC43="★",AB43,AC43*AB43)+IF(AC44="★",AB44,AC44*AB44)+IF(AC48="★",AB48,AC48*AB48)+IF(AC49="★",AB49,AC49*AB49)+IF(AC50="★",AB50,AC50*AB50)+IF(AC51="★",AB51,AC51*AB51)+IF(AC52="★",AB52,AC52*AB52)+IF(AC53="★",AB53,AC53*AB53)+IF(AC54="★",AB54,AC54*AB54)+IF(AC55="★",AB55,AC55*AB55)+IF(AC56="★",AB56,AC56*AB56)+IF(AC56="★",AB57,AC57*AB57)+IF(AC58="★",AB58,AC58*AB58)+IF(AC59="★",AB59,AC59*AB59)+IF(AC60="★",AB60,AC60*AB60)+IF(AC61="★",AB61,AC61*AB61)+IF(AC62="★",AB62,AC62*AB62)+IF(AC63="★",AB63,AC63*AB63)+IF(AC64="★",AB64,AC64*AB64)+IF(AC65="★",AB65,AC65*AB65)</f>
        <v>0</v>
      </c>
      <c r="AB37" s="415" t="str">
        <f>"/ "&amp;R5&amp;" ] "</f>
        <v>/ 5 ] </v>
      </c>
      <c r="AC37" s="415"/>
      <c r="AE37" s="147" t="s">
        <v>116</v>
      </c>
      <c r="AF37" s="416">
        <f>SUM(,AF8:AF13,AF15:AF36)</f>
        <v>4355</v>
      </c>
      <c r="AG37" s="223"/>
      <c r="AH37" s="357" t="s">
        <v>289</v>
      </c>
      <c r="AI37" s="80" t="str">
        <f>"+"&amp;0&amp;"(+"&amp;COUNTIF(AR_SHEET_スキル,"ウェポンエキスパート：打撃")*2+IF(ISERROR(VLOOKUP("ジャグリングアタック",AR_スキルSL,7,0))=TRUE,"0",VLOOKUP("ジャグリングアタック",AR_スキルSL,7,0))&amp;"D)"</f>
        <v>+0(+0D)</v>
      </c>
      <c r="AK37" s="320"/>
      <c r="AL37" s="320"/>
      <c r="AM37" s="320"/>
      <c r="AN37" s="320"/>
      <c r="AO37" s="320"/>
      <c r="AP37" s="320"/>
      <c r="AQ37" s="320"/>
      <c r="AR37" s="223"/>
      <c r="AS37" s="223"/>
      <c r="AT37" s="223"/>
      <c r="AU37" s="223"/>
      <c r="AV37" s="63"/>
      <c r="AW37" s="63"/>
      <c r="AX37" s="63"/>
      <c r="AY37" s="63"/>
      <c r="AZ37" s="400"/>
      <c r="BA37" s="63"/>
      <c r="BB37" s="63"/>
      <c r="BC37" s="408" t="s">
        <v>337</v>
      </c>
      <c r="BD37" s="80" t="str">
        <f>"+"&amp;0&amp;"(+"&amp;COUNTIF(AR_SHEET_ギルドスキル,"宿敵：精霊")&amp;"D)"</f>
        <v>+0(+0D)</v>
      </c>
      <c r="BE37" s="252"/>
    </row>
    <row r="38" spans="1:57" ht="13.5">
      <c r="A38" s="381"/>
      <c r="B38" s="389"/>
      <c r="C38" s="389"/>
      <c r="D38" s="389"/>
      <c r="E38" s="389"/>
      <c r="F38" s="131">
        <f>IF($B38="","",VLOOKUP($B38,スキル!$A:$K,2,0))</f>
      </c>
      <c r="G38" s="131"/>
      <c r="H38" s="131">
        <f>IF($B38="","",VLOOKUP($B38,スキル!$A:$K,3,0))</f>
      </c>
      <c r="I38" s="55">
        <f>IF($B38="","",VLOOKUP($B38,スキル!$A:$K,4,0))</f>
      </c>
      <c r="J38" s="55"/>
      <c r="K38" s="55">
        <f>IF($B38="","",VLOOKUP($B38,スキル!$A:$K,5,0))</f>
      </c>
      <c r="L38" s="55">
        <f>IF($B38="","",VLOOKUP($B38,スキル!$A:$K,6,0))</f>
      </c>
      <c r="M38" s="55">
        <f>IF($B38="","",VLOOKUP($B38,スキル!$A:$K,7,0))</f>
      </c>
      <c r="N38" s="55">
        <f>IF($B38="","",VLOOKUP($B38,スキル!$A:$K,8,0))</f>
      </c>
      <c r="O38" s="55"/>
      <c r="P38" s="55">
        <f>IF($B38="","",VLOOKUP($B38,スキル!$A:$K,9,0))</f>
      </c>
      <c r="Q38" s="390">
        <f>IF($B38="","",VLOOKUP($B38,スキル!$A:$K,10,0))</f>
      </c>
      <c r="R38" s="390"/>
      <c r="S38" s="390"/>
      <c r="T38" s="390"/>
      <c r="U38" s="390"/>
      <c r="V38" s="390"/>
      <c r="W38" s="79" t="s">
        <v>138</v>
      </c>
      <c r="X38" s="79"/>
      <c r="Y38" s="79"/>
      <c r="Z38" s="417" t="s">
        <v>338</v>
      </c>
      <c r="AA38" s="417"/>
      <c r="AB38" s="116" t="s">
        <v>293</v>
      </c>
      <c r="AC38" s="84" t="s">
        <v>339</v>
      </c>
      <c r="AE38" s="108" t="s">
        <v>39</v>
      </c>
      <c r="AF38" s="418">
        <v>650</v>
      </c>
      <c r="AG38" s="223"/>
      <c r="AH38" s="357" t="s">
        <v>300</v>
      </c>
      <c r="AI38" s="80" t="str">
        <f>"+"&amp;0&amp;"(+"&amp;COUNTIF(AR_SHEET_スキル,"ウェポンエキスパート：槍")*2+IF(ISERROR(VLOOKUP("ジャグリングアタック",AR_スキルSL,7,0))=TRUE,"0",VLOOKUP("ジャグリングアタック",AR_スキルSL,7,0))+COUNTIF(AR_SHEET_装備,"マイティランス")*3&amp;"D)"</f>
        <v>+0(+0D)</v>
      </c>
      <c r="AK38" s="320"/>
      <c r="AL38" s="320"/>
      <c r="AM38" s="320"/>
      <c r="AN38" s="320"/>
      <c r="AO38" s="320"/>
      <c r="AP38" s="320"/>
      <c r="AQ38" s="320"/>
      <c r="AR38" s="223"/>
      <c r="AS38" s="223"/>
      <c r="AT38" s="223"/>
      <c r="AU38" s="223"/>
      <c r="AV38" s="63"/>
      <c r="AW38" s="63"/>
      <c r="AX38" s="63"/>
      <c r="AY38" s="63"/>
      <c r="AZ38" s="400"/>
      <c r="BA38" s="63"/>
      <c r="BB38" s="63"/>
      <c r="BC38" s="408" t="s">
        <v>340</v>
      </c>
      <c r="BD38" s="80" t="str">
        <f>"+"&amp;0&amp;"(+"&amp;COUNTIF(AR_SHEET_ギルドスキル,"宿敵：人造生物")&amp;"D)"</f>
        <v>+0(+0D)</v>
      </c>
      <c r="BE38" s="307"/>
    </row>
    <row r="39" spans="1:57" ht="13.5">
      <c r="A39" s="381"/>
      <c r="B39" s="389"/>
      <c r="C39" s="389"/>
      <c r="D39" s="389"/>
      <c r="E39" s="389"/>
      <c r="F39" s="131">
        <f>IF($B39="","",VLOOKUP($B39,スキル!$A:$K,2,0))</f>
      </c>
      <c r="G39" s="131"/>
      <c r="H39" s="131">
        <f>IF($B39="","",VLOOKUP($B39,スキル!$A:$K,3,0))</f>
      </c>
      <c r="I39" s="55">
        <f>IF($B39="","",VLOOKUP($B39,スキル!$A:$K,4,0))</f>
      </c>
      <c r="J39" s="55"/>
      <c r="K39" s="55">
        <f>IF($B39="","",VLOOKUP($B39,スキル!$A:$K,5,0))</f>
      </c>
      <c r="L39" s="55">
        <f>IF($B39="","",VLOOKUP($B39,スキル!$A:$K,6,0))</f>
      </c>
      <c r="M39" s="55">
        <f>IF($B39="","",VLOOKUP($B39,スキル!$A:$K,7,0))</f>
      </c>
      <c r="N39" s="55">
        <f>IF($B39="","",VLOOKUP($B39,スキル!$A:$K,8,0))</f>
      </c>
      <c r="O39" s="55"/>
      <c r="P39" s="55">
        <f>IF($B39="","",VLOOKUP($B39,スキル!$A:$K,9,0))</f>
      </c>
      <c r="Q39" s="390">
        <f>IF($B39="","",VLOOKUP($B39,スキル!$A:$K,10,0))</f>
      </c>
      <c r="R39" s="390"/>
      <c r="S39" s="390"/>
      <c r="T39" s="390"/>
      <c r="U39" s="390"/>
      <c r="V39" s="390"/>
      <c r="W39" s="85"/>
      <c r="X39" s="85"/>
      <c r="Y39" s="85"/>
      <c r="Z39" s="125">
        <f>IF($W39="","",VLOOKUP($W39,スキル!$A:$E,2,0))</f>
      </c>
      <c r="AA39" s="125"/>
      <c r="AB39" s="125" t="str">
        <f>IF($W39="","0",VLOOKUP($W39,スキル!$A:$E,3,0))</f>
        <v>0</v>
      </c>
      <c r="AC39" s="340" t="str">
        <f>IF($W39="","0",VLOOKUP($W39,スキル!$A:$E,4,0))</f>
        <v>0</v>
      </c>
      <c r="AE39" s="83" t="s">
        <v>341</v>
      </c>
      <c r="AF39" s="419">
        <f>①コンストラクション!H31</f>
        <v>500</v>
      </c>
      <c r="AG39" s="223"/>
      <c r="AH39" s="357" t="s">
        <v>304</v>
      </c>
      <c r="AI39" s="80" t="str">
        <f>"+"&amp;0&amp;"(+"&amp;COUNTIF(AR_SHEET_スキル,"ウェポンエキスパート：弓")*2&amp;"D)"</f>
        <v>+0(+0D)</v>
      </c>
      <c r="AK39" s="320"/>
      <c r="AL39" s="320"/>
      <c r="AM39" s="320"/>
      <c r="AN39" s="320"/>
      <c r="AO39" s="320"/>
      <c r="AP39" s="320"/>
      <c r="AQ39" s="320"/>
      <c r="AR39" s="223"/>
      <c r="AS39" s="223"/>
      <c r="AT39" s="223"/>
      <c r="AU39" s="223"/>
      <c r="AV39" s="63"/>
      <c r="AW39" s="63"/>
      <c r="AX39" s="63"/>
      <c r="AY39" s="63"/>
      <c r="AZ39" s="400"/>
      <c r="BA39" s="63"/>
      <c r="BB39" s="63"/>
      <c r="BC39" s="408" t="s">
        <v>342</v>
      </c>
      <c r="BD39" s="80" t="str">
        <f>"+"&amp;0&amp;"(+"&amp;COUNTIF(AR_SHEET_ギルドスキル,"宿敵：機械")&amp;"D)"</f>
        <v>+0(+0D)</v>
      </c>
      <c r="BE39" s="420"/>
    </row>
    <row r="40" spans="1:57" ht="13.5">
      <c r="A40" s="381"/>
      <c r="B40" s="389"/>
      <c r="C40" s="389"/>
      <c r="D40" s="389"/>
      <c r="E40" s="389"/>
      <c r="F40" s="131">
        <f>IF($B40="","",VLOOKUP($B40,スキル!$A:$K,2,0))</f>
      </c>
      <c r="G40" s="131"/>
      <c r="H40" s="131">
        <f>IF($B40="","",VLOOKUP($B40,スキル!$A:$K,3,0))</f>
      </c>
      <c r="I40" s="55">
        <f>IF($B40="","",VLOOKUP($B40,スキル!$A:$K,4,0))</f>
      </c>
      <c r="J40" s="55"/>
      <c r="K40" s="55">
        <f>IF($B40="","",VLOOKUP($B40,スキル!$A:$K,5,0))</f>
      </c>
      <c r="L40" s="55">
        <f>IF($B40="","",VLOOKUP($B40,スキル!$A:$K,6,0))</f>
      </c>
      <c r="M40" s="55">
        <f>IF($B40="","",VLOOKUP($B40,スキル!$A:$K,7,0))</f>
      </c>
      <c r="N40" s="55">
        <f>IF($B40="","",VLOOKUP($B40,スキル!$A:$K,8,0))</f>
      </c>
      <c r="O40" s="55"/>
      <c r="P40" s="55">
        <f>IF($B40="","",VLOOKUP($B40,スキル!$A:$K,9,0))</f>
      </c>
      <c r="Q40" s="390">
        <f>IF($B40="","",VLOOKUP($B40,スキル!$A:$K,10,0))</f>
      </c>
      <c r="R40" s="390"/>
      <c r="S40" s="390"/>
      <c r="T40" s="390"/>
      <c r="U40" s="390"/>
      <c r="V40" s="390"/>
      <c r="W40" s="85"/>
      <c r="X40" s="85"/>
      <c r="Y40" s="85"/>
      <c r="Z40" s="125">
        <f>IF($W40="","",VLOOKUP($W40,スキル!$A:$E,2,0))</f>
      </c>
      <c r="AA40" s="125"/>
      <c r="AB40" s="125" t="str">
        <f>IF($W40="","0",VLOOKUP($W40,スキル!$A:$E,3,0))</f>
        <v>0</v>
      </c>
      <c r="AC40" s="340" t="str">
        <f>IF($W40="","0",VLOOKUP($W40,スキル!$A:$E,4,0))</f>
        <v>0</v>
      </c>
      <c r="AE40" s="81" t="s">
        <v>343</v>
      </c>
      <c r="AF40" s="421">
        <f>AF39+AF38-AF37</f>
        <v>-3205</v>
      </c>
      <c r="AG40" s="223"/>
      <c r="AH40" s="357" t="s">
        <v>308</v>
      </c>
      <c r="AI40" s="80" t="str">
        <f>"+"&amp;0&amp;"(+"&amp;COUNTIF(AR_SHEET_スキル,"ウェポンエキスパート：銃")*2&amp;"D)"</f>
        <v>+0(+0D)</v>
      </c>
      <c r="AK40" s="320"/>
      <c r="AL40" s="320"/>
      <c r="AM40" s="320"/>
      <c r="AN40" s="320"/>
      <c r="AO40" s="320"/>
      <c r="AP40" s="320"/>
      <c r="AQ40" s="320"/>
      <c r="AR40" s="223"/>
      <c r="AS40" s="223"/>
      <c r="AT40" s="223"/>
      <c r="AU40" s="223"/>
      <c r="AV40" s="63"/>
      <c r="AW40" s="63"/>
      <c r="AX40" s="63"/>
      <c r="AY40" s="63"/>
      <c r="AZ40" s="400"/>
      <c r="BA40" s="63"/>
      <c r="BB40" s="63"/>
      <c r="BC40" s="408" t="s">
        <v>344</v>
      </c>
      <c r="BD40" s="340" t="str">
        <f>"+"&amp;0&amp;"(+"&amp;COUNTIF(AR_SHEET_スキル,"ビーストキラー")+COUNTIF(AR_SHEET_ギルドスキル,"宿敵：魔獣")&amp;"D)"</f>
        <v>+0(+0D)</v>
      </c>
      <c r="BE40" s="420"/>
    </row>
    <row r="41" spans="1:57" ht="13.5">
      <c r="A41" s="381"/>
      <c r="B41" s="389"/>
      <c r="C41" s="389"/>
      <c r="D41" s="389"/>
      <c r="E41" s="389"/>
      <c r="F41" s="131">
        <f>IF($B41="","",VLOOKUP($B41,スキル!$A:$K,2,0))</f>
      </c>
      <c r="G41" s="131"/>
      <c r="H41" s="131">
        <f>IF($B41="","",VLOOKUP($B41,スキル!$A:$K,3,0))</f>
      </c>
      <c r="I41" s="55">
        <f>IF($B41="","",VLOOKUP($B41,スキル!$A:$K,4,0))</f>
      </c>
      <c r="J41" s="55"/>
      <c r="K41" s="55">
        <f>IF($B41="","",VLOOKUP($B41,スキル!$A:$K,5,0))</f>
      </c>
      <c r="L41" s="55">
        <f>IF($B41="","",VLOOKUP($B41,スキル!$A:$K,6,0))</f>
      </c>
      <c r="M41" s="55">
        <f>IF($B41="","",VLOOKUP($B41,スキル!$A:$K,7,0))</f>
      </c>
      <c r="N41" s="55">
        <f>IF($B41="","",VLOOKUP($B41,スキル!$A:$K,8,0))</f>
      </c>
      <c r="O41" s="55"/>
      <c r="P41" s="55">
        <f>IF($B41="","",VLOOKUP($B41,スキル!$A:$K,9,0))</f>
      </c>
      <c r="Q41" s="390">
        <f>IF($B41="","",VLOOKUP($B41,スキル!$A:$K,10,0))</f>
      </c>
      <c r="R41" s="390"/>
      <c r="S41" s="390"/>
      <c r="T41" s="390"/>
      <c r="U41" s="390"/>
      <c r="V41" s="390"/>
      <c r="W41" s="85"/>
      <c r="X41" s="85"/>
      <c r="Y41" s="85"/>
      <c r="Z41" s="125">
        <f>IF($W41="","",VLOOKUP($W41,スキル!$A:$E,2,0))</f>
      </c>
      <c r="AA41" s="125"/>
      <c r="AB41" s="125" t="str">
        <f>IF($W41="","0",VLOOKUP($W41,スキル!$A:$E,3,0))</f>
        <v>0</v>
      </c>
      <c r="AC41" s="340" t="str">
        <f>IF($W41="","0",VLOOKUP($W41,スキル!$A:$E,4,0))</f>
        <v>0</v>
      </c>
      <c r="AE41" s="215"/>
      <c r="AF41" s="422"/>
      <c r="AG41" s="223"/>
      <c r="AH41" s="402" t="s">
        <v>312</v>
      </c>
      <c r="AI41" s="82" t="str">
        <f>"+"&amp;0&amp;"(+"&amp;COUNTIF(AR_SHEET_スキル,"ウェポンエキスパート：魔導銃")*2&amp;"D)"</f>
        <v>+0(+0D)</v>
      </c>
      <c r="AK41" s="320"/>
      <c r="AL41" s="320"/>
      <c r="AM41" s="320"/>
      <c r="AN41" s="320"/>
      <c r="AO41" s="320"/>
      <c r="AP41" s="320"/>
      <c r="AQ41" s="320"/>
      <c r="AR41" s="223"/>
      <c r="AS41" s="223"/>
      <c r="AT41" s="223"/>
      <c r="AU41" s="223"/>
      <c r="AV41" s="63"/>
      <c r="AW41" s="63"/>
      <c r="AX41" s="63"/>
      <c r="AY41" s="63"/>
      <c r="AZ41" s="400"/>
      <c r="BA41" s="63"/>
      <c r="BB41" s="63"/>
      <c r="BC41" s="408" t="s">
        <v>345</v>
      </c>
      <c r="BD41" s="340" t="str">
        <f>"+"&amp;0&amp;"(+"&amp;COUNTIF(AR_SHEET_スキル,"ビーストキラー")+COUNTIF(AR_SHEET_ギルドスキル,"宿敵：霊獣")&amp;"D)"</f>
        <v>+0(+0D)</v>
      </c>
      <c r="BE41" s="252"/>
    </row>
    <row r="42" spans="1:57" ht="13.5">
      <c r="A42" s="381"/>
      <c r="B42" s="389"/>
      <c r="C42" s="389"/>
      <c r="D42" s="389"/>
      <c r="E42" s="389"/>
      <c r="F42" s="131">
        <f>IF($B42="","",VLOOKUP($B42,スキル!$A:$K,2,0))</f>
      </c>
      <c r="G42" s="131"/>
      <c r="H42" s="131">
        <f>IF($B42="","",VLOOKUP($B42,スキル!$A:$K,3,0))</f>
      </c>
      <c r="I42" s="55">
        <f>IF($B42="","",VLOOKUP($B42,スキル!$A:$K,4,0))</f>
      </c>
      <c r="J42" s="55"/>
      <c r="K42" s="55">
        <f>IF($B42="","",VLOOKUP($B42,スキル!$A:$K,5,0))</f>
      </c>
      <c r="L42" s="55">
        <f>IF($B42="","",VLOOKUP($B42,スキル!$A:$K,6,0))</f>
      </c>
      <c r="M42" s="55">
        <f>IF($B42="","",VLOOKUP($B42,スキル!$A:$K,7,0))</f>
      </c>
      <c r="N42" s="55">
        <f>IF($B42="","",VLOOKUP($B42,スキル!$A:$K,8,0))</f>
      </c>
      <c r="O42" s="55"/>
      <c r="P42" s="55">
        <f>IF($B42="","",VLOOKUP($B42,スキル!$A:$K,9,0))</f>
      </c>
      <c r="Q42" s="390">
        <f>IF($B42="","",VLOOKUP($B42,スキル!$A:$K,10,0))</f>
      </c>
      <c r="R42" s="390"/>
      <c r="S42" s="390"/>
      <c r="T42" s="390"/>
      <c r="U42" s="390"/>
      <c r="V42" s="390"/>
      <c r="W42" s="85"/>
      <c r="X42" s="85"/>
      <c r="Y42" s="85"/>
      <c r="Z42" s="125">
        <f>IF($W42="","",VLOOKUP($W42,スキル!$A:$E,2,0))</f>
      </c>
      <c r="AA42" s="125"/>
      <c r="AB42" s="125" t="str">
        <f>IF($W42="","0",VLOOKUP($W42,スキル!$A:$E,3,0))</f>
        <v>0</v>
      </c>
      <c r="AC42" s="340" t="str">
        <f>IF($W42="","0",VLOOKUP($W42,スキル!$A:$E,4,0))</f>
        <v>0</v>
      </c>
      <c r="AE42" s="259" t="s">
        <v>346</v>
      </c>
      <c r="AF42" s="423">
        <f>IF(リファレンス!Q3=1,0,COUNTIF(AF44:AF57,"◎"))</f>
        <v>0</v>
      </c>
      <c r="AK42" s="320"/>
      <c r="AL42" s="320"/>
      <c r="AM42" s="320"/>
      <c r="AN42" s="320"/>
      <c r="AO42" s="320"/>
      <c r="AP42" s="320"/>
      <c r="AQ42" s="320"/>
      <c r="AR42" s="223"/>
      <c r="AS42" s="223"/>
      <c r="AT42" s="223"/>
      <c r="AU42" s="223"/>
      <c r="AZ42" s="400"/>
      <c r="BA42" s="63"/>
      <c r="BB42" s="63"/>
      <c r="BC42" s="408" t="s">
        <v>347</v>
      </c>
      <c r="BD42" s="80" t="str">
        <f>"+"&amp;0&amp;"(+"&amp;COUNTIF(AR_SHEET_ギルドスキル,"宿敵：巨人")&amp;"D)"</f>
        <v>+0(+0D)</v>
      </c>
      <c r="BE42" s="307"/>
    </row>
    <row r="43" spans="1:56" ht="13.5">
      <c r="A43" s="381"/>
      <c r="B43" s="389"/>
      <c r="C43" s="389"/>
      <c r="D43" s="389"/>
      <c r="E43" s="389"/>
      <c r="F43" s="131">
        <f>IF($B43="","",VLOOKUP($B43,スキル!$A:$K,2,0))</f>
      </c>
      <c r="G43" s="131"/>
      <c r="H43" s="131">
        <f>IF($B43="","",VLOOKUP($B43,スキル!$A:$K,3,0))</f>
      </c>
      <c r="I43" s="55">
        <f>IF($B43="","",VLOOKUP($B43,スキル!$A:$K,4,0))</f>
      </c>
      <c r="J43" s="55"/>
      <c r="K43" s="55">
        <f>IF($B43="","",VLOOKUP($B43,スキル!$A:$K,5,0))</f>
      </c>
      <c r="L43" s="55">
        <f>IF($B43="","",VLOOKUP($B43,スキル!$A:$K,6,0))</f>
      </c>
      <c r="M43" s="55">
        <f>IF($B43="","",VLOOKUP($B43,スキル!$A:$K,7,0))</f>
      </c>
      <c r="N43" s="55">
        <f>IF($B43="","",VLOOKUP($B43,スキル!$A:$K,8,0))</f>
      </c>
      <c r="O43" s="55"/>
      <c r="P43" s="55">
        <f>IF($B43="","",VLOOKUP($B43,スキル!$A:$K,9,0))</f>
      </c>
      <c r="Q43" s="390">
        <f>IF($B43="","",VLOOKUP($B43,スキル!$A:$K,10,0))</f>
      </c>
      <c r="R43" s="390"/>
      <c r="S43" s="390"/>
      <c r="T43" s="390"/>
      <c r="U43" s="390"/>
      <c r="V43" s="390"/>
      <c r="W43" s="85"/>
      <c r="X43" s="85"/>
      <c r="Y43" s="85"/>
      <c r="Z43" s="125">
        <f>IF($W43="","",VLOOKUP($W43,スキル!$A:$E,2,0))</f>
      </c>
      <c r="AA43" s="125"/>
      <c r="AB43" s="125" t="str">
        <f>IF($W43="","0",VLOOKUP($W43,スキル!$A:$E,3,0))</f>
        <v>0</v>
      </c>
      <c r="AC43" s="340" t="str">
        <f>IF($W43="","0",VLOOKUP($W43,スキル!$A:$E,4,0))</f>
        <v>0</v>
      </c>
      <c r="AE43" s="250" t="s">
        <v>348</v>
      </c>
      <c r="AF43" s="423"/>
      <c r="AG43" s="215"/>
      <c r="AK43" s="320"/>
      <c r="AL43" s="320"/>
      <c r="AM43" s="320"/>
      <c r="AN43" s="320"/>
      <c r="AO43" s="320"/>
      <c r="AP43" s="320"/>
      <c r="AQ43" s="320"/>
      <c r="AR43" s="223"/>
      <c r="AS43" s="223"/>
      <c r="AT43" s="223"/>
      <c r="AU43" s="223"/>
      <c r="AZ43" s="400"/>
      <c r="BA43" s="63"/>
      <c r="BB43" s="63"/>
      <c r="BC43" s="408" t="s">
        <v>349</v>
      </c>
      <c r="BD43" s="340" t="str">
        <f>"+"&amp;0&amp;"(+"&amp;COUNTIF(AR_SHEET_スキル,"ドラゴンバスター")+COUNTIF(AR_SHEET_ギルドスキル,"宿敵：竜")&amp;"D)"</f>
        <v>+0(+0D)</v>
      </c>
    </row>
    <row r="44" spans="1:56" ht="13.5">
      <c r="A44" s="381"/>
      <c r="B44" s="424"/>
      <c r="C44" s="424"/>
      <c r="D44" s="424"/>
      <c r="E44" s="424"/>
      <c r="F44" s="425">
        <f>IF($B44="","",VLOOKUP($B44,スキル!$A:$K,2,0))</f>
      </c>
      <c r="G44" s="425"/>
      <c r="H44" s="425">
        <f>IF($B44="","",VLOOKUP($B44,スキル!$A:$K,3,0))</f>
      </c>
      <c r="I44" s="157">
        <f>IF($B44="","",VLOOKUP($B44,スキル!$A:$K,4,0))</f>
      </c>
      <c r="J44" s="157"/>
      <c r="K44" s="157">
        <f>IF($B44="","",VLOOKUP($B44,スキル!$A:$K,5,0))</f>
      </c>
      <c r="L44" s="157">
        <f>IF($B44="","",VLOOKUP($B44,スキル!$A:$K,6,0))</f>
      </c>
      <c r="M44" s="157">
        <f>IF($B44="","",VLOOKUP($B44,スキル!$A:$K,7,0))</f>
      </c>
      <c r="N44" s="157">
        <f>IF($B44="","",VLOOKUP($B44,スキル!$A:$K,8,0))</f>
      </c>
      <c r="O44" s="157"/>
      <c r="P44" s="157">
        <f>IF($B44="","",VLOOKUP($B44,スキル!$A:$K,9,0))</f>
      </c>
      <c r="Q44" s="426">
        <f>IF($B44="","",VLOOKUP($B44,スキル!$A:$K,10,0))</f>
      </c>
      <c r="R44" s="426"/>
      <c r="S44" s="426"/>
      <c r="T44" s="426"/>
      <c r="U44" s="426"/>
      <c r="V44" s="426"/>
      <c r="W44" s="93"/>
      <c r="X44" s="93"/>
      <c r="Y44" s="93"/>
      <c r="Z44" s="159">
        <f>IF($W44="","",VLOOKUP($W44,スキル!$A:$E,2,0))</f>
      </c>
      <c r="AA44" s="159"/>
      <c r="AB44" s="159" t="str">
        <f>IF($W44="","0",VLOOKUP($W44,スキル!$A:$E,3,0))</f>
        <v>0</v>
      </c>
      <c r="AC44" s="325" t="str">
        <f>IF($W44="","0",VLOOKUP($W44,スキル!$A:$E,4,0))</f>
        <v>0</v>
      </c>
      <c r="AE44" s="427" t="s">
        <v>306</v>
      </c>
      <c r="AF44" s="428" t="s">
        <v>93</v>
      </c>
      <c r="AG44" s="215"/>
      <c r="AH44" s="204" t="s">
        <v>350</v>
      </c>
      <c r="AK44" s="320"/>
      <c r="AL44" s="320"/>
      <c r="AM44" s="320"/>
      <c r="AN44" s="320"/>
      <c r="AO44" s="320"/>
      <c r="AP44" s="320"/>
      <c r="AQ44" s="320"/>
      <c r="AR44" s="223"/>
      <c r="AS44" s="223"/>
      <c r="AT44" s="223"/>
      <c r="AZ44" s="400"/>
      <c r="BA44" s="63"/>
      <c r="BB44" s="63"/>
      <c r="BC44" s="429" t="s">
        <v>351</v>
      </c>
      <c r="BD44" s="325" t="str">
        <f>"+"&amp;0&amp;"(+"&amp;COUNTIF(AR_SHEET_スキル,"ドラゴンバスター")+COUNTIF(AR_SHEET_ギルドスキル,"宿敵：魔族")+COUNTIF(AR_SHEET_装備,"神罰者の紋章")&amp;"D)"</f>
        <v>+0(+0D)</v>
      </c>
    </row>
    <row r="45" spans="1:56" ht="12" customHeight="1">
      <c r="A45" s="430"/>
      <c r="AE45" s="431" t="s">
        <v>352</v>
      </c>
      <c r="AF45" s="432" t="s">
        <v>93</v>
      </c>
      <c r="AG45" s="223"/>
      <c r="AH45" s="204" t="s">
        <v>353</v>
      </c>
      <c r="AK45" s="320"/>
      <c r="AL45" s="320"/>
      <c r="AM45" s="320"/>
      <c r="AN45" s="320"/>
      <c r="AO45" s="320"/>
      <c r="AP45" s="320"/>
      <c r="AQ45" s="320"/>
      <c r="AR45" s="223"/>
      <c r="AS45" s="223"/>
      <c r="AT45" s="223"/>
      <c r="AU45" s="215"/>
      <c r="AZ45" s="400"/>
      <c r="BA45" s="63"/>
      <c r="BB45" s="63"/>
      <c r="BC45" s="83" t="s">
        <v>354</v>
      </c>
      <c r="BD45" s="365" t="str">
        <f>"+"&amp;0&amp;"(+"&amp;COUNTIF(AR_SHEET_装備,"ウィンディソード")+COUNTIF(AR_SHEET_ギルドスキル,"風の紋章")&amp;"D)"</f>
        <v>+0(+0D)</v>
      </c>
    </row>
    <row r="46" spans="2:56" ht="13.5">
      <c r="B46" s="433" t="s">
        <v>355</v>
      </c>
      <c r="C46" s="433"/>
      <c r="D46" s="433"/>
      <c r="E46" s="433"/>
      <c r="F46" s="433"/>
      <c r="G46" s="433"/>
      <c r="H46" s="433"/>
      <c r="I46" s="433"/>
      <c r="J46" s="433"/>
      <c r="K46" s="433"/>
      <c r="L46" s="433"/>
      <c r="M46" s="433"/>
      <c r="N46" s="433"/>
      <c r="O46" s="433"/>
      <c r="P46" s="433"/>
      <c r="Q46" s="433"/>
      <c r="R46" s="433"/>
      <c r="S46" s="433"/>
      <c r="T46" s="433"/>
      <c r="U46" s="433"/>
      <c r="V46" s="433"/>
      <c r="W46" s="434" t="s">
        <v>356</v>
      </c>
      <c r="X46" s="434"/>
      <c r="Y46" s="434"/>
      <c r="Z46" s="434"/>
      <c r="AA46" s="434"/>
      <c r="AB46" s="434"/>
      <c r="AC46" s="434"/>
      <c r="AE46" s="431" t="s">
        <v>357</v>
      </c>
      <c r="AF46" s="432" t="s">
        <v>93</v>
      </c>
      <c r="AH46" s="204" t="s">
        <v>358</v>
      </c>
      <c r="AK46" s="320"/>
      <c r="AL46" s="320"/>
      <c r="AM46" s="320"/>
      <c r="AN46" s="320"/>
      <c r="AO46" s="320"/>
      <c r="AP46" s="320"/>
      <c r="AQ46" s="320"/>
      <c r="AR46" s="223"/>
      <c r="AS46" s="223"/>
      <c r="AT46" s="223"/>
      <c r="AU46" s="215"/>
      <c r="AZ46" s="400"/>
      <c r="BA46" s="63"/>
      <c r="BB46" s="63"/>
      <c r="BC46" s="79" t="s">
        <v>359</v>
      </c>
      <c r="BD46" s="80" t="str">
        <f>"+"&amp;0&amp;"(+"&amp;COUNTIF(AR_SHEET_装備,"ヒートソード")+COUNTIF(AR_SHEET_ギルドスキル,"火の紋章")&amp;"D)"</f>
        <v>+0(+0D)</v>
      </c>
    </row>
    <row r="47" spans="2:56" ht="11.25">
      <c r="B47" s="108" t="s">
        <v>138</v>
      </c>
      <c r="C47" s="108"/>
      <c r="D47" s="108"/>
      <c r="E47" s="108"/>
      <c r="F47" s="109" t="s">
        <v>292</v>
      </c>
      <c r="G47" s="109"/>
      <c r="H47" s="109" t="s">
        <v>293</v>
      </c>
      <c r="I47" s="109" t="s">
        <v>294</v>
      </c>
      <c r="J47" s="109"/>
      <c r="K47" s="109" t="s">
        <v>176</v>
      </c>
      <c r="L47" s="109" t="s">
        <v>295</v>
      </c>
      <c r="M47" s="109" t="s">
        <v>248</v>
      </c>
      <c r="N47" s="109" t="s">
        <v>296</v>
      </c>
      <c r="O47" s="109"/>
      <c r="P47" s="109" t="s">
        <v>242</v>
      </c>
      <c r="Q47" s="218" t="s">
        <v>297</v>
      </c>
      <c r="R47" s="218"/>
      <c r="S47" s="435"/>
      <c r="T47" s="435"/>
      <c r="U47" s="394"/>
      <c r="V47" s="436"/>
      <c r="W47" s="79" t="s">
        <v>138</v>
      </c>
      <c r="X47" s="79"/>
      <c r="Y47" s="79"/>
      <c r="Z47" s="417" t="s">
        <v>338</v>
      </c>
      <c r="AA47" s="417"/>
      <c r="AB47" s="116" t="s">
        <v>293</v>
      </c>
      <c r="AC47" s="84" t="s">
        <v>339</v>
      </c>
      <c r="AD47" s="437"/>
      <c r="AE47" s="431" t="s">
        <v>360</v>
      </c>
      <c r="AF47" s="432" t="s">
        <v>93</v>
      </c>
      <c r="AK47" s="320"/>
      <c r="AL47" s="320"/>
      <c r="AM47" s="320"/>
      <c r="AN47" s="320"/>
      <c r="AO47" s="320"/>
      <c r="AP47" s="320"/>
      <c r="AQ47" s="320"/>
      <c r="AR47" s="223"/>
      <c r="AS47" s="223"/>
      <c r="AT47" s="223"/>
      <c r="AU47" s="223"/>
      <c r="AZ47" s="400"/>
      <c r="BA47" s="63"/>
      <c r="BB47" s="63"/>
      <c r="BC47" s="79" t="s">
        <v>361</v>
      </c>
      <c r="BD47" s="80" t="str">
        <f>"+"&amp;0&amp;"(+"&amp;COUNTIF(AR_SHEET_装備,"コールドソード")+COUNTIF(AR_SHEET_ギルドスキル,"水の紋章")&amp;"D)"</f>
        <v>+0(+0D)</v>
      </c>
    </row>
    <row r="48" spans="2:56" ht="11.25">
      <c r="B48" s="389"/>
      <c r="C48" s="389"/>
      <c r="D48" s="389"/>
      <c r="E48" s="389"/>
      <c r="F48" s="131">
        <f>IF($B48="","",VLOOKUP($B48,スキル!$A:$K,2,0))</f>
      </c>
      <c r="G48" s="131"/>
      <c r="H48" s="131">
        <f>IF($B48="","",VLOOKUP($B48,スキル!$A:$K,3,0))</f>
      </c>
      <c r="I48" s="55">
        <f>IF($B48="","",VLOOKUP($B48,スキル!$A:$K,4,0))</f>
      </c>
      <c r="J48" s="55"/>
      <c r="K48" s="55">
        <f>IF($B48="","",VLOOKUP($B48,スキル!$A:$K,5,0))</f>
      </c>
      <c r="L48" s="55">
        <f>IF($B48="","",VLOOKUP($B48,スキル!$A:$K,6,0))</f>
      </c>
      <c r="M48" s="55">
        <f>IF($B48="","",VLOOKUP($B48,スキル!$A:$K,7,0))</f>
      </c>
      <c r="N48" s="55">
        <f>IF($B48="","",VLOOKUP($B48,スキル!$A:$K,8,0))</f>
      </c>
      <c r="O48" s="55"/>
      <c r="P48" s="55">
        <f>IF($B48="","",VLOOKUP($B48,スキル!$A:$K,9,0))</f>
      </c>
      <c r="Q48" s="390">
        <f>IF($B48="","",VLOOKUP($B48,スキル!$A:$K,10,0))</f>
      </c>
      <c r="R48" s="390"/>
      <c r="S48" s="390"/>
      <c r="T48" s="390"/>
      <c r="U48" s="390"/>
      <c r="V48" s="390"/>
      <c r="W48" s="85"/>
      <c r="X48" s="85"/>
      <c r="Y48" s="85"/>
      <c r="Z48" s="125">
        <f>IF($W48="","",VLOOKUP($W48,スキル!$A:$E,2,0))</f>
      </c>
      <c r="AA48" s="125"/>
      <c r="AB48" s="125" t="str">
        <f>IF($W48="","0",VLOOKUP($W48,スキル!$A:$E,3,0))</f>
        <v>0</v>
      </c>
      <c r="AC48" s="340" t="str">
        <f>IF($W48="","0",VLOOKUP($W48,スキル!$A:$E,4,0))</f>
        <v>0</v>
      </c>
      <c r="AD48" s="437"/>
      <c r="AE48" s="431" t="s">
        <v>317</v>
      </c>
      <c r="AF48" s="432" t="s">
        <v>93</v>
      </c>
      <c r="AZ48" s="400"/>
      <c r="BA48" s="63"/>
      <c r="BB48" s="63"/>
      <c r="BC48" s="79" t="s">
        <v>362</v>
      </c>
      <c r="BD48" s="80" t="str">
        <f>"+"&amp;0&amp;"(+"&amp;COUNTIF(AR_SHEET_装備,"ソイルソード")+COUNTIF(AR_SHEET_ギルドスキル,"土の紋章")&amp;"D)"</f>
        <v>+0(+0D)</v>
      </c>
    </row>
    <row r="49" spans="2:57" ht="11.25">
      <c r="B49" s="389"/>
      <c r="C49" s="389"/>
      <c r="D49" s="389"/>
      <c r="E49" s="389"/>
      <c r="F49" s="131">
        <f>IF($B49="","",VLOOKUP($B49,スキル!$A:$K,2,0))</f>
      </c>
      <c r="G49" s="131"/>
      <c r="H49" s="131">
        <f>IF($B49="","",VLOOKUP($B49,スキル!$A:$K,3,0))</f>
      </c>
      <c r="I49" s="55">
        <f>IF($B49="","",VLOOKUP($B49,スキル!$A:$K,4,0))</f>
      </c>
      <c r="J49" s="55"/>
      <c r="K49" s="55">
        <f>IF($B49="","",VLOOKUP($B49,スキル!$A:$K,5,0))</f>
      </c>
      <c r="L49" s="55">
        <f>IF($B49="","",VLOOKUP($B49,スキル!$A:$K,6,0))</f>
      </c>
      <c r="M49" s="55">
        <f>IF($B49="","",VLOOKUP($B49,スキル!$A:$K,7,0))</f>
      </c>
      <c r="N49" s="55">
        <f>IF($B49="","",VLOOKUP($B49,スキル!$A:$K,8,0))</f>
      </c>
      <c r="O49" s="55"/>
      <c r="P49" s="55">
        <f>IF($B49="","",VLOOKUP($B49,スキル!$A:$K,9,0))</f>
      </c>
      <c r="Q49" s="390">
        <f>IF($B49="","",VLOOKUP($B49,スキル!$A:$K,10,0))</f>
      </c>
      <c r="R49" s="390"/>
      <c r="S49" s="390"/>
      <c r="T49" s="390"/>
      <c r="U49" s="390"/>
      <c r="V49" s="390"/>
      <c r="W49" s="85"/>
      <c r="X49" s="85"/>
      <c r="Y49" s="85"/>
      <c r="Z49" s="125">
        <f>IF($W49="","",VLOOKUP($W49,スキル!$A:$E,2,0))</f>
      </c>
      <c r="AA49" s="125"/>
      <c r="AB49" s="125" t="str">
        <f>IF($W49="","0",VLOOKUP($W49,スキル!$A:$E,3,0))</f>
        <v>0</v>
      </c>
      <c r="AC49" s="340" t="str">
        <f>IF($W49="","0",VLOOKUP($W49,スキル!$A:$E,4,0))</f>
        <v>0</v>
      </c>
      <c r="AD49" s="437"/>
      <c r="AE49" s="431" t="s">
        <v>363</v>
      </c>
      <c r="AF49" s="432" t="s">
        <v>93</v>
      </c>
      <c r="AZ49" s="400"/>
      <c r="BA49" s="63"/>
      <c r="BB49" s="63"/>
      <c r="BC49" s="79" t="s">
        <v>364</v>
      </c>
      <c r="BD49" s="80" t="str">
        <f>"+"&amp;COUNTIF(AR_SHEET_装備,"神魔の手甲")*5&amp;"(+"&amp;COUNTIF(AR_SHEET_装備,"シャドウソード")+COUNTIF(AR_SHEET_ギルドスキル,"闇の紋章")&amp;"D)"</f>
        <v>+0(+0D)</v>
      </c>
      <c r="BE49" s="204"/>
    </row>
    <row r="50" spans="2:57" ht="11.25">
      <c r="B50" s="389"/>
      <c r="C50" s="389"/>
      <c r="D50" s="389"/>
      <c r="E50" s="389"/>
      <c r="F50" s="131">
        <f>IF($B50="","",VLOOKUP($B50,スキル!$A:$K,2,0))</f>
      </c>
      <c r="G50" s="131"/>
      <c r="H50" s="131">
        <f>IF($B50="","",VLOOKUP($B50,スキル!$A:$K,3,0))</f>
      </c>
      <c r="I50" s="55">
        <f>IF($B50="","",VLOOKUP($B50,スキル!$A:$K,4,0))</f>
      </c>
      <c r="J50" s="55"/>
      <c r="K50" s="55">
        <f>IF($B50="","",VLOOKUP($B50,スキル!$A:$K,5,0))</f>
      </c>
      <c r="L50" s="55">
        <f>IF($B50="","",VLOOKUP($B50,スキル!$A:$K,6,0))</f>
      </c>
      <c r="M50" s="55">
        <f>IF($B50="","",VLOOKUP($B50,スキル!$A:$K,7,0))</f>
      </c>
      <c r="N50" s="55">
        <f>IF($B50="","",VLOOKUP($B50,スキル!$A:$K,8,0))</f>
      </c>
      <c r="O50" s="55"/>
      <c r="P50" s="55">
        <f>IF($B50="","",VLOOKUP($B50,スキル!$A:$K,9,0))</f>
      </c>
      <c r="Q50" s="390">
        <f>IF($B50="","",VLOOKUP($B50,スキル!$A:$K,10,0))</f>
      </c>
      <c r="R50" s="390"/>
      <c r="S50" s="390"/>
      <c r="T50" s="390"/>
      <c r="U50" s="390"/>
      <c r="V50" s="390"/>
      <c r="W50" s="85"/>
      <c r="X50" s="85"/>
      <c r="Y50" s="85"/>
      <c r="Z50" s="125">
        <f>IF($W50="","",VLOOKUP($W50,スキル!$A:$E,2,0))</f>
      </c>
      <c r="AA50" s="125"/>
      <c r="AB50" s="125" t="str">
        <f>IF($W50="","0",VLOOKUP($W50,スキル!$A:$E,3,0))</f>
        <v>0</v>
      </c>
      <c r="AC50" s="340" t="str">
        <f>IF($W50="","0",VLOOKUP($W50,スキル!$A:$E,4,0))</f>
        <v>0</v>
      </c>
      <c r="AD50" s="437"/>
      <c r="AE50" s="431" t="s">
        <v>365</v>
      </c>
      <c r="AF50" s="432" t="s">
        <v>93</v>
      </c>
      <c r="BC50" s="79" t="s">
        <v>366</v>
      </c>
      <c r="BD50" s="80" t="str">
        <f>"+"&amp;COUNTIF(AR_SHEET_装備,"神魔の手甲")*5&amp;"(+"&amp;COUNTIF(AR_SHEET_装備,"ブライトソード")+COUNTIF(AR_SHEET_ギルドスキル,"光の紋章")&amp;"D)"</f>
        <v>+0(+0D)</v>
      </c>
      <c r="BE50" s="307"/>
    </row>
    <row r="51" spans="2:57" ht="11.25">
      <c r="B51" s="389"/>
      <c r="C51" s="389"/>
      <c r="D51" s="389"/>
      <c r="E51" s="389"/>
      <c r="F51" s="131">
        <f>IF($B51="","",VLOOKUP($B51,スキル!$A:$K,2,0))</f>
      </c>
      <c r="G51" s="131"/>
      <c r="H51" s="131">
        <f>IF($B51="","",VLOOKUP($B51,スキル!$A:$K,3,0))</f>
      </c>
      <c r="I51" s="55">
        <f>IF($B51="","",VLOOKUP($B51,スキル!$A:$K,4,0))</f>
      </c>
      <c r="J51" s="55"/>
      <c r="K51" s="55">
        <f>IF($B51="","",VLOOKUP($B51,スキル!$A:$K,5,0))</f>
      </c>
      <c r="L51" s="55">
        <f>IF($B51="","",VLOOKUP($B51,スキル!$A:$K,6,0))</f>
      </c>
      <c r="M51" s="55">
        <f>IF($B51="","",VLOOKUP($B51,スキル!$A:$K,7,0))</f>
      </c>
      <c r="N51" s="55">
        <f>IF($B51="","",VLOOKUP($B51,スキル!$A:$K,8,0))</f>
      </c>
      <c r="O51" s="55"/>
      <c r="P51" s="55">
        <f>IF($B51="","",VLOOKUP($B51,スキル!$A:$K,9,0))</f>
      </c>
      <c r="Q51" s="390">
        <f>IF($B51="","",VLOOKUP($B51,スキル!$A:$K,10,0))</f>
      </c>
      <c r="R51" s="390"/>
      <c r="S51" s="390"/>
      <c r="T51" s="390"/>
      <c r="U51" s="390"/>
      <c r="V51" s="390"/>
      <c r="W51" s="85"/>
      <c r="X51" s="85"/>
      <c r="Y51" s="85"/>
      <c r="Z51" s="125">
        <f>IF($W51="","",VLOOKUP($W51,スキル!$A:$E,2,0))</f>
      </c>
      <c r="AA51" s="125"/>
      <c r="AB51" s="125" t="str">
        <f>IF($W51="","0",VLOOKUP($W51,スキル!$A:$E,3,0))</f>
        <v>0</v>
      </c>
      <c r="AC51" s="340" t="str">
        <f>IF($W51="","0",VLOOKUP($W51,スキル!$A:$E,4,0))</f>
        <v>0</v>
      </c>
      <c r="AD51" s="437"/>
      <c r="AE51" s="431" t="s">
        <v>367</v>
      </c>
      <c r="AF51" s="432" t="s">
        <v>93</v>
      </c>
      <c r="BC51" s="357" t="s">
        <v>368</v>
      </c>
      <c r="BD51" s="340" t="str">
        <f>"+"&amp;COUNTIF(AR_SHEET_装備,"ハンターアクス")*15&amp;"(+"&amp;IF(ISERROR(VLOOKUP("スレイヤー：植物",AR_スキルSL,7,0))=TRUE,"0",VLOOKUP("スレイヤー：植物",AR_スキルSL,7,0))&amp;"D)"</f>
        <v>+0(+0D)</v>
      </c>
      <c r="BE51" s="307"/>
    </row>
    <row r="52" spans="2:57" ht="11.25">
      <c r="B52" s="389"/>
      <c r="C52" s="389"/>
      <c r="D52" s="389"/>
      <c r="E52" s="389"/>
      <c r="F52" s="131">
        <f>IF($B52="","",VLOOKUP($B52,スキル!$A:$K,2,0))</f>
      </c>
      <c r="G52" s="131"/>
      <c r="H52" s="131">
        <f>IF($B52="","",VLOOKUP($B52,スキル!$A:$K,3,0))</f>
      </c>
      <c r="I52" s="55">
        <f>IF($B52="","",VLOOKUP($B52,スキル!$A:$K,4,0))</f>
      </c>
      <c r="J52" s="55"/>
      <c r="K52" s="55">
        <f>IF($B52="","",VLOOKUP($B52,スキル!$A:$K,5,0))</f>
      </c>
      <c r="L52" s="55">
        <f>IF($B52="","",VLOOKUP($B52,スキル!$A:$K,6,0))</f>
      </c>
      <c r="M52" s="55">
        <f>IF($B52="","",VLOOKUP($B52,スキル!$A:$K,7,0))</f>
      </c>
      <c r="N52" s="55">
        <f>IF($B52="","",VLOOKUP($B52,スキル!$A:$K,8,0))</f>
      </c>
      <c r="O52" s="55"/>
      <c r="P52" s="55">
        <f>IF($B52="","",VLOOKUP($B52,スキル!$A:$K,9,0))</f>
      </c>
      <c r="Q52" s="390">
        <f>IF($B52="","",VLOOKUP($B52,スキル!$A:$K,10,0))</f>
      </c>
      <c r="R52" s="390"/>
      <c r="S52" s="390"/>
      <c r="T52" s="390"/>
      <c r="U52" s="390"/>
      <c r="V52" s="390"/>
      <c r="W52" s="85"/>
      <c r="X52" s="85"/>
      <c r="Y52" s="85"/>
      <c r="Z52" s="125">
        <f>IF($W52="","",VLOOKUP($W52,スキル!$A:$E,2,0))</f>
      </c>
      <c r="AA52" s="125"/>
      <c r="AB52" s="125" t="str">
        <f>IF($W52="","0",VLOOKUP($W52,スキル!$A:$E,3,0))</f>
        <v>0</v>
      </c>
      <c r="AC52" s="340" t="str">
        <f>IF($W52="","0",VLOOKUP($W52,スキル!$A:$E,4,0))</f>
        <v>0</v>
      </c>
      <c r="AD52" s="437"/>
      <c r="AE52" s="431" t="s">
        <v>369</v>
      </c>
      <c r="AF52" s="432" t="s">
        <v>93</v>
      </c>
      <c r="BC52" s="357" t="s">
        <v>370</v>
      </c>
      <c r="BD52" s="340" t="str">
        <f>"+"&amp;IF(ISERROR(VLOOKUP("ビーストキラー",AR_スキルSL,7,0))=TRUE,"0",VLOOKUP("ビーストキラー",AR_スキルSL,7,0))*3+COUNTIF(AR_SHEET_装備,"ハンターアクス")*15&amp;"(+"&amp;IF(ISERROR(VLOOKUP("スレイヤー：動物",AR_スキルSL,7,0))=TRUE,"0",VLOOKUP("スレイヤー：動物",AR_スキルSL,7,0))&amp;"D)"</f>
        <v>+0(+0D)</v>
      </c>
      <c r="BE52" s="307"/>
    </row>
    <row r="53" spans="2:57" ht="11.25">
      <c r="B53" s="389"/>
      <c r="C53" s="389"/>
      <c r="D53" s="389"/>
      <c r="E53" s="389"/>
      <c r="F53" s="131">
        <f>IF($B53="","",VLOOKUP($B53,スキル!$A:$K,2,0))</f>
      </c>
      <c r="G53" s="131"/>
      <c r="H53" s="131">
        <f>IF($B53="","",VLOOKUP($B53,スキル!$A:$K,3,0))</f>
      </c>
      <c r="I53" s="55">
        <f>IF($B53="","",VLOOKUP($B53,スキル!$A:$K,4,0))</f>
      </c>
      <c r="J53" s="55"/>
      <c r="K53" s="55">
        <f>IF($B53="","",VLOOKUP($B53,スキル!$A:$K,5,0))</f>
      </c>
      <c r="L53" s="55">
        <f>IF($B53="","",VLOOKUP($B53,スキル!$A:$K,6,0))</f>
      </c>
      <c r="M53" s="55">
        <f>IF($B53="","",VLOOKUP($B53,スキル!$A:$K,7,0))</f>
      </c>
      <c r="N53" s="55">
        <f>IF($B53="","",VLOOKUP($B53,スキル!$A:$K,8,0))</f>
      </c>
      <c r="O53" s="55"/>
      <c r="P53" s="55">
        <f>IF($B53="","",VLOOKUP($B53,スキル!$A:$K,9,0))</f>
      </c>
      <c r="Q53" s="390">
        <f>IF($B53="","",VLOOKUP($B53,スキル!$A:$K,10,0))</f>
      </c>
      <c r="R53" s="390"/>
      <c r="S53" s="390"/>
      <c r="T53" s="390"/>
      <c r="U53" s="390"/>
      <c r="V53" s="390"/>
      <c r="W53" s="85"/>
      <c r="X53" s="85"/>
      <c r="Y53" s="85"/>
      <c r="Z53" s="125">
        <f>IF($W53="","",VLOOKUP($W53,スキル!$A:$E,2,0))</f>
      </c>
      <c r="AA53" s="125"/>
      <c r="AB53" s="125" t="str">
        <f>IF($W53="","0",VLOOKUP($W53,スキル!$A:$E,3,0))</f>
        <v>0</v>
      </c>
      <c r="AC53" s="340" t="str">
        <f>IF($W53="","0",VLOOKUP($W53,スキル!$A:$E,4,0))</f>
        <v>0</v>
      </c>
      <c r="AE53" s="431" t="s">
        <v>371</v>
      </c>
      <c r="AF53" s="432" t="s">
        <v>93</v>
      </c>
      <c r="BC53" s="357" t="s">
        <v>372</v>
      </c>
      <c r="BD53" s="340" t="str">
        <f>"+"&amp;0&amp;"(+"&amp;IF(ISERROR(VLOOKUP("スレイヤー：人間",AR_スキルSL,7,0))=TRUE,"0",VLOOKUP("スレイヤー：人間",AR_スキルSL,7,0))&amp;"D)"</f>
        <v>+0(+0D)</v>
      </c>
      <c r="BE53" s="204"/>
    </row>
    <row r="54" spans="2:57" ht="11.25">
      <c r="B54" s="389"/>
      <c r="C54" s="389"/>
      <c r="D54" s="389"/>
      <c r="E54" s="389"/>
      <c r="F54" s="131">
        <f>IF($B54="","",VLOOKUP($B54,スキル!$A:$K,2,0))</f>
      </c>
      <c r="G54" s="131"/>
      <c r="H54" s="131">
        <f>IF($B54="","",VLOOKUP($B54,スキル!$A:$K,3,0))</f>
      </c>
      <c r="I54" s="55">
        <f>IF($B54="","",VLOOKUP($B54,スキル!$A:$K,4,0))</f>
      </c>
      <c r="J54" s="55"/>
      <c r="K54" s="55">
        <f>IF($B54="","",VLOOKUP($B54,スキル!$A:$K,5,0))</f>
      </c>
      <c r="L54" s="55">
        <f>IF($B54="","",VLOOKUP($B54,スキル!$A:$K,6,0))</f>
      </c>
      <c r="M54" s="55">
        <f>IF($B54="","",VLOOKUP($B54,スキル!$A:$K,7,0))</f>
      </c>
      <c r="N54" s="55">
        <f>IF($B54="","",VLOOKUP($B54,スキル!$A:$K,8,0))</f>
      </c>
      <c r="O54" s="55"/>
      <c r="P54" s="55">
        <f>IF($B54="","",VLOOKUP($B54,スキル!$A:$K,9,0))</f>
      </c>
      <c r="Q54" s="390">
        <f>IF($B54="","",VLOOKUP($B54,スキル!$A:$K,10,0))</f>
      </c>
      <c r="R54" s="390"/>
      <c r="S54" s="390"/>
      <c r="T54" s="390"/>
      <c r="U54" s="390"/>
      <c r="V54" s="390"/>
      <c r="W54" s="85"/>
      <c r="X54" s="85"/>
      <c r="Y54" s="85"/>
      <c r="Z54" s="125">
        <f>IF($W54="","",VLOOKUP($W54,スキル!$A:$E,2,0))</f>
      </c>
      <c r="AA54" s="125"/>
      <c r="AB54" s="125" t="str">
        <f>IF($W54="","0",VLOOKUP($W54,スキル!$A:$E,3,0))</f>
        <v>0</v>
      </c>
      <c r="AC54" s="340" t="str">
        <f>IF($W54="","0",VLOOKUP($W54,スキル!$A:$E,4,0))</f>
        <v>0</v>
      </c>
      <c r="AE54" s="431" t="s">
        <v>373</v>
      </c>
      <c r="AF54" s="432" t="s">
        <v>93</v>
      </c>
      <c r="BC54" s="357" t="s">
        <v>374</v>
      </c>
      <c r="BD54" s="340" t="str">
        <f>"+"&amp;0&amp;"(+"&amp;IF(ISERROR(VLOOKUP("スレイヤー：妖精",AR_スキルSL,7,0))=TRUE,"0",VLOOKUP("スレイヤー：妖精",AR_スキルSL,7,0))&amp;"D)"</f>
        <v>+0(+0D)</v>
      </c>
      <c r="BE54" s="204"/>
    </row>
    <row r="55" spans="2:57" ht="11.25">
      <c r="B55" s="389"/>
      <c r="C55" s="389"/>
      <c r="D55" s="389"/>
      <c r="E55" s="389"/>
      <c r="F55" s="131">
        <f>IF($B55="","",VLOOKUP($B55,スキル!$A:$K,2,0))</f>
      </c>
      <c r="G55" s="131"/>
      <c r="H55" s="131">
        <f>IF($B55="","",VLOOKUP($B55,スキル!$A:$K,3,0))</f>
      </c>
      <c r="I55" s="55">
        <f>IF($B55="","",VLOOKUP($B55,スキル!$A:$K,4,0))</f>
      </c>
      <c r="J55" s="55"/>
      <c r="K55" s="55">
        <f>IF($B55="","",VLOOKUP($B55,スキル!$A:$K,5,0))</f>
      </c>
      <c r="L55" s="55">
        <f>IF($B55="","",VLOOKUP($B55,スキル!$A:$K,6,0))</f>
      </c>
      <c r="M55" s="55">
        <f>IF($B55="","",VLOOKUP($B55,スキル!$A:$K,7,0))</f>
      </c>
      <c r="N55" s="55">
        <f>IF($B55="","",VLOOKUP($B55,スキル!$A:$K,8,0))</f>
      </c>
      <c r="O55" s="55"/>
      <c r="P55" s="55">
        <f>IF($B55="","",VLOOKUP($B55,スキル!$A:$K,9,0))</f>
      </c>
      <c r="Q55" s="390">
        <f>IF($B55="","",VLOOKUP($B55,スキル!$A:$K,10,0))</f>
      </c>
      <c r="R55" s="390"/>
      <c r="S55" s="390"/>
      <c r="T55" s="390"/>
      <c r="U55" s="390"/>
      <c r="V55" s="390"/>
      <c r="W55" s="85"/>
      <c r="X55" s="85"/>
      <c r="Y55" s="85"/>
      <c r="Z55" s="125">
        <f>IF($W55="","",VLOOKUP($W55,スキル!$A:$E,2,0))</f>
      </c>
      <c r="AA55" s="125"/>
      <c r="AB55" s="125" t="str">
        <f>IF($W55="","0",VLOOKUP($W55,スキル!$A:$E,3,0))</f>
        <v>0</v>
      </c>
      <c r="AC55" s="340" t="str">
        <f>IF($W55="","0",VLOOKUP($W55,スキル!$A:$E,4,0))</f>
        <v>0</v>
      </c>
      <c r="AE55" s="431" t="s">
        <v>375</v>
      </c>
      <c r="AF55" s="432" t="s">
        <v>93</v>
      </c>
      <c r="BC55" s="357" t="s">
        <v>376</v>
      </c>
      <c r="BD55" s="340" t="str">
        <f>"+"&amp;IF(ISERROR(VLOOKUP("ドラゴンバスター",AR_スキルSL,7,0))=TRUE,"0",VLOOKUP("ドラゴンバスター",AR_スキルSL,7,0))*3+IF(ISERROR(VLOOKUP("エクソシズム",AR_スキルSL,7,0))=TRUE,"0",VLOOKUP("エクソシズム",AR_スキルSL,7,0))*5+COUNTIF(AR_SHEET_装備,"セレスチャルソード")*5&amp;"(+"&amp;IF(ISERROR(VLOOKUP("スレイヤー：妖魔",AR_スキルSL,7,0))=TRUE,"0",VLOOKUP("スレイヤー：妖魔",AR_スキルSL,7,0))+COUNTIF(AR_SHEET_装備,"神罰者の紋章")*3&amp;"D)"</f>
        <v>+0(+0D)</v>
      </c>
      <c r="BE55" s="307"/>
    </row>
    <row r="56" spans="2:56" ht="11.25">
      <c r="B56" s="438"/>
      <c r="C56" s="438"/>
      <c r="D56" s="438"/>
      <c r="E56" s="438"/>
      <c r="F56" s="367">
        <f>IF($B56="","",VLOOKUP($B56,スキル!$A:$K,2,0))</f>
      </c>
      <c r="G56" s="367"/>
      <c r="H56" s="367">
        <f>IF($B56="","",VLOOKUP($B56,スキル!$A:$K,3,0))</f>
      </c>
      <c r="I56" s="152">
        <f>IF($B56="","",VLOOKUP($B56,スキル!$A:$K,4,0))</f>
      </c>
      <c r="J56" s="152"/>
      <c r="K56" s="152">
        <f>IF($B56="","",VLOOKUP($B56,スキル!$A:$K,5,0))</f>
      </c>
      <c r="L56" s="152">
        <f>IF($B56="","",VLOOKUP($B56,スキル!$A:$K,6,0))</f>
      </c>
      <c r="M56" s="152">
        <f>IF($B56="","",VLOOKUP($B56,スキル!$A:$K,7,0))</f>
      </c>
      <c r="N56" s="152">
        <f>IF($B56="","",VLOOKUP($B56,スキル!$A:$K,8,0))</f>
      </c>
      <c r="O56" s="152"/>
      <c r="P56" s="152">
        <f>IF($B56="","",VLOOKUP($B56,スキル!$A:$K,9,0))</f>
      </c>
      <c r="Q56" s="439">
        <f>IF($B56="","",VLOOKUP($B56,スキル!$A:$K,10,0))</f>
      </c>
      <c r="R56" s="439"/>
      <c r="S56" s="439"/>
      <c r="T56" s="439"/>
      <c r="U56" s="439"/>
      <c r="V56" s="439"/>
      <c r="W56" s="85"/>
      <c r="X56" s="85"/>
      <c r="Y56" s="85"/>
      <c r="Z56" s="154">
        <f>IF($W56="","",VLOOKUP($W56,スキル!$A:$E,2,0))</f>
      </c>
      <c r="AA56" s="154"/>
      <c r="AB56" s="154" t="str">
        <f>IF($W56="","0",VLOOKUP($W56,スキル!$A:$E,3,0))</f>
        <v>0</v>
      </c>
      <c r="AC56" s="306" t="str">
        <f>IF($W56="","0",VLOOKUP($W56,スキル!$A:$E,4,0))</f>
        <v>0</v>
      </c>
      <c r="AE56" s="431" t="s">
        <v>377</v>
      </c>
      <c r="AF56" s="432" t="s">
        <v>93</v>
      </c>
      <c r="BC56" s="357" t="s">
        <v>378</v>
      </c>
      <c r="BD56" s="340" t="str">
        <f>"+"&amp;IF(ISERROR(VLOOKUP("エクソシズム",AR_スキルSL,7,0))=TRUE,"0",VLOOKUP("エクソシズム",AR_スキルSL,7,0))*5+COUNTIF(AR_SHEET_装備,"セレスチャルソード")*5&amp;"(+"&amp;IF(ISERROR(VLOOKUP("スレイヤー：アンデット",AR_スキルSL,7,0))=TRUE,"0",VLOOKUP("スレイヤー：アンデット",AR_スキルSL,7,0))&amp;"D)"</f>
        <v>+0(+0D)</v>
      </c>
    </row>
    <row r="57" spans="2:56" ht="13.5">
      <c r="B57" s="389"/>
      <c r="C57" s="389"/>
      <c r="D57" s="389"/>
      <c r="E57" s="389"/>
      <c r="F57" s="131">
        <f>IF($B57="","",VLOOKUP($B57,スキル!$A:$K,2,0))</f>
      </c>
      <c r="G57" s="131"/>
      <c r="H57" s="131">
        <f>IF($B57="","",VLOOKUP($B57,スキル!$A:$K,3,0))</f>
      </c>
      <c r="I57" s="55">
        <f>IF($B57="","",VLOOKUP($B57,スキル!$A:$K,4,0))</f>
      </c>
      <c r="J57" s="55"/>
      <c r="K57" s="55">
        <f>IF($B57="","",VLOOKUP($B57,スキル!$A:$K,5,0))</f>
      </c>
      <c r="L57" s="55">
        <f>IF($B57="","",VLOOKUP($B57,スキル!$A:$K,6,0))</f>
      </c>
      <c r="M57" s="55">
        <f>IF($B57="","",VLOOKUP($B57,スキル!$A:$K,7,0))</f>
      </c>
      <c r="N57" s="55">
        <f>IF($B57="","",VLOOKUP($B57,スキル!$A:$K,8,0))</f>
      </c>
      <c r="O57" s="55"/>
      <c r="P57" s="55">
        <f>IF($B57="","",VLOOKUP($B57,スキル!$A:$K,9,0))</f>
      </c>
      <c r="Q57" s="390">
        <f>IF($B57="","",VLOOKUP($B57,スキル!$A:$K,10,0))</f>
      </c>
      <c r="R57" s="390"/>
      <c r="S57" s="390"/>
      <c r="T57" s="390"/>
      <c r="U57" s="390"/>
      <c r="V57" s="390"/>
      <c r="W57" s="85"/>
      <c r="X57" s="85"/>
      <c r="Y57" s="85"/>
      <c r="Z57" s="125">
        <f>IF($W57="","",VLOOKUP($W57,スキル!$A:$E,2,0))</f>
      </c>
      <c r="AA57" s="125"/>
      <c r="AB57" s="125" t="str">
        <f>IF($W57="","0",VLOOKUP($W57,スキル!$A:$E,3,0))</f>
        <v>0</v>
      </c>
      <c r="AC57" s="340" t="str">
        <f>IF($W57="","0",VLOOKUP($W57,スキル!$A:$E,4,0))</f>
        <v>0</v>
      </c>
      <c r="AE57" s="440" t="s">
        <v>379</v>
      </c>
      <c r="AF57" s="441" t="s">
        <v>93</v>
      </c>
      <c r="BC57" s="357" t="s">
        <v>380</v>
      </c>
      <c r="BD57" s="340" t="str">
        <f>"+"&amp;0&amp;"(+"&amp;IF(ISERROR(VLOOKUP("スレイヤー：精霊",AR_スキルSL,7,0))=TRUE,"0",VLOOKUP("スレイヤー：精霊",AR_スキルSL,7,0))&amp;"D)"</f>
        <v>+0(+0D)</v>
      </c>
    </row>
    <row r="58" spans="2:56" ht="13.5">
      <c r="B58" s="389"/>
      <c r="C58" s="389"/>
      <c r="D58" s="389"/>
      <c r="E58" s="389"/>
      <c r="F58" s="131">
        <f>IF($B58="","",VLOOKUP($B58,スキル!$A:$K,2,0))</f>
      </c>
      <c r="G58" s="131"/>
      <c r="H58" s="131">
        <f>IF($B58="","",VLOOKUP($B58,スキル!$A:$K,3,0))</f>
      </c>
      <c r="I58" s="55">
        <f>IF($B58="","",VLOOKUP($B58,スキル!$A:$K,4,0))</f>
      </c>
      <c r="J58" s="55"/>
      <c r="K58" s="55">
        <f>IF($B58="","",VLOOKUP($B58,スキル!$A:$K,5,0))</f>
      </c>
      <c r="L58" s="55">
        <f>IF($B58="","",VLOOKUP($B58,スキル!$A:$K,6,0))</f>
      </c>
      <c r="M58" s="55">
        <f>IF($B58="","",VLOOKUP($B58,スキル!$A:$K,7,0))</f>
      </c>
      <c r="N58" s="55">
        <f>IF($B58="","",VLOOKUP($B58,スキル!$A:$K,8,0))</f>
      </c>
      <c r="O58" s="55"/>
      <c r="P58" s="55">
        <f>IF($B58="","",VLOOKUP($B58,スキル!$A:$K,9,0))</f>
      </c>
      <c r="Q58" s="390">
        <f>IF($B58="","",VLOOKUP($B58,スキル!$A:$K,10,0))</f>
      </c>
      <c r="R58" s="390"/>
      <c r="S58" s="390"/>
      <c r="T58" s="390"/>
      <c r="U58" s="390"/>
      <c r="V58" s="390"/>
      <c r="W58" s="85"/>
      <c r="X58" s="85"/>
      <c r="Y58" s="85"/>
      <c r="Z58" s="125">
        <f>IF($W58="","",VLOOKUP($W58,スキル!$A:$E,2,0))</f>
      </c>
      <c r="AA58" s="125"/>
      <c r="AB58" s="125" t="str">
        <f>IF($W58="","0",VLOOKUP($W58,スキル!$A:$E,3,0))</f>
        <v>0</v>
      </c>
      <c r="AC58" s="340" t="str">
        <f>IF($W58="","0",VLOOKUP($W58,スキル!$A:$E,4,0))</f>
        <v>0</v>
      </c>
      <c r="BC58" s="357" t="s">
        <v>381</v>
      </c>
      <c r="BD58" s="340" t="str">
        <f>"+"&amp;0&amp;"(+"&amp;IF(ISERROR(VLOOKUP("スレイヤー：人造生物",AR_スキルSL,7,0))=TRUE,"0",VLOOKUP("スレイヤー：人造生物",AR_スキルSL,7,0))&amp;"D)"</f>
        <v>+0(+0D)</v>
      </c>
    </row>
    <row r="59" spans="2:56" ht="13.5">
      <c r="B59" s="389"/>
      <c r="C59" s="389"/>
      <c r="D59" s="389"/>
      <c r="E59" s="389"/>
      <c r="F59" s="131">
        <f>IF($B59="","",VLOOKUP($B59,スキル!$A:$K,2,0))</f>
      </c>
      <c r="G59" s="131"/>
      <c r="H59" s="131">
        <f>IF($B59="","",VLOOKUP($B59,スキル!$A:$K,3,0))</f>
      </c>
      <c r="I59" s="55">
        <f>IF($B59="","",VLOOKUP($B59,スキル!$A:$K,4,0))</f>
      </c>
      <c r="J59" s="55"/>
      <c r="K59" s="55">
        <f>IF($B59="","",VLOOKUP($B59,スキル!$A:$K,5,0))</f>
      </c>
      <c r="L59" s="55">
        <f>IF($B59="","",VLOOKUP($B59,スキル!$A:$K,6,0))</f>
      </c>
      <c r="M59" s="55">
        <f>IF($B59="","",VLOOKUP($B59,スキル!$A:$K,7,0))</f>
      </c>
      <c r="N59" s="55">
        <f>IF($B59="","",VLOOKUP($B59,スキル!$A:$K,8,0))</f>
      </c>
      <c r="O59" s="55"/>
      <c r="P59" s="55">
        <f>IF($B59="","",VLOOKUP($B59,スキル!$A:$K,9,0))</f>
      </c>
      <c r="Q59" s="390">
        <f>IF($B59="","",VLOOKUP($B59,スキル!$A:$K,10,0))</f>
      </c>
      <c r="R59" s="390"/>
      <c r="S59" s="390"/>
      <c r="T59" s="390"/>
      <c r="U59" s="390"/>
      <c r="V59" s="390"/>
      <c r="W59" s="85"/>
      <c r="X59" s="85"/>
      <c r="Y59" s="85"/>
      <c r="Z59" s="125">
        <f>IF($W59="","",VLOOKUP($W59,スキル!$A:$E,2,0))</f>
      </c>
      <c r="AA59" s="125"/>
      <c r="AB59" s="125" t="str">
        <f>IF($W59="","0",VLOOKUP($W59,スキル!$A:$E,3,0))</f>
        <v>0</v>
      </c>
      <c r="AC59" s="340" t="str">
        <f>IF($W59="","0",VLOOKUP($W59,スキル!$A:$E,4,0))</f>
        <v>0</v>
      </c>
      <c r="BC59" s="357" t="s">
        <v>382</v>
      </c>
      <c r="BD59" s="340" t="str">
        <f>"+"&amp;0&amp;"(+"&amp;IF(ISERROR(VLOOKUP("スレイヤー：機械",AR_スキルSL,7,0))=TRUE,"0",VLOOKUP("スレイヤー：機械",AR_スキルSL,7,0))&amp;"D)"</f>
        <v>+0(+0D)</v>
      </c>
    </row>
    <row r="60" spans="2:56" ht="13.5">
      <c r="B60" s="389"/>
      <c r="C60" s="389"/>
      <c r="D60" s="389"/>
      <c r="E60" s="389"/>
      <c r="F60" s="131">
        <f>IF($B60="","",VLOOKUP($B60,スキル!$A:$K,2,0))</f>
      </c>
      <c r="G60" s="131"/>
      <c r="H60" s="131">
        <f>IF($B60="","",VLOOKUP($B60,スキル!$A:$K,3,0))</f>
      </c>
      <c r="I60" s="55">
        <f>IF($B60="","",VLOOKUP($B60,スキル!$A:$K,4,0))</f>
      </c>
      <c r="J60" s="55"/>
      <c r="K60" s="55">
        <f>IF($B60="","",VLOOKUP($B60,スキル!$A:$K,5,0))</f>
      </c>
      <c r="L60" s="55">
        <f>IF($B60="","",VLOOKUP($B60,スキル!$A:$K,6,0))</f>
      </c>
      <c r="M60" s="55">
        <f>IF($B60="","",VLOOKUP($B60,スキル!$A:$K,7,0))</f>
      </c>
      <c r="N60" s="55">
        <f>IF($B60="","",VLOOKUP($B60,スキル!$A:$K,8,0))</f>
      </c>
      <c r="O60" s="55"/>
      <c r="P60" s="55">
        <f>IF($B60="","",VLOOKUP($B60,スキル!$A:$K,9,0))</f>
      </c>
      <c r="Q60" s="390">
        <f>IF($B60="","",VLOOKUP($B60,スキル!$A:$K,10,0))</f>
      </c>
      <c r="R60" s="390"/>
      <c r="S60" s="390"/>
      <c r="T60" s="390"/>
      <c r="U60" s="390"/>
      <c r="V60" s="390"/>
      <c r="W60" s="85"/>
      <c r="X60" s="85"/>
      <c r="Y60" s="85"/>
      <c r="Z60" s="125">
        <f>IF($W60="","",VLOOKUP($W60,スキル!$A:$E,2,0))</f>
      </c>
      <c r="AA60" s="125"/>
      <c r="AB60" s="125" t="str">
        <f>IF($W60="","0",VLOOKUP($W60,スキル!$A:$E,3,0))</f>
        <v>0</v>
      </c>
      <c r="AC60" s="340" t="str">
        <f>IF($W60="","0",VLOOKUP($W60,スキル!$A:$E,4,0))</f>
        <v>0</v>
      </c>
      <c r="BC60" s="357" t="s">
        <v>383</v>
      </c>
      <c r="BD60" s="340" t="str">
        <f>"+"&amp;IF(ISERROR(VLOOKUP("ビーストキラー",AR_スキルSL,7,0))=TRUE,"0",VLOOKUP("ビーストキラー",AR_スキルSL,7,0))*3&amp;"(+"&amp;IF(ISERROR(VLOOKUP("スレイヤー：魔獣",AR_スキルSL,7,0))=TRUE,"0",VLOOKUP("スレイヤー：魔獣",AR_スキルSL,7,0))&amp;"D)"</f>
        <v>+0(+0D)</v>
      </c>
    </row>
    <row r="61" spans="2:56" ht="13.5">
      <c r="B61" s="389"/>
      <c r="C61" s="389"/>
      <c r="D61" s="389"/>
      <c r="E61" s="389"/>
      <c r="F61" s="131">
        <f>IF($B61="","",VLOOKUP($B61,スキル!$A:$K,2,0))</f>
      </c>
      <c r="G61" s="131"/>
      <c r="H61" s="131">
        <f>IF($B61="","",VLOOKUP($B61,スキル!$A:$K,3,0))</f>
      </c>
      <c r="I61" s="55">
        <f>IF($B61="","",VLOOKUP($B61,スキル!$A:$K,4,0))</f>
      </c>
      <c r="J61" s="55"/>
      <c r="K61" s="55">
        <f>IF($B61="","",VLOOKUP($B61,スキル!$A:$K,5,0))</f>
      </c>
      <c r="L61" s="55">
        <f>IF($B61="","",VLOOKUP($B61,スキル!$A:$K,6,0))</f>
      </c>
      <c r="M61" s="55">
        <f>IF($B61="","",VLOOKUP($B61,スキル!$A:$K,7,0))</f>
      </c>
      <c r="N61" s="55">
        <f>IF($B61="","",VLOOKUP($B61,スキル!$A:$K,8,0))</f>
      </c>
      <c r="O61" s="55"/>
      <c r="P61" s="55">
        <f>IF($B61="","",VLOOKUP($B61,スキル!$A:$K,9,0))</f>
      </c>
      <c r="Q61" s="390">
        <f>IF($B61="","",VLOOKUP($B61,スキル!$A:$K,10,0))</f>
      </c>
      <c r="R61" s="390"/>
      <c r="S61" s="390"/>
      <c r="T61" s="390"/>
      <c r="U61" s="390"/>
      <c r="V61" s="390"/>
      <c r="W61" s="85"/>
      <c r="X61" s="85"/>
      <c r="Y61" s="85"/>
      <c r="Z61" s="125">
        <f>IF($W61="","",VLOOKUP($W61,スキル!$A:$E,2,0))</f>
      </c>
      <c r="AA61" s="125"/>
      <c r="AB61" s="125" t="str">
        <f>IF($W61="","0",VLOOKUP($W61,スキル!$A:$E,3,0))</f>
        <v>0</v>
      </c>
      <c r="AC61" s="340" t="str">
        <f>IF($W61="","0",VLOOKUP($W61,スキル!$A:$E,4,0))</f>
        <v>0</v>
      </c>
      <c r="BC61" s="357" t="s">
        <v>384</v>
      </c>
      <c r="BD61" s="340" t="str">
        <f>"+"&amp;IF(ISERROR(VLOOKUP("ビーストキラー",AR_スキルSL,7,0))=TRUE,"0",VLOOKUP("ビーストキラー",AR_スキルSL,7,0))*3&amp;"(+"&amp;IF(ISERROR(VLOOKUP("スレイヤー：霊獣",AR_スキルSL,7,0))=TRUE,"0",VLOOKUP("スレイヤー：霊獣",AR_スキルSL,7,0))&amp;"D)"</f>
        <v>+0(+0D)</v>
      </c>
    </row>
    <row r="62" spans="2:56" ht="13.5">
      <c r="B62" s="389"/>
      <c r="C62" s="389"/>
      <c r="D62" s="389"/>
      <c r="E62" s="389"/>
      <c r="F62" s="131">
        <f>IF($B62="","",VLOOKUP($B62,スキル!$A:$K,2,0))</f>
      </c>
      <c r="G62" s="131"/>
      <c r="H62" s="131">
        <f>IF($B62="","",VLOOKUP($B62,スキル!$A:$K,3,0))</f>
      </c>
      <c r="I62" s="55">
        <f>IF($B62="","",VLOOKUP($B62,スキル!$A:$K,4,0))</f>
      </c>
      <c r="J62" s="55"/>
      <c r="K62" s="55">
        <f>IF($B62="","",VLOOKUP($B62,スキル!$A:$K,5,0))</f>
      </c>
      <c r="L62" s="55">
        <f>IF($B62="","",VLOOKUP($B62,スキル!$A:$K,6,0))</f>
      </c>
      <c r="M62" s="55">
        <f>IF($B62="","",VLOOKUP($B62,スキル!$A:$K,7,0))</f>
      </c>
      <c r="N62" s="55">
        <f>IF($B62="","",VLOOKUP($B62,スキル!$A:$K,8,0))</f>
      </c>
      <c r="O62" s="55"/>
      <c r="P62" s="55">
        <f>IF($B62="","",VLOOKUP($B62,スキル!$A:$K,9,0))</f>
      </c>
      <c r="Q62" s="390">
        <f>IF($B62="","",VLOOKUP($B62,スキル!$A:$K,10,0))</f>
      </c>
      <c r="R62" s="390"/>
      <c r="S62" s="390"/>
      <c r="T62" s="390"/>
      <c r="U62" s="390"/>
      <c r="V62" s="390"/>
      <c r="W62" s="85"/>
      <c r="X62" s="85"/>
      <c r="Y62" s="85"/>
      <c r="Z62" s="125">
        <f>IF($W62="","",VLOOKUP($W62,スキル!$A:$E,2,0))</f>
      </c>
      <c r="AA62" s="125"/>
      <c r="AB62" s="125" t="str">
        <f>IF($W62="","0",VLOOKUP($W62,スキル!$A:$E,3,0))</f>
        <v>0</v>
      </c>
      <c r="AC62" s="340" t="str">
        <f>IF($W62="","0",VLOOKUP($W62,スキル!$A:$E,4,0))</f>
        <v>0</v>
      </c>
      <c r="BC62" s="357" t="s">
        <v>385</v>
      </c>
      <c r="BD62" s="340" t="str">
        <f>"+"&amp;0&amp;"(+"&amp;IF(ISERROR(VLOOKUP("スレイヤー：巨人",AR_スキルSL,7,0))=TRUE,"0",VLOOKUP("スレイヤー：巨人",AR_スキルSL,7,0))&amp;"D)"</f>
        <v>+0(+0D)</v>
      </c>
    </row>
    <row r="63" spans="2:56" ht="13.5">
      <c r="B63" s="389"/>
      <c r="C63" s="389"/>
      <c r="D63" s="389"/>
      <c r="E63" s="389"/>
      <c r="F63" s="131">
        <f>IF($B63="","",VLOOKUP($B63,スキル!$A:$K,2,0))</f>
      </c>
      <c r="G63" s="131"/>
      <c r="H63" s="131">
        <f>IF($B63="","",VLOOKUP($B63,スキル!$A:$K,3,0))</f>
      </c>
      <c r="I63" s="55">
        <f>IF($B63="","",VLOOKUP($B63,スキル!$A:$K,4,0))</f>
      </c>
      <c r="J63" s="55"/>
      <c r="K63" s="55">
        <f>IF($B63="","",VLOOKUP($B63,スキル!$A:$K,5,0))</f>
      </c>
      <c r="L63" s="55">
        <f>IF($B63="","",VLOOKUP($B63,スキル!$A:$K,6,0))</f>
      </c>
      <c r="M63" s="55">
        <f>IF($B63="","",VLOOKUP($B63,スキル!$A:$K,7,0))</f>
      </c>
      <c r="N63" s="55">
        <f>IF($B63="","",VLOOKUP($B63,スキル!$A:$K,8,0))</f>
      </c>
      <c r="O63" s="55"/>
      <c r="P63" s="55">
        <f>IF($B63="","",VLOOKUP($B63,スキル!$A:$K,9,0))</f>
      </c>
      <c r="Q63" s="390">
        <f>IF($B63="","",VLOOKUP($B63,スキル!$A:$K,10,0))</f>
      </c>
      <c r="R63" s="390"/>
      <c r="S63" s="390"/>
      <c r="T63" s="390"/>
      <c r="U63" s="390"/>
      <c r="V63" s="390"/>
      <c r="W63" s="85"/>
      <c r="X63" s="85"/>
      <c r="Y63" s="85"/>
      <c r="Z63" s="125">
        <f>IF($W63="","",VLOOKUP($W63,スキル!$A:$E,2,0))</f>
      </c>
      <c r="AA63" s="125"/>
      <c r="AB63" s="125" t="str">
        <f>IF($W63="","0",VLOOKUP($W63,スキル!$A:$E,3,0))</f>
        <v>0</v>
      </c>
      <c r="AC63" s="340" t="str">
        <f>IF($W63="","0",VLOOKUP($W63,スキル!$A:$E,4,0))</f>
        <v>0</v>
      </c>
      <c r="BC63" s="357" t="s">
        <v>386</v>
      </c>
      <c r="BD63" s="340" t="str">
        <f>"+"&amp;IF(ISERROR(VLOOKUP("ドラゴンバスター",AR_スキルSL,7,0))=TRUE,"0",VLOOKUP("ドラゴンバスター",AR_スキルSL,7,0))*3&amp;"(+"&amp;IF(ISERROR(VLOOKUP("スレイヤー：竜",AR_スキルSL,7,0))=TRUE,"0",VLOOKUP("スレイヤー：竜",AR_スキルSL,7,0))&amp;"D)"</f>
        <v>+0(+0D)</v>
      </c>
    </row>
    <row r="64" spans="2:56" ht="13.5">
      <c r="B64" s="389"/>
      <c r="C64" s="389"/>
      <c r="D64" s="389"/>
      <c r="E64" s="389"/>
      <c r="F64" s="131">
        <f>IF($B64="","",VLOOKUP($B64,スキル!$A:$K,2,0))</f>
      </c>
      <c r="G64" s="131"/>
      <c r="H64" s="131">
        <f>IF($B64="","",VLOOKUP($B64,スキル!$A:$K,3,0))</f>
      </c>
      <c r="I64" s="55">
        <f>IF($B64="","",VLOOKUP($B64,スキル!$A:$K,4,0))</f>
      </c>
      <c r="J64" s="55"/>
      <c r="K64" s="55">
        <f>IF($B64="","",VLOOKUP($B64,スキル!$A:$K,5,0))</f>
      </c>
      <c r="L64" s="55">
        <f>IF($B64="","",VLOOKUP($B64,スキル!$A:$K,6,0))</f>
      </c>
      <c r="M64" s="55">
        <f>IF($B64="","",VLOOKUP($B64,スキル!$A:$K,7,0))</f>
      </c>
      <c r="N64" s="55">
        <f>IF($B64="","",VLOOKUP($B64,スキル!$A:$K,8,0))</f>
      </c>
      <c r="O64" s="55"/>
      <c r="P64" s="55">
        <f>IF($B64="","",VLOOKUP($B64,スキル!$A:$K,9,0))</f>
      </c>
      <c r="Q64" s="390">
        <f>IF($B64="","",VLOOKUP($B64,スキル!$A:$K,10,0))</f>
      </c>
      <c r="R64" s="390"/>
      <c r="S64" s="390"/>
      <c r="T64" s="390"/>
      <c r="U64" s="390"/>
      <c r="V64" s="390"/>
      <c r="W64" s="85"/>
      <c r="X64" s="85"/>
      <c r="Y64" s="85"/>
      <c r="Z64" s="125">
        <f>IF($W64="","",VLOOKUP($W64,スキル!$A:$E,2,0))</f>
      </c>
      <c r="AA64" s="125"/>
      <c r="AB64" s="125" t="str">
        <f>IF($W64="","0",VLOOKUP($W64,スキル!$A:$E,3,0))</f>
        <v>0</v>
      </c>
      <c r="AC64" s="340" t="str">
        <f>IF($W64="","0",VLOOKUP($W64,スキル!$A:$E,4,0))</f>
        <v>0</v>
      </c>
      <c r="BC64" s="357" t="s">
        <v>387</v>
      </c>
      <c r="BD64" s="340" t="str">
        <f>"+"&amp;IF(ISERROR(VLOOKUP("ドラゴンバスター",AR_スキルSL,7,0))=TRUE,"0",VLOOKUP("ドラゴンバスター",AR_スキルSL,7,0))*3+IF(ISERROR(VLOOKUP("エクソシズム",AR_スキルSL,7,0))=TRUE,"0",VLOOKUP("エクソシズム",AR_スキルSL,7,0))*5+COUNTIF(AR_SHEET_装備,"セレスチャルソード")*5&amp;"(+"&amp;IF(ISERROR(VLOOKUP("スレイヤー：魔族",AR_スキルSL,7,0))=TRUE,"0",VLOOKUP("スレイヤー：魔族",AR_スキルSL,7,0))+COUNTIF(AR_SHEET_装備,"神罰者の紋章")*3&amp;"D)"</f>
        <v>+0(+0D)</v>
      </c>
    </row>
    <row r="65" spans="2:56" ht="13.5">
      <c r="B65" s="424"/>
      <c r="C65" s="424"/>
      <c r="D65" s="424"/>
      <c r="E65" s="424"/>
      <c r="F65" s="425">
        <f>IF($B65="","",VLOOKUP($B65,スキル!$A:$K,2,0))</f>
      </c>
      <c r="G65" s="425"/>
      <c r="H65" s="425">
        <f>IF($B65="","",VLOOKUP($B65,スキル!$A:$K,3,0))</f>
      </c>
      <c r="I65" s="157">
        <f>IF($B65="","",VLOOKUP($B65,スキル!$A:$K,4,0))</f>
      </c>
      <c r="J65" s="157"/>
      <c r="K65" s="157">
        <f>IF($B65="","",VLOOKUP($B65,スキル!$A:$K,5,0))</f>
      </c>
      <c r="L65" s="157">
        <f>IF($B65="","",VLOOKUP($B65,スキル!$A:$K,6,0))</f>
      </c>
      <c r="M65" s="157">
        <f>IF($B65="","",VLOOKUP($B65,スキル!$A:$K,7,0))</f>
      </c>
      <c r="N65" s="157">
        <f>IF($B65="","",VLOOKUP($B65,スキル!$A:$K,8,0))</f>
      </c>
      <c r="O65" s="157"/>
      <c r="P65" s="157">
        <f>IF($B65="","",VLOOKUP($B65,スキル!$A:$K,9,0))</f>
      </c>
      <c r="Q65" s="426">
        <f>IF($B65="","",VLOOKUP($B65,スキル!$A:$K,10,0))</f>
      </c>
      <c r="R65" s="426"/>
      <c r="S65" s="426"/>
      <c r="T65" s="426"/>
      <c r="U65" s="426"/>
      <c r="V65" s="426"/>
      <c r="W65" s="93"/>
      <c r="X65" s="93"/>
      <c r="Y65" s="93"/>
      <c r="Z65" s="159">
        <f>IF($W65="","",VLOOKUP($W65,スキル!$A:$E,2,0))</f>
      </c>
      <c r="AA65" s="159"/>
      <c r="AB65" s="159" t="str">
        <f>IF($W65="","0",VLOOKUP($W65,スキル!$A:$E,3,0))</f>
        <v>0</v>
      </c>
      <c r="AC65" s="325" t="str">
        <f>IF($W65="","0",VLOOKUP($W65,スキル!$A:$E,4,0))</f>
        <v>0</v>
      </c>
      <c r="BC65" s="366" t="s">
        <v>388</v>
      </c>
      <c r="BD65" s="306" t="str">
        <f>"+"&amp;IF(ISERROR(VLOOKUP("ブラインドサイド",AR_スキルSL,7,0))=TRUE,"0",VLOOKUP("ブラインドサイド",AR_スキルSL,7,0))*2&amp;"(+"&amp;0&amp;"D)"</f>
        <v>+0(+0D)</v>
      </c>
    </row>
    <row r="66" spans="55:56" ht="13.5">
      <c r="BC66" s="288" t="s">
        <v>389</v>
      </c>
      <c r="BD66" s="407" t="str">
        <f>"+"&amp;COUNTIF(AR_SHEET_装備,"シャープダガー")*10+COUNTIF(AR_SHEET_装備,"紫電剣")*$H$10&amp;"(+"&amp;IF(ISERROR(VLOOKUP("マーダースキル",AR_スキルSL,7,0))=TRUE,"0",VLOOKUP("マーダースキル",AR_スキルSL,7,0))+COUNTIF(AR_SHEET_装備,"レイジハンマー")&amp;"D)"</f>
        <v>+0(+0D)</v>
      </c>
    </row>
    <row r="67" spans="55:56" ht="13.5">
      <c r="BC67" s="364" t="s">
        <v>390</v>
      </c>
      <c r="BD67" s="82" t="str">
        <f>"-"&amp;COUNTIF(AR_SHEET_装備,"モノブレード")*10+COUNTIF(AR_SHEET_装備,"アルトエッジ")*5+COUNTIF(AR_SHEET_装備,"ブラインドウィップ")*10&amp;"(-"&amp;0&amp;"D)"</f>
        <v>-0(-0D)</v>
      </c>
    </row>
    <row r="68" spans="55:56" ht="13.5">
      <c r="BC68" s="147" t="s">
        <v>391</v>
      </c>
      <c r="BD68" s="149">
        <f>3+IF(ISERROR(VLOOKUP("デッドリーポイズン",AR_スキルSL,7,0))=TRUE,"0",VLOOKUP("デッドリーポイズン",AR_スキルSL,7,0))*4+IF(ISERROR(VLOOKUP("ブロブポイズン",AR_スキルSL,7,0))=TRUE,"0",VLOOKUP("ブロブポイズン",AR_スキルSL,7,0))*3</f>
        <v>3</v>
      </c>
    </row>
    <row r="69" spans="55:56" ht="13.5">
      <c r="BC69" s="264" t="s">
        <v>392</v>
      </c>
      <c r="BD69" s="149" t="str">
        <f>"+"&amp;0&amp;"(+"&amp;COUNTIF(AR_SHEET_ギルドスキル,"目利き")&amp;"D)"</f>
        <v>+0(+0D)</v>
      </c>
    </row>
  </sheetData>
  <mergeCells count="511">
    <mergeCell ref="A1:L1"/>
    <mergeCell ref="M1:R1"/>
    <mergeCell ref="Y1:AC1"/>
    <mergeCell ref="AE1:AF1"/>
    <mergeCell ref="AM1:AN1"/>
    <mergeCell ref="AP1:AQ1"/>
    <mergeCell ref="AS1:AT1"/>
    <mergeCell ref="AW1:AX1"/>
    <mergeCell ref="AZ1:BA1"/>
    <mergeCell ref="BC1:BD1"/>
    <mergeCell ref="A2:A21"/>
    <mergeCell ref="B2:C2"/>
    <mergeCell ref="D2:G2"/>
    <mergeCell ref="I2:L2"/>
    <mergeCell ref="N2:P2"/>
    <mergeCell ref="T2:T3"/>
    <mergeCell ref="U2:U3"/>
    <mergeCell ref="V2:V3"/>
    <mergeCell ref="Y2:AC14"/>
    <mergeCell ref="AH2:AH3"/>
    <mergeCell ref="AI2:AI3"/>
    <mergeCell ref="AJ2:AJ3"/>
    <mergeCell ref="AK2:AK3"/>
    <mergeCell ref="AL2:AL3"/>
    <mergeCell ref="AM2:AM3"/>
    <mergeCell ref="AN2:AN3"/>
    <mergeCell ref="AO2:AO3"/>
    <mergeCell ref="AP2:AP3"/>
    <mergeCell ref="AQ2:AQ3"/>
    <mergeCell ref="AR2:AR3"/>
    <mergeCell ref="AS2:AS3"/>
    <mergeCell ref="AT2:AT3"/>
    <mergeCell ref="AU2:AU3"/>
    <mergeCell ref="B3:C3"/>
    <mergeCell ref="D3:G3"/>
    <mergeCell ref="I3:L3"/>
    <mergeCell ref="N3:P3"/>
    <mergeCell ref="B4:C4"/>
    <mergeCell ref="D4:F4"/>
    <mergeCell ref="J4:L4"/>
    <mergeCell ref="M4:O4"/>
    <mergeCell ref="P4:R4"/>
    <mergeCell ref="T4:T5"/>
    <mergeCell ref="U4:U5"/>
    <mergeCell ref="V4:V5"/>
    <mergeCell ref="AH4:AH5"/>
    <mergeCell ref="AI4:AI5"/>
    <mergeCell ref="AJ4:AJ5"/>
    <mergeCell ref="AK4:AK5"/>
    <mergeCell ref="AL4:AL5"/>
    <mergeCell ref="AM4:AM5"/>
    <mergeCell ref="AN4:AN5"/>
    <mergeCell ref="AO4:AO5"/>
    <mergeCell ref="AP4:AP5"/>
    <mergeCell ref="AQ4:AQ5"/>
    <mergeCell ref="AR4:AR5"/>
    <mergeCell ref="AS4:AS5"/>
    <mergeCell ref="AT4:AT5"/>
    <mergeCell ref="AU4:AU5"/>
    <mergeCell ref="B5:C5"/>
    <mergeCell ref="D5:F5"/>
    <mergeCell ref="K5:L5"/>
    <mergeCell ref="M5:Q5"/>
    <mergeCell ref="B6:J6"/>
    <mergeCell ref="K6:L6"/>
    <mergeCell ref="M6:P6"/>
    <mergeCell ref="S6:S7"/>
    <mergeCell ref="V6:V7"/>
    <mergeCell ref="AE6:AF6"/>
    <mergeCell ref="AI6:AI7"/>
    <mergeCell ref="AJ6:AJ7"/>
    <mergeCell ref="AK6:AK7"/>
    <mergeCell ref="AL6:AL7"/>
    <mergeCell ref="I7:J7"/>
    <mergeCell ref="K7:L7"/>
    <mergeCell ref="M7:P7"/>
    <mergeCell ref="K8:R8"/>
    <mergeCell ref="AJ8:AK8"/>
    <mergeCell ref="AM8:AN8"/>
    <mergeCell ref="AP8:AQ8"/>
    <mergeCell ref="AS8:AT8"/>
    <mergeCell ref="K9:K10"/>
    <mergeCell ref="L9:L10"/>
    <mergeCell ref="M9:R9"/>
    <mergeCell ref="S9:U9"/>
    <mergeCell ref="AJ9:AK9"/>
    <mergeCell ref="AM9:AN9"/>
    <mergeCell ref="AP9:AQ9"/>
    <mergeCell ref="AS9:AT9"/>
    <mergeCell ref="M10:R10"/>
    <mergeCell ref="S10:T10"/>
    <mergeCell ref="AJ10:AK10"/>
    <mergeCell ref="AM10:AN10"/>
    <mergeCell ref="AP10:AQ10"/>
    <mergeCell ref="AS10:AT10"/>
    <mergeCell ref="K11:K12"/>
    <mergeCell ref="L11:L12"/>
    <mergeCell ref="M11:R11"/>
    <mergeCell ref="S11:T11"/>
    <mergeCell ref="V11:W11"/>
    <mergeCell ref="AJ11:AK11"/>
    <mergeCell ref="AM11:AN11"/>
    <mergeCell ref="AP11:AQ11"/>
    <mergeCell ref="AS11:AT11"/>
    <mergeCell ref="M12:R12"/>
    <mergeCell ref="S12:T12"/>
    <mergeCell ref="V12:W12"/>
    <mergeCell ref="M13:R13"/>
    <mergeCell ref="S13:T13"/>
    <mergeCell ref="V13:W13"/>
    <mergeCell ref="AH13:AI13"/>
    <mergeCell ref="AK13:AQ13"/>
    <mergeCell ref="AR13:AT13"/>
    <mergeCell ref="M14:R14"/>
    <mergeCell ref="S14:T14"/>
    <mergeCell ref="V14:W14"/>
    <mergeCell ref="AK14:AQ14"/>
    <mergeCell ref="AR14:AT14"/>
    <mergeCell ref="B15:E15"/>
    <mergeCell ref="N15:O15"/>
    <mergeCell ref="R15:V15"/>
    <mergeCell ref="W15:X15"/>
    <mergeCell ref="AB15:AC15"/>
    <mergeCell ref="AK15:AQ15"/>
    <mergeCell ref="AR15:AT15"/>
    <mergeCell ref="C16:E16"/>
    <mergeCell ref="N16:O16"/>
    <mergeCell ref="R16:V16"/>
    <mergeCell ref="W16:X16"/>
    <mergeCell ref="AK16:AQ16"/>
    <mergeCell ref="AR16:AT16"/>
    <mergeCell ref="C17:E17"/>
    <mergeCell ref="N17:O17"/>
    <mergeCell ref="R17:V17"/>
    <mergeCell ref="W17:X17"/>
    <mergeCell ref="AK17:AQ17"/>
    <mergeCell ref="AR17:AT17"/>
    <mergeCell ref="C18:E18"/>
    <mergeCell ref="N18:O18"/>
    <mergeCell ref="R18:V18"/>
    <mergeCell ref="W18:X18"/>
    <mergeCell ref="AK18:AQ18"/>
    <mergeCell ref="AR18:AT18"/>
    <mergeCell ref="C19:E19"/>
    <mergeCell ref="N19:O19"/>
    <mergeCell ref="R19:V19"/>
    <mergeCell ref="W19:X19"/>
    <mergeCell ref="AK19:AQ19"/>
    <mergeCell ref="AR19:AT19"/>
    <mergeCell ref="C20:E20"/>
    <mergeCell ref="N20:O20"/>
    <mergeCell ref="R20:V20"/>
    <mergeCell ref="W20:X20"/>
    <mergeCell ref="AK20:AQ20"/>
    <mergeCell ref="AR20:AT20"/>
    <mergeCell ref="C21:E21"/>
    <mergeCell ref="N21:O21"/>
    <mergeCell ref="R21:V21"/>
    <mergeCell ref="W21:X21"/>
    <mergeCell ref="AK21:AQ21"/>
    <mergeCell ref="AR21:AT21"/>
    <mergeCell ref="N22:O22"/>
    <mergeCell ref="R22:V22"/>
    <mergeCell ref="W22:X22"/>
    <mergeCell ref="AK22:AQ22"/>
    <mergeCell ref="AR22:AT22"/>
    <mergeCell ref="A23:A42"/>
    <mergeCell ref="B23:E23"/>
    <mergeCell ref="F23:G23"/>
    <mergeCell ref="I23:J23"/>
    <mergeCell ref="N23:O23"/>
    <mergeCell ref="Q23:R23"/>
    <mergeCell ref="S23:T23"/>
    <mergeCell ref="W23:X23"/>
    <mergeCell ref="AK23:AQ23"/>
    <mergeCell ref="AR23:AT23"/>
    <mergeCell ref="B24:E24"/>
    <mergeCell ref="F24:G24"/>
    <mergeCell ref="I24:J24"/>
    <mergeCell ref="N24:O24"/>
    <mergeCell ref="Q24:V24"/>
    <mergeCell ref="W24:X24"/>
    <mergeCell ref="Y24:Z24"/>
    <mergeCell ref="AK24:AQ24"/>
    <mergeCell ref="AR24:AT24"/>
    <mergeCell ref="B25:E25"/>
    <mergeCell ref="F25:G25"/>
    <mergeCell ref="I25:J25"/>
    <mergeCell ref="N25:O25"/>
    <mergeCell ref="Q25:V25"/>
    <mergeCell ref="W25:X25"/>
    <mergeCell ref="Z25:AB25"/>
    <mergeCell ref="AK25:AQ25"/>
    <mergeCell ref="AR25:AT25"/>
    <mergeCell ref="B26:E26"/>
    <mergeCell ref="F26:G26"/>
    <mergeCell ref="I26:J26"/>
    <mergeCell ref="N26:O26"/>
    <mergeCell ref="Q26:V26"/>
    <mergeCell ref="W26:X26"/>
    <mergeCell ref="Z26:AB26"/>
    <mergeCell ref="AK26:AQ26"/>
    <mergeCell ref="AR26:AT26"/>
    <mergeCell ref="B27:E27"/>
    <mergeCell ref="F27:G27"/>
    <mergeCell ref="I27:J27"/>
    <mergeCell ref="N27:O27"/>
    <mergeCell ref="Q27:V27"/>
    <mergeCell ref="W27:X27"/>
    <mergeCell ref="Z27:AB27"/>
    <mergeCell ref="AK27:AQ27"/>
    <mergeCell ref="AR27:AT27"/>
    <mergeCell ref="B28:E28"/>
    <mergeCell ref="F28:G28"/>
    <mergeCell ref="I28:J28"/>
    <mergeCell ref="N28:O28"/>
    <mergeCell ref="Q28:V28"/>
    <mergeCell ref="W28:X28"/>
    <mergeCell ref="Z28:AB28"/>
    <mergeCell ref="AH28:AI28"/>
    <mergeCell ref="AK28:AQ28"/>
    <mergeCell ref="AR28:AT28"/>
    <mergeCell ref="B29:E29"/>
    <mergeCell ref="F29:G29"/>
    <mergeCell ref="I29:J29"/>
    <mergeCell ref="N29:O29"/>
    <mergeCell ref="Q29:V29"/>
    <mergeCell ref="W29:X29"/>
    <mergeCell ref="Z29:AB29"/>
    <mergeCell ref="AK29:AQ29"/>
    <mergeCell ref="AR29:AT29"/>
    <mergeCell ref="B30:E30"/>
    <mergeCell ref="F30:G30"/>
    <mergeCell ref="I30:J30"/>
    <mergeCell ref="N30:O30"/>
    <mergeCell ref="Q30:V30"/>
    <mergeCell ref="W30:X30"/>
    <mergeCell ref="Z30:AB30"/>
    <mergeCell ref="AK30:AQ30"/>
    <mergeCell ref="AR30:AT30"/>
    <mergeCell ref="B31:E31"/>
    <mergeCell ref="F31:G31"/>
    <mergeCell ref="I31:J31"/>
    <mergeCell ref="N31:O31"/>
    <mergeCell ref="Q31:V31"/>
    <mergeCell ref="W31:X31"/>
    <mergeCell ref="Z31:AB31"/>
    <mergeCell ref="AK31:AQ31"/>
    <mergeCell ref="AR31:AT31"/>
    <mergeCell ref="B32:E32"/>
    <mergeCell ref="F32:G32"/>
    <mergeCell ref="I32:J32"/>
    <mergeCell ref="N32:O32"/>
    <mergeCell ref="Q32:V32"/>
    <mergeCell ref="W32:X32"/>
    <mergeCell ref="Z32:AB32"/>
    <mergeCell ref="AK32:AQ32"/>
    <mergeCell ref="AR32:AT32"/>
    <mergeCell ref="B33:E33"/>
    <mergeCell ref="F33:G33"/>
    <mergeCell ref="I33:J33"/>
    <mergeCell ref="N33:O33"/>
    <mergeCell ref="Q33:V33"/>
    <mergeCell ref="W33:X33"/>
    <mergeCell ref="Z33:AB33"/>
    <mergeCell ref="AK33:AQ33"/>
    <mergeCell ref="AR33:AT33"/>
    <mergeCell ref="B34:E34"/>
    <mergeCell ref="F34:G34"/>
    <mergeCell ref="I34:J34"/>
    <mergeCell ref="N34:O34"/>
    <mergeCell ref="Q34:V34"/>
    <mergeCell ref="W34:X34"/>
    <mergeCell ref="Z34:AB34"/>
    <mergeCell ref="AK34:AQ34"/>
    <mergeCell ref="AR34:AT34"/>
    <mergeCell ref="B35:E35"/>
    <mergeCell ref="F35:G35"/>
    <mergeCell ref="I35:J35"/>
    <mergeCell ref="N35:O35"/>
    <mergeCell ref="Q35:V35"/>
    <mergeCell ref="W35:X35"/>
    <mergeCell ref="Z35:AC35"/>
    <mergeCell ref="AK35:AQ35"/>
    <mergeCell ref="AR35:AT35"/>
    <mergeCell ref="B36:E36"/>
    <mergeCell ref="F36:G36"/>
    <mergeCell ref="I36:J36"/>
    <mergeCell ref="N36:O36"/>
    <mergeCell ref="Q36:V36"/>
    <mergeCell ref="W36:X36"/>
    <mergeCell ref="Z36:AC36"/>
    <mergeCell ref="AK36:AQ36"/>
    <mergeCell ref="AR36:AT36"/>
    <mergeCell ref="B37:E37"/>
    <mergeCell ref="F37:G37"/>
    <mergeCell ref="I37:J37"/>
    <mergeCell ref="N37:O37"/>
    <mergeCell ref="Q37:V37"/>
    <mergeCell ref="W37:X37"/>
    <mergeCell ref="Y37:Z37"/>
    <mergeCell ref="AB37:AC37"/>
    <mergeCell ref="AK37:AQ37"/>
    <mergeCell ref="AR37:AT37"/>
    <mergeCell ref="B38:E38"/>
    <mergeCell ref="F38:G38"/>
    <mergeCell ref="I38:J38"/>
    <mergeCell ref="N38:O38"/>
    <mergeCell ref="Q38:V38"/>
    <mergeCell ref="W38:Y38"/>
    <mergeCell ref="Z38:AA38"/>
    <mergeCell ref="AK38:AQ38"/>
    <mergeCell ref="AR38:AT38"/>
    <mergeCell ref="B39:E39"/>
    <mergeCell ref="F39:G39"/>
    <mergeCell ref="I39:J39"/>
    <mergeCell ref="N39:O39"/>
    <mergeCell ref="Q39:V39"/>
    <mergeCell ref="W39:Y39"/>
    <mergeCell ref="Z39:AA39"/>
    <mergeCell ref="AK39:AQ39"/>
    <mergeCell ref="AR39:AT39"/>
    <mergeCell ref="B40:E40"/>
    <mergeCell ref="F40:G40"/>
    <mergeCell ref="I40:J40"/>
    <mergeCell ref="N40:O40"/>
    <mergeCell ref="Q40:V40"/>
    <mergeCell ref="W40:Y40"/>
    <mergeCell ref="Z40:AA40"/>
    <mergeCell ref="AK40:AQ40"/>
    <mergeCell ref="AR40:AT40"/>
    <mergeCell ref="B41:E41"/>
    <mergeCell ref="F41:G41"/>
    <mergeCell ref="I41:J41"/>
    <mergeCell ref="N41:O41"/>
    <mergeCell ref="Q41:V41"/>
    <mergeCell ref="W41:Y41"/>
    <mergeCell ref="Z41:AA41"/>
    <mergeCell ref="AK41:AQ41"/>
    <mergeCell ref="AR41:AT41"/>
    <mergeCell ref="B42:E42"/>
    <mergeCell ref="F42:G42"/>
    <mergeCell ref="I42:J42"/>
    <mergeCell ref="N42:O42"/>
    <mergeCell ref="Q42:V42"/>
    <mergeCell ref="W42:Y42"/>
    <mergeCell ref="Z42:AA42"/>
    <mergeCell ref="AF42:AF43"/>
    <mergeCell ref="AK42:AQ42"/>
    <mergeCell ref="AR42:AT42"/>
    <mergeCell ref="A43:A44"/>
    <mergeCell ref="B43:E43"/>
    <mergeCell ref="F43:G43"/>
    <mergeCell ref="I43:J43"/>
    <mergeCell ref="N43:O43"/>
    <mergeCell ref="Q43:V43"/>
    <mergeCell ref="W43:Y43"/>
    <mergeCell ref="Z43:AA43"/>
    <mergeCell ref="AK43:AQ43"/>
    <mergeCell ref="AR43:AT43"/>
    <mergeCell ref="B44:E44"/>
    <mergeCell ref="F44:G44"/>
    <mergeCell ref="I44:J44"/>
    <mergeCell ref="N44:O44"/>
    <mergeCell ref="Q44:V44"/>
    <mergeCell ref="W44:Y44"/>
    <mergeCell ref="Z44:AA44"/>
    <mergeCell ref="AK44:AQ44"/>
    <mergeCell ref="AR44:AT44"/>
    <mergeCell ref="AK45:AQ45"/>
    <mergeCell ref="AR45:AT45"/>
    <mergeCell ref="B46:V46"/>
    <mergeCell ref="W46:AC46"/>
    <mergeCell ref="AK46:AQ46"/>
    <mergeCell ref="AR46:AT46"/>
    <mergeCell ref="B47:E47"/>
    <mergeCell ref="F47:G47"/>
    <mergeCell ref="I47:J47"/>
    <mergeCell ref="N47:O47"/>
    <mergeCell ref="Q47:R47"/>
    <mergeCell ref="S47:T47"/>
    <mergeCell ref="W47:Y47"/>
    <mergeCell ref="Z47:AA47"/>
    <mergeCell ref="AK47:AQ47"/>
    <mergeCell ref="AR47:AT47"/>
    <mergeCell ref="B48:E48"/>
    <mergeCell ref="F48:G48"/>
    <mergeCell ref="I48:J48"/>
    <mergeCell ref="N48:O48"/>
    <mergeCell ref="Q48:V48"/>
    <mergeCell ref="W48:Y48"/>
    <mergeCell ref="Z48:AA48"/>
    <mergeCell ref="B49:E49"/>
    <mergeCell ref="F49:G49"/>
    <mergeCell ref="I49:J49"/>
    <mergeCell ref="N49:O49"/>
    <mergeCell ref="Q49:V49"/>
    <mergeCell ref="W49:Y49"/>
    <mergeCell ref="Z49:AA49"/>
    <mergeCell ref="B50:E50"/>
    <mergeCell ref="F50:G50"/>
    <mergeCell ref="I50:J50"/>
    <mergeCell ref="N50:O50"/>
    <mergeCell ref="Q50:V50"/>
    <mergeCell ref="W50:Y50"/>
    <mergeCell ref="Z50:AA50"/>
    <mergeCell ref="B51:E51"/>
    <mergeCell ref="F51:G51"/>
    <mergeCell ref="I51:J51"/>
    <mergeCell ref="N51:O51"/>
    <mergeCell ref="Q51:V51"/>
    <mergeCell ref="W51:Y51"/>
    <mergeCell ref="Z51:AA51"/>
    <mergeCell ref="B52:E52"/>
    <mergeCell ref="F52:G52"/>
    <mergeCell ref="I52:J52"/>
    <mergeCell ref="N52:O52"/>
    <mergeCell ref="Q52:V52"/>
    <mergeCell ref="W52:Y52"/>
    <mergeCell ref="Z52:AA52"/>
    <mergeCell ref="B53:E53"/>
    <mergeCell ref="F53:G53"/>
    <mergeCell ref="I53:J53"/>
    <mergeCell ref="N53:O53"/>
    <mergeCell ref="Q53:V53"/>
    <mergeCell ref="W53:Y53"/>
    <mergeCell ref="Z53:AA53"/>
    <mergeCell ref="B54:E54"/>
    <mergeCell ref="F54:G54"/>
    <mergeCell ref="I54:J54"/>
    <mergeCell ref="N54:O54"/>
    <mergeCell ref="Q54:V54"/>
    <mergeCell ref="W54:Y54"/>
    <mergeCell ref="Z54:AA54"/>
    <mergeCell ref="B55:E55"/>
    <mergeCell ref="F55:G55"/>
    <mergeCell ref="I55:J55"/>
    <mergeCell ref="N55:O55"/>
    <mergeCell ref="Q55:V55"/>
    <mergeCell ref="W55:Y55"/>
    <mergeCell ref="Z55:AA55"/>
    <mergeCell ref="B56:E56"/>
    <mergeCell ref="F56:G56"/>
    <mergeCell ref="I56:J56"/>
    <mergeCell ref="N56:O56"/>
    <mergeCell ref="Q56:V56"/>
    <mergeCell ref="W56:Y56"/>
    <mergeCell ref="Z56:AA56"/>
    <mergeCell ref="B57:E57"/>
    <mergeCell ref="F57:G57"/>
    <mergeCell ref="I57:J57"/>
    <mergeCell ref="N57:O57"/>
    <mergeCell ref="Q57:V57"/>
    <mergeCell ref="W57:Y57"/>
    <mergeCell ref="Z57:AA57"/>
    <mergeCell ref="B58:E58"/>
    <mergeCell ref="F58:G58"/>
    <mergeCell ref="I58:J58"/>
    <mergeCell ref="N58:O58"/>
    <mergeCell ref="Q58:V58"/>
    <mergeCell ref="W58:Y58"/>
    <mergeCell ref="Z58:AA58"/>
    <mergeCell ref="B59:E59"/>
    <mergeCell ref="F59:G59"/>
    <mergeCell ref="I59:J59"/>
    <mergeCell ref="N59:O59"/>
    <mergeCell ref="Q59:V59"/>
    <mergeCell ref="W59:Y59"/>
    <mergeCell ref="Z59:AA59"/>
    <mergeCell ref="B60:E60"/>
    <mergeCell ref="F60:G60"/>
    <mergeCell ref="I60:J60"/>
    <mergeCell ref="N60:O60"/>
    <mergeCell ref="Q60:V60"/>
    <mergeCell ref="W60:Y60"/>
    <mergeCell ref="Z60:AA60"/>
    <mergeCell ref="B61:E61"/>
    <mergeCell ref="F61:G61"/>
    <mergeCell ref="I61:J61"/>
    <mergeCell ref="N61:O61"/>
    <mergeCell ref="Q61:V61"/>
    <mergeCell ref="W61:Y61"/>
    <mergeCell ref="Z61:AA61"/>
    <mergeCell ref="B62:E62"/>
    <mergeCell ref="F62:G62"/>
    <mergeCell ref="I62:J62"/>
    <mergeCell ref="N62:O62"/>
    <mergeCell ref="Q62:V62"/>
    <mergeCell ref="W62:Y62"/>
    <mergeCell ref="Z62:AA62"/>
    <mergeCell ref="B63:E63"/>
    <mergeCell ref="F63:G63"/>
    <mergeCell ref="I63:J63"/>
    <mergeCell ref="N63:O63"/>
    <mergeCell ref="Q63:V63"/>
    <mergeCell ref="W63:Y63"/>
    <mergeCell ref="Z63:AA63"/>
    <mergeCell ref="B64:E64"/>
    <mergeCell ref="F64:G64"/>
    <mergeCell ref="I64:J64"/>
    <mergeCell ref="N64:O64"/>
    <mergeCell ref="Q64:V64"/>
    <mergeCell ref="W64:Y64"/>
    <mergeCell ref="Z64:AA64"/>
    <mergeCell ref="B65:E65"/>
    <mergeCell ref="F65:G65"/>
    <mergeCell ref="I65:J65"/>
    <mergeCell ref="N65:O65"/>
    <mergeCell ref="Q65:V65"/>
    <mergeCell ref="W65:Y65"/>
    <mergeCell ref="Z65:AA65"/>
  </mergeCells>
  <dataValidations count="14">
    <dataValidation allowBlank="1" sqref="F16:F21 H16:N18 P16:R21 G19:N21 R22">
      <formula1>0</formula1>
      <formula2>0</formula2>
    </dataValidation>
    <dataValidation type="list" allowBlank="1" sqref="B24:E44 B48:E65">
      <formula1>INDIRECT(F24)</formula1>
      <formula2>0</formula2>
    </dataValidation>
    <dataValidation type="list" allowBlank="1" sqref="C16:E21">
      <formula1>INDIRECT($G16)</formula1>
      <formula2>0</formula2>
    </dataValidation>
    <dataValidation type="list" allowBlank="1" sqref="AC48:AC65">
      <formula1>スキルレベル選択</formula1>
      <formula2>0</formula2>
    </dataValidation>
    <dataValidation type="list" allowBlank="1" sqref="F24:G44 F48:G65">
      <formula1>AR_スキル</formula1>
      <formula2>0</formula2>
    </dataValidation>
    <dataValidation type="list" allowBlank="1" sqref="H24:H44 AC39:AC44 H48:H65">
      <formula1>スキルレベル選択</formula1>
      <formula2>0</formula2>
    </dataValidation>
    <dataValidation type="list" allowBlank="1" sqref="G16:G18">
      <formula1>AR_武器種別</formula1>
      <formula2>0</formula2>
    </dataValidation>
    <dataValidation type="list" allowBlank="1" sqref="W25:W36 Z25:AA34">
      <formula1>所持品</formula1>
      <formula2>0</formula2>
    </dataValidation>
    <dataValidation type="list" allowBlank="1" showErrorMessage="1" sqref="I3:L3">
      <formula1>AR_部族</formula1>
      <formula2>0</formula2>
    </dataValidation>
    <dataValidation type="list" allowBlank="1" sqref="V11:W14">
      <formula1>AR_各種効果</formula1>
      <formula2>0</formula2>
    </dataValidation>
    <dataValidation type="list" allowBlank="1" showErrorMessage="1" sqref="V1">
      <formula1>AR_武器種別2</formula1>
      <formula2>0</formula2>
    </dataValidation>
    <dataValidation type="list" allowBlank="1" showErrorMessage="1" sqref="AF44:AF57">
      <formula1>レベル選択</formula1>
      <formula2>0</formula2>
    </dataValidation>
    <dataValidation type="list" allowBlank="1" sqref="S10:T14">
      <formula1>AR_各種効果</formula1>
      <formula2>0</formula2>
    </dataValidation>
    <dataValidation type="list" allowBlank="1" sqref="W39:Y44 W48:Y65">
      <formula1>AR_獲得済ギルドスキル</formula1>
      <formula2>0</formula2>
    </dataValidation>
  </dataValidations>
  <printOptions/>
  <pageMargins left="0.5902777777777778" right="0.5902777777777778" top="0.7875" bottom="0.7875" header="0.5118055555555555" footer="0.5118055555555555"/>
  <pageSetup horizontalDpi="300" verticalDpi="300" orientation="landscape" paperSize="9"/>
  <legacyDrawing r:id="rId2"/>
</worksheet>
</file>

<file path=xl/worksheets/sheet7.xml><?xml version="1.0" encoding="utf-8"?>
<worksheet xmlns="http://schemas.openxmlformats.org/spreadsheetml/2006/main" xmlns:r="http://schemas.openxmlformats.org/officeDocument/2006/relationships">
  <sheetPr codeName="Sheet8"/>
  <dimension ref="A1:N107"/>
  <sheetViews>
    <sheetView workbookViewId="0" topLeftCell="A58">
      <selection activeCell="F32" sqref="F32"/>
    </sheetView>
  </sheetViews>
  <sheetFormatPr defaultColWidth="9.00390625" defaultRowHeight="13.5"/>
  <cols>
    <col min="1" max="1" width="3.00390625" style="11" customWidth="1"/>
    <col min="2" max="2" width="12.50390625" style="11" customWidth="1"/>
    <col min="3" max="3" width="8.625" style="11" customWidth="1"/>
    <col min="4" max="4" width="3.875" style="11" customWidth="1"/>
    <col min="5" max="5" width="6.25390625" style="11" customWidth="1"/>
    <col min="6" max="6" width="5.625" style="11" customWidth="1"/>
    <col min="7" max="7" width="4.125" style="11" customWidth="1"/>
    <col min="8" max="9" width="4.375" style="11" customWidth="1"/>
    <col min="10" max="10" width="4.00390625" style="11" customWidth="1"/>
    <col min="11" max="11" width="9.875" style="11" customWidth="1"/>
    <col min="12" max="12" width="6.50390625" style="11" customWidth="1"/>
    <col min="13" max="13" width="8.00390625" style="11" customWidth="1"/>
    <col min="14" max="14" width="5.625" style="11" customWidth="1"/>
    <col min="15" max="16384" width="9.00390625" style="11" customWidth="1"/>
  </cols>
  <sheetData>
    <row r="1" spans="1:14" ht="13.5">
      <c r="A1" s="442" t="s">
        <v>393</v>
      </c>
      <c r="B1" s="442"/>
      <c r="C1" s="442"/>
      <c r="D1" s="442"/>
      <c r="E1" s="442"/>
      <c r="F1" s="443" t="s">
        <v>394</v>
      </c>
      <c r="G1" s="443"/>
      <c r="H1" s="443"/>
      <c r="I1" s="443"/>
      <c r="J1" s="443"/>
      <c r="K1" s="443"/>
      <c r="L1" s="443"/>
      <c r="M1" s="443"/>
      <c r="N1" s="443"/>
    </row>
    <row r="2" spans="1:14" ht="13.5" customHeight="1">
      <c r="A2" s="83" t="s">
        <v>195</v>
      </c>
      <c r="B2" s="83"/>
      <c r="C2" s="444" t="str">
        <f>①コンストラクション!L27</f>
        <v>サンバルカン</v>
      </c>
      <c r="D2" s="444"/>
      <c r="E2" s="444"/>
      <c r="F2" s="116" t="s">
        <v>395</v>
      </c>
      <c r="G2" s="116"/>
      <c r="H2" s="444">
        <f>'②成長点記録・ギルドレベル'!K5</f>
        <v>4</v>
      </c>
      <c r="I2" s="116" t="s">
        <v>396</v>
      </c>
      <c r="J2" s="116"/>
      <c r="K2" s="444">
        <f>'②成長点記録・ギルドレベル'!E28</f>
        <v>28</v>
      </c>
      <c r="L2" s="116" t="s">
        <v>90</v>
      </c>
      <c r="M2" s="365">
        <f>'②成長点記録・ギルドレベル'!K7</f>
        <v>18</v>
      </c>
      <c r="N2" s="365"/>
    </row>
    <row r="3" spans="1:14" ht="13.5">
      <c r="A3" s="81" t="s">
        <v>397</v>
      </c>
      <c r="B3" s="81"/>
      <c r="C3" s="157">
        <f>キャラクターシート!M7</f>
        <v>0</v>
      </c>
      <c r="D3" s="157"/>
      <c r="E3" s="157"/>
      <c r="F3" s="445" t="s">
        <v>398</v>
      </c>
      <c r="G3" s="445"/>
      <c r="H3" s="446"/>
      <c r="I3" s="446"/>
      <c r="J3" s="446"/>
      <c r="K3" s="446"/>
      <c r="L3" s="446"/>
      <c r="M3" s="446"/>
      <c r="N3" s="446"/>
    </row>
    <row r="4" spans="1:14" ht="13.5">
      <c r="A4" s="216" t="s">
        <v>399</v>
      </c>
      <c r="B4" s="216"/>
      <c r="C4" s="109" t="s">
        <v>294</v>
      </c>
      <c r="D4" s="109" t="s">
        <v>293</v>
      </c>
      <c r="E4" s="109" t="s">
        <v>400</v>
      </c>
      <c r="F4" s="220" t="s">
        <v>297</v>
      </c>
      <c r="G4" s="220"/>
      <c r="H4" s="220"/>
      <c r="I4" s="220"/>
      <c r="J4" s="220"/>
      <c r="K4" s="220"/>
      <c r="L4" s="220"/>
      <c r="M4" s="220"/>
      <c r="N4" s="220"/>
    </row>
    <row r="5" spans="1:14" ht="13.5">
      <c r="A5" s="79" t="s">
        <v>401</v>
      </c>
      <c r="B5" s="131"/>
      <c r="C5" s="444">
        <f>IF($B5="","",VLOOKUP($B5,スキル!$A:$K,2,0))</f>
      </c>
      <c r="D5" s="444">
        <f>IF($B5="","",VLOOKUP($B5,スキル!$A:$K,3,0))</f>
      </c>
      <c r="E5" s="444">
        <f>IF($B5="","",VLOOKUP($B5,スキル!$A:$K,4,0))</f>
      </c>
      <c r="F5" s="359">
        <f>IF($B5="","",VLOOKUP($B5,スキル!$A:$K,5,0))</f>
      </c>
      <c r="G5" s="359"/>
      <c r="H5" s="359"/>
      <c r="I5" s="359"/>
      <c r="J5" s="359"/>
      <c r="K5" s="359"/>
      <c r="L5" s="359"/>
      <c r="M5" s="359"/>
      <c r="N5" s="359"/>
    </row>
    <row r="6" spans="1:14" ht="13.5">
      <c r="A6" s="79" t="s">
        <v>401</v>
      </c>
      <c r="B6" s="131"/>
      <c r="C6" s="444">
        <f>IF($B6="","",VLOOKUP($B6,スキル!$A:$K,2,0))</f>
      </c>
      <c r="D6" s="444">
        <f>IF($B6="","",VLOOKUP($B6,スキル!$A:$K,3,0))</f>
      </c>
      <c r="E6" s="444">
        <f>IF($B6="","",VLOOKUP($B6,スキル!$A:$K,4,0))</f>
      </c>
      <c r="F6" s="359">
        <f>IF($B6="","",VLOOKUP($B6,スキル!$A:$K,5,0))</f>
      </c>
      <c r="G6" s="359"/>
      <c r="H6" s="359"/>
      <c r="I6" s="359"/>
      <c r="J6" s="359"/>
      <c r="K6" s="359"/>
      <c r="L6" s="359"/>
      <c r="M6" s="359"/>
      <c r="N6" s="359"/>
    </row>
    <row r="7" spans="1:14" ht="13.5">
      <c r="A7" s="79">
        <v>2</v>
      </c>
      <c r="B7" s="131"/>
      <c r="C7" s="444">
        <f>IF($B7="","",VLOOKUP($B7,スキル!$A:$K,2,0))</f>
      </c>
      <c r="D7" s="444">
        <f>IF($B7="","",VLOOKUP($B7,スキル!$A:$K,3,0))</f>
      </c>
      <c r="E7" s="444">
        <f>IF($B7="","",VLOOKUP($B7,スキル!$A:$K,4,0))</f>
      </c>
      <c r="F7" s="359">
        <f>IF($B7="","",VLOOKUP($B7,スキル!$A:$K,5,0))</f>
      </c>
      <c r="G7" s="359"/>
      <c r="H7" s="359"/>
      <c r="I7" s="359"/>
      <c r="J7" s="359"/>
      <c r="K7" s="359"/>
      <c r="L7" s="359"/>
      <c r="M7" s="359"/>
      <c r="N7" s="359"/>
    </row>
    <row r="8" spans="1:14" ht="13.5">
      <c r="A8" s="79">
        <v>3</v>
      </c>
      <c r="B8" s="131"/>
      <c r="C8" s="444">
        <f>IF($B8="","",VLOOKUP($B8,スキル!$A:$K,2,0))</f>
      </c>
      <c r="D8" s="444">
        <f>IF($B8="","",VLOOKUP($B8,スキル!$A:$K,3,0))</f>
      </c>
      <c r="E8" s="444">
        <f>IF($B8="","",VLOOKUP($B8,スキル!$A:$K,4,0))</f>
      </c>
      <c r="F8" s="359">
        <f>IF($B8="","",VLOOKUP($B8,スキル!$A:$K,5,0))</f>
      </c>
      <c r="G8" s="359"/>
      <c r="H8" s="359"/>
      <c r="I8" s="359"/>
      <c r="J8" s="359"/>
      <c r="K8" s="359"/>
      <c r="L8" s="359"/>
      <c r="M8" s="359"/>
      <c r="N8" s="359"/>
    </row>
    <row r="9" spans="1:14" ht="13.5">
      <c r="A9" s="79">
        <v>4</v>
      </c>
      <c r="B9" s="131"/>
      <c r="C9" s="444">
        <f>IF($B9="","",VLOOKUP($B9,スキル!$A:$K,2,0))</f>
      </c>
      <c r="D9" s="444">
        <f>IF($B9="","",VLOOKUP($B9,スキル!$A:$K,3,0))</f>
      </c>
      <c r="E9" s="444">
        <f>IF($B9="","",VLOOKUP($B9,スキル!$A:$K,4,0))</f>
      </c>
      <c r="F9" s="359">
        <f>IF($B9="","",VLOOKUP($B9,スキル!$A:$K,5,0))</f>
      </c>
      <c r="G9" s="359"/>
      <c r="H9" s="359"/>
      <c r="I9" s="359"/>
      <c r="J9" s="359"/>
      <c r="K9" s="359"/>
      <c r="L9" s="359"/>
      <c r="M9" s="359"/>
      <c r="N9" s="359"/>
    </row>
    <row r="10" spans="1:14" ht="13.5">
      <c r="A10" s="79">
        <v>5</v>
      </c>
      <c r="B10" s="131"/>
      <c r="C10" s="444">
        <f>IF($B10="","",VLOOKUP($B10,スキル!$A:$K,2,0))</f>
      </c>
      <c r="D10" s="444">
        <f>IF($B10="","",VLOOKUP($B10,スキル!$A:$K,3,0))</f>
      </c>
      <c r="E10" s="444">
        <f>IF($B10="","",VLOOKUP($B10,スキル!$A:$K,4,0))</f>
      </c>
      <c r="F10" s="359">
        <f>IF($B10="","",VLOOKUP($B10,スキル!$A:$K,5,0))</f>
      </c>
      <c r="G10" s="359"/>
      <c r="H10" s="359"/>
      <c r="I10" s="359"/>
      <c r="J10" s="359"/>
      <c r="K10" s="359"/>
      <c r="L10" s="359"/>
      <c r="M10" s="359"/>
      <c r="N10" s="359"/>
    </row>
    <row r="11" spans="1:14" ht="13.5">
      <c r="A11" s="79">
        <v>6</v>
      </c>
      <c r="B11" s="131"/>
      <c r="C11" s="444">
        <f>IF($B11="","",VLOOKUP($B11,スキル!$A:$K,2,0))</f>
      </c>
      <c r="D11" s="444">
        <f>IF($B11="","",VLOOKUP($B11,スキル!$A:$K,3,0))</f>
      </c>
      <c r="E11" s="444">
        <f>IF($B11="","",VLOOKUP($B11,スキル!$A:$K,4,0))</f>
      </c>
      <c r="F11" s="359">
        <f>IF($B11="","",VLOOKUP($B11,スキル!$A:$K,5,0))</f>
      </c>
      <c r="G11" s="359"/>
      <c r="H11" s="359"/>
      <c r="I11" s="359"/>
      <c r="J11" s="359"/>
      <c r="K11" s="359"/>
      <c r="L11" s="359"/>
      <c r="M11" s="359"/>
      <c r="N11" s="359"/>
    </row>
    <row r="12" spans="1:14" ht="13.5">
      <c r="A12" s="79">
        <v>7</v>
      </c>
      <c r="B12" s="131"/>
      <c r="C12" s="444">
        <f>IF($B12="","",VLOOKUP($B12,スキル!$A:$K,2,0))</f>
      </c>
      <c r="D12" s="444">
        <f>IF($B12="","",VLOOKUP($B12,スキル!$A:$K,3,0))</f>
      </c>
      <c r="E12" s="444">
        <f>IF($B12="","",VLOOKUP($B12,スキル!$A:$K,4,0))</f>
      </c>
      <c r="F12" s="359">
        <f>IF($B12="","",VLOOKUP($B12,スキル!$A:$K,5,0))</f>
      </c>
      <c r="G12" s="359"/>
      <c r="H12" s="359"/>
      <c r="I12" s="359"/>
      <c r="J12" s="359"/>
      <c r="K12" s="359"/>
      <c r="L12" s="359"/>
      <c r="M12" s="359"/>
      <c r="N12" s="359"/>
    </row>
    <row r="13" spans="1:14" ht="13.5">
      <c r="A13" s="79">
        <v>8</v>
      </c>
      <c r="B13" s="131"/>
      <c r="C13" s="444">
        <f>IF($B13="","",VLOOKUP($B13,スキル!$A:$K,2,0))</f>
      </c>
      <c r="D13" s="444">
        <f>IF($B13="","",VLOOKUP($B13,スキル!$A:$K,3,0))</f>
      </c>
      <c r="E13" s="444">
        <f>IF($B13="","",VLOOKUP($B13,スキル!$A:$K,4,0))</f>
      </c>
      <c r="F13" s="359">
        <f>IF($B13="","",VLOOKUP($B13,スキル!$A:$K,5,0))</f>
      </c>
      <c r="G13" s="359"/>
      <c r="H13" s="359"/>
      <c r="I13" s="359"/>
      <c r="J13" s="359"/>
      <c r="K13" s="359"/>
      <c r="L13" s="359"/>
      <c r="M13" s="359"/>
      <c r="N13" s="359"/>
    </row>
    <row r="14" spans="1:14" ht="13.5">
      <c r="A14" s="79">
        <v>9</v>
      </c>
      <c r="B14" s="131"/>
      <c r="C14" s="444">
        <f>IF($B14="","",VLOOKUP($B14,スキル!$A:$K,2,0))</f>
      </c>
      <c r="D14" s="444">
        <f>IF($B14="","",VLOOKUP($B14,スキル!$A:$K,3,0))</f>
      </c>
      <c r="E14" s="444">
        <f>IF($B14="","",VLOOKUP($B14,スキル!$A:$K,4,0))</f>
      </c>
      <c r="F14" s="359">
        <f>IF($B14="","",VLOOKUP($B14,スキル!$A:$K,5,0))</f>
      </c>
      <c r="G14" s="359"/>
      <c r="H14" s="359"/>
      <c r="I14" s="359"/>
      <c r="J14" s="359"/>
      <c r="K14" s="359"/>
      <c r="L14" s="359"/>
      <c r="M14" s="359"/>
      <c r="N14" s="359"/>
    </row>
    <row r="15" spans="1:14" ht="13.5">
      <c r="A15" s="79">
        <v>10</v>
      </c>
      <c r="B15" s="131"/>
      <c r="C15" s="444">
        <f>IF($B15="","",VLOOKUP($B15,スキル!$A:$K,2,0))</f>
      </c>
      <c r="D15" s="444">
        <f>IF($B15="","",VLOOKUP($B15,スキル!$A:$K,3,0))</f>
      </c>
      <c r="E15" s="444">
        <f>IF($B15="","",VLOOKUP($B15,スキル!$A:$K,4,0))</f>
      </c>
      <c r="F15" s="359">
        <f>IF($B15="","",VLOOKUP($B15,スキル!$A:$K,5,0))</f>
      </c>
      <c r="G15" s="359"/>
      <c r="H15" s="359"/>
      <c r="I15" s="359"/>
      <c r="J15" s="359"/>
      <c r="K15" s="359"/>
      <c r="L15" s="359"/>
      <c r="M15" s="359"/>
      <c r="N15" s="359"/>
    </row>
    <row r="16" spans="1:14" ht="13.5">
      <c r="A16" s="79">
        <v>11</v>
      </c>
      <c r="B16" s="131"/>
      <c r="C16" s="444">
        <f>IF($B16="","",VLOOKUP($B16,スキル!$A:$K,2,0))</f>
      </c>
      <c r="D16" s="444">
        <f>IF($B16="","",VLOOKUP($B16,スキル!$A:$K,3,0))</f>
      </c>
      <c r="E16" s="444">
        <f>IF($B16="","",VLOOKUP($B16,スキル!$A:$K,4,0))</f>
      </c>
      <c r="F16" s="359">
        <f>IF($B16="","",VLOOKUP($B16,スキル!$A:$K,5,0))</f>
      </c>
      <c r="G16" s="359"/>
      <c r="H16" s="359"/>
      <c r="I16" s="359"/>
      <c r="J16" s="359"/>
      <c r="K16" s="359"/>
      <c r="L16" s="359"/>
      <c r="M16" s="359"/>
      <c r="N16" s="359"/>
    </row>
    <row r="17" spans="1:14" ht="13.5">
      <c r="A17" s="79">
        <v>12</v>
      </c>
      <c r="B17" s="131"/>
      <c r="C17" s="444">
        <f>IF($B17="","",VLOOKUP($B17,スキル!$A:$K,2,0))</f>
      </c>
      <c r="D17" s="444">
        <f>IF($B17="","",VLOOKUP($B17,スキル!$A:$K,3,0))</f>
      </c>
      <c r="E17" s="444">
        <f>IF($B17="","",VLOOKUP($B17,スキル!$A:$K,4,0))</f>
      </c>
      <c r="F17" s="359">
        <f>IF($B17="","",VLOOKUP($B17,スキル!$A:$K,5,0))</f>
      </c>
      <c r="G17" s="359"/>
      <c r="H17" s="359"/>
      <c r="I17" s="359"/>
      <c r="J17" s="359"/>
      <c r="K17" s="359"/>
      <c r="L17" s="359"/>
      <c r="M17" s="359"/>
      <c r="N17" s="359"/>
    </row>
    <row r="18" spans="1:14" ht="13.5">
      <c r="A18" s="79">
        <v>13</v>
      </c>
      <c r="B18" s="131"/>
      <c r="C18" s="444">
        <f>IF($B18="","",VLOOKUP($B18,スキル!$A:$K,2,0))</f>
      </c>
      <c r="D18" s="444">
        <f>IF($B18="","",VLOOKUP($B18,スキル!$A:$K,3,0))</f>
      </c>
      <c r="E18" s="444">
        <f>IF($B18="","",VLOOKUP($B18,スキル!$A:$K,4,0))</f>
      </c>
      <c r="F18" s="359">
        <f>IF($B18="","",VLOOKUP($B18,スキル!$A:$K,5,0))</f>
      </c>
      <c r="G18" s="359"/>
      <c r="H18" s="359"/>
      <c r="I18" s="359"/>
      <c r="J18" s="359"/>
      <c r="K18" s="359"/>
      <c r="L18" s="359"/>
      <c r="M18" s="359"/>
      <c r="N18" s="359"/>
    </row>
    <row r="19" spans="1:14" ht="13.5">
      <c r="A19" s="79">
        <v>14</v>
      </c>
      <c r="B19" s="131"/>
      <c r="C19" s="444">
        <f>IF($B19="","",VLOOKUP($B19,スキル!$A:$K,2,0))</f>
      </c>
      <c r="D19" s="444">
        <f>IF($B19="","",VLOOKUP($B19,スキル!$A:$K,3,0))</f>
      </c>
      <c r="E19" s="444">
        <f>IF($B19="","",VLOOKUP($B19,スキル!$A:$K,4,0))</f>
      </c>
      <c r="F19" s="359">
        <f>IF($B19="","",VLOOKUP($B19,スキル!$A:$K,5,0))</f>
      </c>
      <c r="G19" s="359"/>
      <c r="H19" s="359"/>
      <c r="I19" s="359"/>
      <c r="J19" s="359"/>
      <c r="K19" s="359"/>
      <c r="L19" s="359"/>
      <c r="M19" s="359"/>
      <c r="N19" s="359"/>
    </row>
    <row r="20" spans="1:14" ht="13.5">
      <c r="A20" s="79">
        <v>15</v>
      </c>
      <c r="B20" s="131"/>
      <c r="C20" s="444">
        <f>IF($B20="","",VLOOKUP($B20,スキル!$A:$K,2,0))</f>
      </c>
      <c r="D20" s="444">
        <f>IF($B20="","",VLOOKUP($B20,スキル!$A:$K,3,0))</f>
      </c>
      <c r="E20" s="444">
        <f>IF($B20="","",VLOOKUP($B20,スキル!$A:$K,4,0))</f>
      </c>
      <c r="F20" s="359">
        <f>IF($B20="","",VLOOKUP($B20,スキル!$A:$K,5,0))</f>
      </c>
      <c r="G20" s="359"/>
      <c r="H20" s="359"/>
      <c r="I20" s="359"/>
      <c r="J20" s="359"/>
      <c r="K20" s="359"/>
      <c r="L20" s="359"/>
      <c r="M20" s="359"/>
      <c r="N20" s="359"/>
    </row>
    <row r="21" spans="1:14" ht="13.5">
      <c r="A21" s="79">
        <v>16</v>
      </c>
      <c r="B21" s="131"/>
      <c r="C21" s="444">
        <f>IF($B21="","",VLOOKUP($B21,スキル!$A:$K,2,0))</f>
      </c>
      <c r="D21" s="444">
        <f>IF($B21="","",VLOOKUP($B21,スキル!$A:$K,3,0))</f>
      </c>
      <c r="E21" s="444">
        <f>IF($B21="","",VLOOKUP($B21,スキル!$A:$K,4,0))</f>
      </c>
      <c r="F21" s="359">
        <f>IF($B21="","",VLOOKUP($B21,スキル!$A:$K,5,0))</f>
      </c>
      <c r="G21" s="359"/>
      <c r="H21" s="359"/>
      <c r="I21" s="359"/>
      <c r="J21" s="359"/>
      <c r="K21" s="359"/>
      <c r="L21" s="359"/>
      <c r="M21" s="359"/>
      <c r="N21" s="359"/>
    </row>
    <row r="22" spans="1:14" ht="13.5">
      <c r="A22" s="79">
        <v>17</v>
      </c>
      <c r="B22" s="131"/>
      <c r="C22" s="444">
        <f>IF($B22="","",VLOOKUP($B22,スキル!$A:$K,2,0))</f>
      </c>
      <c r="D22" s="444">
        <f>IF($B22="","",VLOOKUP($B22,スキル!$A:$K,3,0))</f>
      </c>
      <c r="E22" s="444">
        <f>IF($B22="","",VLOOKUP($B22,スキル!$A:$K,4,0))</f>
      </c>
      <c r="F22" s="359">
        <f>IF($B22="","",VLOOKUP($B22,スキル!$A:$K,5,0))</f>
      </c>
      <c r="G22" s="359"/>
      <c r="H22" s="359"/>
      <c r="I22" s="359"/>
      <c r="J22" s="359"/>
      <c r="K22" s="359"/>
      <c r="L22" s="359"/>
      <c r="M22" s="359"/>
      <c r="N22" s="359"/>
    </row>
    <row r="23" spans="1:14" ht="13.5">
      <c r="A23" s="79">
        <v>18</v>
      </c>
      <c r="B23" s="131"/>
      <c r="C23" s="444">
        <f>IF($B23="","",VLOOKUP($B23,スキル!$A:$K,2,0))</f>
      </c>
      <c r="D23" s="444">
        <f>IF($B23="","",VLOOKUP($B23,スキル!$A:$K,3,0))</f>
      </c>
      <c r="E23" s="444">
        <f>IF($B23="","",VLOOKUP($B23,スキル!$A:$K,4,0))</f>
      </c>
      <c r="F23" s="359">
        <f>IF($B23="","",VLOOKUP($B23,スキル!$A:$K,5,0))</f>
      </c>
      <c r="G23" s="359"/>
      <c r="H23" s="359"/>
      <c r="I23" s="359"/>
      <c r="J23" s="359"/>
      <c r="K23" s="359"/>
      <c r="L23" s="359"/>
      <c r="M23" s="359"/>
      <c r="N23" s="359"/>
    </row>
    <row r="24" spans="1:14" ht="13.5">
      <c r="A24" s="79">
        <v>19</v>
      </c>
      <c r="B24" s="131"/>
      <c r="C24" s="444">
        <f>IF($B24="","",VLOOKUP($B24,スキル!$A:$K,2,0))</f>
      </c>
      <c r="D24" s="444">
        <f>IF($B24="","",VLOOKUP($B24,スキル!$A:$K,3,0))</f>
      </c>
      <c r="E24" s="444">
        <f>IF($B24="","",VLOOKUP($B24,スキル!$A:$K,4,0))</f>
      </c>
      <c r="F24" s="359">
        <f>IF($B24="","",VLOOKUP($B24,スキル!$A:$K,5,0))</f>
      </c>
      <c r="G24" s="359"/>
      <c r="H24" s="359"/>
      <c r="I24" s="359"/>
      <c r="J24" s="359"/>
      <c r="K24" s="359"/>
      <c r="L24" s="359"/>
      <c r="M24" s="359"/>
      <c r="N24" s="359"/>
    </row>
    <row r="25" spans="1:14" ht="13.5">
      <c r="A25" s="79">
        <v>20</v>
      </c>
      <c r="B25" s="131"/>
      <c r="C25" s="444">
        <f>IF($B25="","",VLOOKUP($B25,スキル!$A:$K,2,0))</f>
      </c>
      <c r="D25" s="444">
        <f>IF($B25="","",VLOOKUP($B25,スキル!$A:$K,3,0))</f>
      </c>
      <c r="E25" s="444">
        <f>IF($B25="","",VLOOKUP($B25,スキル!$A:$K,4,0))</f>
      </c>
      <c r="F25" s="359">
        <f>IF($B25="","",VLOOKUP($B25,スキル!$A:$K,5,0))</f>
      </c>
      <c r="G25" s="359"/>
      <c r="H25" s="359"/>
      <c r="I25" s="359"/>
      <c r="J25" s="359"/>
      <c r="K25" s="359"/>
      <c r="L25" s="359"/>
      <c r="M25" s="359"/>
      <c r="N25" s="359"/>
    </row>
    <row r="26" spans="1:14" ht="13.5">
      <c r="A26" s="79">
        <v>21</v>
      </c>
      <c r="B26" s="447"/>
      <c r="C26" s="444">
        <f>IF($B26="","",VLOOKUP($B26,スキル!$A:$K,2,0))</f>
      </c>
      <c r="D26" s="444">
        <f>IF($B26="","",VLOOKUP($B26,スキル!$A:$K,3,0))</f>
      </c>
      <c r="E26" s="444">
        <f>IF($B26="","",VLOOKUP($B26,スキル!$A:$K,4,0))</f>
      </c>
      <c r="F26" s="359">
        <f>IF($B26="","",VLOOKUP($B26,スキル!$A:$K,5,0))</f>
      </c>
      <c r="G26" s="359"/>
      <c r="H26" s="359"/>
      <c r="I26" s="359"/>
      <c r="J26" s="359"/>
      <c r="K26" s="359"/>
      <c r="L26" s="359"/>
      <c r="M26" s="359"/>
      <c r="N26" s="359"/>
    </row>
    <row r="27" spans="1:14" ht="13.5">
      <c r="A27" s="79">
        <v>22</v>
      </c>
      <c r="B27" s="447"/>
      <c r="C27" s="444">
        <f>IF($B27="","",VLOOKUP($B27,スキル!$A:$K,2,0))</f>
      </c>
      <c r="D27" s="444">
        <f>IF($B27="","",VLOOKUP($B27,スキル!$A:$K,3,0))</f>
      </c>
      <c r="E27" s="444">
        <f>IF($B27="","",VLOOKUP($B27,スキル!$A:$K,4,0))</f>
      </c>
      <c r="F27" s="359">
        <f>IF($B27="","",VLOOKUP($B27,スキル!$A:$K,5,0))</f>
      </c>
      <c r="G27" s="359"/>
      <c r="H27" s="359"/>
      <c r="I27" s="359"/>
      <c r="J27" s="359"/>
      <c r="K27" s="359"/>
      <c r="L27" s="359"/>
      <c r="M27" s="359"/>
      <c r="N27" s="359"/>
    </row>
    <row r="28" spans="1:14" ht="13.5">
      <c r="A28" s="79">
        <v>23</v>
      </c>
      <c r="B28" s="447"/>
      <c r="C28" s="444">
        <f>IF($B28="","",VLOOKUP($B28,スキル!$A:$K,2,0))</f>
      </c>
      <c r="D28" s="444">
        <f>IF($B28="","",VLOOKUP($B28,スキル!$A:$K,3,0))</f>
      </c>
      <c r="E28" s="444">
        <f>IF($B28="","",VLOOKUP($B28,スキル!$A:$K,4,0))</f>
      </c>
      <c r="F28" s="359">
        <f>IF($B28="","",VLOOKUP($B28,スキル!$A:$K,5,0))</f>
      </c>
      <c r="G28" s="359"/>
      <c r="H28" s="359"/>
      <c r="I28" s="359"/>
      <c r="J28" s="359"/>
      <c r="K28" s="359"/>
      <c r="L28" s="359"/>
      <c r="M28" s="359"/>
      <c r="N28" s="359"/>
    </row>
    <row r="29" spans="1:14" ht="13.5">
      <c r="A29" s="79">
        <v>24</v>
      </c>
      <c r="B29" s="447"/>
      <c r="C29" s="444">
        <f>IF($B29="","",VLOOKUP($B29,スキル!$A:$K,2,0))</f>
      </c>
      <c r="D29" s="444">
        <f>IF($B29="","",VLOOKUP($B29,スキル!$A:$K,3,0))</f>
      </c>
      <c r="E29" s="444">
        <f>IF($B29="","",VLOOKUP($B29,スキル!$A:$K,4,0))</f>
      </c>
      <c r="F29" s="359">
        <f>IF($B29="","",VLOOKUP($B29,スキル!$A:$K,5,0))</f>
      </c>
      <c r="G29" s="359"/>
      <c r="H29" s="359"/>
      <c r="I29" s="359"/>
      <c r="J29" s="359"/>
      <c r="K29" s="359"/>
      <c r="L29" s="359"/>
      <c r="M29" s="359"/>
      <c r="N29" s="359"/>
    </row>
    <row r="30" spans="1:14" ht="13.5" customHeight="1">
      <c r="A30" s="448" t="s">
        <v>402</v>
      </c>
      <c r="B30" s="448"/>
      <c r="C30" s="109" t="s">
        <v>294</v>
      </c>
      <c r="D30" s="109" t="s">
        <v>293</v>
      </c>
      <c r="E30" s="109" t="s">
        <v>400</v>
      </c>
      <c r="F30" s="218" t="s">
        <v>297</v>
      </c>
      <c r="G30" s="394"/>
      <c r="H30" s="394" t="s">
        <v>403</v>
      </c>
      <c r="I30" s="394"/>
      <c r="J30" s="394"/>
      <c r="K30" s="394"/>
      <c r="L30" s="394"/>
      <c r="M30" s="383" t="str">
        <f>キャラクターシート!AA37&amp;"  /  "&amp;キャラクターシート!R5</f>
        <v>0  /  5</v>
      </c>
      <c r="N30" s="449" t="s">
        <v>404</v>
      </c>
    </row>
    <row r="31" spans="1:14" ht="13.5">
      <c r="A31" s="83">
        <v>1</v>
      </c>
      <c r="B31" s="450">
        <f>キャラクターシート!W39</f>
        <v>0</v>
      </c>
      <c r="C31" s="444">
        <f>キャラクターシート!Z39</f>
      </c>
      <c r="D31" s="444" t="str">
        <f>キャラクターシート!AB39</f>
        <v>0</v>
      </c>
      <c r="E31" s="444" t="str">
        <f>キャラクターシート!AC39</f>
        <v>0</v>
      </c>
      <c r="F31" s="359">
        <f>IF($B31="","",VLOOKUP($B31,スキル!$A:$K,5,0))</f>
      </c>
      <c r="G31" s="359"/>
      <c r="H31" s="359"/>
      <c r="I31" s="359"/>
      <c r="J31" s="359"/>
      <c r="K31" s="359"/>
      <c r="L31" s="359"/>
      <c r="M31" s="359"/>
      <c r="N31" s="359"/>
    </row>
    <row r="32" spans="1:14" ht="13.5">
      <c r="A32" s="79">
        <v>2</v>
      </c>
      <c r="B32" s="450">
        <f>キャラクターシート!W40</f>
        <v>0</v>
      </c>
      <c r="C32" s="444">
        <f>キャラクターシート!Z40</f>
      </c>
      <c r="D32" s="444" t="str">
        <f>キャラクターシート!AB40</f>
        <v>0</v>
      </c>
      <c r="E32" s="444" t="str">
        <f>キャラクターシート!AC40</f>
        <v>0</v>
      </c>
      <c r="F32" s="359">
        <f>IF($B32="","",VLOOKUP($B32,スキル!$A:$K,5,0))</f>
      </c>
      <c r="G32" s="359"/>
      <c r="H32" s="359"/>
      <c r="I32" s="359"/>
      <c r="J32" s="359"/>
      <c r="K32" s="359"/>
      <c r="L32" s="359"/>
      <c r="M32" s="359"/>
      <c r="N32" s="359"/>
    </row>
    <row r="33" spans="1:14" ht="13.5">
      <c r="A33" s="79">
        <v>3</v>
      </c>
      <c r="B33" s="450">
        <f>キャラクターシート!W41</f>
        <v>0</v>
      </c>
      <c r="C33" s="444">
        <f>キャラクターシート!Z41</f>
      </c>
      <c r="D33" s="444" t="str">
        <f>キャラクターシート!AB41</f>
        <v>0</v>
      </c>
      <c r="E33" s="444" t="str">
        <f>キャラクターシート!AC41</f>
        <v>0</v>
      </c>
      <c r="F33" s="359">
        <f>IF($B33="","",VLOOKUP($B33,スキル!$A:$K,5,0))</f>
      </c>
      <c r="G33" s="359"/>
      <c r="H33" s="359"/>
      <c r="I33" s="359"/>
      <c r="J33" s="359"/>
      <c r="K33" s="359"/>
      <c r="L33" s="359"/>
      <c r="M33" s="359"/>
      <c r="N33" s="359"/>
    </row>
    <row r="34" spans="1:14" ht="13.5">
      <c r="A34" s="79">
        <v>4</v>
      </c>
      <c r="B34" s="450">
        <f>キャラクターシート!W42</f>
        <v>0</v>
      </c>
      <c r="C34" s="444">
        <f>キャラクターシート!Z42</f>
      </c>
      <c r="D34" s="444" t="str">
        <f>キャラクターシート!AB42</f>
        <v>0</v>
      </c>
      <c r="E34" s="444" t="str">
        <f>キャラクターシート!AC42</f>
        <v>0</v>
      </c>
      <c r="F34" s="359">
        <f>IF($B34="","",VLOOKUP($B34,スキル!$A:$K,5,0))</f>
      </c>
      <c r="G34" s="359"/>
      <c r="H34" s="359"/>
      <c r="I34" s="359"/>
      <c r="J34" s="359"/>
      <c r="K34" s="359"/>
      <c r="L34" s="359"/>
      <c r="M34" s="359"/>
      <c r="N34" s="359"/>
    </row>
    <row r="35" spans="1:14" ht="13.5">
      <c r="A35" s="79">
        <v>5</v>
      </c>
      <c r="B35" s="450">
        <f>キャラクターシート!W43</f>
        <v>0</v>
      </c>
      <c r="C35" s="444">
        <f>キャラクターシート!Z43</f>
      </c>
      <c r="D35" s="444" t="str">
        <f>キャラクターシート!AB43</f>
        <v>0</v>
      </c>
      <c r="E35" s="444" t="str">
        <f>キャラクターシート!AC43</f>
        <v>0</v>
      </c>
      <c r="F35" s="359">
        <f>IF($B35="","",VLOOKUP($B35,スキル!$A:$K,5,0))</f>
      </c>
      <c r="G35" s="359"/>
      <c r="H35" s="359"/>
      <c r="I35" s="359"/>
      <c r="J35" s="359"/>
      <c r="K35" s="359"/>
      <c r="L35" s="359"/>
      <c r="M35" s="359"/>
      <c r="N35" s="359"/>
    </row>
    <row r="36" spans="1:14" ht="13.5">
      <c r="A36" s="366">
        <v>6</v>
      </c>
      <c r="B36" s="451">
        <f>キャラクターシート!W44</f>
        <v>0</v>
      </c>
      <c r="C36" s="452">
        <f>キャラクターシート!Z44</f>
      </c>
      <c r="D36" s="452" t="str">
        <f>キャラクターシート!AB44</f>
        <v>0</v>
      </c>
      <c r="E36" s="452" t="str">
        <f>キャラクターシート!AC44</f>
        <v>0</v>
      </c>
      <c r="F36" s="370">
        <f>IF($B36="","",VLOOKUP($B36,スキル!$A:$K,5,0))</f>
      </c>
      <c r="G36" s="370"/>
      <c r="H36" s="370"/>
      <c r="I36" s="370"/>
      <c r="J36" s="370"/>
      <c r="K36" s="370"/>
      <c r="L36" s="370"/>
      <c r="M36" s="370"/>
      <c r="N36" s="370"/>
    </row>
    <row r="37" spans="1:14" ht="13.5">
      <c r="A37" s="108">
        <v>7</v>
      </c>
      <c r="B37" s="453">
        <f>キャラクターシート!W48</f>
        <v>0</v>
      </c>
      <c r="C37" s="454">
        <f>キャラクターシート!Z48</f>
      </c>
      <c r="D37" s="454" t="str">
        <f>キャラクターシート!AB48</f>
        <v>0</v>
      </c>
      <c r="E37" s="454" t="str">
        <f>キャラクターシート!AC48</f>
        <v>0</v>
      </c>
      <c r="F37" s="455">
        <f>IF($B37="","",VLOOKUP($B37,スキル!$A:$K,5,0))</f>
      </c>
      <c r="G37" s="455"/>
      <c r="H37" s="455"/>
      <c r="I37" s="455"/>
      <c r="J37" s="455"/>
      <c r="K37" s="455"/>
      <c r="L37" s="455"/>
      <c r="M37" s="455"/>
      <c r="N37" s="455"/>
    </row>
    <row r="38" spans="1:14" ht="13.5">
      <c r="A38" s="79">
        <v>8</v>
      </c>
      <c r="B38" s="450">
        <f>キャラクターシート!W49</f>
        <v>0</v>
      </c>
      <c r="C38" s="444">
        <f>キャラクターシート!Z49</f>
      </c>
      <c r="D38" s="444" t="str">
        <f>キャラクターシート!AB49</f>
        <v>0</v>
      </c>
      <c r="E38" s="444" t="str">
        <f>キャラクターシート!AC49</f>
        <v>0</v>
      </c>
      <c r="F38" s="359">
        <f>IF($B38="","",VLOOKUP($B38,スキル!$A:$K,5,0))</f>
      </c>
      <c r="G38" s="359"/>
      <c r="H38" s="359"/>
      <c r="I38" s="359"/>
      <c r="J38" s="359"/>
      <c r="K38" s="359"/>
      <c r="L38" s="359"/>
      <c r="M38" s="359"/>
      <c r="N38" s="359"/>
    </row>
    <row r="39" spans="1:14" ht="13.5">
      <c r="A39" s="79">
        <v>9</v>
      </c>
      <c r="B39" s="450">
        <f>キャラクターシート!W50</f>
        <v>0</v>
      </c>
      <c r="C39" s="444">
        <f>キャラクターシート!Z50</f>
      </c>
      <c r="D39" s="444" t="str">
        <f>キャラクターシート!AB50</f>
        <v>0</v>
      </c>
      <c r="E39" s="444" t="str">
        <f>キャラクターシート!AC50</f>
        <v>0</v>
      </c>
      <c r="F39" s="359">
        <f>IF($B39="","",VLOOKUP($B39,スキル!$A:$K,5,0))</f>
      </c>
      <c r="G39" s="359"/>
      <c r="H39" s="359"/>
      <c r="I39" s="359"/>
      <c r="J39" s="359"/>
      <c r="K39" s="359"/>
      <c r="L39" s="359"/>
      <c r="M39" s="359"/>
      <c r="N39" s="359"/>
    </row>
    <row r="40" spans="1:14" ht="13.5">
      <c r="A40" s="79">
        <v>10</v>
      </c>
      <c r="B40" s="450">
        <f>キャラクターシート!W51</f>
        <v>0</v>
      </c>
      <c r="C40" s="444">
        <f>キャラクターシート!Z51</f>
      </c>
      <c r="D40" s="444" t="str">
        <f>キャラクターシート!AB51</f>
        <v>0</v>
      </c>
      <c r="E40" s="444" t="str">
        <f>キャラクターシート!AC51</f>
        <v>0</v>
      </c>
      <c r="F40" s="359">
        <f>IF($B40="","",VLOOKUP($B40,スキル!$A:$K,5,0))</f>
      </c>
      <c r="G40" s="359"/>
      <c r="H40" s="359"/>
      <c r="I40" s="359"/>
      <c r="J40" s="359"/>
      <c r="K40" s="359"/>
      <c r="L40" s="359"/>
      <c r="M40" s="359"/>
      <c r="N40" s="359"/>
    </row>
    <row r="41" spans="1:14" ht="13.5">
      <c r="A41" s="79">
        <v>11</v>
      </c>
      <c r="B41" s="450">
        <f>キャラクターシート!W52</f>
        <v>0</v>
      </c>
      <c r="C41" s="444">
        <f>キャラクターシート!Z52</f>
      </c>
      <c r="D41" s="444" t="str">
        <f>キャラクターシート!AB52</f>
        <v>0</v>
      </c>
      <c r="E41" s="444" t="str">
        <f>キャラクターシート!AC52</f>
        <v>0</v>
      </c>
      <c r="F41" s="359">
        <f>IF($B41="","",VLOOKUP($B41,スキル!$A:$K,5,0))</f>
      </c>
      <c r="G41" s="359"/>
      <c r="H41" s="359"/>
      <c r="I41" s="359"/>
      <c r="J41" s="359"/>
      <c r="K41" s="359"/>
      <c r="L41" s="359"/>
      <c r="M41" s="359"/>
      <c r="N41" s="359"/>
    </row>
    <row r="42" spans="1:14" ht="13.5">
      <c r="A42" s="79">
        <v>12</v>
      </c>
      <c r="B42" s="450">
        <f>キャラクターシート!W53</f>
        <v>0</v>
      </c>
      <c r="C42" s="444">
        <f>キャラクターシート!Z53</f>
      </c>
      <c r="D42" s="444" t="str">
        <f>キャラクターシート!AB53</f>
        <v>0</v>
      </c>
      <c r="E42" s="444" t="str">
        <f>キャラクターシート!AC53</f>
        <v>0</v>
      </c>
      <c r="F42" s="359">
        <f>IF($B42="","",VLOOKUP($B42,スキル!$A:$K,5,0))</f>
      </c>
      <c r="G42" s="359"/>
      <c r="H42" s="359"/>
      <c r="I42" s="359"/>
      <c r="J42" s="359"/>
      <c r="K42" s="359"/>
      <c r="L42" s="359"/>
      <c r="M42" s="359"/>
      <c r="N42" s="359"/>
    </row>
    <row r="43" spans="1:14" ht="13.5">
      <c r="A43" s="79">
        <v>13</v>
      </c>
      <c r="B43" s="450">
        <f>キャラクターシート!W54</f>
        <v>0</v>
      </c>
      <c r="C43" s="444">
        <f>キャラクターシート!Z54</f>
      </c>
      <c r="D43" s="444" t="str">
        <f>キャラクターシート!AB54</f>
        <v>0</v>
      </c>
      <c r="E43" s="444" t="str">
        <f>キャラクターシート!AC54</f>
        <v>0</v>
      </c>
      <c r="F43" s="359">
        <f>IF($B43="","",VLOOKUP($B43,スキル!$A:$K,5,0))</f>
      </c>
      <c r="G43" s="359"/>
      <c r="H43" s="359"/>
      <c r="I43" s="359"/>
      <c r="J43" s="359"/>
      <c r="K43" s="359"/>
      <c r="L43" s="359"/>
      <c r="M43" s="359"/>
      <c r="N43" s="359"/>
    </row>
    <row r="44" spans="1:14" ht="13.5">
      <c r="A44" s="79">
        <v>14</v>
      </c>
      <c r="B44" s="450">
        <f>キャラクターシート!W55</f>
        <v>0</v>
      </c>
      <c r="C44" s="444">
        <f>キャラクターシート!Z55</f>
      </c>
      <c r="D44" s="444" t="str">
        <f>キャラクターシート!AB55</f>
        <v>0</v>
      </c>
      <c r="E44" s="444" t="str">
        <f>キャラクターシート!AC55</f>
        <v>0</v>
      </c>
      <c r="F44" s="359">
        <f>IF($B44="","",VLOOKUP($B44,スキル!$A:$K,5,0))</f>
      </c>
      <c r="G44" s="359"/>
      <c r="H44" s="359"/>
      <c r="I44" s="359"/>
      <c r="J44" s="359"/>
      <c r="K44" s="359"/>
      <c r="L44" s="359"/>
      <c r="M44" s="359"/>
      <c r="N44" s="359"/>
    </row>
    <row r="45" spans="1:14" ht="13.5">
      <c r="A45" s="79">
        <v>15</v>
      </c>
      <c r="B45" s="125">
        <f>キャラクターシート!W56</f>
        <v>0</v>
      </c>
      <c r="C45" s="55">
        <f>キャラクターシート!Z56</f>
      </c>
      <c r="D45" s="55" t="str">
        <f>キャラクターシート!AB56</f>
        <v>0</v>
      </c>
      <c r="E45" s="55" t="str">
        <f>キャラクターシート!AC56</f>
        <v>0</v>
      </c>
      <c r="F45" s="359">
        <f>IF($B45="","",VLOOKUP($B45,スキル!$A:$K,5,0))</f>
      </c>
      <c r="G45" s="359"/>
      <c r="H45" s="359"/>
      <c r="I45" s="359"/>
      <c r="J45" s="359"/>
      <c r="K45" s="359"/>
      <c r="L45" s="359"/>
      <c r="M45" s="359"/>
      <c r="N45" s="359"/>
    </row>
    <row r="46" spans="1:14" ht="13.5">
      <c r="A46" s="79">
        <v>16</v>
      </c>
      <c r="B46" s="125">
        <f>キャラクターシート!W57</f>
        <v>0</v>
      </c>
      <c r="C46" s="55">
        <f>キャラクターシート!Z57</f>
      </c>
      <c r="D46" s="55" t="str">
        <f>キャラクターシート!AB57</f>
        <v>0</v>
      </c>
      <c r="E46" s="55" t="str">
        <f>キャラクターシート!AC57</f>
        <v>0</v>
      </c>
      <c r="F46" s="359">
        <f>IF($B46="","",VLOOKUP($B46,スキル!$A:$K,5,0))</f>
      </c>
      <c r="G46" s="359"/>
      <c r="H46" s="359"/>
      <c r="I46" s="359"/>
      <c r="J46" s="359"/>
      <c r="K46" s="359"/>
      <c r="L46" s="359"/>
      <c r="M46" s="359"/>
      <c r="N46" s="359"/>
    </row>
    <row r="47" spans="1:14" ht="13.5">
      <c r="A47" s="79">
        <v>17</v>
      </c>
      <c r="B47" s="125">
        <f>キャラクターシート!W58</f>
        <v>0</v>
      </c>
      <c r="C47" s="55">
        <f>キャラクターシート!Z58</f>
      </c>
      <c r="D47" s="55" t="str">
        <f>キャラクターシート!AB58</f>
        <v>0</v>
      </c>
      <c r="E47" s="55" t="str">
        <f>キャラクターシート!AC58</f>
        <v>0</v>
      </c>
      <c r="F47" s="359">
        <f>IF($B47="","",VLOOKUP($B47,スキル!$A:$K,5,0))</f>
      </c>
      <c r="G47" s="359"/>
      <c r="H47" s="359"/>
      <c r="I47" s="359"/>
      <c r="J47" s="359"/>
      <c r="K47" s="359"/>
      <c r="L47" s="359"/>
      <c r="M47" s="359"/>
      <c r="N47" s="359"/>
    </row>
    <row r="48" spans="1:14" ht="13.5">
      <c r="A48" s="79">
        <v>18</v>
      </c>
      <c r="B48" s="125">
        <f>キャラクターシート!W59</f>
        <v>0</v>
      </c>
      <c r="C48" s="55">
        <f>キャラクターシート!Z59</f>
      </c>
      <c r="D48" s="55" t="str">
        <f>キャラクターシート!AB59</f>
        <v>0</v>
      </c>
      <c r="E48" s="55" t="str">
        <f>キャラクターシート!AC59</f>
        <v>0</v>
      </c>
      <c r="F48" s="359">
        <f>IF($B48="","",VLOOKUP($B48,スキル!$A:$K,5,0))</f>
      </c>
      <c r="G48" s="359"/>
      <c r="H48" s="359"/>
      <c r="I48" s="359"/>
      <c r="J48" s="359"/>
      <c r="K48" s="359"/>
      <c r="L48" s="359"/>
      <c r="M48" s="359"/>
      <c r="N48" s="359"/>
    </row>
    <row r="49" spans="1:14" ht="13.5">
      <c r="A49" s="79">
        <v>19</v>
      </c>
      <c r="B49" s="125">
        <f>キャラクターシート!W60</f>
        <v>0</v>
      </c>
      <c r="C49" s="55">
        <f>キャラクターシート!Z60</f>
      </c>
      <c r="D49" s="55" t="str">
        <f>キャラクターシート!AB60</f>
        <v>0</v>
      </c>
      <c r="E49" s="55" t="str">
        <f>キャラクターシート!AC60</f>
        <v>0</v>
      </c>
      <c r="F49" s="359">
        <f>IF($B49="","",VLOOKUP($B49,スキル!$A:$K,5,0))</f>
      </c>
      <c r="G49" s="359"/>
      <c r="H49" s="359"/>
      <c r="I49" s="359"/>
      <c r="J49" s="359"/>
      <c r="K49" s="359"/>
      <c r="L49" s="359"/>
      <c r="M49" s="359"/>
      <c r="N49" s="359"/>
    </row>
    <row r="50" spans="1:14" ht="13.5">
      <c r="A50" s="79">
        <v>20</v>
      </c>
      <c r="B50" s="125">
        <f>キャラクターシート!W61</f>
        <v>0</v>
      </c>
      <c r="C50" s="55">
        <f>キャラクターシート!Z61</f>
      </c>
      <c r="D50" s="55" t="str">
        <f>キャラクターシート!AB61</f>
        <v>0</v>
      </c>
      <c r="E50" s="55" t="str">
        <f>キャラクターシート!AC61</f>
        <v>0</v>
      </c>
      <c r="F50" s="359">
        <f>IF($B50="","",VLOOKUP($B50,スキル!$A:$K,5,0))</f>
      </c>
      <c r="G50" s="359"/>
      <c r="H50" s="359"/>
      <c r="I50" s="359"/>
      <c r="J50" s="359"/>
      <c r="K50" s="359"/>
      <c r="L50" s="359"/>
      <c r="M50" s="359"/>
      <c r="N50" s="359"/>
    </row>
    <row r="51" spans="1:14" ht="13.5">
      <c r="A51" s="79">
        <v>21</v>
      </c>
      <c r="B51" s="125">
        <f>キャラクターシート!W62</f>
        <v>0</v>
      </c>
      <c r="C51" s="55">
        <f>キャラクターシート!Z62</f>
      </c>
      <c r="D51" s="55" t="str">
        <f>キャラクターシート!AB62</f>
        <v>0</v>
      </c>
      <c r="E51" s="55" t="str">
        <f>キャラクターシート!AC62</f>
        <v>0</v>
      </c>
      <c r="F51" s="359">
        <f>IF($B51="","",VLOOKUP($B51,スキル!$A:$K,5,0))</f>
      </c>
      <c r="G51" s="359"/>
      <c r="H51" s="359"/>
      <c r="I51" s="359"/>
      <c r="J51" s="359"/>
      <c r="K51" s="359"/>
      <c r="L51" s="359"/>
      <c r="M51" s="359"/>
      <c r="N51" s="359"/>
    </row>
    <row r="52" spans="1:14" ht="13.5">
      <c r="A52" s="79">
        <v>22</v>
      </c>
      <c r="B52" s="125">
        <f>キャラクターシート!W63</f>
        <v>0</v>
      </c>
      <c r="C52" s="55">
        <f>キャラクターシート!Z63</f>
      </c>
      <c r="D52" s="55" t="str">
        <f>キャラクターシート!AB63</f>
        <v>0</v>
      </c>
      <c r="E52" s="55" t="str">
        <f>キャラクターシート!AC63</f>
        <v>0</v>
      </c>
      <c r="F52" s="359">
        <f>IF($B52="","",VLOOKUP($B52,スキル!$A:$K,5,0))</f>
      </c>
      <c r="G52" s="359"/>
      <c r="H52" s="359"/>
      <c r="I52" s="359"/>
      <c r="J52" s="359"/>
      <c r="K52" s="359"/>
      <c r="L52" s="359"/>
      <c r="M52" s="359"/>
      <c r="N52" s="359"/>
    </row>
    <row r="53" spans="1:14" ht="13.5">
      <c r="A53" s="79">
        <v>23</v>
      </c>
      <c r="B53" s="125">
        <f>キャラクターシート!W64</f>
        <v>0</v>
      </c>
      <c r="C53" s="55">
        <f>キャラクターシート!Z64</f>
      </c>
      <c r="D53" s="55" t="str">
        <f>キャラクターシート!AB64</f>
        <v>0</v>
      </c>
      <c r="E53" s="55" t="str">
        <f>キャラクターシート!AC64</f>
        <v>0</v>
      </c>
      <c r="F53" s="359">
        <f>IF($B53="","",VLOOKUP($B53,スキル!$A:$K,5,0))</f>
      </c>
      <c r="G53" s="359"/>
      <c r="H53" s="359"/>
      <c r="I53" s="359"/>
      <c r="J53" s="359"/>
      <c r="K53" s="359"/>
      <c r="L53" s="359"/>
      <c r="M53" s="359"/>
      <c r="N53" s="359"/>
    </row>
    <row r="54" spans="1:14" ht="13.5">
      <c r="A54" s="81">
        <v>24</v>
      </c>
      <c r="B54" s="159">
        <f>キャラクターシート!W65</f>
        <v>0</v>
      </c>
      <c r="C54" s="157">
        <f>キャラクターシート!Z65</f>
      </c>
      <c r="D54" s="157" t="str">
        <f>キャラクターシート!AB65</f>
        <v>0</v>
      </c>
      <c r="E54" s="157" t="str">
        <f>キャラクターシート!AC65</f>
        <v>0</v>
      </c>
      <c r="F54" s="456">
        <f>IF($B54="","",VLOOKUP($B54,スキル!$A:$K,5,0))</f>
      </c>
      <c r="G54" s="456"/>
      <c r="H54" s="456"/>
      <c r="I54" s="456"/>
      <c r="J54" s="456"/>
      <c r="K54" s="456"/>
      <c r="L54" s="456"/>
      <c r="M54" s="456"/>
      <c r="N54" s="456"/>
    </row>
    <row r="55" spans="1:14" ht="13.5">
      <c r="A55" s="215"/>
      <c r="B55" s="215"/>
      <c r="C55" s="19"/>
      <c r="D55" s="19"/>
      <c r="E55" s="19"/>
      <c r="F55" s="457"/>
      <c r="G55" s="457"/>
      <c r="H55" s="457"/>
      <c r="I55" s="457"/>
      <c r="J55" s="457"/>
      <c r="K55" s="457"/>
      <c r="L55" s="457"/>
      <c r="M55" s="457"/>
      <c r="N55" s="457"/>
    </row>
    <row r="56" spans="1:14" ht="13.5">
      <c r="A56" s="215"/>
      <c r="B56" s="215"/>
      <c r="C56" s="19"/>
      <c r="D56" s="19"/>
      <c r="E56" s="19"/>
      <c r="F56" s="457"/>
      <c r="G56" s="457"/>
      <c r="H56" s="457"/>
      <c r="I56" s="457"/>
      <c r="J56" s="457"/>
      <c r="K56" s="457"/>
      <c r="L56" s="457"/>
      <c r="M56" s="457"/>
      <c r="N56" s="457"/>
    </row>
    <row r="57" spans="1:14" ht="13.5">
      <c r="A57" s="215"/>
      <c r="B57" s="215"/>
      <c r="C57" s="19"/>
      <c r="D57" s="19"/>
      <c r="E57" s="19"/>
      <c r="F57" s="457"/>
      <c r="G57" s="457"/>
      <c r="H57" s="457"/>
      <c r="I57" s="457"/>
      <c r="J57" s="457"/>
      <c r="K57" s="457"/>
      <c r="L57" s="457"/>
      <c r="M57" s="457"/>
      <c r="N57" s="457"/>
    </row>
    <row r="58" spans="1:14" ht="13.5">
      <c r="A58" s="215"/>
      <c r="B58" s="215"/>
      <c r="C58" s="19"/>
      <c r="D58" s="19"/>
      <c r="E58" s="19"/>
      <c r="F58" s="457"/>
      <c r="G58" s="457"/>
      <c r="H58" s="457"/>
      <c r="I58" s="457"/>
      <c r="J58" s="457"/>
      <c r="K58" s="457"/>
      <c r="L58" s="457"/>
      <c r="M58" s="457"/>
      <c r="N58" s="457"/>
    </row>
    <row r="59" spans="1:14" ht="13.5">
      <c r="A59" s="215"/>
      <c r="B59" s="215"/>
      <c r="C59" s="19"/>
      <c r="D59" s="19"/>
      <c r="E59" s="19"/>
      <c r="F59" s="457"/>
      <c r="G59" s="457"/>
      <c r="H59" s="457"/>
      <c r="I59" s="457"/>
      <c r="J59" s="457"/>
      <c r="K59" s="457"/>
      <c r="L59" s="457"/>
      <c r="M59" s="457"/>
      <c r="N59" s="457"/>
    </row>
    <row r="60" spans="1:14" ht="13.5">
      <c r="A60" s="215"/>
      <c r="B60" s="215"/>
      <c r="C60" s="19"/>
      <c r="D60" s="19"/>
      <c r="E60" s="19"/>
      <c r="F60" s="457"/>
      <c r="G60" s="457"/>
      <c r="H60" s="457"/>
      <c r="I60" s="457"/>
      <c r="J60" s="457"/>
      <c r="K60" s="457"/>
      <c r="L60" s="457"/>
      <c r="M60" s="457"/>
      <c r="N60" s="457"/>
    </row>
    <row r="61" spans="1:14" ht="13.5">
      <c r="A61" s="215"/>
      <c r="B61" s="215"/>
      <c r="C61" s="19"/>
      <c r="D61" s="19"/>
      <c r="E61" s="19"/>
      <c r="F61" s="457"/>
      <c r="G61" s="457"/>
      <c r="H61" s="457"/>
      <c r="I61" s="457"/>
      <c r="J61" s="457"/>
      <c r="K61" s="457"/>
      <c r="L61" s="457"/>
      <c r="M61" s="457"/>
      <c r="N61" s="457"/>
    </row>
    <row r="62" spans="1:14" ht="13.5">
      <c r="A62" s="215"/>
      <c r="B62" s="215"/>
      <c r="C62" s="19"/>
      <c r="D62" s="19"/>
      <c r="E62" s="19"/>
      <c r="F62" s="457"/>
      <c r="G62" s="457"/>
      <c r="H62" s="457"/>
      <c r="I62" s="457"/>
      <c r="J62" s="457"/>
      <c r="K62" s="457"/>
      <c r="L62" s="457"/>
      <c r="M62" s="457"/>
      <c r="N62" s="457"/>
    </row>
    <row r="63" spans="1:14" ht="13.5">
      <c r="A63" s="215"/>
      <c r="B63" s="215"/>
      <c r="C63" s="19"/>
      <c r="D63" s="19"/>
      <c r="E63" s="19"/>
      <c r="F63" s="457"/>
      <c r="G63" s="457"/>
      <c r="H63" s="457"/>
      <c r="I63" s="457"/>
      <c r="J63" s="457"/>
      <c r="K63" s="457"/>
      <c r="L63" s="457"/>
      <c r="M63" s="457"/>
      <c r="N63" s="457"/>
    </row>
    <row r="64" spans="1:14" ht="13.5">
      <c r="A64" s="215"/>
      <c r="B64" s="215"/>
      <c r="C64" s="19"/>
      <c r="D64" s="19"/>
      <c r="E64" s="19"/>
      <c r="F64" s="457"/>
      <c r="G64" s="457"/>
      <c r="H64" s="457"/>
      <c r="I64" s="457"/>
      <c r="J64" s="457"/>
      <c r="K64" s="457"/>
      <c r="L64" s="457"/>
      <c r="M64" s="457"/>
      <c r="N64" s="457"/>
    </row>
    <row r="65" spans="1:14" ht="13.5">
      <c r="A65" s="215"/>
      <c r="B65" s="215"/>
      <c r="C65" s="19"/>
      <c r="D65" s="19"/>
      <c r="E65" s="19"/>
      <c r="F65" s="457"/>
      <c r="G65" s="457"/>
      <c r="H65" s="457"/>
      <c r="I65" s="457"/>
      <c r="J65" s="457"/>
      <c r="K65" s="457"/>
      <c r="L65" s="457"/>
      <c r="M65" s="457"/>
      <c r="N65" s="457"/>
    </row>
    <row r="66" spans="1:14" ht="13.5">
      <c r="A66" s="215"/>
      <c r="B66" s="215"/>
      <c r="C66" s="19"/>
      <c r="D66" s="19"/>
      <c r="E66" s="19"/>
      <c r="F66" s="457"/>
      <c r="G66" s="457"/>
      <c r="H66" s="457"/>
      <c r="I66" s="457"/>
      <c r="J66" s="457"/>
      <c r="K66" s="457"/>
      <c r="L66" s="457"/>
      <c r="M66" s="457"/>
      <c r="N66" s="457"/>
    </row>
    <row r="67" spans="1:14" ht="13.5">
      <c r="A67" s="442" t="s">
        <v>405</v>
      </c>
      <c r="B67" s="442"/>
      <c r="C67" s="442"/>
      <c r="D67" s="442"/>
      <c r="E67" s="442"/>
      <c r="F67" s="443" t="s">
        <v>406</v>
      </c>
      <c r="G67" s="443"/>
      <c r="H67" s="443"/>
      <c r="I67" s="443"/>
      <c r="J67" s="443"/>
      <c r="K67" s="443"/>
      <c r="L67" s="443"/>
      <c r="M67" s="443"/>
      <c r="N67" s="443"/>
    </row>
    <row r="68" spans="1:14" ht="13.5" customHeight="1">
      <c r="A68" s="216" t="s">
        <v>159</v>
      </c>
      <c r="B68" s="216"/>
      <c r="C68" s="109" t="s">
        <v>292</v>
      </c>
      <c r="D68" s="109" t="s">
        <v>293</v>
      </c>
      <c r="E68" s="109" t="s">
        <v>338</v>
      </c>
      <c r="F68" s="109" t="s">
        <v>176</v>
      </c>
      <c r="G68" s="109" t="s">
        <v>295</v>
      </c>
      <c r="H68" s="109" t="s">
        <v>248</v>
      </c>
      <c r="I68" s="109" t="s">
        <v>296</v>
      </c>
      <c r="J68" s="109" t="s">
        <v>242</v>
      </c>
      <c r="K68" s="220" t="s">
        <v>297</v>
      </c>
      <c r="L68" s="220"/>
      <c r="M68" s="220"/>
      <c r="N68" s="220"/>
    </row>
    <row r="69" spans="1:14" ht="11.25">
      <c r="A69" s="458" t="str">
        <f>キャラクターシート!B24</f>
        <v>アクロバット</v>
      </c>
      <c r="B69" s="458"/>
      <c r="C69" s="125" t="str">
        <f>キャラクターシート!F24</f>
        <v>ヴァーナ</v>
      </c>
      <c r="D69" s="125" t="str">
        <f>キャラクターシート!H24</f>
        <v>★</v>
      </c>
      <c r="E69" s="125" t="str">
        <f>キャラクターシート!I24</f>
        <v>パッシヴ</v>
      </c>
      <c r="F69" s="55" t="str">
        <f>キャラクターシート!K24</f>
        <v>-</v>
      </c>
      <c r="G69" s="55" t="str">
        <f>キャラクターシート!L24</f>
        <v>自身</v>
      </c>
      <c r="H69" s="55" t="str">
        <f>キャラクターシート!M24</f>
        <v>-</v>
      </c>
      <c r="I69" s="55" t="str">
        <f>キャラクターシート!N24</f>
        <v>-</v>
      </c>
      <c r="J69" s="55" t="str">
        <f>キャラクターシート!P24</f>
        <v>-</v>
      </c>
      <c r="K69" s="390">
        <f>キャラクターシート!Q24</f>
        <v>0</v>
      </c>
      <c r="L69" s="390"/>
      <c r="M69" s="390"/>
      <c r="N69" s="390"/>
    </row>
    <row r="70" spans="1:14" ht="11.25">
      <c r="A70" s="458" t="str">
        <f>キャラクターシート!B25</f>
        <v>ボルテクスアタック</v>
      </c>
      <c r="B70" s="458"/>
      <c r="C70" s="125" t="str">
        <f>キャラクターシート!F25</f>
        <v>■ウォーリア</v>
      </c>
      <c r="D70" s="125" t="str">
        <f>キャラクターシート!H25</f>
        <v>★</v>
      </c>
      <c r="E70" s="125" t="str">
        <f>キャラクターシート!I25</f>
        <v>DR直前</v>
      </c>
      <c r="F70" s="55" t="str">
        <f>キャラクターシート!K25</f>
        <v>自動</v>
      </c>
      <c r="G70" s="55" t="str">
        <f>キャラクターシート!L25</f>
        <v>自身</v>
      </c>
      <c r="H70" s="55" t="str">
        <f>キャラクターシート!M25</f>
        <v>-</v>
      </c>
      <c r="I70" s="55" t="str">
        <f>キャラクターシート!N25</f>
        <v>-</v>
      </c>
      <c r="J70" s="55">
        <f>キャラクターシート!P25</f>
        <v>1</v>
      </c>
      <c r="K70" s="390">
        <f>キャラクターシート!Q25</f>
        <v>0</v>
      </c>
      <c r="L70" s="390"/>
      <c r="M70" s="390"/>
      <c r="N70" s="390"/>
    </row>
    <row r="71" spans="1:14" ht="11.25">
      <c r="A71" s="458" t="str">
        <f>キャラクターシート!B26</f>
        <v>カタナマスタリー</v>
      </c>
      <c r="B71" s="458"/>
      <c r="C71" s="125" t="str">
        <f>キャラクターシート!F26</f>
        <v>□サムライ</v>
      </c>
      <c r="D71" s="125" t="str">
        <f>キャラクターシート!H26</f>
        <v>★</v>
      </c>
      <c r="E71" s="125" t="str">
        <f>キャラクターシート!I26</f>
        <v>パッシヴ</v>
      </c>
      <c r="F71" s="55" t="str">
        <f>キャラクターシート!K26</f>
        <v>-</v>
      </c>
      <c r="G71" s="55" t="str">
        <f>キャラクターシート!L26</f>
        <v>自身</v>
      </c>
      <c r="H71" s="55" t="str">
        <f>キャラクターシート!M26</f>
        <v>-</v>
      </c>
      <c r="I71" s="55" t="str">
        <f>キャラクターシート!N26</f>
        <v>-</v>
      </c>
      <c r="J71" s="55" t="str">
        <f>キャラクターシート!P26</f>
        <v>-</v>
      </c>
      <c r="K71" s="390" t="str">
        <f>キャラクターシート!Q26</f>
        <v>「種別：刀」の[武器攻撃][命中判定]+1D6</v>
      </c>
      <c r="L71" s="390"/>
      <c r="M71" s="390"/>
      <c r="N71" s="390"/>
    </row>
    <row r="72" spans="1:14" ht="11.25">
      <c r="A72" s="458" t="str">
        <f>キャラクターシート!B27</f>
        <v>バッシュ</v>
      </c>
      <c r="B72" s="458"/>
      <c r="C72" s="125" t="str">
        <f>キャラクターシート!F27</f>
        <v>■ウォーリア</v>
      </c>
      <c r="D72" s="125">
        <f>キャラクターシート!H27</f>
        <v>3</v>
      </c>
      <c r="E72" s="125" t="str">
        <f>キャラクターシート!I27</f>
        <v>メジャー</v>
      </c>
      <c r="F72" s="55" t="str">
        <f>キャラクターシート!K27</f>
        <v>命中</v>
      </c>
      <c r="G72" s="55" t="str">
        <f>キャラクターシート!L27</f>
        <v>単体</v>
      </c>
      <c r="H72" s="55" t="str">
        <f>キャラクターシート!M27</f>
        <v>武器</v>
      </c>
      <c r="I72" s="55">
        <f>キャラクターシート!N27</f>
        <v>4</v>
      </c>
      <c r="J72" s="55" t="str">
        <f>キャラクターシート!P27</f>
        <v>-</v>
      </c>
      <c r="K72" s="390">
        <f>キャラクターシート!Q27</f>
        <v>0</v>
      </c>
      <c r="L72" s="390"/>
      <c r="M72" s="390"/>
      <c r="N72" s="390"/>
    </row>
    <row r="73" spans="1:14" ht="11.25">
      <c r="A73" s="458" t="str">
        <f>キャラクターシート!B28</f>
        <v>トルネードブラスト</v>
      </c>
      <c r="B73" s="458"/>
      <c r="C73" s="125" t="str">
        <f>キャラクターシート!F28</f>
        <v>□サムライ</v>
      </c>
      <c r="D73" s="125" t="str">
        <f>キャラクターシート!H28</f>
        <v>★</v>
      </c>
      <c r="E73" s="125" t="str">
        <f>キャラクターシート!I28</f>
        <v>メジャー</v>
      </c>
      <c r="F73" s="55" t="str">
        <f>キャラクターシート!K28</f>
        <v>自動</v>
      </c>
      <c r="G73" s="55" t="str">
        <f>キャラクターシート!L28</f>
        <v>範選</v>
      </c>
      <c r="H73" s="55" t="str">
        <f>キャラクターシート!M28</f>
        <v>武器</v>
      </c>
      <c r="I73" s="55" t="str">
        <f>キャラクターシート!N28</f>
        <v>-</v>
      </c>
      <c r="J73" s="55" t="str">
        <f>キャラクターシート!P28</f>
        <v>CL</v>
      </c>
      <c r="K73" s="390" t="str">
        <f>キャラクターシート!Q28</f>
        <v>自動取得/[CL+1]以下のモブ殲滅</v>
      </c>
      <c r="L73" s="390"/>
      <c r="M73" s="390"/>
      <c r="N73" s="390"/>
    </row>
    <row r="74" spans="1:14" ht="11.25">
      <c r="A74" s="458" t="str">
        <f>キャラクターシート!B29</f>
        <v>フェイタルブロウ</v>
      </c>
      <c r="B74" s="458"/>
      <c r="C74" s="125" t="str">
        <f>キャラクターシート!F29</f>
        <v>□サムライ</v>
      </c>
      <c r="D74" s="125" t="str">
        <f>キャラクターシート!H29</f>
        <v>★</v>
      </c>
      <c r="E74" s="125" t="str">
        <f>キャラクターシート!I29</f>
        <v>マイナー</v>
      </c>
      <c r="F74" s="55" t="str">
        <f>キャラクターシート!K29</f>
        <v>自動</v>
      </c>
      <c r="G74" s="55" t="str">
        <f>キャラクターシート!L29</f>
        <v>自身</v>
      </c>
      <c r="H74" s="55" t="str">
        <f>キャラクターシート!M29</f>
        <v>-</v>
      </c>
      <c r="I74" s="55">
        <f>キャラクターシート!N29</f>
        <v>3</v>
      </c>
      <c r="J74" s="55" t="str">
        <f>キャラクターシート!P29</f>
        <v>-</v>
      </c>
      <c r="K74" s="390" t="str">
        <f>キャラクターシート!Q29</f>
        <v>[武器攻撃]で[HPﾀﾞﾒｰｼﾞ]を与えると[放心]させる</v>
      </c>
      <c r="L74" s="390"/>
      <c r="M74" s="390"/>
      <c r="N74" s="390"/>
    </row>
    <row r="75" spans="1:14" ht="11.25">
      <c r="A75" s="458" t="str">
        <f>キャラクターシート!B30</f>
        <v>スピリット・オブ・サムライ</v>
      </c>
      <c r="B75" s="458"/>
      <c r="C75" s="125" t="str">
        <f>キャラクターシート!F30</f>
        <v>□サムライ</v>
      </c>
      <c r="D75" s="125">
        <f>キャラクターシート!H30</f>
        <v>2</v>
      </c>
      <c r="E75" s="125" t="str">
        <f>キャラクターシート!I30</f>
        <v>パッシヴ</v>
      </c>
      <c r="F75" s="55" t="str">
        <f>キャラクターシート!K30</f>
        <v>-</v>
      </c>
      <c r="G75" s="55" t="str">
        <f>キャラクターシート!L30</f>
        <v>自身</v>
      </c>
      <c r="H75" s="55" t="str">
        <f>キャラクターシート!M30</f>
        <v>-</v>
      </c>
      <c r="I75" s="55" t="str">
        <f>キャラクターシート!N30</f>
        <v>-</v>
      </c>
      <c r="J75" s="55" t="str">
        <f>キャラクターシート!P30</f>
        <v>-</v>
      </c>
      <c r="K75" s="390" t="str">
        <f>キャラクターシート!Q30</f>
        <v>「種別：刀」の武器入手</v>
      </c>
      <c r="L75" s="390"/>
      <c r="M75" s="390"/>
      <c r="N75" s="390"/>
    </row>
    <row r="76" spans="1:14" ht="13.5">
      <c r="A76" s="458" t="str">
        <f>キャラクターシート!B31</f>
        <v>レイジ</v>
      </c>
      <c r="B76" s="458"/>
      <c r="C76" s="125" t="str">
        <f>キャラクターシート!F31</f>
        <v>□サムライ</v>
      </c>
      <c r="D76" s="125">
        <f>キャラクターシート!H31</f>
        <v>1</v>
      </c>
      <c r="E76" s="125" t="str">
        <f>キャラクターシート!I31</f>
        <v>マイナー</v>
      </c>
      <c r="F76" s="55" t="str">
        <f>キャラクターシート!K31</f>
        <v>自動</v>
      </c>
      <c r="G76" s="55" t="str">
        <f>キャラクターシート!L31</f>
        <v>自身</v>
      </c>
      <c r="H76" s="55" t="str">
        <f>キャラクターシート!M31</f>
        <v>-</v>
      </c>
      <c r="I76" s="55">
        <f>キャラクターシート!N31</f>
        <v>6</v>
      </c>
      <c r="J76" s="55" t="str">
        <f>キャラクターシート!P31</f>
        <v>SL</v>
      </c>
      <c r="K76" s="390">
        <f>キャラクターシート!Q31</f>
        <v>0</v>
      </c>
      <c r="L76" s="390"/>
      <c r="M76" s="390"/>
      <c r="N76" s="390"/>
    </row>
    <row r="77" spans="1:14" ht="13.5">
      <c r="A77" s="458" t="str">
        <f>キャラクターシート!B32</f>
        <v>トゥーハンドアタック</v>
      </c>
      <c r="B77" s="458"/>
      <c r="C77" s="125" t="str">
        <f>キャラクターシート!F32</f>
        <v>□サムライ</v>
      </c>
      <c r="D77" s="125">
        <f>キャラクターシート!H32</f>
        <v>1</v>
      </c>
      <c r="E77" s="125" t="str">
        <f>キャラクターシート!I32</f>
        <v>パッシヴ</v>
      </c>
      <c r="F77" s="55" t="str">
        <f>キャラクターシート!K32</f>
        <v>-</v>
      </c>
      <c r="G77" s="55" t="str">
        <f>キャラクターシート!L32</f>
        <v>自身</v>
      </c>
      <c r="H77" s="55" t="str">
        <f>キャラクターシート!M32</f>
        <v>-</v>
      </c>
      <c r="I77" s="55" t="str">
        <f>キャラクターシート!N32</f>
        <v>-</v>
      </c>
      <c r="J77" s="55" t="str">
        <f>キャラクターシート!P32</f>
        <v>-</v>
      </c>
      <c r="K77" s="390" t="str">
        <f>キャラクターシート!Q32</f>
        <v>「刀」のみ装備時/ﾀﾞﾒｰｼﾞ+[(SL)D6]</v>
      </c>
      <c r="L77" s="390"/>
      <c r="M77" s="390"/>
      <c r="N77" s="390"/>
    </row>
    <row r="78" spans="1:14" ht="13.5">
      <c r="A78" s="458" t="str">
        <f>キャラクターシート!B33</f>
        <v>インヴィジブルアタック</v>
      </c>
      <c r="B78" s="458"/>
      <c r="C78" s="125" t="str">
        <f>キャラクターシート!F33</f>
        <v>■ウォーリア</v>
      </c>
      <c r="D78" s="125" t="str">
        <f>キャラクターシート!H33</f>
        <v>★</v>
      </c>
      <c r="E78" s="125" t="str">
        <f>キャラクターシート!I33</f>
        <v>マイナー</v>
      </c>
      <c r="F78" s="55" t="str">
        <f>キャラクターシート!K33</f>
        <v>自動</v>
      </c>
      <c r="G78" s="55" t="str">
        <f>キャラクターシート!L33</f>
        <v>自身</v>
      </c>
      <c r="H78" s="55" t="str">
        <f>キャラクターシート!M33</f>
        <v>-</v>
      </c>
      <c r="I78" s="55">
        <f>キャラクターシート!N33</f>
        <v>3</v>
      </c>
      <c r="J78" s="55" t="str">
        <f>キャラクターシート!P33</f>
        <v>-</v>
      </c>
      <c r="K78" s="390">
        <f>キャラクターシート!Q33</f>
        <v>0</v>
      </c>
      <c r="L78" s="390"/>
      <c r="M78" s="390"/>
      <c r="N78" s="390"/>
    </row>
    <row r="79" spans="1:14" ht="13.5">
      <c r="A79" s="458" t="str">
        <f>キャラクターシート!B34</f>
        <v>バタフライダンス</v>
      </c>
      <c r="B79" s="458"/>
      <c r="C79" s="125" t="str">
        <f>キャラクターシート!F34</f>
        <v>■シーフ</v>
      </c>
      <c r="D79" s="125" t="str">
        <f>キャラクターシート!H34</f>
        <v>★</v>
      </c>
      <c r="E79" s="125" t="str">
        <f>キャラクターシート!I34</f>
        <v>パッシヴ</v>
      </c>
      <c r="F79" s="55" t="str">
        <f>キャラクターシート!K34</f>
        <v>-</v>
      </c>
      <c r="G79" s="55" t="str">
        <f>キャラクターシート!L34</f>
        <v>自身</v>
      </c>
      <c r="H79" s="55" t="str">
        <f>キャラクターシート!M34</f>
        <v>-</v>
      </c>
      <c r="I79" s="55" t="str">
        <f>キャラクターシート!N34</f>
        <v>-</v>
      </c>
      <c r="J79" s="55" t="str">
        <f>キャラクターシート!P34</f>
        <v>-</v>
      </c>
      <c r="K79" s="390">
        <f>キャラクターシート!Q34</f>
        <v>0</v>
      </c>
      <c r="L79" s="390"/>
      <c r="M79" s="390"/>
      <c r="N79" s="390"/>
    </row>
    <row r="80" spans="1:14" ht="13.5">
      <c r="A80" s="458">
        <f>キャラクターシート!B35</f>
      </c>
      <c r="B80" s="458"/>
      <c r="C80" s="125">
        <f>キャラクターシート!F35</f>
      </c>
      <c r="D80" s="125">
        <f>キャラクターシート!H35</f>
      </c>
      <c r="E80" s="125">
        <f>キャラクターシート!I35</f>
      </c>
      <c r="F80" s="55">
        <f>キャラクターシート!K35</f>
      </c>
      <c r="G80" s="55">
        <f>キャラクターシート!L35</f>
      </c>
      <c r="H80" s="55">
        <f>キャラクターシート!M35</f>
      </c>
      <c r="I80" s="55">
        <f>キャラクターシート!N35</f>
      </c>
      <c r="J80" s="55">
        <f>キャラクターシート!P35</f>
      </c>
      <c r="K80" s="390">
        <f>キャラクターシート!Q35</f>
      </c>
      <c r="L80" s="390"/>
      <c r="M80" s="390"/>
      <c r="N80" s="390"/>
    </row>
    <row r="81" spans="1:14" ht="13.5">
      <c r="A81" s="458">
        <f>キャラクターシート!B36</f>
      </c>
      <c r="B81" s="458"/>
      <c r="C81" s="125">
        <f>キャラクターシート!F36</f>
      </c>
      <c r="D81" s="125">
        <f>キャラクターシート!H36</f>
      </c>
      <c r="E81" s="125">
        <f>キャラクターシート!I36</f>
      </c>
      <c r="F81" s="55">
        <f>キャラクターシート!K36</f>
      </c>
      <c r="G81" s="55">
        <f>キャラクターシート!L36</f>
      </c>
      <c r="H81" s="55">
        <f>キャラクターシート!M36</f>
      </c>
      <c r="I81" s="55">
        <f>キャラクターシート!N36</f>
      </c>
      <c r="J81" s="55">
        <f>キャラクターシート!P36</f>
      </c>
      <c r="K81" s="390">
        <f>キャラクターシート!Q36</f>
      </c>
      <c r="L81" s="390"/>
      <c r="M81" s="390"/>
      <c r="N81" s="390"/>
    </row>
    <row r="82" spans="1:14" ht="13.5">
      <c r="A82" s="458">
        <f>キャラクターシート!B37</f>
      </c>
      <c r="B82" s="458"/>
      <c r="C82" s="125">
        <f>キャラクターシート!F37</f>
      </c>
      <c r="D82" s="125">
        <f>キャラクターシート!H37</f>
      </c>
      <c r="E82" s="125">
        <f>キャラクターシート!I37</f>
      </c>
      <c r="F82" s="55">
        <f>キャラクターシート!K37</f>
      </c>
      <c r="G82" s="55">
        <f>キャラクターシート!L37</f>
      </c>
      <c r="H82" s="55">
        <f>キャラクターシート!M37</f>
      </c>
      <c r="I82" s="55">
        <f>キャラクターシート!N37</f>
      </c>
      <c r="J82" s="55">
        <f>キャラクターシート!P37</f>
      </c>
      <c r="K82" s="390">
        <f>キャラクターシート!Q37</f>
      </c>
      <c r="L82" s="390"/>
      <c r="M82" s="390"/>
      <c r="N82" s="390"/>
    </row>
    <row r="83" spans="1:14" ht="13.5">
      <c r="A83" s="458">
        <f>キャラクターシート!B38</f>
      </c>
      <c r="B83" s="458"/>
      <c r="C83" s="125">
        <f>キャラクターシート!F38</f>
      </c>
      <c r="D83" s="125">
        <f>キャラクターシート!H38</f>
      </c>
      <c r="E83" s="125">
        <f>キャラクターシート!I38</f>
      </c>
      <c r="F83" s="55">
        <f>キャラクターシート!K38</f>
      </c>
      <c r="G83" s="55">
        <f>キャラクターシート!L38</f>
      </c>
      <c r="H83" s="55">
        <f>キャラクターシート!M38</f>
      </c>
      <c r="I83" s="55">
        <f>キャラクターシート!N38</f>
      </c>
      <c r="J83" s="55">
        <f>キャラクターシート!P38</f>
      </c>
      <c r="K83" s="390">
        <f>キャラクターシート!Q38</f>
      </c>
      <c r="L83" s="390"/>
      <c r="M83" s="390"/>
      <c r="N83" s="390"/>
    </row>
    <row r="84" spans="1:14" ht="13.5">
      <c r="A84" s="458">
        <f>キャラクターシート!B39</f>
      </c>
      <c r="B84" s="458"/>
      <c r="C84" s="125">
        <f>キャラクターシート!F39</f>
      </c>
      <c r="D84" s="125">
        <f>キャラクターシート!H39</f>
      </c>
      <c r="E84" s="125">
        <f>キャラクターシート!I39</f>
      </c>
      <c r="F84" s="55">
        <f>キャラクターシート!K39</f>
      </c>
      <c r="G84" s="55">
        <f>キャラクターシート!L39</f>
      </c>
      <c r="H84" s="55">
        <f>キャラクターシート!M39</f>
      </c>
      <c r="I84" s="55">
        <f>キャラクターシート!N39</f>
      </c>
      <c r="J84" s="55">
        <f>キャラクターシート!P39</f>
      </c>
      <c r="K84" s="390">
        <f>キャラクターシート!Q39</f>
      </c>
      <c r="L84" s="390"/>
      <c r="M84" s="390"/>
      <c r="N84" s="390"/>
    </row>
    <row r="85" spans="1:14" ht="13.5">
      <c r="A85" s="458">
        <f>キャラクターシート!B40</f>
      </c>
      <c r="B85" s="458"/>
      <c r="C85" s="125">
        <f>キャラクターシート!F40</f>
      </c>
      <c r="D85" s="125">
        <f>キャラクターシート!H40</f>
      </c>
      <c r="E85" s="125">
        <f>キャラクターシート!I40</f>
      </c>
      <c r="F85" s="55">
        <f>キャラクターシート!K40</f>
      </c>
      <c r="G85" s="55">
        <f>キャラクターシート!L40</f>
      </c>
      <c r="H85" s="55">
        <f>キャラクターシート!M40</f>
      </c>
      <c r="I85" s="55">
        <f>キャラクターシート!N40</f>
      </c>
      <c r="J85" s="55">
        <f>キャラクターシート!P40</f>
      </c>
      <c r="K85" s="390">
        <f>キャラクターシート!Q40</f>
      </c>
      <c r="L85" s="390"/>
      <c r="M85" s="390"/>
      <c r="N85" s="390"/>
    </row>
    <row r="86" spans="1:14" ht="13.5">
      <c r="A86" s="458">
        <f>キャラクターシート!B41</f>
      </c>
      <c r="B86" s="458"/>
      <c r="C86" s="125">
        <f>キャラクターシート!F41</f>
      </c>
      <c r="D86" s="125">
        <f>キャラクターシート!H41</f>
      </c>
      <c r="E86" s="125">
        <f>キャラクターシート!I41</f>
      </c>
      <c r="F86" s="55">
        <f>キャラクターシート!K41</f>
      </c>
      <c r="G86" s="55">
        <f>キャラクターシート!L41</f>
      </c>
      <c r="H86" s="55">
        <f>キャラクターシート!M41</f>
      </c>
      <c r="I86" s="55">
        <f>キャラクターシート!N41</f>
      </c>
      <c r="J86" s="55">
        <f>キャラクターシート!P41</f>
      </c>
      <c r="K86" s="390">
        <f>キャラクターシート!Q41</f>
      </c>
      <c r="L86" s="390"/>
      <c r="M86" s="390"/>
      <c r="N86" s="390"/>
    </row>
    <row r="87" spans="1:14" ht="13.5">
      <c r="A87" s="458">
        <f>キャラクターシート!B42</f>
      </c>
      <c r="B87" s="458"/>
      <c r="C87" s="125">
        <f>キャラクターシート!F42</f>
      </c>
      <c r="D87" s="125">
        <f>キャラクターシート!H42</f>
      </c>
      <c r="E87" s="125">
        <f>キャラクターシート!I42</f>
      </c>
      <c r="F87" s="55">
        <f>キャラクターシート!K42</f>
      </c>
      <c r="G87" s="55">
        <f>キャラクターシート!L42</f>
      </c>
      <c r="H87" s="55">
        <f>キャラクターシート!M42</f>
      </c>
      <c r="I87" s="55">
        <f>キャラクターシート!N42</f>
      </c>
      <c r="J87" s="55">
        <f>キャラクターシート!P42</f>
      </c>
      <c r="K87" s="390">
        <f>キャラクターシート!Q42</f>
      </c>
      <c r="L87" s="390"/>
      <c r="M87" s="390"/>
      <c r="N87" s="390"/>
    </row>
    <row r="88" spans="1:14" ht="13.5">
      <c r="A88" s="458">
        <f>キャラクターシート!B43</f>
      </c>
      <c r="B88" s="458"/>
      <c r="C88" s="125">
        <f>キャラクターシート!F43</f>
      </c>
      <c r="D88" s="125">
        <f>キャラクターシート!H43</f>
      </c>
      <c r="E88" s="125">
        <f>キャラクターシート!I43</f>
      </c>
      <c r="F88" s="55">
        <f>キャラクターシート!K43</f>
      </c>
      <c r="G88" s="55">
        <f>キャラクターシート!L43</f>
      </c>
      <c r="H88" s="55">
        <f>キャラクターシート!M43</f>
      </c>
      <c r="I88" s="55">
        <f>キャラクターシート!N43</f>
      </c>
      <c r="J88" s="55">
        <f>キャラクターシート!P43</f>
      </c>
      <c r="K88" s="390">
        <f>キャラクターシート!Q43</f>
      </c>
      <c r="L88" s="390"/>
      <c r="M88" s="390"/>
      <c r="N88" s="390"/>
    </row>
    <row r="89" spans="1:14" ht="13.5">
      <c r="A89" s="459">
        <f>キャラクターシート!B44</f>
      </c>
      <c r="B89" s="459"/>
      <c r="C89" s="154">
        <f>キャラクターシート!F44</f>
      </c>
      <c r="D89" s="154">
        <f>キャラクターシート!H44</f>
      </c>
      <c r="E89" s="154">
        <f>キャラクターシート!I44</f>
      </c>
      <c r="F89" s="152">
        <f>キャラクターシート!K44</f>
      </c>
      <c r="G89" s="152">
        <f>キャラクターシート!L44</f>
      </c>
      <c r="H89" s="152">
        <f>キャラクターシート!M44</f>
      </c>
      <c r="I89" s="152">
        <f>キャラクターシート!N44</f>
      </c>
      <c r="J89" s="152">
        <f>キャラクターシート!P44</f>
      </c>
      <c r="K89" s="439">
        <f>キャラクターシート!Q44</f>
      </c>
      <c r="L89" s="439"/>
      <c r="M89" s="439"/>
      <c r="N89" s="439"/>
    </row>
    <row r="90" spans="1:14" ht="13.5">
      <c r="A90" s="460">
        <f>キャラクターシート!B48</f>
      </c>
      <c r="B90" s="460"/>
      <c r="C90" s="453">
        <f>キャラクターシート!F48</f>
      </c>
      <c r="D90" s="453">
        <f>キャラクターシート!H48</f>
      </c>
      <c r="E90" s="453">
        <f>キャラクターシート!I48</f>
      </c>
      <c r="F90" s="454">
        <f>キャラクターシート!K48</f>
      </c>
      <c r="G90" s="454">
        <f>キャラクターシート!L48</f>
      </c>
      <c r="H90" s="454">
        <f>キャラクターシート!M48</f>
      </c>
      <c r="I90" s="454">
        <f>キャラクターシート!N48</f>
      </c>
      <c r="J90" s="454">
        <f>キャラクターシート!P48</f>
      </c>
      <c r="K90" s="461">
        <f>キャラクターシート!Q48</f>
      </c>
      <c r="L90" s="461"/>
      <c r="M90" s="461"/>
      <c r="N90" s="461"/>
    </row>
    <row r="91" spans="1:14" ht="13.5">
      <c r="A91" s="458">
        <f>キャラクターシート!B49</f>
      </c>
      <c r="B91" s="458"/>
      <c r="C91" s="125">
        <f>キャラクターシート!F49</f>
      </c>
      <c r="D91" s="125">
        <f>キャラクターシート!H49</f>
      </c>
      <c r="E91" s="125">
        <f>キャラクターシート!I49</f>
      </c>
      <c r="F91" s="55">
        <f>キャラクターシート!K49</f>
      </c>
      <c r="G91" s="55">
        <f>キャラクターシート!L49</f>
      </c>
      <c r="H91" s="55">
        <f>キャラクターシート!M49</f>
      </c>
      <c r="I91" s="55">
        <f>キャラクターシート!N49</f>
      </c>
      <c r="J91" s="55">
        <f>キャラクターシート!P49</f>
      </c>
      <c r="K91" s="390">
        <f>キャラクターシート!Q49</f>
      </c>
      <c r="L91" s="390"/>
      <c r="M91" s="390"/>
      <c r="N91" s="390"/>
    </row>
    <row r="92" spans="1:14" ht="13.5">
      <c r="A92" s="458">
        <f>キャラクターシート!B50</f>
      </c>
      <c r="B92" s="458"/>
      <c r="C92" s="125">
        <f>キャラクターシート!F50</f>
      </c>
      <c r="D92" s="125">
        <f>キャラクターシート!H50</f>
      </c>
      <c r="E92" s="125">
        <f>キャラクターシート!I50</f>
      </c>
      <c r="F92" s="55">
        <f>キャラクターシート!K50</f>
      </c>
      <c r="G92" s="55">
        <f>キャラクターシート!L50</f>
      </c>
      <c r="H92" s="55">
        <f>キャラクターシート!M50</f>
      </c>
      <c r="I92" s="55">
        <f>キャラクターシート!N50</f>
      </c>
      <c r="J92" s="55">
        <f>キャラクターシート!P50</f>
      </c>
      <c r="K92" s="390">
        <f>キャラクターシート!Q50</f>
      </c>
      <c r="L92" s="390"/>
      <c r="M92" s="390"/>
      <c r="N92" s="390"/>
    </row>
    <row r="93" spans="1:14" ht="13.5">
      <c r="A93" s="458">
        <f>キャラクターシート!B51</f>
      </c>
      <c r="B93" s="458"/>
      <c r="C93" s="125">
        <f>キャラクターシート!F51</f>
      </c>
      <c r="D93" s="125">
        <f>キャラクターシート!H51</f>
      </c>
      <c r="E93" s="125">
        <f>キャラクターシート!I51</f>
      </c>
      <c r="F93" s="55">
        <f>キャラクターシート!K51</f>
      </c>
      <c r="G93" s="55">
        <f>キャラクターシート!L51</f>
      </c>
      <c r="H93" s="55">
        <f>キャラクターシート!M51</f>
      </c>
      <c r="I93" s="55">
        <f>キャラクターシート!N51</f>
      </c>
      <c r="J93" s="55">
        <f>キャラクターシート!P51</f>
      </c>
      <c r="K93" s="390">
        <f>キャラクターシート!Q51</f>
      </c>
      <c r="L93" s="390"/>
      <c r="M93" s="390"/>
      <c r="N93" s="390"/>
    </row>
    <row r="94" spans="1:14" ht="13.5">
      <c r="A94" s="458">
        <f>キャラクターシート!B52</f>
      </c>
      <c r="B94" s="458"/>
      <c r="C94" s="125">
        <f>キャラクターシート!F52</f>
      </c>
      <c r="D94" s="125">
        <f>キャラクターシート!H52</f>
      </c>
      <c r="E94" s="125">
        <f>キャラクターシート!I52</f>
      </c>
      <c r="F94" s="55">
        <f>キャラクターシート!K52</f>
      </c>
      <c r="G94" s="55">
        <f>キャラクターシート!L52</f>
      </c>
      <c r="H94" s="55">
        <f>キャラクターシート!M52</f>
      </c>
      <c r="I94" s="55">
        <f>キャラクターシート!N52</f>
      </c>
      <c r="J94" s="55">
        <f>キャラクターシート!P52</f>
      </c>
      <c r="K94" s="390">
        <f>キャラクターシート!Q52</f>
      </c>
      <c r="L94" s="390"/>
      <c r="M94" s="390"/>
      <c r="N94" s="390"/>
    </row>
    <row r="95" spans="1:14" ht="13.5">
      <c r="A95" s="458">
        <f>キャラクターシート!B53</f>
      </c>
      <c r="B95" s="458"/>
      <c r="C95" s="125">
        <f>キャラクターシート!F53</f>
      </c>
      <c r="D95" s="125">
        <f>キャラクターシート!H53</f>
      </c>
      <c r="E95" s="125">
        <f>キャラクターシート!I53</f>
      </c>
      <c r="F95" s="55">
        <f>キャラクターシート!K53</f>
      </c>
      <c r="G95" s="55">
        <f>キャラクターシート!L53</f>
      </c>
      <c r="H95" s="55">
        <f>キャラクターシート!M53</f>
      </c>
      <c r="I95" s="55">
        <f>キャラクターシート!N53</f>
      </c>
      <c r="J95" s="55">
        <f>キャラクターシート!P53</f>
      </c>
      <c r="K95" s="390">
        <f>キャラクターシート!Q53</f>
      </c>
      <c r="L95" s="390"/>
      <c r="M95" s="390"/>
      <c r="N95" s="390"/>
    </row>
    <row r="96" spans="1:14" ht="13.5">
      <c r="A96" s="458">
        <f>キャラクターシート!B54</f>
      </c>
      <c r="B96" s="458"/>
      <c r="C96" s="125">
        <f>キャラクターシート!F54</f>
      </c>
      <c r="D96" s="125">
        <f>キャラクターシート!H54</f>
      </c>
      <c r="E96" s="125">
        <f>キャラクターシート!I54</f>
      </c>
      <c r="F96" s="55">
        <f>キャラクターシート!K54</f>
      </c>
      <c r="G96" s="55">
        <f>キャラクターシート!L54</f>
      </c>
      <c r="H96" s="55">
        <f>キャラクターシート!M54</f>
      </c>
      <c r="I96" s="55">
        <f>キャラクターシート!N54</f>
      </c>
      <c r="J96" s="55">
        <f>キャラクターシート!P54</f>
      </c>
      <c r="K96" s="390">
        <f>キャラクターシート!Q54</f>
      </c>
      <c r="L96" s="390"/>
      <c r="M96" s="390"/>
      <c r="N96" s="390"/>
    </row>
    <row r="97" spans="1:14" ht="13.5">
      <c r="A97" s="458">
        <f>キャラクターシート!B55</f>
      </c>
      <c r="B97" s="458"/>
      <c r="C97" s="125">
        <f>キャラクターシート!F55</f>
      </c>
      <c r="D97" s="125">
        <f>キャラクターシート!H55</f>
      </c>
      <c r="E97" s="125">
        <f>キャラクターシート!I55</f>
      </c>
      <c r="F97" s="55">
        <f>キャラクターシート!K55</f>
      </c>
      <c r="G97" s="55">
        <f>キャラクターシート!L55</f>
      </c>
      <c r="H97" s="55">
        <f>キャラクターシート!M55</f>
      </c>
      <c r="I97" s="55">
        <f>キャラクターシート!N55</f>
      </c>
      <c r="J97" s="55">
        <f>キャラクターシート!P55</f>
      </c>
      <c r="K97" s="390">
        <f>キャラクターシート!Q55</f>
      </c>
      <c r="L97" s="390"/>
      <c r="M97" s="390"/>
      <c r="N97" s="390"/>
    </row>
    <row r="98" spans="1:14" ht="13.5">
      <c r="A98" s="458">
        <f>キャラクターシート!B56</f>
      </c>
      <c r="B98" s="458"/>
      <c r="C98" s="125">
        <f>キャラクターシート!F56</f>
      </c>
      <c r="D98" s="125">
        <f>キャラクターシート!H56</f>
      </c>
      <c r="E98" s="125">
        <f>キャラクターシート!I56</f>
      </c>
      <c r="F98" s="55">
        <f>キャラクターシート!K56</f>
      </c>
      <c r="G98" s="55">
        <f>キャラクターシート!L56</f>
      </c>
      <c r="H98" s="55">
        <f>キャラクターシート!M56</f>
      </c>
      <c r="I98" s="55">
        <f>キャラクターシート!N56</f>
      </c>
      <c r="J98" s="55">
        <f>キャラクターシート!P56</f>
      </c>
      <c r="K98" s="390">
        <f>キャラクターシート!Q56</f>
      </c>
      <c r="L98" s="390"/>
      <c r="M98" s="390"/>
      <c r="N98" s="390"/>
    </row>
    <row r="99" spans="1:14" ht="13.5">
      <c r="A99" s="462">
        <f>キャラクターシート!B57</f>
      </c>
      <c r="B99" s="462"/>
      <c r="C99" s="450">
        <f>キャラクターシート!F57</f>
      </c>
      <c r="D99" s="450">
        <f>キャラクターシート!H57</f>
      </c>
      <c r="E99" s="450">
        <f>キャラクターシート!I57</f>
      </c>
      <c r="F99" s="444">
        <f>キャラクターシート!K57</f>
      </c>
      <c r="G99" s="444">
        <f>キャラクターシート!L57</f>
      </c>
      <c r="H99" s="444">
        <f>キャラクターシート!M57</f>
      </c>
      <c r="I99" s="444">
        <f>キャラクターシート!N57</f>
      </c>
      <c r="J99" s="444">
        <f>キャラクターシート!P57</f>
      </c>
      <c r="K99" s="463">
        <f>キャラクターシート!Q57</f>
      </c>
      <c r="L99" s="463"/>
      <c r="M99" s="463"/>
      <c r="N99" s="463"/>
    </row>
    <row r="100" spans="1:14" ht="13.5">
      <c r="A100" s="458">
        <f>キャラクターシート!B58</f>
      </c>
      <c r="B100" s="458"/>
      <c r="C100" s="125">
        <f>キャラクターシート!F58</f>
      </c>
      <c r="D100" s="125">
        <f>キャラクターシート!H58</f>
      </c>
      <c r="E100" s="125">
        <f>キャラクターシート!I58</f>
      </c>
      <c r="F100" s="55">
        <f>キャラクターシート!K58</f>
      </c>
      <c r="G100" s="55">
        <f>キャラクターシート!L58</f>
      </c>
      <c r="H100" s="55">
        <f>キャラクターシート!M58</f>
      </c>
      <c r="I100" s="55">
        <f>キャラクターシート!N58</f>
      </c>
      <c r="J100" s="55">
        <f>キャラクターシート!P58</f>
      </c>
      <c r="K100" s="390">
        <f>キャラクターシート!Q58</f>
      </c>
      <c r="L100" s="390"/>
      <c r="M100" s="390"/>
      <c r="N100" s="390"/>
    </row>
    <row r="101" spans="1:14" ht="13.5">
      <c r="A101" s="458">
        <f>キャラクターシート!B59</f>
      </c>
      <c r="B101" s="458"/>
      <c r="C101" s="125">
        <f>キャラクターシート!F59</f>
      </c>
      <c r="D101" s="125">
        <f>キャラクターシート!H59</f>
      </c>
      <c r="E101" s="125">
        <f>キャラクターシート!I59</f>
      </c>
      <c r="F101" s="55">
        <f>キャラクターシート!K59</f>
      </c>
      <c r="G101" s="55">
        <f>キャラクターシート!L59</f>
      </c>
      <c r="H101" s="55">
        <f>キャラクターシート!M59</f>
      </c>
      <c r="I101" s="55">
        <f>キャラクターシート!N59</f>
      </c>
      <c r="J101" s="55">
        <f>キャラクターシート!P59</f>
      </c>
      <c r="K101" s="390">
        <f>キャラクターシート!Q59</f>
      </c>
      <c r="L101" s="390"/>
      <c r="M101" s="390"/>
      <c r="N101" s="390"/>
    </row>
    <row r="102" spans="1:14" ht="13.5">
      <c r="A102" s="458">
        <f>キャラクターシート!B60</f>
      </c>
      <c r="B102" s="458"/>
      <c r="C102" s="125">
        <f>キャラクターシート!F60</f>
      </c>
      <c r="D102" s="125">
        <f>キャラクターシート!H60</f>
      </c>
      <c r="E102" s="125">
        <f>キャラクターシート!I60</f>
      </c>
      <c r="F102" s="55">
        <f>キャラクターシート!K60</f>
      </c>
      <c r="G102" s="55">
        <f>キャラクターシート!L60</f>
      </c>
      <c r="H102" s="55">
        <f>キャラクターシート!M60</f>
      </c>
      <c r="I102" s="55">
        <f>キャラクターシート!N60</f>
      </c>
      <c r="J102" s="55">
        <f>キャラクターシート!P60</f>
      </c>
      <c r="K102" s="390">
        <f>キャラクターシート!Q60</f>
      </c>
      <c r="L102" s="390"/>
      <c r="M102" s="390"/>
      <c r="N102" s="390"/>
    </row>
    <row r="103" spans="1:14" ht="13.5">
      <c r="A103" s="458">
        <f>キャラクターシート!B61</f>
      </c>
      <c r="B103" s="458"/>
      <c r="C103" s="125">
        <f>キャラクターシート!F61</f>
      </c>
      <c r="D103" s="125">
        <f>キャラクターシート!H61</f>
      </c>
      <c r="E103" s="125">
        <f>キャラクターシート!I61</f>
      </c>
      <c r="F103" s="55">
        <f>キャラクターシート!K61</f>
      </c>
      <c r="G103" s="55">
        <f>キャラクターシート!L61</f>
      </c>
      <c r="H103" s="55">
        <f>キャラクターシート!M61</f>
      </c>
      <c r="I103" s="55">
        <f>キャラクターシート!N61</f>
      </c>
      <c r="J103" s="55">
        <f>キャラクターシート!P61</f>
      </c>
      <c r="K103" s="390">
        <f>キャラクターシート!Q61</f>
      </c>
      <c r="L103" s="390"/>
      <c r="M103" s="390"/>
      <c r="N103" s="390"/>
    </row>
    <row r="104" spans="1:14" ht="13.5">
      <c r="A104" s="458">
        <f>キャラクターシート!B62</f>
      </c>
      <c r="B104" s="458"/>
      <c r="C104" s="125">
        <f>キャラクターシート!F62</f>
      </c>
      <c r="D104" s="125">
        <f>キャラクターシート!H62</f>
      </c>
      <c r="E104" s="125">
        <f>キャラクターシート!I62</f>
      </c>
      <c r="F104" s="55">
        <f>キャラクターシート!K62</f>
      </c>
      <c r="G104" s="55">
        <f>キャラクターシート!L62</f>
      </c>
      <c r="H104" s="55">
        <f>キャラクターシート!M62</f>
      </c>
      <c r="I104" s="55">
        <f>キャラクターシート!N62</f>
      </c>
      <c r="J104" s="55">
        <f>キャラクターシート!P62</f>
      </c>
      <c r="K104" s="390">
        <f>キャラクターシート!Q62</f>
      </c>
      <c r="L104" s="390"/>
      <c r="M104" s="390"/>
      <c r="N104" s="390"/>
    </row>
    <row r="105" spans="1:14" ht="13.5">
      <c r="A105" s="458">
        <f>キャラクターシート!B63</f>
      </c>
      <c r="B105" s="458"/>
      <c r="C105" s="125">
        <f>キャラクターシート!F63</f>
      </c>
      <c r="D105" s="125">
        <f>キャラクターシート!H63</f>
      </c>
      <c r="E105" s="125">
        <f>キャラクターシート!I63</f>
      </c>
      <c r="F105" s="55">
        <f>キャラクターシート!K63</f>
      </c>
      <c r="G105" s="55">
        <f>キャラクターシート!L63</f>
      </c>
      <c r="H105" s="55">
        <f>キャラクターシート!M63</f>
      </c>
      <c r="I105" s="55">
        <f>キャラクターシート!N63</f>
      </c>
      <c r="J105" s="55">
        <f>キャラクターシート!P63</f>
      </c>
      <c r="K105" s="390">
        <f>キャラクターシート!Q63</f>
      </c>
      <c r="L105" s="390"/>
      <c r="M105" s="390"/>
      <c r="N105" s="390"/>
    </row>
    <row r="106" spans="1:14" ht="13.5">
      <c r="A106" s="458">
        <f>キャラクターシート!B64</f>
      </c>
      <c r="B106" s="458"/>
      <c r="C106" s="125">
        <f>キャラクターシート!F64</f>
      </c>
      <c r="D106" s="125">
        <f>キャラクターシート!H64</f>
      </c>
      <c r="E106" s="125">
        <f>キャラクターシート!I64</f>
      </c>
      <c r="F106" s="55">
        <f>キャラクターシート!K64</f>
      </c>
      <c r="G106" s="55">
        <f>キャラクターシート!L64</f>
      </c>
      <c r="H106" s="55">
        <f>キャラクターシート!M64</f>
      </c>
      <c r="I106" s="55">
        <f>キャラクターシート!N64</f>
      </c>
      <c r="J106" s="55">
        <f>キャラクターシート!P64</f>
      </c>
      <c r="K106" s="390">
        <f>キャラクターシート!Q64</f>
      </c>
      <c r="L106" s="390"/>
      <c r="M106" s="390"/>
      <c r="N106" s="390"/>
    </row>
    <row r="107" spans="1:14" ht="13.5">
      <c r="A107" s="464">
        <f>キャラクターシート!B65</f>
      </c>
      <c r="B107" s="464"/>
      <c r="C107" s="159">
        <f>キャラクターシート!F65</f>
      </c>
      <c r="D107" s="159">
        <f>キャラクターシート!H65</f>
      </c>
      <c r="E107" s="159">
        <f>キャラクターシート!I65</f>
      </c>
      <c r="F107" s="157">
        <f>キャラクターシート!K65</f>
      </c>
      <c r="G107" s="157">
        <f>キャラクターシート!L65</f>
      </c>
      <c r="H107" s="157">
        <f>キャラクターシート!M65</f>
      </c>
      <c r="I107" s="157">
        <f>キャラクターシート!N65</f>
      </c>
      <c r="J107" s="157">
        <f>キャラクターシート!P65</f>
      </c>
      <c r="K107" s="426">
        <f>キャラクターシート!Q65</f>
      </c>
      <c r="L107" s="426"/>
      <c r="M107" s="426"/>
      <c r="N107" s="426"/>
    </row>
  </sheetData>
  <mergeCells count="146">
    <mergeCell ref="A1:E1"/>
    <mergeCell ref="F1:N1"/>
    <mergeCell ref="A2:B2"/>
    <mergeCell ref="C2:E2"/>
    <mergeCell ref="F2:G2"/>
    <mergeCell ref="I2:J2"/>
    <mergeCell ref="M2:N2"/>
    <mergeCell ref="A3:B3"/>
    <mergeCell ref="C3:E3"/>
    <mergeCell ref="F3:G3"/>
    <mergeCell ref="H3:N3"/>
    <mergeCell ref="A4:B4"/>
    <mergeCell ref="F4:N4"/>
    <mergeCell ref="F5:N5"/>
    <mergeCell ref="F6:N6"/>
    <mergeCell ref="F7:N7"/>
    <mergeCell ref="F8:N8"/>
    <mergeCell ref="F9:N9"/>
    <mergeCell ref="F10:N10"/>
    <mergeCell ref="F11:N11"/>
    <mergeCell ref="F12:N12"/>
    <mergeCell ref="F13:N13"/>
    <mergeCell ref="F14:N14"/>
    <mergeCell ref="F15:N15"/>
    <mergeCell ref="F16:N16"/>
    <mergeCell ref="F17:N17"/>
    <mergeCell ref="F18:N18"/>
    <mergeCell ref="F19:N19"/>
    <mergeCell ref="F20:N20"/>
    <mergeCell ref="F21:N21"/>
    <mergeCell ref="F22:N22"/>
    <mergeCell ref="F23:N23"/>
    <mergeCell ref="F24:N24"/>
    <mergeCell ref="F25:N25"/>
    <mergeCell ref="F26:N26"/>
    <mergeCell ref="F27:N27"/>
    <mergeCell ref="F28:N28"/>
    <mergeCell ref="F29:N29"/>
    <mergeCell ref="A30:B30"/>
    <mergeCell ref="H30:L30"/>
    <mergeCell ref="F31:N31"/>
    <mergeCell ref="F32:N32"/>
    <mergeCell ref="F33:N33"/>
    <mergeCell ref="F34:N34"/>
    <mergeCell ref="F35:N35"/>
    <mergeCell ref="F36:N36"/>
    <mergeCell ref="F37:N37"/>
    <mergeCell ref="F38:N38"/>
    <mergeCell ref="F39:N39"/>
    <mergeCell ref="F40:N40"/>
    <mergeCell ref="F41:N41"/>
    <mergeCell ref="F42:N42"/>
    <mergeCell ref="F43:N43"/>
    <mergeCell ref="F44:N44"/>
    <mergeCell ref="F45:N45"/>
    <mergeCell ref="F46:N46"/>
    <mergeCell ref="F47:N47"/>
    <mergeCell ref="F48:N48"/>
    <mergeCell ref="F49:N49"/>
    <mergeCell ref="F50:N50"/>
    <mergeCell ref="F51:N51"/>
    <mergeCell ref="F52:N52"/>
    <mergeCell ref="F53:N53"/>
    <mergeCell ref="F54:N54"/>
    <mergeCell ref="A67:E67"/>
    <mergeCell ref="F67:N67"/>
    <mergeCell ref="A68:B68"/>
    <mergeCell ref="K68:N68"/>
    <mergeCell ref="A69:B69"/>
    <mergeCell ref="K69:N69"/>
    <mergeCell ref="A70:B70"/>
    <mergeCell ref="K70:N70"/>
    <mergeCell ref="A71:B71"/>
    <mergeCell ref="K71:N71"/>
    <mergeCell ref="A72:B72"/>
    <mergeCell ref="K72:N72"/>
    <mergeCell ref="A73:B73"/>
    <mergeCell ref="K73:N73"/>
    <mergeCell ref="A74:B74"/>
    <mergeCell ref="K74:N74"/>
    <mergeCell ref="A75:B75"/>
    <mergeCell ref="K75:N75"/>
    <mergeCell ref="A76:B76"/>
    <mergeCell ref="K76:N76"/>
    <mergeCell ref="A77:B77"/>
    <mergeCell ref="K77:N77"/>
    <mergeCell ref="A78:B78"/>
    <mergeCell ref="K78:N78"/>
    <mergeCell ref="A79:B79"/>
    <mergeCell ref="K79:N79"/>
    <mergeCell ref="A80:B80"/>
    <mergeCell ref="K80:N80"/>
    <mergeCell ref="A81:B81"/>
    <mergeCell ref="K81:N81"/>
    <mergeCell ref="A82:B82"/>
    <mergeCell ref="K82:N82"/>
    <mergeCell ref="A83:B83"/>
    <mergeCell ref="K83:N83"/>
    <mergeCell ref="A84:B84"/>
    <mergeCell ref="K84:N84"/>
    <mergeCell ref="A85:B85"/>
    <mergeCell ref="K85:N85"/>
    <mergeCell ref="A86:B86"/>
    <mergeCell ref="K86:N86"/>
    <mergeCell ref="A87:B87"/>
    <mergeCell ref="K87:N87"/>
    <mergeCell ref="A88:B88"/>
    <mergeCell ref="K88:N88"/>
    <mergeCell ref="A89:B89"/>
    <mergeCell ref="K89:N89"/>
    <mergeCell ref="A90:B90"/>
    <mergeCell ref="K90:N90"/>
    <mergeCell ref="A91:B91"/>
    <mergeCell ref="K91:N91"/>
    <mergeCell ref="A92:B92"/>
    <mergeCell ref="K92:N92"/>
    <mergeCell ref="A93:B93"/>
    <mergeCell ref="K93:N93"/>
    <mergeCell ref="A94:B94"/>
    <mergeCell ref="K94:N94"/>
    <mergeCell ref="A95:B95"/>
    <mergeCell ref="K95:N95"/>
    <mergeCell ref="A96:B96"/>
    <mergeCell ref="K96:N96"/>
    <mergeCell ref="A97:B97"/>
    <mergeCell ref="K97:N97"/>
    <mergeCell ref="A98:B98"/>
    <mergeCell ref="K98:N98"/>
    <mergeCell ref="A99:B99"/>
    <mergeCell ref="K99:N99"/>
    <mergeCell ref="A100:B100"/>
    <mergeCell ref="K100:N100"/>
    <mergeCell ref="A101:B101"/>
    <mergeCell ref="K101:N101"/>
    <mergeCell ref="A102:B102"/>
    <mergeCell ref="K102:N102"/>
    <mergeCell ref="A103:B103"/>
    <mergeCell ref="K103:N103"/>
    <mergeCell ref="A104:B104"/>
    <mergeCell ref="K104:N104"/>
    <mergeCell ref="A105:B105"/>
    <mergeCell ref="K105:N105"/>
    <mergeCell ref="A106:B106"/>
    <mergeCell ref="K106:N106"/>
    <mergeCell ref="A107:B107"/>
    <mergeCell ref="K107:N107"/>
  </mergeCells>
  <dataValidations count="1">
    <dataValidation type="list" allowBlank="1" showErrorMessage="1" sqref="B5:B29">
      <formula1>AR_ギルドスキル</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8.xml><?xml version="1.0" encoding="utf-8"?>
<worksheet xmlns="http://schemas.openxmlformats.org/spreadsheetml/2006/main" xmlns:r="http://schemas.openxmlformats.org/officeDocument/2006/relationships">
  <sheetPr codeName="Sheet10"/>
  <dimension ref="A1:R799"/>
  <sheetViews>
    <sheetView workbookViewId="0" topLeftCell="A106">
      <selection activeCell="A131" sqref="A131"/>
    </sheetView>
  </sheetViews>
  <sheetFormatPr defaultColWidth="9.00390625" defaultRowHeight="13.5"/>
  <cols>
    <col min="1" max="1" width="22.125" style="63" customWidth="1"/>
    <col min="2" max="2" width="12.50390625" style="63" customWidth="1"/>
    <col min="3" max="3" width="2.75390625" style="63" customWidth="1"/>
    <col min="4" max="4" width="7.25390625" style="63" customWidth="1"/>
    <col min="5" max="5" width="4.625" style="63" customWidth="1"/>
    <col min="6" max="6" width="4.375" style="63" customWidth="1"/>
    <col min="7" max="7" width="4.875" style="63" customWidth="1"/>
    <col min="8" max="8" width="5.00390625" style="63" customWidth="1"/>
    <col min="9" max="9" width="4.75390625" style="63" customWidth="1"/>
    <col min="10" max="10" width="33.25390625" style="465" customWidth="1"/>
    <col min="11" max="11" width="6.875" style="63" customWidth="1"/>
    <col min="12" max="12" width="9.00390625" style="363" customWidth="1"/>
    <col min="13" max="16384" width="9.00390625" style="63" customWidth="1"/>
  </cols>
  <sheetData>
    <row r="1" spans="1:18" s="204" customFormat="1" ht="13.5">
      <c r="A1" s="466" t="s">
        <v>407</v>
      </c>
      <c r="B1" s="466"/>
      <c r="C1" s="466"/>
      <c r="D1" s="466"/>
      <c r="E1" s="466"/>
      <c r="F1" s="466"/>
      <c r="G1" s="466"/>
      <c r="H1" s="466"/>
      <c r="I1" s="466"/>
      <c r="J1" s="466"/>
      <c r="K1" s="466"/>
      <c r="L1" s="467"/>
      <c r="M1" s="468"/>
      <c r="N1" s="468"/>
      <c r="O1" s="468"/>
      <c r="P1" s="468"/>
      <c r="Q1" s="468"/>
      <c r="R1" s="468"/>
    </row>
    <row r="2" spans="1:11" ht="13.5">
      <c r="A2" s="469" t="s">
        <v>408</v>
      </c>
      <c r="B2" s="470" t="s">
        <v>292</v>
      </c>
      <c r="C2" s="470" t="s">
        <v>293</v>
      </c>
      <c r="D2" s="470" t="s">
        <v>294</v>
      </c>
      <c r="E2" s="470" t="s">
        <v>176</v>
      </c>
      <c r="F2" s="470" t="s">
        <v>295</v>
      </c>
      <c r="G2" s="470" t="s">
        <v>248</v>
      </c>
      <c r="H2" s="470" t="s">
        <v>296</v>
      </c>
      <c r="I2" s="470" t="s">
        <v>242</v>
      </c>
      <c r="J2" s="471" t="s">
        <v>297</v>
      </c>
      <c r="K2" s="471" t="s">
        <v>409</v>
      </c>
    </row>
    <row r="3" spans="1:12" s="472" customFormat="1" ht="11.25">
      <c r="A3" s="472" t="s">
        <v>410</v>
      </c>
      <c r="B3" s="472" t="s">
        <v>408</v>
      </c>
      <c r="C3" s="472" t="s">
        <v>411</v>
      </c>
      <c r="D3" s="472" t="s">
        <v>412</v>
      </c>
      <c r="E3" s="472" t="s">
        <v>93</v>
      </c>
      <c r="F3" s="472" t="s">
        <v>413</v>
      </c>
      <c r="G3" s="472" t="s">
        <v>93</v>
      </c>
      <c r="H3" s="472" t="s">
        <v>93</v>
      </c>
      <c r="I3" s="472">
        <v>1</v>
      </c>
      <c r="J3" s="473"/>
      <c r="K3" s="472" t="s">
        <v>414</v>
      </c>
      <c r="L3" s="474"/>
    </row>
    <row r="4" spans="1:12" s="472" customFormat="1" ht="11.25">
      <c r="A4" s="472" t="s">
        <v>415</v>
      </c>
      <c r="B4" s="472" t="s">
        <v>408</v>
      </c>
      <c r="C4" s="472" t="s">
        <v>411</v>
      </c>
      <c r="D4" s="472" t="s">
        <v>416</v>
      </c>
      <c r="E4" s="472" t="s">
        <v>93</v>
      </c>
      <c r="F4" s="472" t="s">
        <v>93</v>
      </c>
      <c r="G4" s="472" t="s">
        <v>93</v>
      </c>
      <c r="H4" s="472" t="s">
        <v>93</v>
      </c>
      <c r="I4" s="472" t="s">
        <v>93</v>
      </c>
      <c r="J4" s="473"/>
      <c r="K4" s="472" t="s">
        <v>414</v>
      </c>
      <c r="L4" s="474"/>
    </row>
    <row r="5" spans="1:12" s="472" customFormat="1" ht="11.25">
      <c r="A5" s="472" t="s">
        <v>417</v>
      </c>
      <c r="B5" s="472" t="s">
        <v>408</v>
      </c>
      <c r="C5" s="472" t="s">
        <v>411</v>
      </c>
      <c r="D5" s="472" t="s">
        <v>416</v>
      </c>
      <c r="E5" s="472" t="s">
        <v>93</v>
      </c>
      <c r="F5" s="472" t="s">
        <v>93</v>
      </c>
      <c r="G5" s="472" t="s">
        <v>93</v>
      </c>
      <c r="H5" s="472" t="s">
        <v>93</v>
      </c>
      <c r="I5" s="472" t="s">
        <v>93</v>
      </c>
      <c r="J5" s="473"/>
      <c r="K5" s="472" t="s">
        <v>414</v>
      </c>
      <c r="L5" s="474"/>
    </row>
    <row r="6" spans="1:12" s="472" customFormat="1" ht="11.25">
      <c r="A6" s="475" t="s">
        <v>418</v>
      </c>
      <c r="B6" s="472" t="s">
        <v>408</v>
      </c>
      <c r="C6" s="472" t="s">
        <v>411</v>
      </c>
      <c r="D6" s="472" t="s">
        <v>416</v>
      </c>
      <c r="E6" s="472" t="s">
        <v>93</v>
      </c>
      <c r="F6" s="472" t="s">
        <v>413</v>
      </c>
      <c r="G6" s="472" t="s">
        <v>93</v>
      </c>
      <c r="H6" s="472" t="s">
        <v>93</v>
      </c>
      <c r="I6" s="472" t="s">
        <v>93</v>
      </c>
      <c r="J6" s="476"/>
      <c r="K6" s="472" t="s">
        <v>419</v>
      </c>
      <c r="L6" s="474"/>
    </row>
    <row r="7" spans="1:12" s="472" customFormat="1" ht="11.25">
      <c r="A7" s="475" t="s">
        <v>420</v>
      </c>
      <c r="B7" s="472" t="s">
        <v>408</v>
      </c>
      <c r="C7" s="472" t="s">
        <v>411</v>
      </c>
      <c r="D7" s="472" t="s">
        <v>416</v>
      </c>
      <c r="E7" s="472" t="s">
        <v>93</v>
      </c>
      <c r="F7" s="472" t="s">
        <v>413</v>
      </c>
      <c r="G7" s="472" t="s">
        <v>93</v>
      </c>
      <c r="H7" s="472" t="s">
        <v>93</v>
      </c>
      <c r="I7" s="472" t="s">
        <v>93</v>
      </c>
      <c r="J7" s="476"/>
      <c r="K7" s="472" t="s">
        <v>419</v>
      </c>
      <c r="L7" s="474"/>
    </row>
    <row r="8" spans="1:12" s="472" customFormat="1" ht="11.25">
      <c r="A8" s="475" t="s">
        <v>421</v>
      </c>
      <c r="B8" s="472" t="s">
        <v>408</v>
      </c>
      <c r="C8" s="472" t="s">
        <v>411</v>
      </c>
      <c r="D8" s="472" t="s">
        <v>416</v>
      </c>
      <c r="E8" s="472" t="s">
        <v>93</v>
      </c>
      <c r="F8" s="472" t="s">
        <v>413</v>
      </c>
      <c r="G8" s="472" t="s">
        <v>93</v>
      </c>
      <c r="H8" s="472" t="s">
        <v>93</v>
      </c>
      <c r="I8" s="472" t="s">
        <v>93</v>
      </c>
      <c r="J8" s="476"/>
      <c r="K8" s="472" t="s">
        <v>419</v>
      </c>
      <c r="L8" s="474"/>
    </row>
    <row r="9" spans="1:12" s="472" customFormat="1" ht="11.25">
      <c r="A9" s="475" t="s">
        <v>422</v>
      </c>
      <c r="B9" s="472" t="s">
        <v>408</v>
      </c>
      <c r="C9" s="472" t="s">
        <v>411</v>
      </c>
      <c r="D9" s="472" t="s">
        <v>416</v>
      </c>
      <c r="E9" s="472" t="s">
        <v>93</v>
      </c>
      <c r="F9" s="472" t="s">
        <v>413</v>
      </c>
      <c r="G9" s="472" t="s">
        <v>93</v>
      </c>
      <c r="H9" s="472" t="s">
        <v>93</v>
      </c>
      <c r="I9" s="472" t="s">
        <v>93</v>
      </c>
      <c r="J9" s="476"/>
      <c r="K9" s="472" t="s">
        <v>419</v>
      </c>
      <c r="L9" s="474"/>
    </row>
    <row r="10" spans="1:12" s="472" customFormat="1" ht="11.25">
      <c r="A10" s="475" t="s">
        <v>423</v>
      </c>
      <c r="B10" s="472" t="s">
        <v>408</v>
      </c>
      <c r="C10" s="472" t="s">
        <v>411</v>
      </c>
      <c r="D10" s="472" t="s">
        <v>416</v>
      </c>
      <c r="E10" s="472" t="s">
        <v>93</v>
      </c>
      <c r="F10" s="472" t="s">
        <v>413</v>
      </c>
      <c r="G10" s="472" t="s">
        <v>93</v>
      </c>
      <c r="H10" s="472" t="s">
        <v>93</v>
      </c>
      <c r="I10" s="472" t="s">
        <v>93</v>
      </c>
      <c r="J10" s="476"/>
      <c r="K10" s="472" t="s">
        <v>419</v>
      </c>
      <c r="L10" s="474"/>
    </row>
    <row r="11" spans="1:12" s="472" customFormat="1" ht="11.25">
      <c r="A11" s="475" t="s">
        <v>424</v>
      </c>
      <c r="B11" s="472" t="s">
        <v>408</v>
      </c>
      <c r="C11" s="472" t="s">
        <v>411</v>
      </c>
      <c r="D11" s="472" t="s">
        <v>416</v>
      </c>
      <c r="E11" s="472" t="s">
        <v>93</v>
      </c>
      <c r="F11" s="472" t="s">
        <v>413</v>
      </c>
      <c r="G11" s="472" t="s">
        <v>93</v>
      </c>
      <c r="H11" s="472" t="s">
        <v>93</v>
      </c>
      <c r="I11" s="472" t="s">
        <v>93</v>
      </c>
      <c r="J11" s="476"/>
      <c r="K11" s="472" t="s">
        <v>419</v>
      </c>
      <c r="L11" s="474"/>
    </row>
    <row r="12" spans="1:12" s="472" customFormat="1" ht="11.25">
      <c r="A12" s="475" t="s">
        <v>425</v>
      </c>
      <c r="B12" s="472" t="s">
        <v>408</v>
      </c>
      <c r="C12" s="472" t="s">
        <v>411</v>
      </c>
      <c r="D12" s="472" t="s">
        <v>416</v>
      </c>
      <c r="E12" s="472" t="s">
        <v>93</v>
      </c>
      <c r="F12" s="472" t="s">
        <v>413</v>
      </c>
      <c r="G12" s="472" t="s">
        <v>93</v>
      </c>
      <c r="H12" s="472" t="s">
        <v>93</v>
      </c>
      <c r="I12" s="472" t="s">
        <v>93</v>
      </c>
      <c r="J12" s="476"/>
      <c r="K12" s="472" t="s">
        <v>419</v>
      </c>
      <c r="L12" s="474"/>
    </row>
    <row r="13" spans="1:11" ht="13.5">
      <c r="A13" s="63" t="s">
        <v>426</v>
      </c>
      <c r="B13" s="63" t="s">
        <v>408</v>
      </c>
      <c r="C13" s="63" t="s">
        <v>411</v>
      </c>
      <c r="D13" s="63" t="s">
        <v>427</v>
      </c>
      <c r="E13" s="400" t="s">
        <v>428</v>
      </c>
      <c r="F13" s="63" t="s">
        <v>413</v>
      </c>
      <c r="G13" s="63" t="s">
        <v>93</v>
      </c>
      <c r="H13" s="63" t="s">
        <v>93</v>
      </c>
      <c r="I13" s="63">
        <v>1</v>
      </c>
      <c r="K13" s="400" t="s">
        <v>419</v>
      </c>
    </row>
    <row r="14" spans="1:11" ht="13.5">
      <c r="A14" s="469" t="s">
        <v>429</v>
      </c>
      <c r="B14" s="470" t="s">
        <v>292</v>
      </c>
      <c r="C14" s="470" t="s">
        <v>293</v>
      </c>
      <c r="D14" s="470" t="s">
        <v>294</v>
      </c>
      <c r="E14" s="470" t="s">
        <v>176</v>
      </c>
      <c r="F14" s="470" t="s">
        <v>295</v>
      </c>
      <c r="G14" s="470" t="s">
        <v>248</v>
      </c>
      <c r="H14" s="470" t="s">
        <v>296</v>
      </c>
      <c r="I14" s="470" t="s">
        <v>242</v>
      </c>
      <c r="J14" s="471" t="s">
        <v>297</v>
      </c>
      <c r="K14" s="471" t="s">
        <v>409</v>
      </c>
    </row>
    <row r="15" spans="1:12" s="472" customFormat="1" ht="11.25">
      <c r="A15" s="472" t="s">
        <v>430</v>
      </c>
      <c r="B15" s="472" t="s">
        <v>429</v>
      </c>
      <c r="C15" s="472" t="s">
        <v>411</v>
      </c>
      <c r="D15" s="472" t="s">
        <v>412</v>
      </c>
      <c r="E15" s="472" t="s">
        <v>93</v>
      </c>
      <c r="F15" s="472" t="s">
        <v>413</v>
      </c>
      <c r="G15" s="472" t="s">
        <v>93</v>
      </c>
      <c r="H15" s="472" t="s">
        <v>93</v>
      </c>
      <c r="I15" s="472" t="s">
        <v>93</v>
      </c>
      <c r="J15" s="473"/>
      <c r="K15" s="472" t="s">
        <v>431</v>
      </c>
      <c r="L15" s="474"/>
    </row>
    <row r="16" spans="1:12" s="472" customFormat="1" ht="11.25">
      <c r="A16" s="472" t="s">
        <v>432</v>
      </c>
      <c r="B16" s="472" t="s">
        <v>429</v>
      </c>
      <c r="C16" s="472" t="s">
        <v>411</v>
      </c>
      <c r="D16" s="472" t="s">
        <v>416</v>
      </c>
      <c r="E16" s="472" t="s">
        <v>93</v>
      </c>
      <c r="F16" s="472" t="s">
        <v>93</v>
      </c>
      <c r="G16" s="472" t="s">
        <v>93</v>
      </c>
      <c r="H16" s="472" t="s">
        <v>93</v>
      </c>
      <c r="I16" s="472" t="s">
        <v>93</v>
      </c>
      <c r="J16" s="473"/>
      <c r="K16" s="472" t="s">
        <v>431</v>
      </c>
      <c r="L16" s="474"/>
    </row>
    <row r="17" spans="1:12" s="472" customFormat="1" ht="11.25">
      <c r="A17" s="472" t="s">
        <v>433</v>
      </c>
      <c r="B17" s="472" t="s">
        <v>429</v>
      </c>
      <c r="C17" s="472" t="s">
        <v>411</v>
      </c>
      <c r="D17" s="472" t="s">
        <v>412</v>
      </c>
      <c r="E17" s="472" t="s">
        <v>93</v>
      </c>
      <c r="F17" s="472" t="s">
        <v>413</v>
      </c>
      <c r="G17" s="472" t="s">
        <v>93</v>
      </c>
      <c r="H17" s="472" t="s">
        <v>93</v>
      </c>
      <c r="I17" s="472" t="s">
        <v>93</v>
      </c>
      <c r="J17" s="473"/>
      <c r="K17" s="472" t="s">
        <v>431</v>
      </c>
      <c r="L17" s="474"/>
    </row>
    <row r="18" spans="1:12" s="472" customFormat="1" ht="11.25">
      <c r="A18" s="472" t="s">
        <v>434</v>
      </c>
      <c r="B18" s="472" t="s">
        <v>429</v>
      </c>
      <c r="C18" s="472" t="s">
        <v>411</v>
      </c>
      <c r="D18" s="472" t="s">
        <v>412</v>
      </c>
      <c r="E18" s="472" t="s">
        <v>93</v>
      </c>
      <c r="F18" s="472" t="s">
        <v>413</v>
      </c>
      <c r="G18" s="472" t="s">
        <v>93</v>
      </c>
      <c r="H18" s="472" t="s">
        <v>93</v>
      </c>
      <c r="I18" s="472" t="s">
        <v>93</v>
      </c>
      <c r="J18" s="473"/>
      <c r="K18" s="472" t="s">
        <v>419</v>
      </c>
      <c r="L18" s="474"/>
    </row>
    <row r="19" spans="1:12" s="472" customFormat="1" ht="11.25">
      <c r="A19" s="472" t="s">
        <v>435</v>
      </c>
      <c r="B19" s="472" t="s">
        <v>429</v>
      </c>
      <c r="C19" s="472" t="s">
        <v>411</v>
      </c>
      <c r="D19" s="472" t="s">
        <v>416</v>
      </c>
      <c r="E19" s="472" t="s">
        <v>93</v>
      </c>
      <c r="F19" s="472" t="s">
        <v>413</v>
      </c>
      <c r="G19" s="472" t="s">
        <v>93</v>
      </c>
      <c r="H19" s="472" t="s">
        <v>93</v>
      </c>
      <c r="I19" s="472" t="s">
        <v>93</v>
      </c>
      <c r="J19" s="473"/>
      <c r="K19" s="472" t="s">
        <v>419</v>
      </c>
      <c r="L19" s="474"/>
    </row>
    <row r="20" spans="1:11" ht="13.5">
      <c r="A20" s="469" t="s">
        <v>436</v>
      </c>
      <c r="B20" s="470" t="s">
        <v>292</v>
      </c>
      <c r="C20" s="470" t="s">
        <v>293</v>
      </c>
      <c r="D20" s="470" t="s">
        <v>294</v>
      </c>
      <c r="E20" s="470" t="s">
        <v>176</v>
      </c>
      <c r="F20" s="470" t="s">
        <v>295</v>
      </c>
      <c r="G20" s="470" t="s">
        <v>248</v>
      </c>
      <c r="H20" s="470" t="s">
        <v>296</v>
      </c>
      <c r="I20" s="470" t="s">
        <v>242</v>
      </c>
      <c r="J20" s="471" t="s">
        <v>297</v>
      </c>
      <c r="K20" s="471" t="s">
        <v>409</v>
      </c>
    </row>
    <row r="21" spans="1:12" s="472" customFormat="1" ht="11.25">
      <c r="A21" s="472" t="s">
        <v>437</v>
      </c>
      <c r="B21" s="472" t="s">
        <v>436</v>
      </c>
      <c r="C21" s="472" t="s">
        <v>411</v>
      </c>
      <c r="D21" s="472" t="s">
        <v>412</v>
      </c>
      <c r="E21" s="472" t="s">
        <v>93</v>
      </c>
      <c r="F21" s="472" t="s">
        <v>413</v>
      </c>
      <c r="G21" s="472" t="s">
        <v>93</v>
      </c>
      <c r="H21" s="472" t="s">
        <v>93</v>
      </c>
      <c r="I21" s="472" t="s">
        <v>93</v>
      </c>
      <c r="J21" s="473"/>
      <c r="K21" s="472" t="s">
        <v>438</v>
      </c>
      <c r="L21" s="474"/>
    </row>
    <row r="22" spans="1:12" s="472" customFormat="1" ht="11.25">
      <c r="A22" s="472" t="s">
        <v>439</v>
      </c>
      <c r="B22" s="472" t="s">
        <v>436</v>
      </c>
      <c r="C22" s="472" t="s">
        <v>411</v>
      </c>
      <c r="D22" s="472" t="s">
        <v>412</v>
      </c>
      <c r="E22" s="472" t="s">
        <v>93</v>
      </c>
      <c r="F22" s="472" t="s">
        <v>413</v>
      </c>
      <c r="G22" s="472" t="s">
        <v>93</v>
      </c>
      <c r="H22" s="472" t="s">
        <v>93</v>
      </c>
      <c r="I22" s="472" t="s">
        <v>93</v>
      </c>
      <c r="J22" s="473"/>
      <c r="K22" s="472" t="s">
        <v>438</v>
      </c>
      <c r="L22" s="474"/>
    </row>
    <row r="23" spans="1:12" s="472" customFormat="1" ht="11.25">
      <c r="A23" s="472" t="s">
        <v>440</v>
      </c>
      <c r="B23" s="472" t="s">
        <v>436</v>
      </c>
      <c r="C23" s="472" t="s">
        <v>411</v>
      </c>
      <c r="D23" s="472" t="s">
        <v>412</v>
      </c>
      <c r="E23" s="472" t="s">
        <v>441</v>
      </c>
      <c r="F23" s="472" t="s">
        <v>413</v>
      </c>
      <c r="G23" s="472" t="s">
        <v>93</v>
      </c>
      <c r="H23" s="472" t="s">
        <v>93</v>
      </c>
      <c r="I23" s="472" t="s">
        <v>93</v>
      </c>
      <c r="J23" s="473"/>
      <c r="K23" s="472" t="s">
        <v>438</v>
      </c>
      <c r="L23" s="474"/>
    </row>
    <row r="24" spans="1:12" s="472" customFormat="1" ht="11.25">
      <c r="A24" s="472" t="s">
        <v>442</v>
      </c>
      <c r="B24" s="472" t="s">
        <v>436</v>
      </c>
      <c r="C24" s="472" t="s">
        <v>411</v>
      </c>
      <c r="D24" s="472" t="s">
        <v>412</v>
      </c>
      <c r="E24" s="472" t="s">
        <v>93</v>
      </c>
      <c r="F24" s="472" t="s">
        <v>413</v>
      </c>
      <c r="G24" s="472" t="s">
        <v>93</v>
      </c>
      <c r="H24" s="472" t="s">
        <v>93</v>
      </c>
      <c r="I24" s="472" t="s">
        <v>93</v>
      </c>
      <c r="J24" s="473"/>
      <c r="K24" s="472" t="s">
        <v>419</v>
      </c>
      <c r="L24" s="474"/>
    </row>
    <row r="25" spans="1:12" s="472" customFormat="1" ht="11.25">
      <c r="A25" s="472" t="s">
        <v>443</v>
      </c>
      <c r="B25" s="472" t="s">
        <v>436</v>
      </c>
      <c r="C25" s="472" t="s">
        <v>411</v>
      </c>
      <c r="D25" s="472" t="s">
        <v>412</v>
      </c>
      <c r="E25" s="472" t="s">
        <v>93</v>
      </c>
      <c r="F25" s="472" t="s">
        <v>413</v>
      </c>
      <c r="G25" s="472" t="s">
        <v>93</v>
      </c>
      <c r="H25" s="472" t="s">
        <v>93</v>
      </c>
      <c r="I25" s="472" t="s">
        <v>93</v>
      </c>
      <c r="J25" s="473"/>
      <c r="K25" s="472" t="s">
        <v>419</v>
      </c>
      <c r="L25" s="474"/>
    </row>
    <row r="26" spans="1:11" ht="13.5">
      <c r="A26" s="469" t="s">
        <v>444</v>
      </c>
      <c r="B26" s="470" t="s">
        <v>292</v>
      </c>
      <c r="C26" s="470" t="s">
        <v>293</v>
      </c>
      <c r="D26" s="470" t="s">
        <v>294</v>
      </c>
      <c r="E26" s="470" t="s">
        <v>176</v>
      </c>
      <c r="F26" s="470" t="s">
        <v>295</v>
      </c>
      <c r="G26" s="470" t="s">
        <v>248</v>
      </c>
      <c r="H26" s="470" t="s">
        <v>296</v>
      </c>
      <c r="I26" s="470" t="s">
        <v>242</v>
      </c>
      <c r="J26" s="471" t="s">
        <v>297</v>
      </c>
      <c r="K26" s="471" t="s">
        <v>409</v>
      </c>
    </row>
    <row r="27" spans="1:11" ht="13.5">
      <c r="A27" s="63" t="s">
        <v>445</v>
      </c>
      <c r="B27" s="63" t="s">
        <v>444</v>
      </c>
      <c r="C27" s="63" t="s">
        <v>411</v>
      </c>
      <c r="D27" s="63" t="s">
        <v>446</v>
      </c>
      <c r="E27" s="400" t="s">
        <v>93</v>
      </c>
      <c r="F27" s="400" t="s">
        <v>93</v>
      </c>
      <c r="G27" s="63" t="s">
        <v>93</v>
      </c>
      <c r="H27" s="63" t="s">
        <v>93</v>
      </c>
      <c r="I27" s="63">
        <v>1</v>
      </c>
      <c r="K27" s="400" t="s">
        <v>447</v>
      </c>
    </row>
    <row r="28" spans="1:12" s="472" customFormat="1" ht="11.25">
      <c r="A28" s="472" t="s">
        <v>448</v>
      </c>
      <c r="B28" s="472" t="s">
        <v>444</v>
      </c>
      <c r="C28" s="472" t="s">
        <v>411</v>
      </c>
      <c r="D28" s="472" t="s">
        <v>412</v>
      </c>
      <c r="E28" s="472" t="s">
        <v>93</v>
      </c>
      <c r="F28" s="472" t="s">
        <v>413</v>
      </c>
      <c r="G28" s="472" t="s">
        <v>93</v>
      </c>
      <c r="H28" s="472" t="s">
        <v>93</v>
      </c>
      <c r="I28" s="472" t="s">
        <v>93</v>
      </c>
      <c r="J28" s="473"/>
      <c r="K28" s="472" t="s">
        <v>447</v>
      </c>
      <c r="L28" s="474"/>
    </row>
    <row r="29" spans="1:12" s="472" customFormat="1" ht="11.25">
      <c r="A29" s="472" t="s">
        <v>449</v>
      </c>
      <c r="B29" s="472" t="s">
        <v>444</v>
      </c>
      <c r="C29" s="472" t="s">
        <v>411</v>
      </c>
      <c r="D29" s="472" t="s">
        <v>412</v>
      </c>
      <c r="E29" s="472" t="s">
        <v>93</v>
      </c>
      <c r="F29" s="472" t="s">
        <v>413</v>
      </c>
      <c r="G29" s="472" t="s">
        <v>93</v>
      </c>
      <c r="H29" s="472" t="s">
        <v>93</v>
      </c>
      <c r="I29" s="472" t="s">
        <v>93</v>
      </c>
      <c r="J29" s="476"/>
      <c r="K29" s="472" t="s">
        <v>447</v>
      </c>
      <c r="L29" s="474"/>
    </row>
    <row r="30" spans="1:12" s="472" customFormat="1" ht="11.25">
      <c r="A30" s="472" t="s">
        <v>450</v>
      </c>
      <c r="B30" s="472" t="s">
        <v>444</v>
      </c>
      <c r="C30" s="472" t="s">
        <v>411</v>
      </c>
      <c r="D30" s="472" t="s">
        <v>412</v>
      </c>
      <c r="E30" s="472" t="s">
        <v>93</v>
      </c>
      <c r="F30" s="472" t="s">
        <v>413</v>
      </c>
      <c r="G30" s="472" t="s">
        <v>93</v>
      </c>
      <c r="H30" s="472" t="s">
        <v>93</v>
      </c>
      <c r="I30" s="472" t="s">
        <v>93</v>
      </c>
      <c r="J30" s="473"/>
      <c r="K30" s="472" t="s">
        <v>451</v>
      </c>
      <c r="L30" s="474"/>
    </row>
    <row r="31" spans="1:12" s="472" customFormat="1" ht="11.25">
      <c r="A31" s="472" t="s">
        <v>452</v>
      </c>
      <c r="B31" s="472" t="s">
        <v>444</v>
      </c>
      <c r="C31" s="472" t="s">
        <v>411</v>
      </c>
      <c r="D31" s="472" t="s">
        <v>412</v>
      </c>
      <c r="E31" s="472" t="s">
        <v>93</v>
      </c>
      <c r="F31" s="472" t="s">
        <v>413</v>
      </c>
      <c r="G31" s="472" t="s">
        <v>93</v>
      </c>
      <c r="H31" s="472" t="s">
        <v>93</v>
      </c>
      <c r="I31" s="472" t="s">
        <v>93</v>
      </c>
      <c r="J31" s="473"/>
      <c r="K31" s="472" t="s">
        <v>451</v>
      </c>
      <c r="L31" s="474"/>
    </row>
    <row r="32" spans="1:11" ht="13.5">
      <c r="A32" s="469" t="s">
        <v>25</v>
      </c>
      <c r="B32" s="470" t="s">
        <v>292</v>
      </c>
      <c r="C32" s="470" t="s">
        <v>293</v>
      </c>
      <c r="D32" s="470" t="s">
        <v>294</v>
      </c>
      <c r="E32" s="470" t="s">
        <v>176</v>
      </c>
      <c r="F32" s="470" t="s">
        <v>295</v>
      </c>
      <c r="G32" s="470" t="s">
        <v>248</v>
      </c>
      <c r="H32" s="470" t="s">
        <v>296</v>
      </c>
      <c r="I32" s="470" t="s">
        <v>242</v>
      </c>
      <c r="J32" s="471" t="s">
        <v>297</v>
      </c>
      <c r="K32" s="471" t="s">
        <v>409</v>
      </c>
    </row>
    <row r="33" spans="1:12" s="472" customFormat="1" ht="11.25">
      <c r="A33" s="472" t="s">
        <v>302</v>
      </c>
      <c r="B33" s="472" t="s">
        <v>25</v>
      </c>
      <c r="C33" s="472" t="s">
        <v>411</v>
      </c>
      <c r="D33" s="472" t="s">
        <v>412</v>
      </c>
      <c r="E33" s="472" t="s">
        <v>93</v>
      </c>
      <c r="F33" s="472" t="s">
        <v>413</v>
      </c>
      <c r="G33" s="472" t="s">
        <v>93</v>
      </c>
      <c r="H33" s="472" t="s">
        <v>93</v>
      </c>
      <c r="I33" s="472" t="s">
        <v>93</v>
      </c>
      <c r="J33" s="473"/>
      <c r="K33" s="472" t="s">
        <v>453</v>
      </c>
      <c r="L33" s="474"/>
    </row>
    <row r="34" spans="1:12" s="472" customFormat="1" ht="11.25">
      <c r="A34" s="472" t="s">
        <v>454</v>
      </c>
      <c r="B34" s="472" t="s">
        <v>25</v>
      </c>
      <c r="C34" s="472" t="s">
        <v>411</v>
      </c>
      <c r="D34" s="472" t="s">
        <v>412</v>
      </c>
      <c r="E34" s="472" t="s">
        <v>93</v>
      </c>
      <c r="F34" s="472" t="s">
        <v>413</v>
      </c>
      <c r="G34" s="472" t="s">
        <v>93</v>
      </c>
      <c r="H34" s="472" t="s">
        <v>93</v>
      </c>
      <c r="I34" s="472" t="s">
        <v>93</v>
      </c>
      <c r="J34" s="473"/>
      <c r="K34" s="472" t="s">
        <v>453</v>
      </c>
      <c r="L34" s="474"/>
    </row>
    <row r="35" spans="1:12" s="477" customFormat="1" ht="11.25">
      <c r="A35" s="477" t="s">
        <v>455</v>
      </c>
      <c r="B35" s="477" t="s">
        <v>25</v>
      </c>
      <c r="C35" s="477" t="s">
        <v>411</v>
      </c>
      <c r="D35" s="477" t="s">
        <v>412</v>
      </c>
      <c r="E35" s="477" t="s">
        <v>93</v>
      </c>
      <c r="F35" s="477" t="s">
        <v>413</v>
      </c>
      <c r="G35" s="477" t="s">
        <v>93</v>
      </c>
      <c r="H35" s="477" t="s">
        <v>93</v>
      </c>
      <c r="I35" s="477" t="s">
        <v>93</v>
      </c>
      <c r="J35" s="478"/>
      <c r="K35" s="400" t="s">
        <v>453</v>
      </c>
      <c r="L35" s="479"/>
    </row>
    <row r="36" spans="1:12" s="472" customFormat="1" ht="11.25">
      <c r="A36" s="472" t="s">
        <v>456</v>
      </c>
      <c r="B36" s="472" t="s">
        <v>25</v>
      </c>
      <c r="C36" s="472" t="s">
        <v>411</v>
      </c>
      <c r="D36" s="472" t="s">
        <v>412</v>
      </c>
      <c r="E36" s="472" t="s">
        <v>93</v>
      </c>
      <c r="F36" s="472" t="s">
        <v>413</v>
      </c>
      <c r="G36" s="472" t="s">
        <v>93</v>
      </c>
      <c r="H36" s="472" t="s">
        <v>93</v>
      </c>
      <c r="I36" s="472" t="s">
        <v>93</v>
      </c>
      <c r="J36" s="473"/>
      <c r="K36" s="472" t="s">
        <v>451</v>
      </c>
      <c r="L36" s="474"/>
    </row>
    <row r="37" spans="1:12" s="472" customFormat="1" ht="11.25">
      <c r="A37" s="472" t="s">
        <v>457</v>
      </c>
      <c r="B37" s="472" t="s">
        <v>25</v>
      </c>
      <c r="C37" s="472" t="s">
        <v>411</v>
      </c>
      <c r="D37" s="472" t="s">
        <v>412</v>
      </c>
      <c r="E37" s="472" t="s">
        <v>93</v>
      </c>
      <c r="F37" s="472" t="s">
        <v>413</v>
      </c>
      <c r="G37" s="472" t="s">
        <v>93</v>
      </c>
      <c r="H37" s="472" t="s">
        <v>93</v>
      </c>
      <c r="I37" s="472" t="s">
        <v>93</v>
      </c>
      <c r="J37" s="473"/>
      <c r="K37" s="472" t="s">
        <v>451</v>
      </c>
      <c r="L37" s="474"/>
    </row>
    <row r="38" spans="1:11" ht="13.5">
      <c r="A38" s="469" t="s">
        <v>458</v>
      </c>
      <c r="B38" s="470" t="s">
        <v>292</v>
      </c>
      <c r="C38" s="470" t="s">
        <v>293</v>
      </c>
      <c r="D38" s="470" t="s">
        <v>294</v>
      </c>
      <c r="E38" s="470" t="s">
        <v>176</v>
      </c>
      <c r="F38" s="470" t="s">
        <v>295</v>
      </c>
      <c r="G38" s="470" t="s">
        <v>248</v>
      </c>
      <c r="H38" s="470" t="s">
        <v>296</v>
      </c>
      <c r="I38" s="470" t="s">
        <v>242</v>
      </c>
      <c r="J38" s="471" t="s">
        <v>297</v>
      </c>
      <c r="K38" s="471" t="s">
        <v>409</v>
      </c>
    </row>
    <row r="39" spans="1:11" ht="13.5">
      <c r="A39" s="63" t="s">
        <v>459</v>
      </c>
      <c r="B39" s="63" t="s">
        <v>458</v>
      </c>
      <c r="C39" s="63" t="s">
        <v>411</v>
      </c>
      <c r="D39" s="63" t="s">
        <v>460</v>
      </c>
      <c r="E39" s="63" t="s">
        <v>441</v>
      </c>
      <c r="F39" s="63" t="s">
        <v>413</v>
      </c>
      <c r="G39" s="63" t="s">
        <v>93</v>
      </c>
      <c r="H39" s="63" t="s">
        <v>93</v>
      </c>
      <c r="I39" s="63" t="s">
        <v>93</v>
      </c>
      <c r="K39" s="400" t="s">
        <v>461</v>
      </c>
    </row>
    <row r="40" spans="1:12" s="472" customFormat="1" ht="11.25">
      <c r="A40" s="472" t="s">
        <v>462</v>
      </c>
      <c r="B40" s="472" t="s">
        <v>458</v>
      </c>
      <c r="C40" s="472" t="s">
        <v>411</v>
      </c>
      <c r="D40" s="472" t="s">
        <v>416</v>
      </c>
      <c r="E40" s="472" t="s">
        <v>93</v>
      </c>
      <c r="F40" s="472" t="s">
        <v>93</v>
      </c>
      <c r="G40" s="472" t="s">
        <v>93</v>
      </c>
      <c r="H40" s="472" t="s">
        <v>93</v>
      </c>
      <c r="I40" s="472" t="s">
        <v>93</v>
      </c>
      <c r="J40" s="473"/>
      <c r="K40" s="472" t="s">
        <v>461</v>
      </c>
      <c r="L40" s="474"/>
    </row>
    <row r="41" spans="1:12" s="477" customFormat="1" ht="11.25">
      <c r="A41" s="477" t="s">
        <v>463</v>
      </c>
      <c r="B41" s="477" t="s">
        <v>458</v>
      </c>
      <c r="C41" s="477" t="s">
        <v>411</v>
      </c>
      <c r="D41" s="477" t="s">
        <v>416</v>
      </c>
      <c r="E41" s="477" t="s">
        <v>93</v>
      </c>
      <c r="F41" s="477" t="s">
        <v>93</v>
      </c>
      <c r="G41" s="477" t="s">
        <v>93</v>
      </c>
      <c r="H41" s="477" t="s">
        <v>93</v>
      </c>
      <c r="I41" s="477" t="s">
        <v>93</v>
      </c>
      <c r="J41" s="478"/>
      <c r="K41" s="400" t="s">
        <v>461</v>
      </c>
      <c r="L41" s="479"/>
    </row>
    <row r="42" spans="1:12" s="477" customFormat="1" ht="11.25">
      <c r="A42" s="477" t="s">
        <v>464</v>
      </c>
      <c r="B42" s="477" t="s">
        <v>458</v>
      </c>
      <c r="C42" s="477" t="s">
        <v>411</v>
      </c>
      <c r="D42" s="477" t="s">
        <v>412</v>
      </c>
      <c r="E42" s="477" t="s">
        <v>93</v>
      </c>
      <c r="F42" s="477" t="s">
        <v>413</v>
      </c>
      <c r="G42" s="477" t="s">
        <v>93</v>
      </c>
      <c r="H42" s="477" t="s">
        <v>93</v>
      </c>
      <c r="I42" s="477" t="s">
        <v>93</v>
      </c>
      <c r="J42" s="478"/>
      <c r="K42" s="400" t="s">
        <v>451</v>
      </c>
      <c r="L42" s="479"/>
    </row>
    <row r="43" spans="1:12" s="472" customFormat="1" ht="11.25">
      <c r="A43" s="472" t="s">
        <v>465</v>
      </c>
      <c r="B43" s="472" t="s">
        <v>458</v>
      </c>
      <c r="C43" s="472" t="s">
        <v>411</v>
      </c>
      <c r="D43" s="472" t="s">
        <v>412</v>
      </c>
      <c r="E43" s="472" t="s">
        <v>93</v>
      </c>
      <c r="F43" s="472" t="s">
        <v>413</v>
      </c>
      <c r="G43" s="472" t="s">
        <v>93</v>
      </c>
      <c r="H43" s="472" t="s">
        <v>93</v>
      </c>
      <c r="I43" s="472" t="s">
        <v>93</v>
      </c>
      <c r="J43" s="473"/>
      <c r="K43" s="472" t="s">
        <v>451</v>
      </c>
      <c r="L43" s="474"/>
    </row>
    <row r="44" spans="1:11" ht="13.5">
      <c r="A44" s="469" t="s">
        <v>466</v>
      </c>
      <c r="B44" s="470" t="s">
        <v>292</v>
      </c>
      <c r="C44" s="470" t="s">
        <v>293</v>
      </c>
      <c r="D44" s="470" t="s">
        <v>294</v>
      </c>
      <c r="E44" s="470" t="s">
        <v>176</v>
      </c>
      <c r="F44" s="470" t="s">
        <v>295</v>
      </c>
      <c r="G44" s="470" t="s">
        <v>248</v>
      </c>
      <c r="H44" s="470" t="s">
        <v>296</v>
      </c>
      <c r="I44" s="470" t="s">
        <v>242</v>
      </c>
      <c r="J44" s="471" t="s">
        <v>297</v>
      </c>
      <c r="K44" s="471" t="s">
        <v>409</v>
      </c>
    </row>
    <row r="45" spans="1:12" s="477" customFormat="1" ht="11.25">
      <c r="A45" s="477" t="s">
        <v>467</v>
      </c>
      <c r="B45" s="477" t="s">
        <v>466</v>
      </c>
      <c r="C45" s="477" t="s">
        <v>411</v>
      </c>
      <c r="D45" s="477" t="s">
        <v>416</v>
      </c>
      <c r="E45" s="477" t="s">
        <v>93</v>
      </c>
      <c r="F45" s="477" t="s">
        <v>413</v>
      </c>
      <c r="G45" s="477" t="s">
        <v>93</v>
      </c>
      <c r="H45" s="477" t="s">
        <v>93</v>
      </c>
      <c r="I45" s="477" t="s">
        <v>93</v>
      </c>
      <c r="J45" s="478"/>
      <c r="K45" s="400" t="s">
        <v>468</v>
      </c>
      <c r="L45" s="479"/>
    </row>
    <row r="46" spans="1:12" s="472" customFormat="1" ht="11.25">
      <c r="A46" s="475" t="s">
        <v>469</v>
      </c>
      <c r="B46" s="472" t="s">
        <v>466</v>
      </c>
      <c r="C46" s="472" t="s">
        <v>411</v>
      </c>
      <c r="D46" s="472" t="s">
        <v>412</v>
      </c>
      <c r="E46" s="472" t="s">
        <v>93</v>
      </c>
      <c r="F46" s="472" t="s">
        <v>413</v>
      </c>
      <c r="G46" s="472" t="s">
        <v>93</v>
      </c>
      <c r="H46" s="472" t="s">
        <v>93</v>
      </c>
      <c r="I46" s="472" t="s">
        <v>93</v>
      </c>
      <c r="J46" s="476"/>
      <c r="K46" s="472" t="s">
        <v>468</v>
      </c>
      <c r="L46" s="474"/>
    </row>
    <row r="47" spans="1:12" s="472" customFormat="1" ht="11.25">
      <c r="A47" s="475" t="s">
        <v>470</v>
      </c>
      <c r="B47" s="472" t="s">
        <v>466</v>
      </c>
      <c r="C47" s="472" t="s">
        <v>411</v>
      </c>
      <c r="D47" s="472" t="s">
        <v>412</v>
      </c>
      <c r="E47" s="472" t="s">
        <v>93</v>
      </c>
      <c r="F47" s="472" t="s">
        <v>413</v>
      </c>
      <c r="G47" s="472" t="s">
        <v>93</v>
      </c>
      <c r="H47" s="472" t="s">
        <v>93</v>
      </c>
      <c r="I47" s="472" t="s">
        <v>93</v>
      </c>
      <c r="J47" s="476"/>
      <c r="K47" s="472" t="s">
        <v>468</v>
      </c>
      <c r="L47" s="474"/>
    </row>
    <row r="48" spans="1:12" s="472" customFormat="1" ht="11.25">
      <c r="A48" s="475" t="s">
        <v>471</v>
      </c>
      <c r="B48" s="472" t="s">
        <v>466</v>
      </c>
      <c r="C48" s="472" t="s">
        <v>411</v>
      </c>
      <c r="D48" s="472" t="s">
        <v>412</v>
      </c>
      <c r="E48" s="472" t="s">
        <v>93</v>
      </c>
      <c r="F48" s="472" t="s">
        <v>413</v>
      </c>
      <c r="G48" s="472" t="s">
        <v>93</v>
      </c>
      <c r="H48" s="472" t="s">
        <v>93</v>
      </c>
      <c r="I48" s="472" t="s">
        <v>93</v>
      </c>
      <c r="J48" s="476"/>
      <c r="K48" s="472" t="s">
        <v>468</v>
      </c>
      <c r="L48" s="474"/>
    </row>
    <row r="49" spans="1:12" s="472" customFormat="1" ht="11.25">
      <c r="A49" s="475" t="s">
        <v>472</v>
      </c>
      <c r="B49" s="472" t="s">
        <v>466</v>
      </c>
      <c r="C49" s="472" t="s">
        <v>411</v>
      </c>
      <c r="D49" s="472" t="s">
        <v>412</v>
      </c>
      <c r="E49" s="472" t="s">
        <v>93</v>
      </c>
      <c r="F49" s="472" t="s">
        <v>413</v>
      </c>
      <c r="G49" s="472" t="s">
        <v>93</v>
      </c>
      <c r="H49" s="472" t="s">
        <v>93</v>
      </c>
      <c r="I49" s="472" t="s">
        <v>93</v>
      </c>
      <c r="J49" s="476"/>
      <c r="K49" s="472" t="s">
        <v>468</v>
      </c>
      <c r="L49" s="474"/>
    </row>
    <row r="50" spans="1:12" s="472" customFormat="1" ht="11.25">
      <c r="A50" s="475" t="s">
        <v>473</v>
      </c>
      <c r="B50" s="472" t="s">
        <v>466</v>
      </c>
      <c r="C50" s="472" t="s">
        <v>411</v>
      </c>
      <c r="D50" s="472" t="s">
        <v>412</v>
      </c>
      <c r="E50" s="472" t="s">
        <v>93</v>
      </c>
      <c r="F50" s="472" t="s">
        <v>413</v>
      </c>
      <c r="G50" s="472" t="s">
        <v>93</v>
      </c>
      <c r="H50" s="472" t="s">
        <v>93</v>
      </c>
      <c r="I50" s="472" t="s">
        <v>93</v>
      </c>
      <c r="J50" s="476"/>
      <c r="K50" s="472" t="s">
        <v>468</v>
      </c>
      <c r="L50" s="474"/>
    </row>
    <row r="51" spans="1:12" s="472" customFormat="1" ht="11.25">
      <c r="A51" s="475" t="s">
        <v>474</v>
      </c>
      <c r="B51" s="472" t="s">
        <v>466</v>
      </c>
      <c r="C51" s="472" t="s">
        <v>411</v>
      </c>
      <c r="D51" s="472" t="s">
        <v>412</v>
      </c>
      <c r="E51" s="472" t="s">
        <v>93</v>
      </c>
      <c r="F51" s="472" t="s">
        <v>413</v>
      </c>
      <c r="G51" s="472" t="s">
        <v>93</v>
      </c>
      <c r="H51" s="472" t="s">
        <v>93</v>
      </c>
      <c r="I51" s="472" t="s">
        <v>93</v>
      </c>
      <c r="J51" s="476"/>
      <c r="K51" s="472" t="s">
        <v>468</v>
      </c>
      <c r="L51" s="474"/>
    </row>
    <row r="52" spans="1:12" s="472" customFormat="1" ht="11.25">
      <c r="A52" s="475" t="s">
        <v>475</v>
      </c>
      <c r="B52" s="472" t="s">
        <v>466</v>
      </c>
      <c r="C52" s="472" t="s">
        <v>411</v>
      </c>
      <c r="D52" s="472" t="s">
        <v>412</v>
      </c>
      <c r="E52" s="472" t="s">
        <v>93</v>
      </c>
      <c r="F52" s="472" t="s">
        <v>413</v>
      </c>
      <c r="G52" s="472" t="s">
        <v>93</v>
      </c>
      <c r="H52" s="472" t="s">
        <v>93</v>
      </c>
      <c r="I52" s="472" t="s">
        <v>93</v>
      </c>
      <c r="J52" s="476"/>
      <c r="K52" s="472" t="s">
        <v>468</v>
      </c>
      <c r="L52" s="474"/>
    </row>
    <row r="53" spans="1:11" ht="13.5">
      <c r="A53" s="63" t="s">
        <v>476</v>
      </c>
      <c r="B53" s="63" t="s">
        <v>466</v>
      </c>
      <c r="C53" s="63">
        <v>1</v>
      </c>
      <c r="D53" s="63" t="s">
        <v>477</v>
      </c>
      <c r="E53" s="400" t="s">
        <v>44</v>
      </c>
      <c r="F53" s="400" t="s">
        <v>93</v>
      </c>
      <c r="G53" s="63" t="s">
        <v>93</v>
      </c>
      <c r="H53" s="63">
        <v>1</v>
      </c>
      <c r="I53" s="63">
        <v>1</v>
      </c>
      <c r="K53" s="400" t="s">
        <v>468</v>
      </c>
    </row>
    <row r="54" spans="1:11" ht="13.5">
      <c r="A54" s="63" t="s">
        <v>478</v>
      </c>
      <c r="B54" s="63" t="s">
        <v>466</v>
      </c>
      <c r="C54" s="63">
        <v>1</v>
      </c>
      <c r="D54" s="63" t="s">
        <v>477</v>
      </c>
      <c r="E54" s="63" t="s">
        <v>441</v>
      </c>
      <c r="F54" s="63" t="s">
        <v>413</v>
      </c>
      <c r="G54" s="63" t="s">
        <v>93</v>
      </c>
      <c r="H54" s="63" t="s">
        <v>93</v>
      </c>
      <c r="I54" s="63">
        <v>1</v>
      </c>
      <c r="K54" s="400" t="s">
        <v>468</v>
      </c>
    </row>
    <row r="55" spans="1:11" ht="13.5">
      <c r="A55" s="63" t="s">
        <v>479</v>
      </c>
      <c r="B55" s="63" t="s">
        <v>466</v>
      </c>
      <c r="C55" s="63">
        <v>1</v>
      </c>
      <c r="D55" s="63" t="s">
        <v>477</v>
      </c>
      <c r="E55" s="63" t="s">
        <v>441</v>
      </c>
      <c r="F55" s="63" t="s">
        <v>413</v>
      </c>
      <c r="G55" s="63" t="s">
        <v>93</v>
      </c>
      <c r="H55" s="63" t="s">
        <v>93</v>
      </c>
      <c r="I55" s="63" t="s">
        <v>480</v>
      </c>
      <c r="K55" s="400" t="s">
        <v>468</v>
      </c>
    </row>
    <row r="56" spans="1:11" ht="13.5">
      <c r="A56" s="469" t="s">
        <v>23</v>
      </c>
      <c r="B56" s="470" t="s">
        <v>292</v>
      </c>
      <c r="C56" s="470" t="s">
        <v>293</v>
      </c>
      <c r="D56" s="470" t="s">
        <v>294</v>
      </c>
      <c r="E56" s="470" t="s">
        <v>176</v>
      </c>
      <c r="F56" s="470" t="s">
        <v>295</v>
      </c>
      <c r="G56" s="470" t="s">
        <v>248</v>
      </c>
      <c r="H56" s="470" t="s">
        <v>296</v>
      </c>
      <c r="I56" s="470" t="s">
        <v>242</v>
      </c>
      <c r="J56" s="471" t="s">
        <v>297</v>
      </c>
      <c r="K56" s="471" t="s">
        <v>409</v>
      </c>
    </row>
    <row r="57" spans="1:11" ht="13.5">
      <c r="A57" s="63" t="s">
        <v>306</v>
      </c>
      <c r="B57" s="63" t="s">
        <v>23</v>
      </c>
      <c r="C57" s="63" t="s">
        <v>411</v>
      </c>
      <c r="D57" s="63" t="s">
        <v>481</v>
      </c>
      <c r="E57" s="63" t="s">
        <v>441</v>
      </c>
      <c r="F57" s="63" t="s">
        <v>413</v>
      </c>
      <c r="G57" s="63" t="s">
        <v>93</v>
      </c>
      <c r="H57" s="63" t="s">
        <v>93</v>
      </c>
      <c r="I57" s="63">
        <v>1</v>
      </c>
      <c r="K57" s="400" t="s">
        <v>482</v>
      </c>
    </row>
    <row r="58" spans="1:11" ht="13.5">
      <c r="A58" s="63" t="s">
        <v>483</v>
      </c>
      <c r="B58" s="63" t="s">
        <v>23</v>
      </c>
      <c r="C58" s="63">
        <v>1</v>
      </c>
      <c r="D58" s="63" t="s">
        <v>484</v>
      </c>
      <c r="E58" s="63" t="s">
        <v>441</v>
      </c>
      <c r="F58" s="63" t="s">
        <v>413</v>
      </c>
      <c r="G58" s="63" t="s">
        <v>93</v>
      </c>
      <c r="H58" s="63">
        <v>4</v>
      </c>
      <c r="I58" s="63" t="s">
        <v>93</v>
      </c>
      <c r="K58" s="400" t="s">
        <v>482</v>
      </c>
    </row>
    <row r="59" spans="1:11" ht="13.5">
      <c r="A59" s="63" t="s">
        <v>329</v>
      </c>
      <c r="B59" s="63" t="s">
        <v>23</v>
      </c>
      <c r="C59" s="63" t="s">
        <v>411</v>
      </c>
      <c r="D59" s="63" t="s">
        <v>460</v>
      </c>
      <c r="E59" s="63" t="s">
        <v>441</v>
      </c>
      <c r="F59" s="63" t="s">
        <v>413</v>
      </c>
      <c r="G59" s="63" t="s">
        <v>93</v>
      </c>
      <c r="H59" s="63">
        <v>3</v>
      </c>
      <c r="I59" s="63" t="s">
        <v>93</v>
      </c>
      <c r="K59" s="400" t="s">
        <v>482</v>
      </c>
    </row>
    <row r="60" spans="1:12" s="472" customFormat="1" ht="11.25">
      <c r="A60" s="472" t="s">
        <v>485</v>
      </c>
      <c r="B60" s="472" t="s">
        <v>23</v>
      </c>
      <c r="C60" s="472">
        <v>1</v>
      </c>
      <c r="D60" s="472" t="s">
        <v>412</v>
      </c>
      <c r="E60" s="472" t="s">
        <v>93</v>
      </c>
      <c r="F60" s="472" t="s">
        <v>413</v>
      </c>
      <c r="G60" s="472" t="s">
        <v>93</v>
      </c>
      <c r="H60" s="472" t="s">
        <v>93</v>
      </c>
      <c r="I60" s="472" t="s">
        <v>93</v>
      </c>
      <c r="J60" s="473"/>
      <c r="K60" s="472" t="s">
        <v>486</v>
      </c>
      <c r="L60" s="474"/>
    </row>
    <row r="61" spans="1:12" s="472" customFormat="1" ht="11.25">
      <c r="A61" s="472" t="s">
        <v>487</v>
      </c>
      <c r="B61" s="472" t="s">
        <v>23</v>
      </c>
      <c r="C61" s="472">
        <v>1</v>
      </c>
      <c r="D61" s="472" t="s">
        <v>412</v>
      </c>
      <c r="E61" s="472" t="s">
        <v>93</v>
      </c>
      <c r="F61" s="472" t="s">
        <v>413</v>
      </c>
      <c r="G61" s="472" t="s">
        <v>93</v>
      </c>
      <c r="H61" s="472" t="s">
        <v>93</v>
      </c>
      <c r="I61" s="472" t="s">
        <v>93</v>
      </c>
      <c r="J61" s="473"/>
      <c r="K61" s="472" t="s">
        <v>486</v>
      </c>
      <c r="L61" s="474"/>
    </row>
    <row r="62" spans="1:11" ht="13.5">
      <c r="A62" s="63" t="s">
        <v>488</v>
      </c>
      <c r="B62" s="63" t="s">
        <v>23</v>
      </c>
      <c r="C62" s="63" t="s">
        <v>411</v>
      </c>
      <c r="D62" s="63" t="s">
        <v>481</v>
      </c>
      <c r="E62" s="63" t="s">
        <v>441</v>
      </c>
      <c r="F62" s="63" t="s">
        <v>489</v>
      </c>
      <c r="G62" s="63" t="s">
        <v>490</v>
      </c>
      <c r="H62" s="63">
        <v>2</v>
      </c>
      <c r="I62" s="63" t="s">
        <v>93</v>
      </c>
      <c r="K62" s="400" t="s">
        <v>486</v>
      </c>
    </row>
    <row r="63" spans="1:12" s="472" customFormat="1" ht="11.25">
      <c r="A63" s="472" t="s">
        <v>491</v>
      </c>
      <c r="B63" s="472" t="s">
        <v>23</v>
      </c>
      <c r="C63" s="472" t="s">
        <v>411</v>
      </c>
      <c r="D63" s="472" t="s">
        <v>412</v>
      </c>
      <c r="E63" s="472" t="s">
        <v>93</v>
      </c>
      <c r="F63" s="472" t="s">
        <v>413</v>
      </c>
      <c r="G63" s="472" t="s">
        <v>93</v>
      </c>
      <c r="H63" s="472" t="s">
        <v>93</v>
      </c>
      <c r="I63" s="472" t="s">
        <v>93</v>
      </c>
      <c r="J63" s="473"/>
      <c r="K63" s="472" t="s">
        <v>486</v>
      </c>
      <c r="L63" s="474"/>
    </row>
    <row r="64" spans="1:11" ht="13.5">
      <c r="A64" s="63" t="s">
        <v>492</v>
      </c>
      <c r="B64" s="63" t="s">
        <v>23</v>
      </c>
      <c r="C64" s="63" t="s">
        <v>411</v>
      </c>
      <c r="D64" s="63" t="s">
        <v>460</v>
      </c>
      <c r="E64" s="63" t="s">
        <v>441</v>
      </c>
      <c r="F64" s="63" t="s">
        <v>413</v>
      </c>
      <c r="G64" s="63" t="s">
        <v>93</v>
      </c>
      <c r="H64" s="63">
        <v>5</v>
      </c>
      <c r="I64" s="63" t="s">
        <v>93</v>
      </c>
      <c r="K64" s="400" t="s">
        <v>493</v>
      </c>
    </row>
    <row r="65" spans="1:12" s="472" customFormat="1" ht="11.25">
      <c r="A65" s="472" t="s">
        <v>494</v>
      </c>
      <c r="B65" s="472" t="s">
        <v>23</v>
      </c>
      <c r="C65" s="472" t="s">
        <v>411</v>
      </c>
      <c r="D65" s="472" t="s">
        <v>412</v>
      </c>
      <c r="E65" s="472" t="s">
        <v>93</v>
      </c>
      <c r="F65" s="472" t="s">
        <v>413</v>
      </c>
      <c r="G65" s="472" t="s">
        <v>93</v>
      </c>
      <c r="H65" s="472" t="s">
        <v>93</v>
      </c>
      <c r="I65" s="472" t="s">
        <v>93</v>
      </c>
      <c r="J65" s="473"/>
      <c r="K65" s="472" t="s">
        <v>493</v>
      </c>
      <c r="L65" s="474"/>
    </row>
    <row r="66" spans="1:12" s="472" customFormat="1" ht="11.25">
      <c r="A66" s="472" t="s">
        <v>495</v>
      </c>
      <c r="B66" s="472" t="s">
        <v>23</v>
      </c>
      <c r="C66" s="472" t="s">
        <v>411</v>
      </c>
      <c r="D66" s="472" t="s">
        <v>412</v>
      </c>
      <c r="E66" s="472" t="s">
        <v>93</v>
      </c>
      <c r="F66" s="472" t="s">
        <v>413</v>
      </c>
      <c r="G66" s="472" t="s">
        <v>93</v>
      </c>
      <c r="H66" s="472" t="s">
        <v>93</v>
      </c>
      <c r="I66" s="472" t="s">
        <v>93</v>
      </c>
      <c r="J66" s="473"/>
      <c r="K66" s="472" t="s">
        <v>493</v>
      </c>
      <c r="L66" s="474"/>
    </row>
    <row r="67" spans="1:11" ht="13.5">
      <c r="A67" s="400" t="s">
        <v>496</v>
      </c>
      <c r="B67" s="63" t="s">
        <v>23</v>
      </c>
      <c r="C67" s="63">
        <v>1</v>
      </c>
      <c r="D67" s="63" t="s">
        <v>460</v>
      </c>
      <c r="E67" s="63" t="s">
        <v>441</v>
      </c>
      <c r="F67" s="63" t="s">
        <v>413</v>
      </c>
      <c r="G67" s="63" t="s">
        <v>93</v>
      </c>
      <c r="H67" s="63">
        <v>3</v>
      </c>
      <c r="I67" s="63" t="s">
        <v>93</v>
      </c>
      <c r="K67" s="400" t="s">
        <v>493</v>
      </c>
    </row>
    <row r="68" spans="1:11" ht="13.5">
      <c r="A68" s="400" t="s">
        <v>314</v>
      </c>
      <c r="B68" s="63" t="s">
        <v>23</v>
      </c>
      <c r="C68" s="63">
        <v>1</v>
      </c>
      <c r="D68" s="63" t="s">
        <v>477</v>
      </c>
      <c r="E68" s="400" t="s">
        <v>166</v>
      </c>
      <c r="F68" s="63" t="s">
        <v>489</v>
      </c>
      <c r="G68" s="63" t="s">
        <v>497</v>
      </c>
      <c r="H68" s="63">
        <v>4</v>
      </c>
      <c r="I68" s="63" t="s">
        <v>93</v>
      </c>
      <c r="K68" s="400" t="s">
        <v>498</v>
      </c>
    </row>
    <row r="69" spans="1:11" ht="13.5">
      <c r="A69" s="400" t="s">
        <v>499</v>
      </c>
      <c r="B69" s="63" t="s">
        <v>23</v>
      </c>
      <c r="C69" s="63">
        <v>1</v>
      </c>
      <c r="D69" s="63" t="s">
        <v>460</v>
      </c>
      <c r="E69" s="63" t="s">
        <v>441</v>
      </c>
      <c r="F69" s="63" t="s">
        <v>413</v>
      </c>
      <c r="G69" s="63" t="s">
        <v>93</v>
      </c>
      <c r="H69" s="63">
        <v>2</v>
      </c>
      <c r="I69" s="63" t="s">
        <v>93</v>
      </c>
      <c r="K69" s="400" t="s">
        <v>498</v>
      </c>
    </row>
    <row r="70" spans="1:11" ht="13.5">
      <c r="A70" s="400" t="s">
        <v>500</v>
      </c>
      <c r="B70" s="63" t="s">
        <v>23</v>
      </c>
      <c r="C70" s="63" t="s">
        <v>411</v>
      </c>
      <c r="D70" s="63" t="s">
        <v>477</v>
      </c>
      <c r="E70" s="400" t="s">
        <v>166</v>
      </c>
      <c r="F70" s="63" t="s">
        <v>501</v>
      </c>
      <c r="G70" s="63" t="s">
        <v>490</v>
      </c>
      <c r="H70" s="63">
        <v>4</v>
      </c>
      <c r="I70" s="63" t="s">
        <v>93</v>
      </c>
      <c r="K70" s="400" t="s">
        <v>498</v>
      </c>
    </row>
    <row r="71" spans="1:11" ht="13.5">
      <c r="A71" s="400" t="s">
        <v>502</v>
      </c>
      <c r="B71" s="63" t="s">
        <v>23</v>
      </c>
      <c r="C71" s="63" t="s">
        <v>411</v>
      </c>
      <c r="D71" s="63" t="s">
        <v>503</v>
      </c>
      <c r="E71" s="400" t="s">
        <v>48</v>
      </c>
      <c r="F71" s="63" t="s">
        <v>489</v>
      </c>
      <c r="G71" s="63" t="s">
        <v>504</v>
      </c>
      <c r="H71" s="63">
        <v>4</v>
      </c>
      <c r="I71" s="63" t="s">
        <v>93</v>
      </c>
      <c r="K71" s="400" t="s">
        <v>498</v>
      </c>
    </row>
    <row r="72" spans="1:11" ht="13.5">
      <c r="A72" s="400" t="s">
        <v>505</v>
      </c>
      <c r="B72" s="63" t="s">
        <v>23</v>
      </c>
      <c r="C72" s="63">
        <v>1</v>
      </c>
      <c r="D72" s="63" t="s">
        <v>460</v>
      </c>
      <c r="E72" s="63" t="s">
        <v>441</v>
      </c>
      <c r="F72" s="63" t="s">
        <v>413</v>
      </c>
      <c r="G72" s="63" t="s">
        <v>93</v>
      </c>
      <c r="H72" s="63">
        <v>3</v>
      </c>
      <c r="I72" s="63" t="s">
        <v>93</v>
      </c>
      <c r="K72" s="400" t="s">
        <v>506</v>
      </c>
    </row>
    <row r="73" spans="1:11" ht="13.5">
      <c r="A73" s="400" t="s">
        <v>507</v>
      </c>
      <c r="B73" s="63" t="s">
        <v>23</v>
      </c>
      <c r="C73" s="63">
        <v>1</v>
      </c>
      <c r="D73" s="63" t="s">
        <v>503</v>
      </c>
      <c r="E73" s="63" t="s">
        <v>441</v>
      </c>
      <c r="F73" s="63" t="s">
        <v>413</v>
      </c>
      <c r="G73" s="63" t="s">
        <v>93</v>
      </c>
      <c r="H73" s="63">
        <v>6</v>
      </c>
      <c r="I73" s="63" t="s">
        <v>93</v>
      </c>
      <c r="K73" s="400" t="s">
        <v>506</v>
      </c>
    </row>
    <row r="74" spans="1:11" ht="13.5">
      <c r="A74" s="469" t="s">
        <v>508</v>
      </c>
      <c r="B74" s="470" t="s">
        <v>292</v>
      </c>
      <c r="C74" s="470" t="s">
        <v>293</v>
      </c>
      <c r="D74" s="470" t="s">
        <v>294</v>
      </c>
      <c r="E74" s="470" t="s">
        <v>176</v>
      </c>
      <c r="F74" s="470" t="s">
        <v>295</v>
      </c>
      <c r="G74" s="470" t="s">
        <v>248</v>
      </c>
      <c r="H74" s="470" t="s">
        <v>296</v>
      </c>
      <c r="I74" s="470" t="s">
        <v>242</v>
      </c>
      <c r="J74" s="471" t="s">
        <v>297</v>
      </c>
      <c r="K74" s="471" t="s">
        <v>409</v>
      </c>
    </row>
    <row r="75" spans="1:9" ht="13.5">
      <c r="A75" s="63" t="s">
        <v>352</v>
      </c>
      <c r="B75" s="63" t="s">
        <v>508</v>
      </c>
      <c r="C75" s="63" t="s">
        <v>411</v>
      </c>
      <c r="D75" s="63" t="s">
        <v>477</v>
      </c>
      <c r="E75" s="400" t="s">
        <v>509</v>
      </c>
      <c r="F75" s="63" t="s">
        <v>489</v>
      </c>
      <c r="G75" s="63" t="s">
        <v>510</v>
      </c>
      <c r="H75" s="63">
        <v>3</v>
      </c>
      <c r="I75" s="63" t="s">
        <v>93</v>
      </c>
    </row>
    <row r="76" spans="1:9" ht="13.5">
      <c r="A76" s="63" t="s">
        <v>511</v>
      </c>
      <c r="B76" s="63" t="s">
        <v>508</v>
      </c>
      <c r="C76" s="63">
        <v>1</v>
      </c>
      <c r="D76" s="63" t="s">
        <v>477</v>
      </c>
      <c r="E76" s="400" t="s">
        <v>509</v>
      </c>
      <c r="F76" s="63" t="s">
        <v>489</v>
      </c>
      <c r="G76" s="63" t="s">
        <v>510</v>
      </c>
      <c r="H76" s="63">
        <v>8</v>
      </c>
      <c r="I76" s="63" t="s">
        <v>93</v>
      </c>
    </row>
    <row r="77" spans="1:9" ht="13.5">
      <c r="A77" s="63" t="s">
        <v>512</v>
      </c>
      <c r="B77" s="63" t="s">
        <v>508</v>
      </c>
      <c r="C77" s="63" t="s">
        <v>411</v>
      </c>
      <c r="D77" s="63" t="s">
        <v>477</v>
      </c>
      <c r="E77" s="400" t="s">
        <v>509</v>
      </c>
      <c r="F77" s="63" t="s">
        <v>489</v>
      </c>
      <c r="G77" s="63" t="s">
        <v>510</v>
      </c>
      <c r="H77" s="63">
        <v>6</v>
      </c>
      <c r="I77" s="63" t="s">
        <v>93</v>
      </c>
    </row>
    <row r="78" spans="1:9" ht="13.5">
      <c r="A78" s="63" t="s">
        <v>513</v>
      </c>
      <c r="B78" s="63" t="s">
        <v>508</v>
      </c>
      <c r="C78" s="63" t="s">
        <v>411</v>
      </c>
      <c r="D78" s="63" t="s">
        <v>477</v>
      </c>
      <c r="E78" s="400" t="s">
        <v>509</v>
      </c>
      <c r="F78" s="63" t="s">
        <v>489</v>
      </c>
      <c r="G78" s="63" t="s">
        <v>510</v>
      </c>
      <c r="H78" s="63">
        <v>2</v>
      </c>
      <c r="I78" s="63" t="s">
        <v>93</v>
      </c>
    </row>
    <row r="79" spans="1:9" ht="13.5">
      <c r="A79" s="63" t="s">
        <v>514</v>
      </c>
      <c r="B79" s="63" t="s">
        <v>508</v>
      </c>
      <c r="C79" s="63">
        <v>1</v>
      </c>
      <c r="D79" s="63" t="s">
        <v>503</v>
      </c>
      <c r="E79" s="400" t="s">
        <v>509</v>
      </c>
      <c r="F79" s="63" t="s">
        <v>489</v>
      </c>
      <c r="G79" s="63" t="s">
        <v>510</v>
      </c>
      <c r="H79" s="63">
        <v>4</v>
      </c>
      <c r="I79" s="63" t="s">
        <v>93</v>
      </c>
    </row>
    <row r="80" spans="1:9" ht="13.5">
      <c r="A80" s="63" t="s">
        <v>515</v>
      </c>
      <c r="B80" s="63" t="s">
        <v>508</v>
      </c>
      <c r="C80" s="63">
        <v>1</v>
      </c>
      <c r="D80" s="63" t="s">
        <v>477</v>
      </c>
      <c r="E80" s="400" t="s">
        <v>509</v>
      </c>
      <c r="F80" s="63" t="s">
        <v>501</v>
      </c>
      <c r="G80" s="63" t="s">
        <v>490</v>
      </c>
      <c r="H80" s="63">
        <v>5</v>
      </c>
      <c r="I80" s="63" t="s">
        <v>93</v>
      </c>
    </row>
    <row r="81" spans="1:9" ht="13.5">
      <c r="A81" s="63" t="s">
        <v>516</v>
      </c>
      <c r="B81" s="63" t="s">
        <v>508</v>
      </c>
      <c r="C81" s="63">
        <v>1</v>
      </c>
      <c r="D81" s="63" t="s">
        <v>477</v>
      </c>
      <c r="E81" s="63" t="s">
        <v>441</v>
      </c>
      <c r="F81" s="63" t="s">
        <v>413</v>
      </c>
      <c r="G81" s="63" t="s">
        <v>93</v>
      </c>
      <c r="H81" s="63">
        <v>4</v>
      </c>
      <c r="I81" s="63" t="s">
        <v>93</v>
      </c>
    </row>
    <row r="82" spans="1:9" ht="13.5">
      <c r="A82" s="63" t="s">
        <v>517</v>
      </c>
      <c r="B82" s="63" t="s">
        <v>508</v>
      </c>
      <c r="C82" s="63" t="s">
        <v>411</v>
      </c>
      <c r="D82" s="63" t="s">
        <v>477</v>
      </c>
      <c r="E82" s="400" t="s">
        <v>509</v>
      </c>
      <c r="F82" s="63" t="s">
        <v>489</v>
      </c>
      <c r="G82" s="63" t="s">
        <v>490</v>
      </c>
      <c r="H82" s="63">
        <v>6</v>
      </c>
      <c r="I82" s="63" t="s">
        <v>93</v>
      </c>
    </row>
    <row r="83" spans="1:9" ht="13.5">
      <c r="A83" s="63" t="s">
        <v>518</v>
      </c>
      <c r="B83" s="63" t="s">
        <v>508</v>
      </c>
      <c r="C83" s="63">
        <v>1</v>
      </c>
      <c r="D83" s="63" t="s">
        <v>484</v>
      </c>
      <c r="E83" s="63" t="s">
        <v>441</v>
      </c>
      <c r="F83" s="63" t="s">
        <v>489</v>
      </c>
      <c r="G83" s="63" t="s">
        <v>510</v>
      </c>
      <c r="H83" s="63">
        <v>3</v>
      </c>
      <c r="I83" s="63" t="s">
        <v>93</v>
      </c>
    </row>
    <row r="84" spans="1:9" ht="13.5">
      <c r="A84" s="63" t="s">
        <v>519</v>
      </c>
      <c r="B84" s="63" t="s">
        <v>508</v>
      </c>
      <c r="C84" s="63">
        <v>1</v>
      </c>
      <c r="D84" s="63" t="s">
        <v>503</v>
      </c>
      <c r="E84" s="400" t="s">
        <v>509</v>
      </c>
      <c r="F84" s="63" t="s">
        <v>489</v>
      </c>
      <c r="G84" s="63" t="s">
        <v>510</v>
      </c>
      <c r="H84" s="63">
        <v>3</v>
      </c>
      <c r="I84" s="63" t="s">
        <v>93</v>
      </c>
    </row>
    <row r="85" spans="1:9" ht="13.5">
      <c r="A85" s="63" t="s">
        <v>520</v>
      </c>
      <c r="B85" s="63" t="s">
        <v>508</v>
      </c>
      <c r="C85" s="63">
        <v>1</v>
      </c>
      <c r="D85" s="63" t="s">
        <v>477</v>
      </c>
      <c r="E85" s="400" t="s">
        <v>509</v>
      </c>
      <c r="F85" s="63" t="s">
        <v>489</v>
      </c>
      <c r="G85" s="63" t="s">
        <v>510</v>
      </c>
      <c r="H85" s="63">
        <v>4</v>
      </c>
      <c r="I85" s="63" t="s">
        <v>93</v>
      </c>
    </row>
    <row r="86" spans="1:9" ht="13.5">
      <c r="A86" s="63" t="s">
        <v>521</v>
      </c>
      <c r="B86" s="63" t="s">
        <v>508</v>
      </c>
      <c r="C86" s="63">
        <v>1</v>
      </c>
      <c r="D86" s="63" t="s">
        <v>477</v>
      </c>
      <c r="E86" s="400" t="s">
        <v>509</v>
      </c>
      <c r="F86" s="63" t="s">
        <v>489</v>
      </c>
      <c r="G86" s="63" t="s">
        <v>510</v>
      </c>
      <c r="H86" s="63">
        <v>6</v>
      </c>
      <c r="I86" s="63" t="s">
        <v>93</v>
      </c>
    </row>
    <row r="87" spans="1:12" s="472" customFormat="1" ht="11.25">
      <c r="A87" s="472" t="s">
        <v>522</v>
      </c>
      <c r="B87" s="472" t="s">
        <v>508</v>
      </c>
      <c r="C87" s="472" t="s">
        <v>411</v>
      </c>
      <c r="D87" s="472" t="s">
        <v>412</v>
      </c>
      <c r="E87" s="472" t="s">
        <v>93</v>
      </c>
      <c r="F87" s="472" t="s">
        <v>413</v>
      </c>
      <c r="G87" s="472" t="s">
        <v>93</v>
      </c>
      <c r="H87" s="472" t="s">
        <v>93</v>
      </c>
      <c r="I87" s="472" t="s">
        <v>93</v>
      </c>
      <c r="J87" s="473"/>
      <c r="L87" s="474"/>
    </row>
    <row r="88" spans="1:9" ht="13.5">
      <c r="A88" s="63" t="s">
        <v>523</v>
      </c>
      <c r="B88" s="63" t="s">
        <v>508</v>
      </c>
      <c r="C88" s="63">
        <v>1</v>
      </c>
      <c r="D88" s="63" t="s">
        <v>477</v>
      </c>
      <c r="E88" s="400" t="s">
        <v>509</v>
      </c>
      <c r="F88" s="63" t="s">
        <v>413</v>
      </c>
      <c r="G88" s="63" t="s">
        <v>93</v>
      </c>
      <c r="H88" s="63">
        <v>5</v>
      </c>
      <c r="I88" s="63" t="s">
        <v>93</v>
      </c>
    </row>
    <row r="89" spans="1:9" ht="13.5">
      <c r="A89" s="63" t="s">
        <v>524</v>
      </c>
      <c r="B89" s="63" t="s">
        <v>508</v>
      </c>
      <c r="C89" s="63" t="s">
        <v>411</v>
      </c>
      <c r="D89" s="63" t="s">
        <v>477</v>
      </c>
      <c r="E89" s="400" t="s">
        <v>509</v>
      </c>
      <c r="F89" s="63" t="s">
        <v>489</v>
      </c>
      <c r="G89" s="63" t="s">
        <v>490</v>
      </c>
      <c r="H89" s="63">
        <v>10</v>
      </c>
      <c r="I89" s="63" t="s">
        <v>93</v>
      </c>
    </row>
    <row r="90" spans="1:12" s="472" customFormat="1" ht="11.25">
      <c r="A90" s="472" t="s">
        <v>525</v>
      </c>
      <c r="B90" s="472" t="s">
        <v>508</v>
      </c>
      <c r="C90" s="472" t="s">
        <v>411</v>
      </c>
      <c r="D90" s="472" t="s">
        <v>412</v>
      </c>
      <c r="E90" s="472" t="s">
        <v>93</v>
      </c>
      <c r="F90" s="472" t="s">
        <v>413</v>
      </c>
      <c r="G90" s="472" t="s">
        <v>93</v>
      </c>
      <c r="H90" s="472" t="s">
        <v>93</v>
      </c>
      <c r="I90" s="472" t="s">
        <v>93</v>
      </c>
      <c r="J90" s="473"/>
      <c r="L90" s="474"/>
    </row>
    <row r="91" spans="1:9" ht="13.5">
      <c r="A91" s="63" t="s">
        <v>526</v>
      </c>
      <c r="B91" s="63" t="s">
        <v>508</v>
      </c>
      <c r="C91" s="63">
        <v>1</v>
      </c>
      <c r="D91" s="63" t="s">
        <v>477</v>
      </c>
      <c r="E91" s="400" t="s">
        <v>509</v>
      </c>
      <c r="F91" s="63" t="s">
        <v>489</v>
      </c>
      <c r="G91" s="63" t="s">
        <v>510</v>
      </c>
      <c r="H91" s="63">
        <v>7</v>
      </c>
      <c r="I91" s="63" t="s">
        <v>293</v>
      </c>
    </row>
    <row r="92" spans="1:9" ht="13.5">
      <c r="A92" s="63" t="s">
        <v>527</v>
      </c>
      <c r="B92" s="63" t="s">
        <v>508</v>
      </c>
      <c r="C92" s="63">
        <v>1</v>
      </c>
      <c r="D92" s="63" t="s">
        <v>528</v>
      </c>
      <c r="E92" s="63" t="s">
        <v>441</v>
      </c>
      <c r="F92" s="63" t="s">
        <v>413</v>
      </c>
      <c r="G92" s="63" t="s">
        <v>93</v>
      </c>
      <c r="H92" s="63">
        <v>4</v>
      </c>
      <c r="I92" s="63" t="s">
        <v>293</v>
      </c>
    </row>
    <row r="93" spans="1:9" ht="13.5">
      <c r="A93" s="63" t="s">
        <v>529</v>
      </c>
      <c r="B93" s="63" t="s">
        <v>508</v>
      </c>
      <c r="C93" s="63">
        <v>1</v>
      </c>
      <c r="D93" s="63" t="s">
        <v>477</v>
      </c>
      <c r="E93" s="400" t="s">
        <v>509</v>
      </c>
      <c r="F93" s="63" t="s">
        <v>489</v>
      </c>
      <c r="G93" s="63" t="s">
        <v>504</v>
      </c>
      <c r="H93" s="63">
        <v>10</v>
      </c>
      <c r="I93" s="63" t="s">
        <v>93</v>
      </c>
    </row>
    <row r="94" spans="1:9" ht="13.5">
      <c r="A94" s="63" t="s">
        <v>530</v>
      </c>
      <c r="B94" s="63" t="s">
        <v>508</v>
      </c>
      <c r="C94" s="63">
        <v>1</v>
      </c>
      <c r="D94" s="63" t="s">
        <v>477</v>
      </c>
      <c r="E94" s="400" t="s">
        <v>509</v>
      </c>
      <c r="F94" s="63" t="s">
        <v>489</v>
      </c>
      <c r="G94" s="63" t="s">
        <v>510</v>
      </c>
      <c r="H94" s="63">
        <v>7</v>
      </c>
      <c r="I94" s="63" t="s">
        <v>93</v>
      </c>
    </row>
    <row r="95" spans="1:9" ht="13.5">
      <c r="A95" s="63" t="s">
        <v>531</v>
      </c>
      <c r="B95" s="63" t="s">
        <v>508</v>
      </c>
      <c r="C95" s="63">
        <v>1</v>
      </c>
      <c r="D95" s="63" t="s">
        <v>532</v>
      </c>
      <c r="E95" s="63" t="s">
        <v>441</v>
      </c>
      <c r="F95" s="63" t="s">
        <v>489</v>
      </c>
      <c r="G95" s="63" t="s">
        <v>510</v>
      </c>
      <c r="H95" s="63">
        <v>8</v>
      </c>
      <c r="I95" s="63" t="s">
        <v>293</v>
      </c>
    </row>
    <row r="96" spans="1:9" ht="13.5">
      <c r="A96" s="63" t="s">
        <v>533</v>
      </c>
      <c r="B96" s="63" t="s">
        <v>508</v>
      </c>
      <c r="C96" s="63">
        <v>1</v>
      </c>
      <c r="D96" s="63" t="s">
        <v>484</v>
      </c>
      <c r="E96" s="63" t="s">
        <v>441</v>
      </c>
      <c r="F96" s="63" t="s">
        <v>489</v>
      </c>
      <c r="G96" s="63" t="s">
        <v>510</v>
      </c>
      <c r="H96" s="63">
        <v>3</v>
      </c>
      <c r="I96" s="63" t="s">
        <v>93</v>
      </c>
    </row>
    <row r="97" spans="1:9" ht="13.5">
      <c r="A97" s="63" t="s">
        <v>534</v>
      </c>
      <c r="B97" s="63" t="s">
        <v>508</v>
      </c>
      <c r="C97" s="63">
        <v>1</v>
      </c>
      <c r="D97" s="63" t="s">
        <v>477</v>
      </c>
      <c r="E97" s="400" t="s">
        <v>509</v>
      </c>
      <c r="F97" s="63" t="s">
        <v>489</v>
      </c>
      <c r="G97" s="63" t="s">
        <v>510</v>
      </c>
      <c r="H97" s="63">
        <v>7</v>
      </c>
      <c r="I97" s="63" t="s">
        <v>293</v>
      </c>
    </row>
    <row r="98" spans="1:11" ht="13.5">
      <c r="A98" s="469" t="s">
        <v>535</v>
      </c>
      <c r="B98" s="470" t="s">
        <v>292</v>
      </c>
      <c r="C98" s="470" t="s">
        <v>293</v>
      </c>
      <c r="D98" s="470" t="s">
        <v>294</v>
      </c>
      <c r="E98" s="470" t="s">
        <v>176</v>
      </c>
      <c r="F98" s="470" t="s">
        <v>295</v>
      </c>
      <c r="G98" s="470" t="s">
        <v>248</v>
      </c>
      <c r="H98" s="470" t="s">
        <v>296</v>
      </c>
      <c r="I98" s="470" t="s">
        <v>242</v>
      </c>
      <c r="J98" s="471" t="s">
        <v>297</v>
      </c>
      <c r="K98" s="471" t="s">
        <v>409</v>
      </c>
    </row>
    <row r="99" spans="1:9" ht="13.5">
      <c r="A99" s="63" t="s">
        <v>357</v>
      </c>
      <c r="B99" s="63" t="s">
        <v>535</v>
      </c>
      <c r="C99" s="63" t="s">
        <v>411</v>
      </c>
      <c r="D99" s="63" t="s">
        <v>481</v>
      </c>
      <c r="E99" s="63" t="s">
        <v>441</v>
      </c>
      <c r="F99" s="63" t="s">
        <v>413</v>
      </c>
      <c r="G99" s="63" t="s">
        <v>93</v>
      </c>
      <c r="H99" s="63" t="s">
        <v>93</v>
      </c>
      <c r="I99" s="63">
        <v>1</v>
      </c>
    </row>
    <row r="100" spans="1:9" ht="13.5">
      <c r="A100" s="63" t="s">
        <v>536</v>
      </c>
      <c r="B100" s="63" t="s">
        <v>535</v>
      </c>
      <c r="C100" s="63" t="s">
        <v>411</v>
      </c>
      <c r="D100" s="63" t="s">
        <v>477</v>
      </c>
      <c r="E100" s="400" t="s">
        <v>509</v>
      </c>
      <c r="F100" s="63" t="s">
        <v>489</v>
      </c>
      <c r="G100" s="63" t="s">
        <v>510</v>
      </c>
      <c r="H100" s="63">
        <v>5</v>
      </c>
      <c r="I100" s="63" t="s">
        <v>93</v>
      </c>
    </row>
    <row r="101" spans="1:9" ht="13.5">
      <c r="A101" s="63" t="s">
        <v>537</v>
      </c>
      <c r="B101" s="63" t="s">
        <v>535</v>
      </c>
      <c r="C101" s="63">
        <v>1</v>
      </c>
      <c r="D101" s="63" t="s">
        <v>477</v>
      </c>
      <c r="E101" s="400" t="s">
        <v>509</v>
      </c>
      <c r="F101" s="63" t="s">
        <v>489</v>
      </c>
      <c r="G101" s="63" t="s">
        <v>510</v>
      </c>
      <c r="H101" s="63">
        <v>5</v>
      </c>
      <c r="I101" s="63" t="s">
        <v>93</v>
      </c>
    </row>
    <row r="102" spans="1:9" ht="13.5">
      <c r="A102" s="63" t="s">
        <v>538</v>
      </c>
      <c r="B102" s="63" t="s">
        <v>535</v>
      </c>
      <c r="C102" s="63" t="s">
        <v>411</v>
      </c>
      <c r="D102" s="63" t="s">
        <v>477</v>
      </c>
      <c r="E102" s="400" t="s">
        <v>509</v>
      </c>
      <c r="F102" s="63" t="s">
        <v>489</v>
      </c>
      <c r="G102" s="63" t="s">
        <v>510</v>
      </c>
      <c r="H102" s="63">
        <v>5</v>
      </c>
      <c r="I102" s="63" t="s">
        <v>93</v>
      </c>
    </row>
    <row r="103" spans="1:9" ht="13.5">
      <c r="A103" s="63" t="s">
        <v>539</v>
      </c>
      <c r="B103" s="63" t="s">
        <v>535</v>
      </c>
      <c r="C103" s="63">
        <v>1</v>
      </c>
      <c r="D103" s="63" t="s">
        <v>477</v>
      </c>
      <c r="E103" s="400" t="s">
        <v>509</v>
      </c>
      <c r="F103" s="63" t="s">
        <v>489</v>
      </c>
      <c r="G103" s="63" t="s">
        <v>510</v>
      </c>
      <c r="H103" s="63">
        <v>5</v>
      </c>
      <c r="I103" s="63" t="s">
        <v>93</v>
      </c>
    </row>
    <row r="104" spans="1:9" ht="13.5">
      <c r="A104" s="63" t="s">
        <v>540</v>
      </c>
      <c r="B104" s="63" t="s">
        <v>535</v>
      </c>
      <c r="C104" s="63" t="s">
        <v>411</v>
      </c>
      <c r="D104" s="63" t="s">
        <v>477</v>
      </c>
      <c r="E104" s="400" t="s">
        <v>509</v>
      </c>
      <c r="F104" s="63" t="s">
        <v>489</v>
      </c>
      <c r="G104" s="63" t="s">
        <v>510</v>
      </c>
      <c r="H104" s="63">
        <v>5</v>
      </c>
      <c r="I104" s="63" t="s">
        <v>93</v>
      </c>
    </row>
    <row r="105" spans="1:9" ht="13.5">
      <c r="A105" s="63" t="s">
        <v>541</v>
      </c>
      <c r="B105" s="63" t="s">
        <v>535</v>
      </c>
      <c r="C105" s="63">
        <v>1</v>
      </c>
      <c r="D105" s="63" t="s">
        <v>477</v>
      </c>
      <c r="E105" s="400" t="s">
        <v>509</v>
      </c>
      <c r="F105" s="63" t="s">
        <v>489</v>
      </c>
      <c r="G105" s="63" t="s">
        <v>510</v>
      </c>
      <c r="H105" s="63">
        <v>4</v>
      </c>
      <c r="I105" s="63" t="s">
        <v>93</v>
      </c>
    </row>
    <row r="106" spans="1:12" s="472" customFormat="1" ht="11.25">
      <c r="A106" s="472" t="s">
        <v>542</v>
      </c>
      <c r="B106" s="472" t="s">
        <v>535</v>
      </c>
      <c r="C106" s="472" t="s">
        <v>411</v>
      </c>
      <c r="D106" s="472" t="s">
        <v>412</v>
      </c>
      <c r="E106" s="472" t="s">
        <v>93</v>
      </c>
      <c r="F106" s="472" t="s">
        <v>413</v>
      </c>
      <c r="G106" s="472" t="s">
        <v>93</v>
      </c>
      <c r="H106" s="472" t="s">
        <v>93</v>
      </c>
      <c r="I106" s="472" t="s">
        <v>93</v>
      </c>
      <c r="J106" s="473"/>
      <c r="L106" s="474"/>
    </row>
    <row r="107" spans="1:9" ht="13.5">
      <c r="A107" s="63" t="s">
        <v>543</v>
      </c>
      <c r="B107" s="63" t="s">
        <v>535</v>
      </c>
      <c r="C107" s="63" t="s">
        <v>411</v>
      </c>
      <c r="D107" s="63" t="s">
        <v>477</v>
      </c>
      <c r="E107" s="400" t="s">
        <v>509</v>
      </c>
      <c r="F107" s="63" t="s">
        <v>413</v>
      </c>
      <c r="G107" s="63" t="s">
        <v>544</v>
      </c>
      <c r="H107" s="63">
        <v>2</v>
      </c>
      <c r="I107" s="63" t="s">
        <v>93</v>
      </c>
    </row>
    <row r="108" spans="1:9" ht="13.5">
      <c r="A108" s="63" t="s">
        <v>545</v>
      </c>
      <c r="B108" s="63" t="s">
        <v>535</v>
      </c>
      <c r="C108" s="63" t="s">
        <v>411</v>
      </c>
      <c r="D108" s="63" t="s">
        <v>477</v>
      </c>
      <c r="E108" s="400" t="s">
        <v>509</v>
      </c>
      <c r="F108" s="63" t="s">
        <v>489</v>
      </c>
      <c r="G108" s="63" t="s">
        <v>510</v>
      </c>
      <c r="H108" s="63">
        <v>5</v>
      </c>
      <c r="I108" s="63" t="s">
        <v>93</v>
      </c>
    </row>
    <row r="109" spans="1:9" ht="13.5">
      <c r="A109" s="63" t="s">
        <v>546</v>
      </c>
      <c r="B109" s="63" t="s">
        <v>535</v>
      </c>
      <c r="C109" s="63">
        <v>1</v>
      </c>
      <c r="D109" s="63" t="s">
        <v>477</v>
      </c>
      <c r="E109" s="400" t="s">
        <v>509</v>
      </c>
      <c r="F109" s="63" t="s">
        <v>489</v>
      </c>
      <c r="G109" s="63" t="s">
        <v>510</v>
      </c>
      <c r="H109" s="63">
        <v>6</v>
      </c>
      <c r="I109" s="63" t="s">
        <v>93</v>
      </c>
    </row>
    <row r="110" spans="1:9" ht="13.5">
      <c r="A110" s="63" t="s">
        <v>547</v>
      </c>
      <c r="B110" s="63" t="s">
        <v>535</v>
      </c>
      <c r="C110" s="63">
        <v>1</v>
      </c>
      <c r="D110" s="63" t="s">
        <v>477</v>
      </c>
      <c r="E110" s="400" t="s">
        <v>509</v>
      </c>
      <c r="F110" s="63" t="s">
        <v>489</v>
      </c>
      <c r="G110" s="63" t="s">
        <v>490</v>
      </c>
      <c r="H110" s="63">
        <v>4</v>
      </c>
      <c r="I110" s="63" t="s">
        <v>93</v>
      </c>
    </row>
    <row r="111" spans="1:9" ht="13.5">
      <c r="A111" s="63" t="s">
        <v>548</v>
      </c>
      <c r="B111" s="63" t="s">
        <v>535</v>
      </c>
      <c r="C111" s="63" t="s">
        <v>411</v>
      </c>
      <c r="D111" s="63" t="s">
        <v>477</v>
      </c>
      <c r="E111" s="400" t="s">
        <v>509</v>
      </c>
      <c r="F111" s="63" t="s">
        <v>428</v>
      </c>
      <c r="G111" s="63" t="s">
        <v>428</v>
      </c>
      <c r="H111" s="63">
        <v>2</v>
      </c>
      <c r="I111" s="63" t="s">
        <v>93</v>
      </c>
    </row>
    <row r="112" spans="1:9" ht="13.5">
      <c r="A112" s="63" t="s">
        <v>549</v>
      </c>
      <c r="B112" s="63" t="s">
        <v>535</v>
      </c>
      <c r="C112" s="63" t="s">
        <v>411</v>
      </c>
      <c r="D112" s="63" t="s">
        <v>460</v>
      </c>
      <c r="E112" s="63" t="s">
        <v>441</v>
      </c>
      <c r="F112" s="63" t="s">
        <v>413</v>
      </c>
      <c r="G112" s="63" t="s">
        <v>93</v>
      </c>
      <c r="H112" s="63">
        <v>4</v>
      </c>
      <c r="I112" s="63" t="s">
        <v>93</v>
      </c>
    </row>
    <row r="113" spans="1:9" ht="13.5">
      <c r="A113" s="63" t="s">
        <v>550</v>
      </c>
      <c r="B113" s="63" t="s">
        <v>535</v>
      </c>
      <c r="C113" s="63">
        <v>1</v>
      </c>
      <c r="D113" s="63" t="s">
        <v>477</v>
      </c>
      <c r="E113" s="400" t="s">
        <v>509</v>
      </c>
      <c r="F113" s="63" t="s">
        <v>428</v>
      </c>
      <c r="G113" s="63" t="s">
        <v>490</v>
      </c>
      <c r="H113" s="63">
        <v>5</v>
      </c>
      <c r="I113" s="63" t="s">
        <v>93</v>
      </c>
    </row>
    <row r="114" spans="1:12" s="472" customFormat="1" ht="11.25">
      <c r="A114" s="472" t="s">
        <v>551</v>
      </c>
      <c r="B114" s="472" t="s">
        <v>535</v>
      </c>
      <c r="C114" s="472">
        <v>1</v>
      </c>
      <c r="D114" s="472" t="s">
        <v>412</v>
      </c>
      <c r="E114" s="472" t="s">
        <v>93</v>
      </c>
      <c r="F114" s="472" t="s">
        <v>413</v>
      </c>
      <c r="G114" s="472" t="s">
        <v>93</v>
      </c>
      <c r="H114" s="472" t="s">
        <v>93</v>
      </c>
      <c r="I114" s="472" t="s">
        <v>93</v>
      </c>
      <c r="J114" s="473"/>
      <c r="L114" s="474"/>
    </row>
    <row r="115" spans="1:12" s="472" customFormat="1" ht="11.25">
      <c r="A115" s="472" t="s">
        <v>552</v>
      </c>
      <c r="B115" s="472" t="s">
        <v>535</v>
      </c>
      <c r="C115" s="472">
        <v>1</v>
      </c>
      <c r="D115" s="472" t="s">
        <v>412</v>
      </c>
      <c r="E115" s="472" t="s">
        <v>93</v>
      </c>
      <c r="F115" s="472" t="s">
        <v>413</v>
      </c>
      <c r="G115" s="472" t="s">
        <v>93</v>
      </c>
      <c r="H115" s="472" t="s">
        <v>93</v>
      </c>
      <c r="I115" s="472" t="s">
        <v>93</v>
      </c>
      <c r="J115" s="473"/>
      <c r="L115" s="474"/>
    </row>
    <row r="116" spans="1:12" s="472" customFormat="1" ht="11.25">
      <c r="A116" s="472" t="s">
        <v>553</v>
      </c>
      <c r="B116" s="472" t="s">
        <v>535</v>
      </c>
      <c r="C116" s="472">
        <v>1</v>
      </c>
      <c r="D116" s="472" t="s">
        <v>412</v>
      </c>
      <c r="E116" s="472" t="s">
        <v>93</v>
      </c>
      <c r="F116" s="472" t="s">
        <v>413</v>
      </c>
      <c r="G116" s="472" t="s">
        <v>93</v>
      </c>
      <c r="H116" s="472" t="s">
        <v>93</v>
      </c>
      <c r="I116" s="472" t="s">
        <v>93</v>
      </c>
      <c r="J116" s="473"/>
      <c r="L116" s="474"/>
    </row>
    <row r="117" spans="1:9" ht="13.5">
      <c r="A117" s="63" t="s">
        <v>554</v>
      </c>
      <c r="B117" s="63" t="s">
        <v>535</v>
      </c>
      <c r="C117" s="63">
        <v>1</v>
      </c>
      <c r="D117" s="63" t="s">
        <v>460</v>
      </c>
      <c r="E117" s="63" t="s">
        <v>441</v>
      </c>
      <c r="F117" s="63" t="s">
        <v>413</v>
      </c>
      <c r="G117" s="63" t="s">
        <v>93</v>
      </c>
      <c r="H117" s="63">
        <v>4</v>
      </c>
      <c r="I117" s="63" t="s">
        <v>93</v>
      </c>
    </row>
    <row r="118" spans="1:12" s="472" customFormat="1" ht="11.25">
      <c r="A118" s="472" t="s">
        <v>555</v>
      </c>
      <c r="B118" s="472" t="s">
        <v>535</v>
      </c>
      <c r="C118" s="472">
        <v>1</v>
      </c>
      <c r="D118" s="472" t="s">
        <v>412</v>
      </c>
      <c r="E118" s="472" t="s">
        <v>93</v>
      </c>
      <c r="F118" s="472" t="s">
        <v>413</v>
      </c>
      <c r="G118" s="472" t="s">
        <v>93</v>
      </c>
      <c r="H118" s="472" t="s">
        <v>93</v>
      </c>
      <c r="I118" s="472" t="s">
        <v>93</v>
      </c>
      <c r="J118" s="473"/>
      <c r="L118" s="474"/>
    </row>
    <row r="119" spans="1:11" ht="13.5">
      <c r="A119" s="469" t="s">
        <v>119</v>
      </c>
      <c r="B119" s="470" t="s">
        <v>292</v>
      </c>
      <c r="C119" s="470" t="s">
        <v>293</v>
      </c>
      <c r="D119" s="470" t="s">
        <v>294</v>
      </c>
      <c r="E119" s="470" t="s">
        <v>176</v>
      </c>
      <c r="F119" s="470" t="s">
        <v>295</v>
      </c>
      <c r="G119" s="470" t="s">
        <v>248</v>
      </c>
      <c r="H119" s="470" t="s">
        <v>296</v>
      </c>
      <c r="I119" s="470" t="s">
        <v>242</v>
      </c>
      <c r="J119" s="471" t="s">
        <v>297</v>
      </c>
      <c r="K119" s="471" t="s">
        <v>409</v>
      </c>
    </row>
    <row r="120" spans="1:12" s="472" customFormat="1" ht="11.25">
      <c r="A120" s="472" t="s">
        <v>360</v>
      </c>
      <c r="B120" s="472" t="s">
        <v>119</v>
      </c>
      <c r="C120" s="472" t="s">
        <v>411</v>
      </c>
      <c r="D120" s="472" t="s">
        <v>412</v>
      </c>
      <c r="E120" s="472" t="s">
        <v>93</v>
      </c>
      <c r="F120" s="472" t="s">
        <v>413</v>
      </c>
      <c r="G120" s="472" t="s">
        <v>93</v>
      </c>
      <c r="H120" s="472" t="s">
        <v>93</v>
      </c>
      <c r="I120" s="472" t="s">
        <v>93</v>
      </c>
      <c r="J120" s="473"/>
      <c r="L120" s="474"/>
    </row>
    <row r="121" spans="1:12" s="472" customFormat="1" ht="11.25">
      <c r="A121" s="472" t="s">
        <v>556</v>
      </c>
      <c r="B121" s="472" t="s">
        <v>119</v>
      </c>
      <c r="C121" s="472" t="s">
        <v>411</v>
      </c>
      <c r="D121" s="472" t="s">
        <v>412</v>
      </c>
      <c r="E121" s="472" t="s">
        <v>93</v>
      </c>
      <c r="F121" s="472" t="s">
        <v>413</v>
      </c>
      <c r="G121" s="472" t="s">
        <v>93</v>
      </c>
      <c r="H121" s="472" t="s">
        <v>93</v>
      </c>
      <c r="I121" s="472" t="s">
        <v>93</v>
      </c>
      <c r="J121" s="473"/>
      <c r="L121" s="474"/>
    </row>
    <row r="122" spans="1:9" ht="13.5">
      <c r="A122" s="63" t="s">
        <v>557</v>
      </c>
      <c r="B122" s="63" t="s">
        <v>119</v>
      </c>
      <c r="C122" s="63" t="s">
        <v>411</v>
      </c>
      <c r="D122" s="63" t="s">
        <v>446</v>
      </c>
      <c r="E122" s="63" t="s">
        <v>441</v>
      </c>
      <c r="F122" s="63" t="s">
        <v>489</v>
      </c>
      <c r="G122" s="63" t="s">
        <v>544</v>
      </c>
      <c r="H122" s="63" t="s">
        <v>93</v>
      </c>
      <c r="I122" s="63">
        <v>1</v>
      </c>
    </row>
    <row r="123" spans="1:9" ht="13.5">
      <c r="A123" s="63" t="s">
        <v>558</v>
      </c>
      <c r="B123" s="63" t="s">
        <v>119</v>
      </c>
      <c r="C123" s="63">
        <v>1</v>
      </c>
      <c r="D123" s="63" t="s">
        <v>460</v>
      </c>
      <c r="E123" s="63" t="s">
        <v>441</v>
      </c>
      <c r="F123" s="63" t="s">
        <v>413</v>
      </c>
      <c r="G123" s="63" t="s">
        <v>93</v>
      </c>
      <c r="H123" s="63">
        <v>4</v>
      </c>
      <c r="I123" s="63" t="s">
        <v>93</v>
      </c>
    </row>
    <row r="124" spans="1:12" s="472" customFormat="1" ht="11.25">
      <c r="A124" s="472" t="s">
        <v>559</v>
      </c>
      <c r="B124" s="472" t="s">
        <v>119</v>
      </c>
      <c r="C124" s="472" t="s">
        <v>411</v>
      </c>
      <c r="D124" s="472" t="s">
        <v>412</v>
      </c>
      <c r="E124" s="472" t="s">
        <v>93</v>
      </c>
      <c r="F124" s="472" t="s">
        <v>413</v>
      </c>
      <c r="G124" s="472" t="s">
        <v>93</v>
      </c>
      <c r="H124" s="472" t="s">
        <v>93</v>
      </c>
      <c r="I124" s="472" t="s">
        <v>93</v>
      </c>
      <c r="J124" s="473"/>
      <c r="L124" s="474"/>
    </row>
    <row r="125" spans="1:9" ht="13.5">
      <c r="A125" s="63" t="s">
        <v>560</v>
      </c>
      <c r="B125" s="63" t="s">
        <v>119</v>
      </c>
      <c r="C125" s="63">
        <v>1</v>
      </c>
      <c r="D125" s="63" t="s">
        <v>477</v>
      </c>
      <c r="E125" s="400" t="s">
        <v>166</v>
      </c>
      <c r="F125" s="63" t="s">
        <v>489</v>
      </c>
      <c r="G125" s="63" t="s">
        <v>497</v>
      </c>
      <c r="H125" s="63">
        <v>5</v>
      </c>
      <c r="I125" s="63" t="s">
        <v>93</v>
      </c>
    </row>
    <row r="126" spans="1:9" ht="13.5">
      <c r="A126" s="63" t="s">
        <v>561</v>
      </c>
      <c r="B126" s="63" t="s">
        <v>119</v>
      </c>
      <c r="C126" s="63">
        <v>1</v>
      </c>
      <c r="D126" s="63" t="s">
        <v>477</v>
      </c>
      <c r="E126" s="400" t="s">
        <v>166</v>
      </c>
      <c r="F126" s="63" t="s">
        <v>489</v>
      </c>
      <c r="G126" s="63" t="s">
        <v>497</v>
      </c>
      <c r="H126" s="63">
        <v>4</v>
      </c>
      <c r="I126" s="63" t="s">
        <v>93</v>
      </c>
    </row>
    <row r="127" spans="1:12" s="477" customFormat="1" ht="11.25">
      <c r="A127" s="477" t="s">
        <v>562</v>
      </c>
      <c r="B127" s="477" t="s">
        <v>119</v>
      </c>
      <c r="C127" s="477" t="s">
        <v>411</v>
      </c>
      <c r="D127" s="477" t="s">
        <v>412</v>
      </c>
      <c r="E127" s="477" t="s">
        <v>93</v>
      </c>
      <c r="F127" s="477" t="s">
        <v>413</v>
      </c>
      <c r="G127" s="477" t="s">
        <v>93</v>
      </c>
      <c r="H127" s="477" t="s">
        <v>93</v>
      </c>
      <c r="I127" s="477" t="s">
        <v>93</v>
      </c>
      <c r="J127" s="478"/>
      <c r="L127" s="479"/>
    </row>
    <row r="128" spans="1:9" ht="13.5">
      <c r="A128" s="63" t="s">
        <v>563</v>
      </c>
      <c r="B128" s="63" t="s">
        <v>119</v>
      </c>
      <c r="C128" s="63">
        <v>1</v>
      </c>
      <c r="D128" s="63" t="s">
        <v>477</v>
      </c>
      <c r="E128" s="400" t="s">
        <v>44</v>
      </c>
      <c r="F128" s="63" t="s">
        <v>564</v>
      </c>
      <c r="G128" s="63" t="s">
        <v>490</v>
      </c>
      <c r="H128" s="63">
        <v>5</v>
      </c>
      <c r="I128" s="63" t="s">
        <v>93</v>
      </c>
    </row>
    <row r="129" spans="1:9" ht="13.5">
      <c r="A129" s="63" t="s">
        <v>565</v>
      </c>
      <c r="B129" s="63" t="s">
        <v>119</v>
      </c>
      <c r="C129" s="63" t="s">
        <v>411</v>
      </c>
      <c r="D129" s="63" t="s">
        <v>477</v>
      </c>
      <c r="E129" s="400" t="s">
        <v>49</v>
      </c>
      <c r="F129" s="63" t="s">
        <v>413</v>
      </c>
      <c r="G129" s="63" t="s">
        <v>93</v>
      </c>
      <c r="H129" s="63" t="s">
        <v>93</v>
      </c>
      <c r="I129" s="63" t="s">
        <v>93</v>
      </c>
    </row>
    <row r="130" spans="1:12" s="472" customFormat="1" ht="11.25">
      <c r="A130" s="472" t="s">
        <v>566</v>
      </c>
      <c r="B130" s="472" t="s">
        <v>119</v>
      </c>
      <c r="C130" s="472" t="s">
        <v>411</v>
      </c>
      <c r="D130" s="472" t="s">
        <v>412</v>
      </c>
      <c r="E130" s="472" t="s">
        <v>93</v>
      </c>
      <c r="F130" s="472" t="s">
        <v>413</v>
      </c>
      <c r="G130" s="472" t="s">
        <v>93</v>
      </c>
      <c r="H130" s="472" t="s">
        <v>93</v>
      </c>
      <c r="I130" s="472" t="s">
        <v>93</v>
      </c>
      <c r="J130" s="473"/>
      <c r="L130" s="474"/>
    </row>
    <row r="131" spans="1:12" s="472" customFormat="1" ht="11.25">
      <c r="A131" s="472" t="s">
        <v>331</v>
      </c>
      <c r="B131" s="472" t="s">
        <v>119</v>
      </c>
      <c r="C131" s="472" t="s">
        <v>411</v>
      </c>
      <c r="D131" s="472" t="s">
        <v>412</v>
      </c>
      <c r="E131" s="472" t="s">
        <v>93</v>
      </c>
      <c r="F131" s="472" t="s">
        <v>413</v>
      </c>
      <c r="G131" s="472" t="s">
        <v>93</v>
      </c>
      <c r="H131" s="472" t="s">
        <v>93</v>
      </c>
      <c r="I131" s="472" t="s">
        <v>93</v>
      </c>
      <c r="J131" s="473"/>
      <c r="L131" s="474"/>
    </row>
    <row r="132" spans="1:9" ht="13.5">
      <c r="A132" s="63" t="s">
        <v>567</v>
      </c>
      <c r="B132" s="63" t="s">
        <v>119</v>
      </c>
      <c r="C132" s="63" t="s">
        <v>411</v>
      </c>
      <c r="D132" s="63" t="s">
        <v>477</v>
      </c>
      <c r="E132" s="400" t="s">
        <v>166</v>
      </c>
      <c r="F132" s="63" t="s">
        <v>489</v>
      </c>
      <c r="G132" s="63" t="s">
        <v>497</v>
      </c>
      <c r="H132" s="63">
        <v>4</v>
      </c>
      <c r="I132" s="63" t="s">
        <v>93</v>
      </c>
    </row>
    <row r="133" spans="1:12" s="472" customFormat="1" ht="11.25">
      <c r="A133" s="472" t="s">
        <v>568</v>
      </c>
      <c r="B133" s="472" t="s">
        <v>119</v>
      </c>
      <c r="C133" s="472">
        <v>1</v>
      </c>
      <c r="D133" s="472" t="s">
        <v>412</v>
      </c>
      <c r="E133" s="472" t="s">
        <v>93</v>
      </c>
      <c r="F133" s="472" t="s">
        <v>413</v>
      </c>
      <c r="G133" s="472" t="s">
        <v>93</v>
      </c>
      <c r="H133" s="472" t="s">
        <v>93</v>
      </c>
      <c r="I133" s="472" t="s">
        <v>93</v>
      </c>
      <c r="J133" s="473"/>
      <c r="L133" s="474"/>
    </row>
    <row r="134" spans="1:12" s="472" customFormat="1" ht="11.25">
      <c r="A134" s="472" t="s">
        <v>569</v>
      </c>
      <c r="B134" s="472" t="s">
        <v>119</v>
      </c>
      <c r="C134" s="472" t="s">
        <v>411</v>
      </c>
      <c r="D134" s="472" t="s">
        <v>412</v>
      </c>
      <c r="E134" s="472" t="s">
        <v>93</v>
      </c>
      <c r="F134" s="472" t="s">
        <v>413</v>
      </c>
      <c r="G134" s="472" t="s">
        <v>93</v>
      </c>
      <c r="H134" s="472" t="s">
        <v>93</v>
      </c>
      <c r="I134" s="472" t="s">
        <v>93</v>
      </c>
      <c r="J134" s="473"/>
      <c r="L134" s="474"/>
    </row>
    <row r="135" spans="1:12" s="472" customFormat="1" ht="11.25">
      <c r="A135" s="472" t="s">
        <v>570</v>
      </c>
      <c r="B135" s="472" t="s">
        <v>119</v>
      </c>
      <c r="C135" s="472" t="s">
        <v>411</v>
      </c>
      <c r="D135" s="472" t="s">
        <v>412</v>
      </c>
      <c r="E135" s="472" t="s">
        <v>93</v>
      </c>
      <c r="F135" s="472" t="s">
        <v>413</v>
      </c>
      <c r="G135" s="472" t="s">
        <v>93</v>
      </c>
      <c r="H135" s="472" t="s">
        <v>93</v>
      </c>
      <c r="I135" s="472" t="s">
        <v>93</v>
      </c>
      <c r="J135" s="473"/>
      <c r="L135" s="474"/>
    </row>
    <row r="136" spans="1:9" ht="13.5">
      <c r="A136" s="63" t="s">
        <v>571</v>
      </c>
      <c r="B136" s="63" t="s">
        <v>119</v>
      </c>
      <c r="C136" s="63">
        <v>1</v>
      </c>
      <c r="D136" s="63" t="s">
        <v>477</v>
      </c>
      <c r="E136" s="400" t="s">
        <v>166</v>
      </c>
      <c r="F136" s="63" t="s">
        <v>489</v>
      </c>
      <c r="G136" s="63" t="s">
        <v>510</v>
      </c>
      <c r="H136" s="63">
        <v>3</v>
      </c>
      <c r="I136" s="63" t="s">
        <v>93</v>
      </c>
    </row>
    <row r="137" spans="1:11" ht="13.5">
      <c r="A137" s="469" t="s">
        <v>27</v>
      </c>
      <c r="B137" s="470" t="s">
        <v>292</v>
      </c>
      <c r="C137" s="470" t="s">
        <v>293</v>
      </c>
      <c r="D137" s="470" t="s">
        <v>294</v>
      </c>
      <c r="E137" s="470" t="s">
        <v>176</v>
      </c>
      <c r="F137" s="470" t="s">
        <v>295</v>
      </c>
      <c r="G137" s="470" t="s">
        <v>248</v>
      </c>
      <c r="H137" s="470" t="s">
        <v>296</v>
      </c>
      <c r="I137" s="470" t="s">
        <v>242</v>
      </c>
      <c r="J137" s="471" t="s">
        <v>297</v>
      </c>
      <c r="K137" s="471" t="s">
        <v>409</v>
      </c>
    </row>
    <row r="138" spans="1:11" ht="13.5">
      <c r="A138" s="63" t="s">
        <v>317</v>
      </c>
      <c r="B138" s="63" t="s">
        <v>27</v>
      </c>
      <c r="C138" s="63" t="s">
        <v>411</v>
      </c>
      <c r="D138" s="63" t="s">
        <v>477</v>
      </c>
      <c r="E138" s="63" t="s">
        <v>441</v>
      </c>
      <c r="F138" s="63" t="s">
        <v>501</v>
      </c>
      <c r="G138" s="63" t="s">
        <v>497</v>
      </c>
      <c r="H138" s="63" t="s">
        <v>93</v>
      </c>
      <c r="I138" s="63" t="s">
        <v>121</v>
      </c>
      <c r="J138" s="465" t="s">
        <v>572</v>
      </c>
      <c r="K138" s="400" t="s">
        <v>573</v>
      </c>
    </row>
    <row r="139" spans="1:11" ht="13.5">
      <c r="A139" s="63" t="s">
        <v>574</v>
      </c>
      <c r="B139" s="63" t="s">
        <v>27</v>
      </c>
      <c r="C139" s="63">
        <v>1</v>
      </c>
      <c r="D139" s="63" t="s">
        <v>477</v>
      </c>
      <c r="E139" s="400" t="s">
        <v>166</v>
      </c>
      <c r="F139" s="63" t="s">
        <v>489</v>
      </c>
      <c r="G139" s="63" t="s">
        <v>497</v>
      </c>
      <c r="H139" s="63">
        <v>5</v>
      </c>
      <c r="I139" s="63" t="s">
        <v>93</v>
      </c>
      <c r="J139" s="465" t="s">
        <v>575</v>
      </c>
      <c r="K139" s="400" t="s">
        <v>573</v>
      </c>
    </row>
    <row r="140" spans="1:11" ht="13.5">
      <c r="A140" s="63" t="s">
        <v>576</v>
      </c>
      <c r="B140" s="63" t="s">
        <v>27</v>
      </c>
      <c r="C140" s="63" t="s">
        <v>411</v>
      </c>
      <c r="D140" s="63" t="s">
        <v>477</v>
      </c>
      <c r="E140" s="400" t="s">
        <v>166</v>
      </c>
      <c r="F140" s="63" t="s">
        <v>489</v>
      </c>
      <c r="G140" s="63" t="s">
        <v>93</v>
      </c>
      <c r="H140" s="63">
        <v>6</v>
      </c>
      <c r="I140" s="63" t="s">
        <v>93</v>
      </c>
      <c r="J140" s="465" t="s">
        <v>577</v>
      </c>
      <c r="K140" s="400" t="s">
        <v>573</v>
      </c>
    </row>
    <row r="141" spans="1:12" s="472" customFormat="1" ht="11.25">
      <c r="A141" s="472" t="s">
        <v>310</v>
      </c>
      <c r="B141" s="472" t="s">
        <v>27</v>
      </c>
      <c r="C141" s="472" t="s">
        <v>411</v>
      </c>
      <c r="D141" s="472" t="s">
        <v>412</v>
      </c>
      <c r="E141" s="472" t="s">
        <v>93</v>
      </c>
      <c r="F141" s="472" t="s">
        <v>413</v>
      </c>
      <c r="G141" s="472" t="s">
        <v>93</v>
      </c>
      <c r="H141" s="472" t="s">
        <v>93</v>
      </c>
      <c r="I141" s="472" t="s">
        <v>93</v>
      </c>
      <c r="J141" s="473" t="s">
        <v>578</v>
      </c>
      <c r="K141" s="472" t="s">
        <v>579</v>
      </c>
      <c r="L141" s="474"/>
    </row>
    <row r="142" spans="1:11" ht="13.5">
      <c r="A142" s="63" t="s">
        <v>580</v>
      </c>
      <c r="B142" s="63" t="s">
        <v>27</v>
      </c>
      <c r="C142" s="63" t="s">
        <v>411</v>
      </c>
      <c r="D142" s="63" t="s">
        <v>503</v>
      </c>
      <c r="E142" s="63" t="s">
        <v>441</v>
      </c>
      <c r="F142" s="63" t="s">
        <v>413</v>
      </c>
      <c r="G142" s="63" t="s">
        <v>93</v>
      </c>
      <c r="H142" s="63">
        <v>6</v>
      </c>
      <c r="I142" s="63" t="s">
        <v>93</v>
      </c>
      <c r="J142" s="465" t="s">
        <v>581</v>
      </c>
      <c r="K142" s="400" t="s">
        <v>579</v>
      </c>
    </row>
    <row r="143" spans="1:11" ht="13.5">
      <c r="A143" s="63" t="s">
        <v>582</v>
      </c>
      <c r="B143" s="63" t="s">
        <v>27</v>
      </c>
      <c r="C143" s="63">
        <v>1</v>
      </c>
      <c r="D143" s="63" t="s">
        <v>583</v>
      </c>
      <c r="E143" s="400" t="s">
        <v>166</v>
      </c>
      <c r="F143" s="63" t="s">
        <v>489</v>
      </c>
      <c r="G143" s="63" t="s">
        <v>497</v>
      </c>
      <c r="H143" s="63">
        <v>4</v>
      </c>
      <c r="I143" s="63" t="s">
        <v>93</v>
      </c>
      <c r="J143" s="465" t="s">
        <v>584</v>
      </c>
      <c r="K143" s="400" t="s">
        <v>579</v>
      </c>
    </row>
    <row r="144" spans="1:12" s="477" customFormat="1" ht="11.25">
      <c r="A144" s="477" t="s">
        <v>323</v>
      </c>
      <c r="B144" s="477" t="s">
        <v>27</v>
      </c>
      <c r="C144" s="477">
        <v>1</v>
      </c>
      <c r="D144" s="477" t="s">
        <v>412</v>
      </c>
      <c r="E144" s="477" t="s">
        <v>93</v>
      </c>
      <c r="F144" s="477" t="s">
        <v>413</v>
      </c>
      <c r="G144" s="477" t="s">
        <v>93</v>
      </c>
      <c r="H144" s="477" t="s">
        <v>93</v>
      </c>
      <c r="I144" s="477" t="s">
        <v>93</v>
      </c>
      <c r="J144" s="478" t="s">
        <v>585</v>
      </c>
      <c r="K144" s="400" t="s">
        <v>579</v>
      </c>
      <c r="L144" s="479"/>
    </row>
    <row r="145" spans="1:11" ht="13.5">
      <c r="A145" s="63" t="s">
        <v>586</v>
      </c>
      <c r="B145" s="63" t="s">
        <v>27</v>
      </c>
      <c r="C145" s="63" t="s">
        <v>411</v>
      </c>
      <c r="D145" s="63" t="s">
        <v>477</v>
      </c>
      <c r="E145" s="400" t="s">
        <v>166</v>
      </c>
      <c r="F145" s="63" t="s">
        <v>489</v>
      </c>
      <c r="G145" s="63" t="s">
        <v>504</v>
      </c>
      <c r="H145" s="63">
        <v>4</v>
      </c>
      <c r="I145" s="63" t="s">
        <v>93</v>
      </c>
      <c r="J145" s="465" t="s">
        <v>587</v>
      </c>
      <c r="K145" s="400" t="s">
        <v>588</v>
      </c>
    </row>
    <row r="146" spans="1:12" s="472" customFormat="1" ht="11.25">
      <c r="A146" s="472" t="s">
        <v>327</v>
      </c>
      <c r="B146" s="472" t="s">
        <v>27</v>
      </c>
      <c r="C146" s="472">
        <v>1</v>
      </c>
      <c r="D146" s="472" t="s">
        <v>412</v>
      </c>
      <c r="E146" s="472" t="s">
        <v>93</v>
      </c>
      <c r="F146" s="472" t="s">
        <v>413</v>
      </c>
      <c r="G146" s="472" t="s">
        <v>93</v>
      </c>
      <c r="H146" s="472" t="s">
        <v>93</v>
      </c>
      <c r="I146" s="472" t="s">
        <v>93</v>
      </c>
      <c r="J146" s="473" t="s">
        <v>589</v>
      </c>
      <c r="K146" s="472" t="s">
        <v>588</v>
      </c>
      <c r="L146" s="474"/>
    </row>
    <row r="147" spans="1:11" ht="13.5">
      <c r="A147" s="63" t="s">
        <v>590</v>
      </c>
      <c r="B147" s="63" t="s">
        <v>27</v>
      </c>
      <c r="C147" s="63">
        <v>1</v>
      </c>
      <c r="D147" s="63" t="s">
        <v>460</v>
      </c>
      <c r="E147" s="63" t="s">
        <v>441</v>
      </c>
      <c r="F147" s="63" t="s">
        <v>413</v>
      </c>
      <c r="G147" s="63" t="s">
        <v>93</v>
      </c>
      <c r="H147" s="63">
        <v>5</v>
      </c>
      <c r="I147" s="63" t="s">
        <v>293</v>
      </c>
      <c r="J147" s="465" t="s">
        <v>591</v>
      </c>
      <c r="K147" s="400" t="s">
        <v>588</v>
      </c>
    </row>
    <row r="148" spans="1:11" ht="13.5">
      <c r="A148" s="63" t="s">
        <v>592</v>
      </c>
      <c r="B148" s="63" t="s">
        <v>27</v>
      </c>
      <c r="C148" s="63" t="s">
        <v>411</v>
      </c>
      <c r="D148" s="63" t="s">
        <v>460</v>
      </c>
      <c r="E148" s="63" t="s">
        <v>441</v>
      </c>
      <c r="F148" s="63" t="s">
        <v>413</v>
      </c>
      <c r="G148" s="63" t="s">
        <v>93</v>
      </c>
      <c r="H148" s="63">
        <v>4</v>
      </c>
      <c r="I148" s="63" t="s">
        <v>93</v>
      </c>
      <c r="J148" s="465" t="s">
        <v>593</v>
      </c>
      <c r="K148" s="400" t="s">
        <v>588</v>
      </c>
    </row>
    <row r="149" spans="1:11" ht="13.5">
      <c r="A149" s="63" t="s">
        <v>321</v>
      </c>
      <c r="B149" s="63" t="s">
        <v>27</v>
      </c>
      <c r="C149" s="63" t="s">
        <v>411</v>
      </c>
      <c r="D149" s="63" t="s">
        <v>460</v>
      </c>
      <c r="E149" s="63" t="s">
        <v>441</v>
      </c>
      <c r="F149" s="63" t="s">
        <v>413</v>
      </c>
      <c r="G149" s="63" t="s">
        <v>93</v>
      </c>
      <c r="H149" s="63">
        <v>3</v>
      </c>
      <c r="I149" s="63" t="s">
        <v>93</v>
      </c>
      <c r="J149" s="465" t="s">
        <v>594</v>
      </c>
      <c r="K149" s="400" t="s">
        <v>595</v>
      </c>
    </row>
    <row r="150" spans="1:11" ht="13.5">
      <c r="A150" s="63" t="s">
        <v>596</v>
      </c>
      <c r="B150" s="63" t="s">
        <v>27</v>
      </c>
      <c r="C150" s="63" t="s">
        <v>411</v>
      </c>
      <c r="D150" s="63" t="s">
        <v>460</v>
      </c>
      <c r="E150" s="63" t="s">
        <v>441</v>
      </c>
      <c r="F150" s="63" t="s">
        <v>413</v>
      </c>
      <c r="G150" s="63" t="s">
        <v>93</v>
      </c>
      <c r="H150" s="63">
        <v>4</v>
      </c>
      <c r="I150" s="63" t="s">
        <v>93</v>
      </c>
      <c r="J150" s="465" t="s">
        <v>597</v>
      </c>
      <c r="K150" s="400" t="s">
        <v>595</v>
      </c>
    </row>
    <row r="151" spans="1:11" ht="13.5">
      <c r="A151" s="63" t="s">
        <v>598</v>
      </c>
      <c r="B151" s="63" t="s">
        <v>27</v>
      </c>
      <c r="C151" s="63">
        <v>1</v>
      </c>
      <c r="D151" s="63" t="s">
        <v>583</v>
      </c>
      <c r="E151" s="400" t="s">
        <v>166</v>
      </c>
      <c r="F151" s="63" t="s">
        <v>489</v>
      </c>
      <c r="G151" s="63" t="s">
        <v>428</v>
      </c>
      <c r="H151" s="63">
        <v>5</v>
      </c>
      <c r="I151" s="63" t="s">
        <v>293</v>
      </c>
      <c r="J151" s="465" t="s">
        <v>599</v>
      </c>
      <c r="K151" s="400" t="s">
        <v>595</v>
      </c>
    </row>
    <row r="152" spans="1:11" ht="13.5">
      <c r="A152" s="63" t="s">
        <v>325</v>
      </c>
      <c r="B152" s="63" t="s">
        <v>27</v>
      </c>
      <c r="C152" s="63">
        <v>1</v>
      </c>
      <c r="D152" s="63" t="s">
        <v>460</v>
      </c>
      <c r="E152" s="63" t="s">
        <v>441</v>
      </c>
      <c r="F152" s="63" t="s">
        <v>413</v>
      </c>
      <c r="G152" s="63" t="s">
        <v>93</v>
      </c>
      <c r="H152" s="63">
        <v>6</v>
      </c>
      <c r="I152" s="63" t="s">
        <v>293</v>
      </c>
      <c r="J152" s="465" t="s">
        <v>600</v>
      </c>
      <c r="K152" s="400" t="s">
        <v>595</v>
      </c>
    </row>
    <row r="153" spans="1:11" ht="13.5">
      <c r="A153" s="63" t="s">
        <v>601</v>
      </c>
      <c r="B153" s="63" t="s">
        <v>27</v>
      </c>
      <c r="C153" s="63">
        <v>1</v>
      </c>
      <c r="D153" s="63" t="s">
        <v>460</v>
      </c>
      <c r="E153" s="63" t="s">
        <v>441</v>
      </c>
      <c r="F153" s="63" t="s">
        <v>413</v>
      </c>
      <c r="G153" s="63" t="s">
        <v>93</v>
      </c>
      <c r="H153" s="63">
        <v>5</v>
      </c>
      <c r="I153" s="63" t="s">
        <v>293</v>
      </c>
      <c r="J153" s="465" t="s">
        <v>602</v>
      </c>
      <c r="K153" s="400" t="s">
        <v>603</v>
      </c>
    </row>
    <row r="154" spans="1:11" ht="13.5">
      <c r="A154" s="63" t="s">
        <v>604</v>
      </c>
      <c r="B154" s="63" t="s">
        <v>27</v>
      </c>
      <c r="C154" s="63">
        <v>1</v>
      </c>
      <c r="D154" s="63" t="s">
        <v>583</v>
      </c>
      <c r="E154" s="400" t="s">
        <v>220</v>
      </c>
      <c r="F154" s="63" t="s">
        <v>489</v>
      </c>
      <c r="G154" s="63" t="s">
        <v>93</v>
      </c>
      <c r="H154" s="63">
        <v>4</v>
      </c>
      <c r="I154" s="63" t="s">
        <v>93</v>
      </c>
      <c r="J154" s="465" t="s">
        <v>605</v>
      </c>
      <c r="K154" s="400" t="s">
        <v>603</v>
      </c>
    </row>
    <row r="155" spans="1:11" ht="13.5">
      <c r="A155" s="469" t="s">
        <v>606</v>
      </c>
      <c r="B155" s="470" t="s">
        <v>292</v>
      </c>
      <c r="C155" s="470" t="s">
        <v>293</v>
      </c>
      <c r="D155" s="470" t="s">
        <v>294</v>
      </c>
      <c r="E155" s="470" t="s">
        <v>176</v>
      </c>
      <c r="F155" s="470" t="s">
        <v>295</v>
      </c>
      <c r="G155" s="470" t="s">
        <v>248</v>
      </c>
      <c r="H155" s="470" t="s">
        <v>296</v>
      </c>
      <c r="I155" s="470" t="s">
        <v>242</v>
      </c>
      <c r="J155" s="471" t="s">
        <v>297</v>
      </c>
      <c r="K155" s="471" t="s">
        <v>409</v>
      </c>
    </row>
    <row r="156" spans="1:12" s="472" customFormat="1" ht="11.25">
      <c r="A156" s="472" t="s">
        <v>363</v>
      </c>
      <c r="B156" s="472" t="s">
        <v>606</v>
      </c>
      <c r="C156" s="472" t="s">
        <v>411</v>
      </c>
      <c r="D156" s="472" t="s">
        <v>412</v>
      </c>
      <c r="E156" s="472" t="s">
        <v>93</v>
      </c>
      <c r="F156" s="472" t="s">
        <v>413</v>
      </c>
      <c r="G156" s="472" t="s">
        <v>93</v>
      </c>
      <c r="H156" s="472" t="s">
        <v>93</v>
      </c>
      <c r="I156" s="472" t="s">
        <v>93</v>
      </c>
      <c r="J156" s="473" t="s">
        <v>607</v>
      </c>
      <c r="L156" s="474"/>
    </row>
    <row r="157" spans="1:12" s="472" customFormat="1" ht="11.25">
      <c r="A157" s="472" t="s">
        <v>608</v>
      </c>
      <c r="B157" s="472" t="s">
        <v>606</v>
      </c>
      <c r="C157" s="472" t="s">
        <v>411</v>
      </c>
      <c r="D157" s="472" t="s">
        <v>412</v>
      </c>
      <c r="E157" s="472" t="s">
        <v>93</v>
      </c>
      <c r="F157" s="472" t="s">
        <v>413</v>
      </c>
      <c r="G157" s="472" t="s">
        <v>93</v>
      </c>
      <c r="H157" s="472" t="s">
        <v>93</v>
      </c>
      <c r="I157" s="472" t="s">
        <v>93</v>
      </c>
      <c r="J157" s="473"/>
      <c r="L157" s="474"/>
    </row>
    <row r="158" spans="1:9" ht="13.5">
      <c r="A158" s="63" t="s">
        <v>609</v>
      </c>
      <c r="B158" s="63" t="s">
        <v>606</v>
      </c>
      <c r="C158" s="63">
        <v>1</v>
      </c>
      <c r="D158" s="63" t="s">
        <v>610</v>
      </c>
      <c r="E158" s="400" t="s">
        <v>93</v>
      </c>
      <c r="F158" s="63" t="s">
        <v>413</v>
      </c>
      <c r="G158" s="63" t="s">
        <v>93</v>
      </c>
      <c r="H158" s="63" t="s">
        <v>611</v>
      </c>
      <c r="I158" s="63" t="s">
        <v>93</v>
      </c>
    </row>
    <row r="159" spans="1:9" ht="13.5">
      <c r="A159" s="63" t="s">
        <v>612</v>
      </c>
      <c r="B159" s="63" t="s">
        <v>606</v>
      </c>
      <c r="C159" s="63">
        <v>1</v>
      </c>
      <c r="D159" s="63" t="s">
        <v>460</v>
      </c>
      <c r="E159" s="63" t="s">
        <v>441</v>
      </c>
      <c r="F159" s="63" t="s">
        <v>413</v>
      </c>
      <c r="G159" s="63" t="s">
        <v>93</v>
      </c>
      <c r="H159" s="63">
        <v>5</v>
      </c>
      <c r="I159" s="63" t="s">
        <v>93</v>
      </c>
    </row>
    <row r="160" spans="1:12" s="472" customFormat="1" ht="11.25">
      <c r="A160" s="472" t="s">
        <v>613</v>
      </c>
      <c r="B160" s="472" t="s">
        <v>606</v>
      </c>
      <c r="C160" s="472" t="s">
        <v>411</v>
      </c>
      <c r="D160" s="472" t="s">
        <v>412</v>
      </c>
      <c r="E160" s="472" t="s">
        <v>93</v>
      </c>
      <c r="F160" s="472" t="s">
        <v>413</v>
      </c>
      <c r="G160" s="472" t="s">
        <v>93</v>
      </c>
      <c r="H160" s="472" t="s">
        <v>93</v>
      </c>
      <c r="I160" s="472" t="s">
        <v>93</v>
      </c>
      <c r="J160" s="473"/>
      <c r="L160" s="474"/>
    </row>
    <row r="161" spans="1:9" ht="13.5">
      <c r="A161" s="63" t="s">
        <v>614</v>
      </c>
      <c r="B161" s="63" t="s">
        <v>606</v>
      </c>
      <c r="C161" s="63" t="s">
        <v>411</v>
      </c>
      <c r="D161" s="63" t="s">
        <v>460</v>
      </c>
      <c r="E161" s="63" t="s">
        <v>441</v>
      </c>
      <c r="F161" s="63" t="s">
        <v>413</v>
      </c>
      <c r="G161" s="63" t="s">
        <v>93</v>
      </c>
      <c r="H161" s="63">
        <v>4</v>
      </c>
      <c r="I161" s="63" t="s">
        <v>93</v>
      </c>
    </row>
    <row r="162" spans="1:9" ht="13.5">
      <c r="A162" s="63" t="s">
        <v>615</v>
      </c>
      <c r="B162" s="63" t="s">
        <v>606</v>
      </c>
      <c r="C162" s="63">
        <v>1</v>
      </c>
      <c r="D162" s="63" t="s">
        <v>477</v>
      </c>
      <c r="E162" s="400" t="s">
        <v>48</v>
      </c>
      <c r="F162" s="63" t="s">
        <v>413</v>
      </c>
      <c r="G162" s="63" t="s">
        <v>93</v>
      </c>
      <c r="H162" s="63">
        <v>2</v>
      </c>
      <c r="I162" s="63" t="s">
        <v>93</v>
      </c>
    </row>
    <row r="163" spans="1:9" ht="13.5">
      <c r="A163" s="63" t="s">
        <v>616</v>
      </c>
      <c r="B163" s="63" t="s">
        <v>606</v>
      </c>
      <c r="C163" s="63" t="s">
        <v>411</v>
      </c>
      <c r="D163" s="63" t="s">
        <v>484</v>
      </c>
      <c r="E163" s="63" t="s">
        <v>441</v>
      </c>
      <c r="F163" s="63" t="s">
        <v>489</v>
      </c>
      <c r="G163" s="63" t="s">
        <v>428</v>
      </c>
      <c r="H163" s="63" t="s">
        <v>93</v>
      </c>
      <c r="I163" s="63">
        <v>1</v>
      </c>
    </row>
    <row r="164" spans="1:9" ht="13.5">
      <c r="A164" s="63" t="s">
        <v>617</v>
      </c>
      <c r="B164" s="63" t="s">
        <v>606</v>
      </c>
      <c r="C164" s="63">
        <v>1</v>
      </c>
      <c r="D164" s="63" t="s">
        <v>477</v>
      </c>
      <c r="E164" s="400" t="s">
        <v>166</v>
      </c>
      <c r="F164" s="63" t="s">
        <v>489</v>
      </c>
      <c r="G164" s="63" t="s">
        <v>490</v>
      </c>
      <c r="H164" s="63">
        <v>12</v>
      </c>
      <c r="I164" s="63" t="s">
        <v>293</v>
      </c>
    </row>
    <row r="165" spans="1:9" ht="13.5">
      <c r="A165" s="63" t="s">
        <v>618</v>
      </c>
      <c r="B165" s="63" t="s">
        <v>606</v>
      </c>
      <c r="C165" s="63">
        <v>1</v>
      </c>
      <c r="D165" s="63" t="s">
        <v>484</v>
      </c>
      <c r="E165" s="63" t="s">
        <v>441</v>
      </c>
      <c r="F165" s="63" t="s">
        <v>413</v>
      </c>
      <c r="G165" s="63" t="s">
        <v>93</v>
      </c>
      <c r="H165" s="63">
        <v>3</v>
      </c>
      <c r="I165" s="63" t="s">
        <v>93</v>
      </c>
    </row>
    <row r="166" spans="1:9" ht="13.5">
      <c r="A166" s="63" t="s">
        <v>619</v>
      </c>
      <c r="B166" s="63" t="s">
        <v>606</v>
      </c>
      <c r="C166" s="63" t="s">
        <v>411</v>
      </c>
      <c r="D166" s="63" t="s">
        <v>477</v>
      </c>
      <c r="E166" s="400" t="s">
        <v>166</v>
      </c>
      <c r="F166" s="63" t="s">
        <v>489</v>
      </c>
      <c r="G166" s="63" t="s">
        <v>497</v>
      </c>
      <c r="H166" s="63">
        <v>6</v>
      </c>
      <c r="I166" s="63" t="s">
        <v>93</v>
      </c>
    </row>
    <row r="167" spans="1:9" ht="13.5">
      <c r="A167" s="63" t="s">
        <v>620</v>
      </c>
      <c r="B167" s="63" t="s">
        <v>606</v>
      </c>
      <c r="C167" s="63">
        <v>1</v>
      </c>
      <c r="D167" s="63" t="s">
        <v>484</v>
      </c>
      <c r="E167" s="63" t="s">
        <v>441</v>
      </c>
      <c r="F167" s="63" t="s">
        <v>413</v>
      </c>
      <c r="G167" s="63" t="s">
        <v>93</v>
      </c>
      <c r="H167" s="63">
        <v>3</v>
      </c>
      <c r="I167" s="63" t="s">
        <v>93</v>
      </c>
    </row>
    <row r="168" spans="1:9" ht="13.5">
      <c r="A168" s="63" t="s">
        <v>621</v>
      </c>
      <c r="B168" s="63" t="s">
        <v>606</v>
      </c>
      <c r="C168" s="63">
        <v>1</v>
      </c>
      <c r="D168" s="63" t="s">
        <v>484</v>
      </c>
      <c r="E168" s="63" t="s">
        <v>441</v>
      </c>
      <c r="F168" s="63" t="s">
        <v>413</v>
      </c>
      <c r="G168" s="63" t="s">
        <v>93</v>
      </c>
      <c r="H168" s="63">
        <v>3</v>
      </c>
      <c r="I168" s="63" t="s">
        <v>93</v>
      </c>
    </row>
    <row r="169" spans="1:9" ht="13.5">
      <c r="A169" s="63" t="s">
        <v>622</v>
      </c>
      <c r="B169" s="63" t="s">
        <v>606</v>
      </c>
      <c r="C169" s="63">
        <v>1</v>
      </c>
      <c r="D169" s="63" t="s">
        <v>484</v>
      </c>
      <c r="E169" s="63" t="s">
        <v>441</v>
      </c>
      <c r="F169" s="63" t="s">
        <v>413</v>
      </c>
      <c r="G169" s="63" t="s">
        <v>93</v>
      </c>
      <c r="H169" s="63">
        <v>3</v>
      </c>
      <c r="I169" s="63" t="s">
        <v>93</v>
      </c>
    </row>
    <row r="170" spans="1:9" ht="13.5">
      <c r="A170" s="63" t="s">
        <v>623</v>
      </c>
      <c r="B170" s="63" t="s">
        <v>606</v>
      </c>
      <c r="C170" s="63">
        <v>1</v>
      </c>
      <c r="D170" s="63" t="s">
        <v>484</v>
      </c>
      <c r="E170" s="63" t="s">
        <v>441</v>
      </c>
      <c r="F170" s="63" t="s">
        <v>413</v>
      </c>
      <c r="G170" s="63" t="s">
        <v>93</v>
      </c>
      <c r="H170" s="63">
        <v>3</v>
      </c>
      <c r="I170" s="63" t="s">
        <v>93</v>
      </c>
    </row>
    <row r="171" spans="1:9" ht="13.5">
      <c r="A171" s="63" t="s">
        <v>624</v>
      </c>
      <c r="B171" s="63" t="s">
        <v>606</v>
      </c>
      <c r="C171" s="63">
        <v>1</v>
      </c>
      <c r="D171" s="63" t="s">
        <v>481</v>
      </c>
      <c r="E171" s="63" t="s">
        <v>441</v>
      </c>
      <c r="F171" s="63" t="s">
        <v>413</v>
      </c>
      <c r="G171" s="63" t="s">
        <v>93</v>
      </c>
      <c r="H171" s="63" t="s">
        <v>428</v>
      </c>
      <c r="I171" s="63" t="s">
        <v>93</v>
      </c>
    </row>
    <row r="172" spans="1:9" ht="13.5">
      <c r="A172" s="63" t="s">
        <v>625</v>
      </c>
      <c r="B172" s="63" t="s">
        <v>606</v>
      </c>
      <c r="C172" s="63" t="s">
        <v>411</v>
      </c>
      <c r="D172" s="63" t="s">
        <v>477</v>
      </c>
      <c r="E172" s="400" t="s">
        <v>166</v>
      </c>
      <c r="F172" s="63" t="s">
        <v>489</v>
      </c>
      <c r="G172" s="63" t="s">
        <v>490</v>
      </c>
      <c r="H172" s="63">
        <v>4</v>
      </c>
      <c r="I172" s="63" t="s">
        <v>93</v>
      </c>
    </row>
    <row r="173" spans="1:11" ht="13.5">
      <c r="A173" s="469" t="s">
        <v>626</v>
      </c>
      <c r="B173" s="470" t="s">
        <v>292</v>
      </c>
      <c r="C173" s="470" t="s">
        <v>293</v>
      </c>
      <c r="D173" s="470" t="s">
        <v>294</v>
      </c>
      <c r="E173" s="470" t="s">
        <v>176</v>
      </c>
      <c r="F173" s="470" t="s">
        <v>295</v>
      </c>
      <c r="G173" s="470" t="s">
        <v>248</v>
      </c>
      <c r="H173" s="470" t="s">
        <v>296</v>
      </c>
      <c r="I173" s="470" t="s">
        <v>242</v>
      </c>
      <c r="J173" s="471" t="s">
        <v>297</v>
      </c>
      <c r="K173" s="471" t="s">
        <v>409</v>
      </c>
    </row>
    <row r="174" spans="1:12" s="472" customFormat="1" ht="11.25">
      <c r="A174" s="472" t="s">
        <v>365</v>
      </c>
      <c r="B174" s="472" t="s">
        <v>626</v>
      </c>
      <c r="C174" s="472" t="s">
        <v>411</v>
      </c>
      <c r="D174" s="472" t="s">
        <v>412</v>
      </c>
      <c r="E174" s="472" t="s">
        <v>93</v>
      </c>
      <c r="F174" s="472" t="s">
        <v>428</v>
      </c>
      <c r="G174" s="472" t="s">
        <v>93</v>
      </c>
      <c r="H174" s="472" t="s">
        <v>93</v>
      </c>
      <c r="I174" s="472" t="s">
        <v>93</v>
      </c>
      <c r="J174" s="473" t="s">
        <v>627</v>
      </c>
      <c r="L174" s="474"/>
    </row>
    <row r="175" spans="1:12" s="477" customFormat="1" ht="11.25">
      <c r="A175" s="477" t="s">
        <v>628</v>
      </c>
      <c r="B175" s="477" t="s">
        <v>626</v>
      </c>
      <c r="C175" s="477" t="s">
        <v>411</v>
      </c>
      <c r="D175" s="477" t="s">
        <v>412</v>
      </c>
      <c r="E175" s="477" t="s">
        <v>93</v>
      </c>
      <c r="F175" s="477" t="s">
        <v>413</v>
      </c>
      <c r="G175" s="477" t="s">
        <v>93</v>
      </c>
      <c r="H175" s="477" t="s">
        <v>93</v>
      </c>
      <c r="I175" s="477" t="s">
        <v>93</v>
      </c>
      <c r="J175" s="478"/>
      <c r="L175" s="479"/>
    </row>
    <row r="176" spans="1:9" ht="13.5">
      <c r="A176" s="63" t="s">
        <v>629</v>
      </c>
      <c r="B176" s="63" t="s">
        <v>626</v>
      </c>
      <c r="C176" s="63" t="s">
        <v>411</v>
      </c>
      <c r="D176" s="63" t="s">
        <v>503</v>
      </c>
      <c r="E176" s="400" t="s">
        <v>48</v>
      </c>
      <c r="F176" s="63" t="s">
        <v>489</v>
      </c>
      <c r="G176" s="63" t="s">
        <v>490</v>
      </c>
      <c r="H176" s="63">
        <v>4</v>
      </c>
      <c r="I176" s="63" t="s">
        <v>93</v>
      </c>
    </row>
    <row r="177" spans="1:9" ht="13.5">
      <c r="A177" s="63" t="s">
        <v>630</v>
      </c>
      <c r="B177" s="63" t="s">
        <v>626</v>
      </c>
      <c r="C177" s="63" t="s">
        <v>411</v>
      </c>
      <c r="D177" s="63" t="s">
        <v>484</v>
      </c>
      <c r="E177" s="63" t="s">
        <v>441</v>
      </c>
      <c r="F177" s="63" t="s">
        <v>489</v>
      </c>
      <c r="G177" s="63" t="s">
        <v>510</v>
      </c>
      <c r="H177" s="63" t="s">
        <v>93</v>
      </c>
      <c r="I177" s="63">
        <v>1</v>
      </c>
    </row>
    <row r="178" spans="1:9" ht="13.5">
      <c r="A178" s="63" t="s">
        <v>631</v>
      </c>
      <c r="B178" s="63" t="s">
        <v>626</v>
      </c>
      <c r="C178" s="63">
        <v>1</v>
      </c>
      <c r="D178" s="63" t="s">
        <v>484</v>
      </c>
      <c r="E178" s="63" t="s">
        <v>441</v>
      </c>
      <c r="F178" s="63" t="s">
        <v>501</v>
      </c>
      <c r="G178" s="63" t="s">
        <v>510</v>
      </c>
      <c r="H178" s="480">
        <f>7-COUNTIF(AR_SHEET_スキル,"ブラッドパクト")*2</f>
        <v>7</v>
      </c>
      <c r="I178" s="63" t="s">
        <v>93</v>
      </c>
    </row>
    <row r="179" spans="1:9" ht="13.5">
      <c r="A179" s="63" t="s">
        <v>632</v>
      </c>
      <c r="B179" s="63" t="s">
        <v>626</v>
      </c>
      <c r="C179" s="63">
        <v>1</v>
      </c>
      <c r="D179" s="63" t="s">
        <v>477</v>
      </c>
      <c r="E179" s="400" t="s">
        <v>509</v>
      </c>
      <c r="F179" s="63" t="s">
        <v>501</v>
      </c>
      <c r="G179" s="63" t="s">
        <v>510</v>
      </c>
      <c r="H179" s="480">
        <f>8-COUNTIF(AR_SHEET_スキル,"ブラッドパクト")*2</f>
        <v>8</v>
      </c>
      <c r="I179" s="63" t="s">
        <v>93</v>
      </c>
    </row>
    <row r="180" spans="1:9" ht="13.5">
      <c r="A180" s="63" t="s">
        <v>633</v>
      </c>
      <c r="B180" s="63" t="s">
        <v>626</v>
      </c>
      <c r="C180" s="63">
        <v>1</v>
      </c>
      <c r="D180" s="63" t="s">
        <v>477</v>
      </c>
      <c r="E180" s="400" t="s">
        <v>509</v>
      </c>
      <c r="F180" s="63" t="s">
        <v>501</v>
      </c>
      <c r="G180" s="63" t="s">
        <v>510</v>
      </c>
      <c r="H180" s="480">
        <f>7-COUNTIF(AR_SHEET_スキル,"ブラッドパクト")*2</f>
        <v>7</v>
      </c>
      <c r="I180" s="63" t="s">
        <v>93</v>
      </c>
    </row>
    <row r="181" spans="1:9" ht="13.5">
      <c r="A181" s="63" t="s">
        <v>634</v>
      </c>
      <c r="B181" s="63" t="s">
        <v>626</v>
      </c>
      <c r="C181" s="63">
        <v>1</v>
      </c>
      <c r="D181" s="63" t="s">
        <v>477</v>
      </c>
      <c r="E181" s="400" t="s">
        <v>509</v>
      </c>
      <c r="F181" s="63" t="s">
        <v>501</v>
      </c>
      <c r="G181" s="63" t="s">
        <v>510</v>
      </c>
      <c r="H181" s="480">
        <f>9-COUNTIF(AR_SHEET_スキル,"ブラッドパクト")*2</f>
        <v>9</v>
      </c>
      <c r="I181" s="63" t="s">
        <v>93</v>
      </c>
    </row>
    <row r="182" spans="1:9" ht="13.5">
      <c r="A182" s="63" t="s">
        <v>635</v>
      </c>
      <c r="B182" s="63" t="s">
        <v>626</v>
      </c>
      <c r="C182" s="63">
        <v>1</v>
      </c>
      <c r="D182" s="63" t="s">
        <v>477</v>
      </c>
      <c r="E182" s="400" t="s">
        <v>509</v>
      </c>
      <c r="F182" s="63" t="s">
        <v>501</v>
      </c>
      <c r="G182" s="63" t="s">
        <v>510</v>
      </c>
      <c r="H182" s="480">
        <f>8-COUNTIF(AR_SHEET_スキル,"ブラッドパクト")*2</f>
        <v>8</v>
      </c>
      <c r="I182" s="63" t="s">
        <v>93</v>
      </c>
    </row>
    <row r="183" spans="1:9" ht="13.5">
      <c r="A183" s="63" t="s">
        <v>636</v>
      </c>
      <c r="B183" s="63" t="s">
        <v>626</v>
      </c>
      <c r="C183" s="63">
        <v>1</v>
      </c>
      <c r="D183" s="63" t="s">
        <v>477</v>
      </c>
      <c r="E183" s="400" t="s">
        <v>509</v>
      </c>
      <c r="F183" s="63" t="s">
        <v>501</v>
      </c>
      <c r="G183" s="63" t="s">
        <v>510</v>
      </c>
      <c r="H183" s="480">
        <f>8-COUNTIF(AR_SHEET_スキル,"ブラッドパクト")*2</f>
        <v>8</v>
      </c>
      <c r="I183" s="63" t="s">
        <v>93</v>
      </c>
    </row>
    <row r="184" spans="1:9" ht="13.5">
      <c r="A184" s="63" t="s">
        <v>637</v>
      </c>
      <c r="B184" s="63" t="s">
        <v>626</v>
      </c>
      <c r="C184" s="63">
        <v>1</v>
      </c>
      <c r="D184" s="63" t="s">
        <v>477</v>
      </c>
      <c r="E184" s="400" t="s">
        <v>509</v>
      </c>
      <c r="F184" s="63" t="s">
        <v>501</v>
      </c>
      <c r="G184" s="63" t="s">
        <v>510</v>
      </c>
      <c r="H184" s="480">
        <f>7-COUNTIF(AR_SHEET_スキル,"ブラッドパクト")*2</f>
        <v>7</v>
      </c>
      <c r="I184" s="63" t="s">
        <v>93</v>
      </c>
    </row>
    <row r="185" spans="1:9" ht="13.5">
      <c r="A185" s="63" t="s">
        <v>638</v>
      </c>
      <c r="B185" s="63" t="s">
        <v>626</v>
      </c>
      <c r="C185" s="63">
        <v>1</v>
      </c>
      <c r="D185" s="63" t="s">
        <v>477</v>
      </c>
      <c r="E185" s="400" t="s">
        <v>509</v>
      </c>
      <c r="F185" s="63" t="s">
        <v>489</v>
      </c>
      <c r="G185" s="63" t="s">
        <v>510</v>
      </c>
      <c r="H185" s="63">
        <f>4-COUNTIF(AR_SHEET_スキル,"ブラッドパクト")*2</f>
        <v>4</v>
      </c>
      <c r="I185" s="63" t="s">
        <v>93</v>
      </c>
    </row>
    <row r="186" spans="1:9" ht="13.5">
      <c r="A186" s="63" t="s">
        <v>639</v>
      </c>
      <c r="B186" s="63" t="s">
        <v>626</v>
      </c>
      <c r="C186" s="63">
        <v>1</v>
      </c>
      <c r="D186" s="63" t="s">
        <v>477</v>
      </c>
      <c r="E186" s="400" t="s">
        <v>48</v>
      </c>
      <c r="F186" s="63" t="s">
        <v>489</v>
      </c>
      <c r="G186" s="63" t="s">
        <v>504</v>
      </c>
      <c r="H186" s="63">
        <v>5</v>
      </c>
      <c r="I186" s="63" t="s">
        <v>93</v>
      </c>
    </row>
    <row r="187" spans="1:12" s="472" customFormat="1" ht="11.25">
      <c r="A187" s="472" t="s">
        <v>640</v>
      </c>
      <c r="B187" s="472" t="s">
        <v>626</v>
      </c>
      <c r="C187" s="472" t="s">
        <v>411</v>
      </c>
      <c r="D187" s="472" t="s">
        <v>412</v>
      </c>
      <c r="E187" s="472" t="s">
        <v>93</v>
      </c>
      <c r="F187" s="472" t="s">
        <v>413</v>
      </c>
      <c r="G187" s="472" t="s">
        <v>93</v>
      </c>
      <c r="H187" s="472" t="s">
        <v>93</v>
      </c>
      <c r="I187" s="472" t="s">
        <v>93</v>
      </c>
      <c r="J187" s="473"/>
      <c r="L187" s="474"/>
    </row>
    <row r="188" spans="1:9" ht="13.5">
      <c r="A188" s="63" t="s">
        <v>641</v>
      </c>
      <c r="B188" s="63" t="s">
        <v>626</v>
      </c>
      <c r="C188" s="63" t="s">
        <v>411</v>
      </c>
      <c r="D188" s="63" t="s">
        <v>460</v>
      </c>
      <c r="E188" s="63" t="s">
        <v>441</v>
      </c>
      <c r="F188" s="63" t="s">
        <v>413</v>
      </c>
      <c r="G188" s="63" t="s">
        <v>93</v>
      </c>
      <c r="H188" s="63">
        <v>7</v>
      </c>
      <c r="I188" s="63" t="s">
        <v>93</v>
      </c>
    </row>
    <row r="189" spans="1:9" ht="13.5">
      <c r="A189" s="63" t="s">
        <v>642</v>
      </c>
      <c r="B189" s="63" t="s">
        <v>626</v>
      </c>
      <c r="C189" s="63">
        <f>1+COUNTIF(AR_SHEET_装備,"古代竜の牙")</f>
        <v>1</v>
      </c>
      <c r="D189" s="63" t="s">
        <v>477</v>
      </c>
      <c r="E189" s="63" t="s">
        <v>441</v>
      </c>
      <c r="F189" s="63" t="s">
        <v>413</v>
      </c>
      <c r="G189" s="63" t="s">
        <v>93</v>
      </c>
      <c r="H189" s="63" t="s">
        <v>93</v>
      </c>
      <c r="I189" s="63" t="s">
        <v>293</v>
      </c>
    </row>
    <row r="190" spans="1:12" s="472" customFormat="1" ht="11.25">
      <c r="A190" s="472" t="s">
        <v>643</v>
      </c>
      <c r="B190" s="472" t="s">
        <v>626</v>
      </c>
      <c r="C190" s="472" t="s">
        <v>411</v>
      </c>
      <c r="D190" s="472" t="s">
        <v>412</v>
      </c>
      <c r="E190" s="472" t="s">
        <v>93</v>
      </c>
      <c r="F190" s="472" t="s">
        <v>413</v>
      </c>
      <c r="G190" s="472" t="s">
        <v>93</v>
      </c>
      <c r="H190" s="472" t="s">
        <v>93</v>
      </c>
      <c r="I190" s="472" t="s">
        <v>93</v>
      </c>
      <c r="J190" s="473"/>
      <c r="L190" s="474"/>
    </row>
    <row r="191" spans="1:11" ht="13.5">
      <c r="A191" s="469" t="s">
        <v>644</v>
      </c>
      <c r="B191" s="470" t="s">
        <v>292</v>
      </c>
      <c r="C191" s="470" t="s">
        <v>293</v>
      </c>
      <c r="D191" s="470" t="s">
        <v>294</v>
      </c>
      <c r="E191" s="470" t="s">
        <v>176</v>
      </c>
      <c r="F191" s="470" t="s">
        <v>295</v>
      </c>
      <c r="G191" s="470" t="s">
        <v>248</v>
      </c>
      <c r="H191" s="470" t="s">
        <v>296</v>
      </c>
      <c r="I191" s="470" t="s">
        <v>242</v>
      </c>
      <c r="J191" s="471" t="s">
        <v>297</v>
      </c>
      <c r="K191" s="471" t="s">
        <v>409</v>
      </c>
    </row>
    <row r="192" spans="1:9" ht="13.5">
      <c r="A192" s="63" t="s">
        <v>367</v>
      </c>
      <c r="B192" s="63" t="s">
        <v>644</v>
      </c>
      <c r="C192" s="63" t="s">
        <v>411</v>
      </c>
      <c r="D192" s="63" t="s">
        <v>481</v>
      </c>
      <c r="E192" s="63" t="s">
        <v>441</v>
      </c>
      <c r="F192" s="63" t="s">
        <v>413</v>
      </c>
      <c r="G192" s="63" t="s">
        <v>93</v>
      </c>
      <c r="H192" s="63" t="s">
        <v>93</v>
      </c>
      <c r="I192" s="63">
        <v>1</v>
      </c>
    </row>
    <row r="193" spans="1:9" ht="13.5">
      <c r="A193" s="63" t="s">
        <v>645</v>
      </c>
      <c r="B193" s="63" t="s">
        <v>644</v>
      </c>
      <c r="C193" s="63" t="s">
        <v>411</v>
      </c>
      <c r="D193" s="63" t="s">
        <v>477</v>
      </c>
      <c r="E193" s="400" t="s">
        <v>166</v>
      </c>
      <c r="F193" s="63" t="s">
        <v>501</v>
      </c>
      <c r="G193" s="63" t="s">
        <v>497</v>
      </c>
      <c r="H193" s="63">
        <v>4</v>
      </c>
      <c r="I193" s="63" t="s">
        <v>93</v>
      </c>
    </row>
    <row r="194" spans="1:9" ht="13.5">
      <c r="A194" s="63" t="s">
        <v>646</v>
      </c>
      <c r="B194" s="63" t="s">
        <v>644</v>
      </c>
      <c r="C194" s="63" t="s">
        <v>411</v>
      </c>
      <c r="D194" s="63" t="s">
        <v>647</v>
      </c>
      <c r="E194" s="400" t="s">
        <v>93</v>
      </c>
      <c r="F194" s="63" t="s">
        <v>413</v>
      </c>
      <c r="G194" s="63" t="s">
        <v>93</v>
      </c>
      <c r="H194" s="63" t="s">
        <v>93</v>
      </c>
      <c r="I194" s="63" t="s">
        <v>93</v>
      </c>
    </row>
    <row r="195" spans="1:9" ht="13.5">
      <c r="A195" s="63" t="s">
        <v>648</v>
      </c>
      <c r="B195" s="63" t="s">
        <v>644</v>
      </c>
      <c r="C195" s="63" t="s">
        <v>411</v>
      </c>
      <c r="D195" s="63" t="s">
        <v>460</v>
      </c>
      <c r="E195" s="63" t="s">
        <v>441</v>
      </c>
      <c r="F195" s="63" t="s">
        <v>413</v>
      </c>
      <c r="G195" s="63" t="s">
        <v>93</v>
      </c>
      <c r="H195" s="63">
        <v>3</v>
      </c>
      <c r="I195" s="63" t="s">
        <v>93</v>
      </c>
    </row>
    <row r="196" spans="1:12" s="477" customFormat="1" ht="11.25">
      <c r="A196" s="477" t="s">
        <v>649</v>
      </c>
      <c r="B196" s="477" t="s">
        <v>644</v>
      </c>
      <c r="C196" s="477" t="s">
        <v>411</v>
      </c>
      <c r="D196" s="477" t="s">
        <v>412</v>
      </c>
      <c r="E196" s="477" t="s">
        <v>93</v>
      </c>
      <c r="F196" s="477" t="s">
        <v>413</v>
      </c>
      <c r="G196" s="477" t="s">
        <v>93</v>
      </c>
      <c r="H196" s="477" t="s">
        <v>93</v>
      </c>
      <c r="I196" s="477" t="s">
        <v>93</v>
      </c>
      <c r="J196" s="478"/>
      <c r="L196" s="479"/>
    </row>
    <row r="197" spans="1:12" s="477" customFormat="1" ht="11.25">
      <c r="A197" s="477" t="s">
        <v>650</v>
      </c>
      <c r="B197" s="477" t="s">
        <v>644</v>
      </c>
      <c r="C197" s="477" t="s">
        <v>411</v>
      </c>
      <c r="D197" s="477" t="s">
        <v>412</v>
      </c>
      <c r="E197" s="477" t="s">
        <v>93</v>
      </c>
      <c r="F197" s="477" t="s">
        <v>413</v>
      </c>
      <c r="G197" s="477" t="s">
        <v>93</v>
      </c>
      <c r="H197" s="477" t="s">
        <v>93</v>
      </c>
      <c r="I197" s="477" t="s">
        <v>93</v>
      </c>
      <c r="J197" s="478"/>
      <c r="L197" s="479"/>
    </row>
    <row r="198" spans="1:12" s="472" customFormat="1" ht="11.25">
      <c r="A198" s="472" t="s">
        <v>651</v>
      </c>
      <c r="B198" s="472" t="s">
        <v>644</v>
      </c>
      <c r="C198" s="472">
        <v>1</v>
      </c>
      <c r="D198" s="472" t="s">
        <v>412</v>
      </c>
      <c r="E198" s="472" t="s">
        <v>93</v>
      </c>
      <c r="F198" s="472" t="s">
        <v>413</v>
      </c>
      <c r="G198" s="472" t="s">
        <v>93</v>
      </c>
      <c r="H198" s="472" t="s">
        <v>93</v>
      </c>
      <c r="I198" s="472" t="s">
        <v>93</v>
      </c>
      <c r="J198" s="473"/>
      <c r="L198" s="474"/>
    </row>
    <row r="199" spans="1:9" ht="13.5">
      <c r="A199" s="63" t="s">
        <v>652</v>
      </c>
      <c r="B199" s="63" t="s">
        <v>644</v>
      </c>
      <c r="C199" s="63" t="s">
        <v>411</v>
      </c>
      <c r="D199" s="63" t="s">
        <v>477</v>
      </c>
      <c r="E199" s="400" t="s">
        <v>166</v>
      </c>
      <c r="F199" s="63" t="s">
        <v>489</v>
      </c>
      <c r="G199" s="63" t="s">
        <v>497</v>
      </c>
      <c r="H199" s="63">
        <v>9</v>
      </c>
      <c r="I199" s="63" t="s">
        <v>93</v>
      </c>
    </row>
    <row r="200" spans="1:9" ht="13.5">
      <c r="A200" s="63" t="s">
        <v>653</v>
      </c>
      <c r="B200" s="63" t="s">
        <v>644</v>
      </c>
      <c r="C200" s="63" t="s">
        <v>411</v>
      </c>
      <c r="D200" s="63" t="s">
        <v>460</v>
      </c>
      <c r="E200" s="63" t="s">
        <v>441</v>
      </c>
      <c r="F200" s="63" t="s">
        <v>413</v>
      </c>
      <c r="G200" s="63" t="s">
        <v>93</v>
      </c>
      <c r="H200" s="63">
        <v>3</v>
      </c>
      <c r="I200" s="63" t="s">
        <v>93</v>
      </c>
    </row>
    <row r="201" spans="1:10" ht="13.5">
      <c r="A201" s="63" t="s">
        <v>654</v>
      </c>
      <c r="B201" s="63" t="s">
        <v>644</v>
      </c>
      <c r="C201" s="63">
        <v>1</v>
      </c>
      <c r="D201" s="63" t="s">
        <v>477</v>
      </c>
      <c r="E201" s="400" t="s">
        <v>44</v>
      </c>
      <c r="F201" s="63" t="s">
        <v>489</v>
      </c>
      <c r="G201" s="63" t="s">
        <v>490</v>
      </c>
      <c r="H201" s="63">
        <v>0</v>
      </c>
      <c r="I201" s="63" t="s">
        <v>93</v>
      </c>
      <c r="J201" s="63"/>
    </row>
    <row r="202" spans="1:9" ht="13.5">
      <c r="A202" s="63" t="s">
        <v>655</v>
      </c>
      <c r="B202" s="63" t="s">
        <v>644</v>
      </c>
      <c r="C202" s="63">
        <v>1</v>
      </c>
      <c r="D202" s="63" t="s">
        <v>477</v>
      </c>
      <c r="E202" s="400" t="s">
        <v>44</v>
      </c>
      <c r="F202" s="63" t="s">
        <v>489</v>
      </c>
      <c r="G202" s="63" t="s">
        <v>504</v>
      </c>
      <c r="H202" s="63">
        <v>6</v>
      </c>
      <c r="I202" s="63" t="s">
        <v>93</v>
      </c>
    </row>
    <row r="203" spans="1:12" s="472" customFormat="1" ht="11.25">
      <c r="A203" s="472" t="s">
        <v>656</v>
      </c>
      <c r="B203" s="472" t="s">
        <v>644</v>
      </c>
      <c r="C203" s="472" t="s">
        <v>411</v>
      </c>
      <c r="D203" s="472" t="s">
        <v>412</v>
      </c>
      <c r="E203" s="472" t="s">
        <v>93</v>
      </c>
      <c r="F203" s="472" t="s">
        <v>413</v>
      </c>
      <c r="G203" s="472" t="s">
        <v>93</v>
      </c>
      <c r="H203" s="472" t="s">
        <v>93</v>
      </c>
      <c r="I203" s="472" t="s">
        <v>93</v>
      </c>
      <c r="J203" s="473"/>
      <c r="L203" s="474"/>
    </row>
    <row r="204" spans="1:9" ht="13.5">
      <c r="A204" s="63" t="s">
        <v>657</v>
      </c>
      <c r="B204" s="63" t="s">
        <v>644</v>
      </c>
      <c r="C204" s="63">
        <v>1</v>
      </c>
      <c r="D204" s="63" t="s">
        <v>477</v>
      </c>
      <c r="E204" s="400" t="s">
        <v>166</v>
      </c>
      <c r="F204" s="63" t="s">
        <v>489</v>
      </c>
      <c r="G204" s="63" t="s">
        <v>497</v>
      </c>
      <c r="H204" s="63">
        <v>4</v>
      </c>
      <c r="I204" s="63" t="s">
        <v>93</v>
      </c>
    </row>
    <row r="205" spans="1:12" s="472" customFormat="1" ht="11.25">
      <c r="A205" s="472" t="s">
        <v>658</v>
      </c>
      <c r="B205" s="472" t="s">
        <v>644</v>
      </c>
      <c r="C205" s="472">
        <v>1</v>
      </c>
      <c r="D205" s="472" t="s">
        <v>412</v>
      </c>
      <c r="E205" s="472" t="s">
        <v>93</v>
      </c>
      <c r="F205" s="472" t="s">
        <v>413</v>
      </c>
      <c r="G205" s="472" t="s">
        <v>93</v>
      </c>
      <c r="H205" s="472" t="s">
        <v>93</v>
      </c>
      <c r="I205" s="472" t="s">
        <v>93</v>
      </c>
      <c r="J205" s="473"/>
      <c r="L205" s="474"/>
    </row>
    <row r="206" spans="1:9" ht="13.5">
      <c r="A206" s="63" t="s">
        <v>659</v>
      </c>
      <c r="B206" s="63" t="s">
        <v>644</v>
      </c>
      <c r="C206" s="63">
        <v>1</v>
      </c>
      <c r="D206" s="63" t="s">
        <v>460</v>
      </c>
      <c r="E206" s="63" t="s">
        <v>441</v>
      </c>
      <c r="F206" s="63" t="s">
        <v>413</v>
      </c>
      <c r="G206" s="63" t="s">
        <v>93</v>
      </c>
      <c r="H206" s="63">
        <v>3</v>
      </c>
      <c r="I206" s="63" t="s">
        <v>93</v>
      </c>
    </row>
    <row r="207" spans="1:12" s="472" customFormat="1" ht="11.25">
      <c r="A207" s="472" t="s">
        <v>660</v>
      </c>
      <c r="B207" s="472" t="s">
        <v>644</v>
      </c>
      <c r="C207" s="472">
        <v>1</v>
      </c>
      <c r="D207" s="472" t="s">
        <v>412</v>
      </c>
      <c r="E207" s="472" t="s">
        <v>93</v>
      </c>
      <c r="F207" s="472" t="s">
        <v>413</v>
      </c>
      <c r="G207" s="472" t="s">
        <v>93</v>
      </c>
      <c r="H207" s="472" t="s">
        <v>93</v>
      </c>
      <c r="I207" s="472" t="s">
        <v>93</v>
      </c>
      <c r="J207" s="473"/>
      <c r="L207" s="474"/>
    </row>
    <row r="208" spans="1:12" s="472" customFormat="1" ht="11.25">
      <c r="A208" s="472" t="s">
        <v>661</v>
      </c>
      <c r="B208" s="472" t="s">
        <v>644</v>
      </c>
      <c r="C208" s="472">
        <v>1</v>
      </c>
      <c r="D208" s="472" t="s">
        <v>412</v>
      </c>
      <c r="E208" s="472" t="s">
        <v>93</v>
      </c>
      <c r="F208" s="472" t="s">
        <v>413</v>
      </c>
      <c r="G208" s="472" t="s">
        <v>93</v>
      </c>
      <c r="H208" s="472" t="s">
        <v>93</v>
      </c>
      <c r="I208" s="472" t="s">
        <v>93</v>
      </c>
      <c r="J208" s="473"/>
      <c r="L208" s="474"/>
    </row>
    <row r="209" spans="1:12" s="472" customFormat="1" ht="11.25">
      <c r="A209" s="472" t="s">
        <v>662</v>
      </c>
      <c r="B209" s="472" t="s">
        <v>644</v>
      </c>
      <c r="C209" s="472">
        <v>1</v>
      </c>
      <c r="D209" s="472" t="s">
        <v>412</v>
      </c>
      <c r="E209" s="472" t="s">
        <v>93</v>
      </c>
      <c r="F209" s="472" t="s">
        <v>413</v>
      </c>
      <c r="G209" s="472" t="s">
        <v>93</v>
      </c>
      <c r="H209" s="472" t="s">
        <v>93</v>
      </c>
      <c r="I209" s="472" t="s">
        <v>93</v>
      </c>
      <c r="J209" s="473"/>
      <c r="L209" s="474"/>
    </row>
    <row r="210" spans="1:12" s="472" customFormat="1" ht="11.25">
      <c r="A210" s="472" t="s">
        <v>663</v>
      </c>
      <c r="B210" s="472" t="s">
        <v>644</v>
      </c>
      <c r="C210" s="472">
        <v>1</v>
      </c>
      <c r="D210" s="472" t="s">
        <v>412</v>
      </c>
      <c r="E210" s="472" t="s">
        <v>93</v>
      </c>
      <c r="F210" s="472" t="s">
        <v>413</v>
      </c>
      <c r="G210" s="472" t="s">
        <v>93</v>
      </c>
      <c r="H210" s="472" t="s">
        <v>93</v>
      </c>
      <c r="I210" s="472" t="s">
        <v>93</v>
      </c>
      <c r="J210" s="473"/>
      <c r="L210" s="474"/>
    </row>
    <row r="211" spans="1:12" s="472" customFormat="1" ht="11.25">
      <c r="A211" s="472" t="s">
        <v>664</v>
      </c>
      <c r="B211" s="472" t="s">
        <v>644</v>
      </c>
      <c r="C211" s="472">
        <v>1</v>
      </c>
      <c r="D211" s="472" t="s">
        <v>412</v>
      </c>
      <c r="E211" s="472" t="s">
        <v>93</v>
      </c>
      <c r="F211" s="472" t="s">
        <v>413</v>
      </c>
      <c r="G211" s="472" t="s">
        <v>93</v>
      </c>
      <c r="H211" s="472" t="s">
        <v>93</v>
      </c>
      <c r="I211" s="472" t="s">
        <v>93</v>
      </c>
      <c r="J211" s="473"/>
      <c r="L211" s="474"/>
    </row>
    <row r="212" spans="1:12" s="472" customFormat="1" ht="11.25">
      <c r="A212" s="472" t="s">
        <v>665</v>
      </c>
      <c r="B212" s="472" t="s">
        <v>644</v>
      </c>
      <c r="C212" s="472">
        <v>1</v>
      </c>
      <c r="D212" s="472" t="s">
        <v>412</v>
      </c>
      <c r="E212" s="472" t="s">
        <v>93</v>
      </c>
      <c r="F212" s="472" t="s">
        <v>413</v>
      </c>
      <c r="G212" s="472" t="s">
        <v>93</v>
      </c>
      <c r="H212" s="472" t="s">
        <v>93</v>
      </c>
      <c r="I212" s="472" t="s">
        <v>93</v>
      </c>
      <c r="J212" s="473"/>
      <c r="L212" s="474"/>
    </row>
    <row r="213" spans="1:12" s="472" customFormat="1" ht="11.25">
      <c r="A213" s="472" t="s">
        <v>666</v>
      </c>
      <c r="B213" s="472" t="s">
        <v>644</v>
      </c>
      <c r="C213" s="472">
        <v>1</v>
      </c>
      <c r="D213" s="472" t="s">
        <v>412</v>
      </c>
      <c r="E213" s="472" t="s">
        <v>93</v>
      </c>
      <c r="F213" s="472" t="s">
        <v>413</v>
      </c>
      <c r="G213" s="472" t="s">
        <v>93</v>
      </c>
      <c r="H213" s="472" t="s">
        <v>93</v>
      </c>
      <c r="I213" s="472" t="s">
        <v>93</v>
      </c>
      <c r="J213" s="473"/>
      <c r="L213" s="474"/>
    </row>
    <row r="214" spans="1:12" s="472" customFormat="1" ht="11.25">
      <c r="A214" s="472" t="s">
        <v>667</v>
      </c>
      <c r="B214" s="472" t="s">
        <v>644</v>
      </c>
      <c r="C214" s="472">
        <v>1</v>
      </c>
      <c r="D214" s="472" t="s">
        <v>412</v>
      </c>
      <c r="E214" s="472" t="s">
        <v>93</v>
      </c>
      <c r="F214" s="472" t="s">
        <v>413</v>
      </c>
      <c r="G214" s="472" t="s">
        <v>93</v>
      </c>
      <c r="H214" s="472" t="s">
        <v>93</v>
      </c>
      <c r="I214" s="472" t="s">
        <v>93</v>
      </c>
      <c r="J214" s="473"/>
      <c r="L214" s="474"/>
    </row>
    <row r="215" spans="1:12" s="472" customFormat="1" ht="11.25">
      <c r="A215" s="472" t="s">
        <v>668</v>
      </c>
      <c r="B215" s="472" t="s">
        <v>644</v>
      </c>
      <c r="C215" s="472">
        <v>1</v>
      </c>
      <c r="D215" s="472" t="s">
        <v>412</v>
      </c>
      <c r="E215" s="472" t="s">
        <v>93</v>
      </c>
      <c r="F215" s="472" t="s">
        <v>413</v>
      </c>
      <c r="G215" s="472" t="s">
        <v>93</v>
      </c>
      <c r="H215" s="472" t="s">
        <v>93</v>
      </c>
      <c r="I215" s="472" t="s">
        <v>93</v>
      </c>
      <c r="J215" s="473"/>
      <c r="L215" s="474"/>
    </row>
    <row r="216" spans="1:12" s="472" customFormat="1" ht="11.25">
      <c r="A216" s="472" t="s">
        <v>669</v>
      </c>
      <c r="B216" s="472" t="s">
        <v>644</v>
      </c>
      <c r="C216" s="472">
        <v>1</v>
      </c>
      <c r="D216" s="472" t="s">
        <v>412</v>
      </c>
      <c r="E216" s="472" t="s">
        <v>93</v>
      </c>
      <c r="F216" s="472" t="s">
        <v>413</v>
      </c>
      <c r="G216" s="472" t="s">
        <v>93</v>
      </c>
      <c r="H216" s="472" t="s">
        <v>93</v>
      </c>
      <c r="I216" s="472" t="s">
        <v>93</v>
      </c>
      <c r="J216" s="473"/>
      <c r="L216" s="474"/>
    </row>
    <row r="217" spans="1:12" s="472" customFormat="1" ht="11.25">
      <c r="A217" s="472" t="s">
        <v>670</v>
      </c>
      <c r="B217" s="472" t="s">
        <v>644</v>
      </c>
      <c r="C217" s="472">
        <v>1</v>
      </c>
      <c r="D217" s="472" t="s">
        <v>412</v>
      </c>
      <c r="E217" s="472" t="s">
        <v>93</v>
      </c>
      <c r="F217" s="472" t="s">
        <v>413</v>
      </c>
      <c r="G217" s="472" t="s">
        <v>93</v>
      </c>
      <c r="H217" s="472" t="s">
        <v>93</v>
      </c>
      <c r="I217" s="472" t="s">
        <v>93</v>
      </c>
      <c r="J217" s="473"/>
      <c r="L217" s="474"/>
    </row>
    <row r="218" spans="1:12" s="472" customFormat="1" ht="11.25">
      <c r="A218" s="472" t="s">
        <v>671</v>
      </c>
      <c r="B218" s="472" t="s">
        <v>644</v>
      </c>
      <c r="C218" s="472">
        <v>1</v>
      </c>
      <c r="D218" s="472" t="s">
        <v>412</v>
      </c>
      <c r="E218" s="472" t="s">
        <v>93</v>
      </c>
      <c r="F218" s="472" t="s">
        <v>413</v>
      </c>
      <c r="G218" s="472" t="s">
        <v>93</v>
      </c>
      <c r="H218" s="472" t="s">
        <v>93</v>
      </c>
      <c r="I218" s="472" t="s">
        <v>93</v>
      </c>
      <c r="J218" s="473"/>
      <c r="L218" s="474"/>
    </row>
    <row r="219" spans="1:12" s="472" customFormat="1" ht="11.25">
      <c r="A219" s="472" t="s">
        <v>672</v>
      </c>
      <c r="B219" s="472" t="s">
        <v>644</v>
      </c>
      <c r="C219" s="472">
        <v>1</v>
      </c>
      <c r="D219" s="472" t="s">
        <v>412</v>
      </c>
      <c r="E219" s="472" t="s">
        <v>93</v>
      </c>
      <c r="F219" s="472" t="s">
        <v>413</v>
      </c>
      <c r="G219" s="472" t="s">
        <v>93</v>
      </c>
      <c r="H219" s="472" t="s">
        <v>93</v>
      </c>
      <c r="I219" s="472" t="s">
        <v>93</v>
      </c>
      <c r="J219" s="473"/>
      <c r="L219" s="474"/>
    </row>
    <row r="220" spans="1:12" s="472" customFormat="1" ht="11.25">
      <c r="A220" s="472" t="s">
        <v>673</v>
      </c>
      <c r="B220" s="472" t="s">
        <v>644</v>
      </c>
      <c r="C220" s="472">
        <v>1</v>
      </c>
      <c r="D220" s="472" t="s">
        <v>412</v>
      </c>
      <c r="E220" s="472" t="s">
        <v>93</v>
      </c>
      <c r="F220" s="472" t="s">
        <v>413</v>
      </c>
      <c r="G220" s="472" t="s">
        <v>93</v>
      </c>
      <c r="H220" s="472" t="s">
        <v>93</v>
      </c>
      <c r="I220" s="472" t="s">
        <v>93</v>
      </c>
      <c r="J220" s="473"/>
      <c r="L220" s="474"/>
    </row>
    <row r="221" spans="1:12" s="472" customFormat="1" ht="11.25">
      <c r="A221" s="472" t="s">
        <v>674</v>
      </c>
      <c r="B221" s="472" t="s">
        <v>644</v>
      </c>
      <c r="C221" s="472">
        <v>1</v>
      </c>
      <c r="D221" s="472" t="s">
        <v>412</v>
      </c>
      <c r="E221" s="472" t="s">
        <v>93</v>
      </c>
      <c r="F221" s="472" t="s">
        <v>413</v>
      </c>
      <c r="G221" s="472" t="s">
        <v>93</v>
      </c>
      <c r="H221" s="472" t="s">
        <v>93</v>
      </c>
      <c r="I221" s="472" t="s">
        <v>93</v>
      </c>
      <c r="J221" s="473"/>
      <c r="L221" s="474"/>
    </row>
    <row r="222" spans="1:11" ht="13.5">
      <c r="A222" s="469" t="s">
        <v>675</v>
      </c>
      <c r="B222" s="470" t="s">
        <v>292</v>
      </c>
      <c r="C222" s="470" t="s">
        <v>293</v>
      </c>
      <c r="D222" s="470" t="s">
        <v>294</v>
      </c>
      <c r="E222" s="470" t="s">
        <v>176</v>
      </c>
      <c r="F222" s="470" t="s">
        <v>295</v>
      </c>
      <c r="G222" s="470" t="s">
        <v>248</v>
      </c>
      <c r="H222" s="470" t="s">
        <v>296</v>
      </c>
      <c r="I222" s="470" t="s">
        <v>242</v>
      </c>
      <c r="J222" s="471" t="s">
        <v>297</v>
      </c>
      <c r="K222" s="471" t="s">
        <v>409</v>
      </c>
    </row>
    <row r="223" spans="1:9" ht="13.5">
      <c r="A223" s="63" t="s">
        <v>369</v>
      </c>
      <c r="B223" s="63" t="s">
        <v>675</v>
      </c>
      <c r="C223" s="63" t="s">
        <v>411</v>
      </c>
      <c r="D223" s="63" t="s">
        <v>481</v>
      </c>
      <c r="E223" s="63" t="s">
        <v>441</v>
      </c>
      <c r="F223" s="63" t="s">
        <v>489</v>
      </c>
      <c r="G223" s="63" t="s">
        <v>510</v>
      </c>
      <c r="H223" s="63" t="s">
        <v>93</v>
      </c>
      <c r="I223" s="63">
        <v>1</v>
      </c>
    </row>
    <row r="224" spans="1:9" ht="13.5">
      <c r="A224" s="63" t="s">
        <v>676</v>
      </c>
      <c r="B224" s="63" t="s">
        <v>675</v>
      </c>
      <c r="C224" s="63">
        <v>1</v>
      </c>
      <c r="D224" s="63" t="s">
        <v>477</v>
      </c>
      <c r="E224" s="63" t="s">
        <v>677</v>
      </c>
      <c r="F224" s="63" t="s">
        <v>678</v>
      </c>
      <c r="G224" s="63" t="s">
        <v>510</v>
      </c>
      <c r="H224" s="63">
        <v>5</v>
      </c>
      <c r="I224" s="63" t="s">
        <v>93</v>
      </c>
    </row>
    <row r="225" spans="1:9" ht="13.5">
      <c r="A225" s="63" t="s">
        <v>679</v>
      </c>
      <c r="B225" s="63" t="s">
        <v>675</v>
      </c>
      <c r="C225" s="63" t="s">
        <v>411</v>
      </c>
      <c r="D225" s="63" t="s">
        <v>532</v>
      </c>
      <c r="E225" s="63" t="s">
        <v>677</v>
      </c>
      <c r="F225" s="63" t="s">
        <v>489</v>
      </c>
      <c r="G225" s="63" t="s">
        <v>510</v>
      </c>
      <c r="H225" s="63">
        <v>4</v>
      </c>
      <c r="I225" s="63" t="s">
        <v>93</v>
      </c>
    </row>
    <row r="226" spans="1:12" s="477" customFormat="1" ht="11.25">
      <c r="A226" s="477" t="s">
        <v>680</v>
      </c>
      <c r="B226" s="477" t="s">
        <v>675</v>
      </c>
      <c r="C226" s="477" t="s">
        <v>411</v>
      </c>
      <c r="D226" s="477" t="s">
        <v>412</v>
      </c>
      <c r="E226" s="477" t="s">
        <v>93</v>
      </c>
      <c r="F226" s="477" t="s">
        <v>413</v>
      </c>
      <c r="G226" s="477" t="s">
        <v>93</v>
      </c>
      <c r="H226" s="477" t="s">
        <v>93</v>
      </c>
      <c r="I226" s="477" t="s">
        <v>93</v>
      </c>
      <c r="J226" s="478"/>
      <c r="L226" s="479"/>
    </row>
    <row r="227" spans="1:9" ht="13.5">
      <c r="A227" s="63" t="s">
        <v>681</v>
      </c>
      <c r="B227" s="63" t="s">
        <v>675</v>
      </c>
      <c r="C227" s="63">
        <v>1</v>
      </c>
      <c r="D227" s="63" t="s">
        <v>477</v>
      </c>
      <c r="E227" s="400" t="s">
        <v>46</v>
      </c>
      <c r="F227" s="63" t="s">
        <v>413</v>
      </c>
      <c r="G227" s="63" t="s">
        <v>93</v>
      </c>
      <c r="H227" s="63" t="s">
        <v>93</v>
      </c>
      <c r="I227" s="63" t="s">
        <v>93</v>
      </c>
    </row>
    <row r="228" spans="1:9" ht="13.5">
      <c r="A228" s="63" t="s">
        <v>682</v>
      </c>
      <c r="B228" s="63" t="s">
        <v>675</v>
      </c>
      <c r="C228" s="63" t="s">
        <v>411</v>
      </c>
      <c r="D228" s="63" t="s">
        <v>477</v>
      </c>
      <c r="E228" s="63" t="s">
        <v>677</v>
      </c>
      <c r="F228" s="63" t="s">
        <v>489</v>
      </c>
      <c r="G228" s="63" t="s">
        <v>510</v>
      </c>
      <c r="H228" s="63">
        <v>5</v>
      </c>
      <c r="I228" s="63" t="s">
        <v>683</v>
      </c>
    </row>
    <row r="229" spans="1:12" s="472" customFormat="1" ht="11.25">
      <c r="A229" s="472" t="s">
        <v>684</v>
      </c>
      <c r="B229" s="472" t="s">
        <v>675</v>
      </c>
      <c r="C229" s="472" t="s">
        <v>411</v>
      </c>
      <c r="D229" s="472" t="s">
        <v>412</v>
      </c>
      <c r="E229" s="472" t="s">
        <v>93</v>
      </c>
      <c r="F229" s="472" t="s">
        <v>413</v>
      </c>
      <c r="G229" s="472" t="s">
        <v>93</v>
      </c>
      <c r="H229" s="472" t="s">
        <v>93</v>
      </c>
      <c r="I229" s="472" t="s">
        <v>93</v>
      </c>
      <c r="J229" s="473"/>
      <c r="L229" s="474"/>
    </row>
    <row r="230" spans="1:12" s="477" customFormat="1" ht="11.25">
      <c r="A230" s="477" t="s">
        <v>685</v>
      </c>
      <c r="B230" s="477" t="s">
        <v>675</v>
      </c>
      <c r="C230" s="477">
        <v>1</v>
      </c>
      <c r="D230" s="477" t="s">
        <v>412</v>
      </c>
      <c r="E230" s="477" t="s">
        <v>93</v>
      </c>
      <c r="F230" s="477" t="s">
        <v>413</v>
      </c>
      <c r="G230" s="477" t="s">
        <v>93</v>
      </c>
      <c r="H230" s="477" t="s">
        <v>93</v>
      </c>
      <c r="I230" s="477" t="s">
        <v>93</v>
      </c>
      <c r="J230" s="478"/>
      <c r="L230" s="479"/>
    </row>
    <row r="231" spans="1:9" ht="13.5">
      <c r="A231" s="63" t="s">
        <v>686</v>
      </c>
      <c r="B231" s="63" t="s">
        <v>675</v>
      </c>
      <c r="C231" s="63">
        <v>1</v>
      </c>
      <c r="D231" s="63" t="s">
        <v>477</v>
      </c>
      <c r="E231" s="63" t="s">
        <v>677</v>
      </c>
      <c r="F231" s="63" t="s">
        <v>678</v>
      </c>
      <c r="G231" s="63" t="s">
        <v>510</v>
      </c>
      <c r="H231" s="63">
        <v>4</v>
      </c>
      <c r="I231" s="63" t="s">
        <v>93</v>
      </c>
    </row>
    <row r="232" spans="1:9" ht="13.5">
      <c r="A232" s="63" t="s">
        <v>687</v>
      </c>
      <c r="B232" s="63" t="s">
        <v>675</v>
      </c>
      <c r="C232" s="63" t="s">
        <v>411</v>
      </c>
      <c r="D232" s="63" t="s">
        <v>503</v>
      </c>
      <c r="E232" s="63" t="s">
        <v>441</v>
      </c>
      <c r="F232" s="63" t="s">
        <v>489</v>
      </c>
      <c r="G232" s="63" t="s">
        <v>510</v>
      </c>
      <c r="H232" s="63" t="s">
        <v>93</v>
      </c>
      <c r="I232" s="63">
        <v>1</v>
      </c>
    </row>
    <row r="233" spans="1:9" ht="13.5">
      <c r="A233" s="63" t="s">
        <v>688</v>
      </c>
      <c r="B233" s="63" t="s">
        <v>675</v>
      </c>
      <c r="C233" s="63">
        <v>1</v>
      </c>
      <c r="D233" s="63" t="s">
        <v>477</v>
      </c>
      <c r="E233" s="63" t="s">
        <v>677</v>
      </c>
      <c r="F233" s="63" t="s">
        <v>678</v>
      </c>
      <c r="G233" s="63" t="s">
        <v>510</v>
      </c>
      <c r="H233" s="63">
        <v>4</v>
      </c>
      <c r="I233" s="63" t="s">
        <v>93</v>
      </c>
    </row>
    <row r="234" spans="1:9" ht="13.5">
      <c r="A234" s="63" t="s">
        <v>689</v>
      </c>
      <c r="B234" s="63" t="s">
        <v>675</v>
      </c>
      <c r="C234" s="63">
        <v>1</v>
      </c>
      <c r="D234" s="63" t="s">
        <v>477</v>
      </c>
      <c r="E234" s="63" t="s">
        <v>677</v>
      </c>
      <c r="F234" s="63" t="s">
        <v>678</v>
      </c>
      <c r="G234" s="63" t="s">
        <v>510</v>
      </c>
      <c r="H234" s="63">
        <v>5</v>
      </c>
      <c r="I234" s="63" t="s">
        <v>93</v>
      </c>
    </row>
    <row r="235" spans="1:9" ht="13.5">
      <c r="A235" s="63" t="s">
        <v>690</v>
      </c>
      <c r="B235" s="63" t="s">
        <v>675</v>
      </c>
      <c r="C235" s="63" t="s">
        <v>411</v>
      </c>
      <c r="D235" s="63" t="s">
        <v>477</v>
      </c>
      <c r="E235" s="63" t="s">
        <v>677</v>
      </c>
      <c r="F235" s="63" t="s">
        <v>489</v>
      </c>
      <c r="G235" s="63" t="s">
        <v>510</v>
      </c>
      <c r="H235" s="63">
        <v>8</v>
      </c>
      <c r="I235" s="63" t="s">
        <v>93</v>
      </c>
    </row>
    <row r="236" spans="1:9" ht="13.5">
      <c r="A236" s="63" t="s">
        <v>691</v>
      </c>
      <c r="B236" s="63" t="s">
        <v>675</v>
      </c>
      <c r="C236" s="63">
        <v>1</v>
      </c>
      <c r="D236" s="63" t="s">
        <v>477</v>
      </c>
      <c r="E236" s="63" t="s">
        <v>677</v>
      </c>
      <c r="F236" s="63" t="s">
        <v>678</v>
      </c>
      <c r="G236" s="63" t="s">
        <v>510</v>
      </c>
      <c r="H236" s="63">
        <v>5</v>
      </c>
      <c r="I236" s="63" t="s">
        <v>93</v>
      </c>
    </row>
    <row r="237" spans="1:9" ht="13.5">
      <c r="A237" s="63" t="s">
        <v>692</v>
      </c>
      <c r="B237" s="63" t="s">
        <v>675</v>
      </c>
      <c r="C237" s="63">
        <v>1</v>
      </c>
      <c r="D237" s="63" t="s">
        <v>477</v>
      </c>
      <c r="E237" s="63" t="s">
        <v>677</v>
      </c>
      <c r="F237" s="63" t="s">
        <v>678</v>
      </c>
      <c r="G237" s="63" t="s">
        <v>510</v>
      </c>
      <c r="H237" s="63">
        <v>5</v>
      </c>
      <c r="I237" s="63" t="s">
        <v>93</v>
      </c>
    </row>
    <row r="238" spans="1:9" ht="13.5">
      <c r="A238" s="63" t="s">
        <v>693</v>
      </c>
      <c r="B238" s="63" t="s">
        <v>675</v>
      </c>
      <c r="C238" s="63">
        <v>1</v>
      </c>
      <c r="D238" s="63" t="s">
        <v>477</v>
      </c>
      <c r="E238" s="63" t="s">
        <v>677</v>
      </c>
      <c r="F238" s="63" t="s">
        <v>489</v>
      </c>
      <c r="G238" s="63" t="s">
        <v>510</v>
      </c>
      <c r="H238" s="63">
        <v>10</v>
      </c>
      <c r="I238" s="63" t="s">
        <v>93</v>
      </c>
    </row>
    <row r="239" spans="1:9" ht="13.5">
      <c r="A239" s="63" t="s">
        <v>694</v>
      </c>
      <c r="B239" s="63" t="s">
        <v>675</v>
      </c>
      <c r="C239" s="63">
        <v>1</v>
      </c>
      <c r="D239" s="63" t="s">
        <v>477</v>
      </c>
      <c r="E239" s="63" t="s">
        <v>677</v>
      </c>
      <c r="F239" s="63" t="s">
        <v>489</v>
      </c>
      <c r="G239" s="63" t="s">
        <v>510</v>
      </c>
      <c r="H239" s="63">
        <v>10</v>
      </c>
      <c r="I239" s="63" t="s">
        <v>293</v>
      </c>
    </row>
    <row r="240" spans="1:11" ht="13.5">
      <c r="A240" s="469" t="s">
        <v>695</v>
      </c>
      <c r="B240" s="470" t="s">
        <v>292</v>
      </c>
      <c r="C240" s="470" t="s">
        <v>293</v>
      </c>
      <c r="D240" s="470" t="s">
        <v>294</v>
      </c>
      <c r="E240" s="470" t="s">
        <v>176</v>
      </c>
      <c r="F240" s="470" t="s">
        <v>295</v>
      </c>
      <c r="G240" s="470" t="s">
        <v>248</v>
      </c>
      <c r="H240" s="470" t="s">
        <v>296</v>
      </c>
      <c r="I240" s="470" t="s">
        <v>242</v>
      </c>
      <c r="J240" s="471" t="s">
        <v>297</v>
      </c>
      <c r="K240" s="471" t="s">
        <v>409</v>
      </c>
    </row>
    <row r="241" spans="1:12" s="477" customFormat="1" ht="11.25">
      <c r="A241" s="477" t="s">
        <v>371</v>
      </c>
      <c r="B241" s="477" t="s">
        <v>695</v>
      </c>
      <c r="C241" s="477" t="s">
        <v>411</v>
      </c>
      <c r="D241" s="477" t="s">
        <v>412</v>
      </c>
      <c r="E241" s="477" t="s">
        <v>93</v>
      </c>
      <c r="F241" s="477" t="s">
        <v>413</v>
      </c>
      <c r="G241" s="477" t="s">
        <v>93</v>
      </c>
      <c r="H241" s="477" t="s">
        <v>93</v>
      </c>
      <c r="I241" s="477" t="s">
        <v>93</v>
      </c>
      <c r="J241" s="478"/>
      <c r="L241" s="479"/>
    </row>
    <row r="242" spans="1:12" s="472" customFormat="1" ht="11.25">
      <c r="A242" s="472" t="s">
        <v>696</v>
      </c>
      <c r="B242" s="472" t="s">
        <v>695</v>
      </c>
      <c r="C242" s="472" t="s">
        <v>411</v>
      </c>
      <c r="D242" s="472" t="s">
        <v>412</v>
      </c>
      <c r="E242" s="472" t="s">
        <v>93</v>
      </c>
      <c r="F242" s="472" t="s">
        <v>413</v>
      </c>
      <c r="G242" s="472" t="s">
        <v>93</v>
      </c>
      <c r="H242" s="472" t="s">
        <v>93</v>
      </c>
      <c r="I242" s="472" t="s">
        <v>93</v>
      </c>
      <c r="J242" s="473"/>
      <c r="L242" s="474"/>
    </row>
    <row r="243" spans="1:12" s="472" customFormat="1" ht="11.25">
      <c r="A243" s="472" t="s">
        <v>697</v>
      </c>
      <c r="B243" s="472" t="s">
        <v>695</v>
      </c>
      <c r="C243" s="472">
        <v>1</v>
      </c>
      <c r="D243" s="472" t="s">
        <v>412</v>
      </c>
      <c r="E243" s="472" t="s">
        <v>93</v>
      </c>
      <c r="F243" s="472" t="s">
        <v>413</v>
      </c>
      <c r="G243" s="472" t="s">
        <v>93</v>
      </c>
      <c r="H243" s="472" t="s">
        <v>93</v>
      </c>
      <c r="I243" s="472" t="s">
        <v>93</v>
      </c>
      <c r="J243" s="473"/>
      <c r="L243" s="474"/>
    </row>
    <row r="244" spans="1:9" ht="13.5">
      <c r="A244" s="63" t="s">
        <v>698</v>
      </c>
      <c r="B244" s="63" t="s">
        <v>695</v>
      </c>
      <c r="C244" s="63">
        <v>1</v>
      </c>
      <c r="D244" s="63" t="s">
        <v>460</v>
      </c>
      <c r="E244" s="63" t="s">
        <v>441</v>
      </c>
      <c r="F244" s="63" t="s">
        <v>428</v>
      </c>
      <c r="G244" s="63" t="s">
        <v>93</v>
      </c>
      <c r="H244" s="63">
        <v>7</v>
      </c>
      <c r="I244" s="63" t="s">
        <v>93</v>
      </c>
    </row>
    <row r="245" spans="1:9" ht="13.5">
      <c r="A245" s="63" t="s">
        <v>699</v>
      </c>
      <c r="B245" s="63" t="s">
        <v>695</v>
      </c>
      <c r="C245" s="63">
        <v>1</v>
      </c>
      <c r="D245" s="63" t="s">
        <v>477</v>
      </c>
      <c r="E245" s="400" t="s">
        <v>700</v>
      </c>
      <c r="F245" s="63" t="s">
        <v>428</v>
      </c>
      <c r="G245" s="63" t="s">
        <v>93</v>
      </c>
      <c r="H245" s="63">
        <v>2</v>
      </c>
      <c r="I245" s="63" t="s">
        <v>93</v>
      </c>
    </row>
    <row r="246" spans="1:12" s="472" customFormat="1" ht="11.25">
      <c r="A246" s="472" t="s">
        <v>701</v>
      </c>
      <c r="B246" s="472" t="s">
        <v>695</v>
      </c>
      <c r="C246" s="472" t="s">
        <v>411</v>
      </c>
      <c r="D246" s="472" t="s">
        <v>412</v>
      </c>
      <c r="E246" s="472" t="s">
        <v>93</v>
      </c>
      <c r="F246" s="472" t="s">
        <v>413</v>
      </c>
      <c r="G246" s="472" t="s">
        <v>93</v>
      </c>
      <c r="H246" s="472" t="s">
        <v>93</v>
      </c>
      <c r="I246" s="472" t="s">
        <v>93</v>
      </c>
      <c r="J246" s="473"/>
      <c r="L246" s="474"/>
    </row>
    <row r="247" spans="1:12" s="477" customFormat="1" ht="11.25">
      <c r="A247" s="477" t="s">
        <v>702</v>
      </c>
      <c r="B247" s="477" t="s">
        <v>695</v>
      </c>
      <c r="C247" s="477">
        <v>1</v>
      </c>
      <c r="D247" s="477" t="s">
        <v>412</v>
      </c>
      <c r="E247" s="477" t="s">
        <v>93</v>
      </c>
      <c r="F247" s="477" t="s">
        <v>413</v>
      </c>
      <c r="G247" s="477" t="s">
        <v>93</v>
      </c>
      <c r="H247" s="477" t="s">
        <v>93</v>
      </c>
      <c r="I247" s="477" t="s">
        <v>93</v>
      </c>
      <c r="J247" s="478"/>
      <c r="L247" s="479"/>
    </row>
    <row r="248" spans="1:12" s="472" customFormat="1" ht="11.25">
      <c r="A248" s="472" t="s">
        <v>703</v>
      </c>
      <c r="B248" s="472" t="s">
        <v>695</v>
      </c>
      <c r="C248" s="472" t="s">
        <v>411</v>
      </c>
      <c r="D248" s="472" t="s">
        <v>412</v>
      </c>
      <c r="E248" s="472" t="s">
        <v>93</v>
      </c>
      <c r="F248" s="472" t="s">
        <v>413</v>
      </c>
      <c r="G248" s="472" t="s">
        <v>93</v>
      </c>
      <c r="H248" s="472" t="s">
        <v>93</v>
      </c>
      <c r="I248" s="472" t="s">
        <v>93</v>
      </c>
      <c r="J248" s="473"/>
      <c r="L248" s="474"/>
    </row>
    <row r="249" spans="1:9" ht="13.5">
      <c r="A249" s="63" t="s">
        <v>704</v>
      </c>
      <c r="B249" s="63" t="s">
        <v>695</v>
      </c>
      <c r="C249" s="63" t="s">
        <v>411</v>
      </c>
      <c r="D249" s="63" t="s">
        <v>460</v>
      </c>
      <c r="E249" s="63" t="s">
        <v>441</v>
      </c>
      <c r="F249" s="63" t="s">
        <v>413</v>
      </c>
      <c r="G249" s="63" t="s">
        <v>93</v>
      </c>
      <c r="H249" s="63">
        <v>5</v>
      </c>
      <c r="I249" s="63" t="s">
        <v>93</v>
      </c>
    </row>
    <row r="250" spans="1:9" ht="13.5">
      <c r="A250" s="63" t="s">
        <v>705</v>
      </c>
      <c r="B250" s="63" t="s">
        <v>695</v>
      </c>
      <c r="C250" s="63">
        <v>1</v>
      </c>
      <c r="D250" s="63" t="s">
        <v>477</v>
      </c>
      <c r="E250" s="400" t="s">
        <v>700</v>
      </c>
      <c r="F250" s="63" t="s">
        <v>678</v>
      </c>
      <c r="G250" s="63" t="s">
        <v>510</v>
      </c>
      <c r="H250" s="63">
        <v>7</v>
      </c>
      <c r="I250" s="63" t="s">
        <v>93</v>
      </c>
    </row>
    <row r="251" spans="1:9" ht="13.5">
      <c r="A251" s="63" t="s">
        <v>706</v>
      </c>
      <c r="B251" s="63" t="s">
        <v>695</v>
      </c>
      <c r="C251" s="63">
        <v>1</v>
      </c>
      <c r="D251" s="63" t="s">
        <v>477</v>
      </c>
      <c r="E251" s="400" t="s">
        <v>700</v>
      </c>
      <c r="F251" s="63" t="s">
        <v>678</v>
      </c>
      <c r="G251" s="63" t="s">
        <v>510</v>
      </c>
      <c r="H251" s="63">
        <v>8</v>
      </c>
      <c r="I251" s="63" t="s">
        <v>93</v>
      </c>
    </row>
    <row r="252" spans="1:9" ht="13.5">
      <c r="A252" s="63" t="s">
        <v>707</v>
      </c>
      <c r="B252" s="63" t="s">
        <v>695</v>
      </c>
      <c r="C252" s="63">
        <v>1</v>
      </c>
      <c r="D252" s="63" t="s">
        <v>477</v>
      </c>
      <c r="E252" s="400" t="s">
        <v>700</v>
      </c>
      <c r="F252" s="63" t="s">
        <v>678</v>
      </c>
      <c r="G252" s="63" t="s">
        <v>510</v>
      </c>
      <c r="H252" s="63">
        <v>7</v>
      </c>
      <c r="I252" s="63" t="s">
        <v>93</v>
      </c>
    </row>
    <row r="253" spans="1:9" ht="13.5">
      <c r="A253" s="63" t="s">
        <v>708</v>
      </c>
      <c r="B253" s="63" t="s">
        <v>695</v>
      </c>
      <c r="C253" s="63" t="s">
        <v>411</v>
      </c>
      <c r="D253" s="63" t="s">
        <v>477</v>
      </c>
      <c r="E253" s="63" t="s">
        <v>441</v>
      </c>
      <c r="F253" s="63" t="s">
        <v>489</v>
      </c>
      <c r="G253" s="63" t="s">
        <v>510</v>
      </c>
      <c r="H253" s="63">
        <v>3</v>
      </c>
      <c r="I253" s="63" t="s">
        <v>93</v>
      </c>
    </row>
    <row r="254" spans="1:12" s="472" customFormat="1" ht="11.25">
      <c r="A254" s="472" t="s">
        <v>709</v>
      </c>
      <c r="B254" s="472" t="s">
        <v>695</v>
      </c>
      <c r="C254" s="472">
        <v>1</v>
      </c>
      <c r="D254" s="472" t="s">
        <v>412</v>
      </c>
      <c r="E254" s="472" t="s">
        <v>93</v>
      </c>
      <c r="F254" s="472" t="s">
        <v>413</v>
      </c>
      <c r="G254" s="472" t="s">
        <v>93</v>
      </c>
      <c r="H254" s="472" t="s">
        <v>93</v>
      </c>
      <c r="I254" s="472" t="s">
        <v>93</v>
      </c>
      <c r="J254" s="473"/>
      <c r="L254" s="474"/>
    </row>
    <row r="255" spans="1:12" s="472" customFormat="1" ht="11.25">
      <c r="A255" s="472" t="s">
        <v>710</v>
      </c>
      <c r="B255" s="472" t="s">
        <v>695</v>
      </c>
      <c r="C255" s="472" t="s">
        <v>411</v>
      </c>
      <c r="D255" s="472" t="s">
        <v>412</v>
      </c>
      <c r="E255" s="472" t="s">
        <v>93</v>
      </c>
      <c r="F255" s="472" t="s">
        <v>413</v>
      </c>
      <c r="G255" s="472" t="s">
        <v>93</v>
      </c>
      <c r="H255" s="472" t="s">
        <v>93</v>
      </c>
      <c r="I255" s="472" t="s">
        <v>93</v>
      </c>
      <c r="J255" s="473"/>
      <c r="L255" s="474"/>
    </row>
    <row r="256" spans="1:12" s="472" customFormat="1" ht="11.25">
      <c r="A256" s="472" t="s">
        <v>711</v>
      </c>
      <c r="B256" s="472" t="s">
        <v>695</v>
      </c>
      <c r="C256" s="472">
        <v>1</v>
      </c>
      <c r="D256" s="472" t="s">
        <v>412</v>
      </c>
      <c r="E256" s="472" t="s">
        <v>93</v>
      </c>
      <c r="F256" s="472" t="s">
        <v>413</v>
      </c>
      <c r="G256" s="472" t="s">
        <v>93</v>
      </c>
      <c r="H256" s="472" t="s">
        <v>93</v>
      </c>
      <c r="I256" s="472" t="s">
        <v>93</v>
      </c>
      <c r="J256" s="473"/>
      <c r="L256" s="474"/>
    </row>
    <row r="257" spans="1:9" ht="13.5">
      <c r="A257" s="63" t="s">
        <v>712</v>
      </c>
      <c r="B257" s="63" t="s">
        <v>695</v>
      </c>
      <c r="C257" s="63" t="s">
        <v>411</v>
      </c>
      <c r="D257" s="63" t="s">
        <v>477</v>
      </c>
      <c r="E257" s="63" t="s">
        <v>441</v>
      </c>
      <c r="F257" s="63" t="s">
        <v>501</v>
      </c>
      <c r="G257" s="63" t="s">
        <v>490</v>
      </c>
      <c r="H257" s="63">
        <v>6</v>
      </c>
      <c r="I257" s="63" t="s">
        <v>93</v>
      </c>
    </row>
    <row r="258" spans="1:11" ht="13.5">
      <c r="A258" s="469" t="s">
        <v>713</v>
      </c>
      <c r="B258" s="470" t="s">
        <v>292</v>
      </c>
      <c r="C258" s="470" t="s">
        <v>293</v>
      </c>
      <c r="D258" s="470" t="s">
        <v>294</v>
      </c>
      <c r="E258" s="470" t="s">
        <v>176</v>
      </c>
      <c r="F258" s="470" t="s">
        <v>295</v>
      </c>
      <c r="G258" s="470" t="s">
        <v>248</v>
      </c>
      <c r="H258" s="470" t="s">
        <v>296</v>
      </c>
      <c r="I258" s="470" t="s">
        <v>242</v>
      </c>
      <c r="J258" s="471" t="s">
        <v>297</v>
      </c>
      <c r="K258" s="471" t="s">
        <v>409</v>
      </c>
    </row>
    <row r="259" spans="1:12" s="477" customFormat="1" ht="11.25">
      <c r="A259" s="477" t="s">
        <v>373</v>
      </c>
      <c r="B259" s="477" t="s">
        <v>713</v>
      </c>
      <c r="C259" s="477" t="s">
        <v>411</v>
      </c>
      <c r="D259" s="477" t="s">
        <v>412</v>
      </c>
      <c r="E259" s="477" t="s">
        <v>93</v>
      </c>
      <c r="F259" s="477" t="s">
        <v>413</v>
      </c>
      <c r="G259" s="477" t="s">
        <v>93</v>
      </c>
      <c r="H259" s="477" t="s">
        <v>93</v>
      </c>
      <c r="I259" s="477" t="s">
        <v>93</v>
      </c>
      <c r="J259" s="478"/>
      <c r="L259" s="479"/>
    </row>
    <row r="260" spans="1:9" ht="13.5">
      <c r="A260" s="63" t="s">
        <v>714</v>
      </c>
      <c r="B260" s="63" t="s">
        <v>713</v>
      </c>
      <c r="C260" s="63" t="s">
        <v>411</v>
      </c>
      <c r="D260" s="63" t="s">
        <v>583</v>
      </c>
      <c r="E260" s="400" t="s">
        <v>166</v>
      </c>
      <c r="F260" s="63" t="s">
        <v>413</v>
      </c>
      <c r="G260" s="400" t="s">
        <v>93</v>
      </c>
      <c r="H260" s="63">
        <v>4</v>
      </c>
      <c r="I260" s="400" t="s">
        <v>93</v>
      </c>
    </row>
    <row r="261" spans="1:9" ht="13.5">
      <c r="A261" s="63" t="s">
        <v>715</v>
      </c>
      <c r="B261" s="63" t="s">
        <v>713</v>
      </c>
      <c r="C261" s="63">
        <v>1</v>
      </c>
      <c r="D261" s="63" t="s">
        <v>477</v>
      </c>
      <c r="E261" s="400" t="s">
        <v>166</v>
      </c>
      <c r="F261" s="63" t="s">
        <v>489</v>
      </c>
      <c r="G261" s="63" t="s">
        <v>497</v>
      </c>
      <c r="H261" s="63">
        <v>5</v>
      </c>
      <c r="I261" s="63" t="s">
        <v>428</v>
      </c>
    </row>
    <row r="262" spans="1:9" ht="13.5">
      <c r="A262" s="63" t="s">
        <v>716</v>
      </c>
      <c r="B262" s="63" t="s">
        <v>713</v>
      </c>
      <c r="C262" s="63" t="s">
        <v>411</v>
      </c>
      <c r="D262" s="63" t="s">
        <v>717</v>
      </c>
      <c r="E262" s="63" t="s">
        <v>441</v>
      </c>
      <c r="F262" s="63" t="s">
        <v>413</v>
      </c>
      <c r="G262" s="400" t="s">
        <v>93</v>
      </c>
      <c r="H262" s="63">
        <v>8</v>
      </c>
      <c r="I262" s="400" t="s">
        <v>93</v>
      </c>
    </row>
    <row r="263" spans="1:12" s="477" customFormat="1" ht="11.25">
      <c r="A263" s="477" t="s">
        <v>718</v>
      </c>
      <c r="B263" s="477" t="s">
        <v>713</v>
      </c>
      <c r="C263" s="477">
        <v>1</v>
      </c>
      <c r="D263" s="477" t="s">
        <v>412</v>
      </c>
      <c r="E263" s="477" t="s">
        <v>93</v>
      </c>
      <c r="F263" s="477" t="s">
        <v>413</v>
      </c>
      <c r="G263" s="477" t="s">
        <v>93</v>
      </c>
      <c r="H263" s="477" t="s">
        <v>93</v>
      </c>
      <c r="I263" s="477" t="s">
        <v>93</v>
      </c>
      <c r="J263" s="478"/>
      <c r="L263" s="479"/>
    </row>
    <row r="264" spans="1:12" s="472" customFormat="1" ht="11.25">
      <c r="A264" s="472" t="s">
        <v>719</v>
      </c>
      <c r="B264" s="472" t="s">
        <v>713</v>
      </c>
      <c r="C264" s="472" t="s">
        <v>411</v>
      </c>
      <c r="D264" s="472" t="s">
        <v>412</v>
      </c>
      <c r="E264" s="472" t="s">
        <v>93</v>
      </c>
      <c r="F264" s="472" t="s">
        <v>413</v>
      </c>
      <c r="G264" s="472" t="s">
        <v>93</v>
      </c>
      <c r="H264" s="472" t="s">
        <v>93</v>
      </c>
      <c r="I264" s="472" t="s">
        <v>93</v>
      </c>
      <c r="J264" s="473"/>
      <c r="L264" s="474"/>
    </row>
    <row r="265" spans="1:9" ht="13.5">
      <c r="A265" s="63" t="s">
        <v>720</v>
      </c>
      <c r="B265" s="63" t="s">
        <v>713</v>
      </c>
      <c r="C265" s="63" t="s">
        <v>411</v>
      </c>
      <c r="D265" s="63" t="s">
        <v>460</v>
      </c>
      <c r="E265" s="63" t="s">
        <v>441</v>
      </c>
      <c r="F265" s="63" t="s">
        <v>413</v>
      </c>
      <c r="G265" s="400" t="s">
        <v>93</v>
      </c>
      <c r="H265" s="63">
        <v>3</v>
      </c>
      <c r="I265" s="400" t="s">
        <v>93</v>
      </c>
    </row>
    <row r="266" spans="1:9" ht="13.5">
      <c r="A266" s="63" t="s">
        <v>721</v>
      </c>
      <c r="B266" s="63" t="s">
        <v>713</v>
      </c>
      <c r="C266" s="63">
        <v>1</v>
      </c>
      <c r="D266" s="63" t="s">
        <v>503</v>
      </c>
      <c r="E266" s="63" t="s">
        <v>441</v>
      </c>
      <c r="F266" s="63" t="s">
        <v>413</v>
      </c>
      <c r="G266" s="400" t="s">
        <v>93</v>
      </c>
      <c r="H266" s="63">
        <v>6</v>
      </c>
      <c r="I266" s="400" t="s">
        <v>93</v>
      </c>
    </row>
    <row r="267" spans="1:9" ht="13.5">
      <c r="A267" s="63" t="s">
        <v>722</v>
      </c>
      <c r="B267" s="63" t="s">
        <v>713</v>
      </c>
      <c r="C267" s="63">
        <v>1</v>
      </c>
      <c r="D267" s="63" t="s">
        <v>723</v>
      </c>
      <c r="E267" s="400" t="s">
        <v>166</v>
      </c>
      <c r="F267" s="63" t="s">
        <v>428</v>
      </c>
      <c r="G267" s="63" t="s">
        <v>428</v>
      </c>
      <c r="H267" s="63" t="s">
        <v>428</v>
      </c>
      <c r="I267" s="63">
        <v>3</v>
      </c>
    </row>
    <row r="268" spans="1:9" ht="13.5">
      <c r="A268" s="63" t="s">
        <v>724</v>
      </c>
      <c r="B268" s="63" t="s">
        <v>713</v>
      </c>
      <c r="C268" s="63" t="s">
        <v>411</v>
      </c>
      <c r="D268" s="63" t="s">
        <v>460</v>
      </c>
      <c r="E268" s="63" t="s">
        <v>441</v>
      </c>
      <c r="F268" s="63" t="s">
        <v>413</v>
      </c>
      <c r="G268" s="400" t="s">
        <v>93</v>
      </c>
      <c r="H268" s="63">
        <v>6</v>
      </c>
      <c r="I268" s="400" t="s">
        <v>93</v>
      </c>
    </row>
    <row r="269" spans="1:9" ht="13.5">
      <c r="A269" s="63" t="s">
        <v>725</v>
      </c>
      <c r="B269" s="63" t="s">
        <v>713</v>
      </c>
      <c r="C269" s="63">
        <v>1</v>
      </c>
      <c r="D269" s="63" t="s">
        <v>477</v>
      </c>
      <c r="E269" s="400" t="s">
        <v>166</v>
      </c>
      <c r="F269" s="63" t="s">
        <v>501</v>
      </c>
      <c r="G269" s="63" t="s">
        <v>497</v>
      </c>
      <c r="H269" s="63">
        <v>6</v>
      </c>
      <c r="I269" s="400" t="s">
        <v>93</v>
      </c>
    </row>
    <row r="270" spans="1:9" ht="13.5">
      <c r="A270" s="63" t="s">
        <v>726</v>
      </c>
      <c r="B270" s="63" t="s">
        <v>713</v>
      </c>
      <c r="C270" s="63" t="s">
        <v>411</v>
      </c>
      <c r="D270" s="63" t="s">
        <v>460</v>
      </c>
      <c r="E270" s="63" t="s">
        <v>441</v>
      </c>
      <c r="F270" s="63" t="s">
        <v>413</v>
      </c>
      <c r="G270" s="400" t="s">
        <v>93</v>
      </c>
      <c r="H270" s="63">
        <v>2</v>
      </c>
      <c r="I270" s="400" t="s">
        <v>93</v>
      </c>
    </row>
    <row r="271" spans="1:9" ht="13.5">
      <c r="A271" s="63" t="s">
        <v>727</v>
      </c>
      <c r="B271" s="63" t="s">
        <v>713</v>
      </c>
      <c r="C271" s="63" t="s">
        <v>411</v>
      </c>
      <c r="D271" s="63" t="s">
        <v>477</v>
      </c>
      <c r="E271" s="400" t="s">
        <v>166</v>
      </c>
      <c r="F271" s="63" t="s">
        <v>489</v>
      </c>
      <c r="G271" s="63" t="s">
        <v>490</v>
      </c>
      <c r="H271" s="63">
        <v>5</v>
      </c>
      <c r="I271" s="400" t="s">
        <v>93</v>
      </c>
    </row>
    <row r="272" spans="1:12" s="472" customFormat="1" ht="11.25">
      <c r="A272" s="472" t="s">
        <v>728</v>
      </c>
      <c r="B272" s="472" t="s">
        <v>713</v>
      </c>
      <c r="C272" s="472" t="s">
        <v>411</v>
      </c>
      <c r="D272" s="472" t="s">
        <v>412</v>
      </c>
      <c r="E272" s="472" t="s">
        <v>93</v>
      </c>
      <c r="F272" s="472" t="s">
        <v>413</v>
      </c>
      <c r="G272" s="472" t="s">
        <v>93</v>
      </c>
      <c r="H272" s="472" t="s">
        <v>93</v>
      </c>
      <c r="I272" s="472" t="s">
        <v>93</v>
      </c>
      <c r="J272" s="473"/>
      <c r="L272" s="474"/>
    </row>
    <row r="273" spans="1:9" ht="13.5">
      <c r="A273" s="63" t="s">
        <v>729</v>
      </c>
      <c r="B273" s="63" t="s">
        <v>713</v>
      </c>
      <c r="C273" s="63" t="s">
        <v>411</v>
      </c>
      <c r="D273" s="63" t="s">
        <v>477</v>
      </c>
      <c r="E273" s="400" t="s">
        <v>166</v>
      </c>
      <c r="F273" s="63" t="s">
        <v>489</v>
      </c>
      <c r="G273" s="63" t="s">
        <v>497</v>
      </c>
      <c r="H273" s="63">
        <v>4</v>
      </c>
      <c r="I273" s="400" t="s">
        <v>93</v>
      </c>
    </row>
    <row r="274" spans="1:9" ht="13.5">
      <c r="A274" s="63" t="s">
        <v>730</v>
      </c>
      <c r="B274" s="63" t="s">
        <v>713</v>
      </c>
      <c r="C274" s="63" t="s">
        <v>411</v>
      </c>
      <c r="D274" s="63" t="s">
        <v>460</v>
      </c>
      <c r="E274" s="63" t="s">
        <v>441</v>
      </c>
      <c r="F274" s="63" t="s">
        <v>413</v>
      </c>
      <c r="G274" s="400" t="s">
        <v>93</v>
      </c>
      <c r="H274" s="63">
        <v>4</v>
      </c>
      <c r="I274" s="400" t="s">
        <v>93</v>
      </c>
    </row>
    <row r="275" spans="1:9" ht="13.5">
      <c r="A275" s="63" t="s">
        <v>731</v>
      </c>
      <c r="B275" s="63" t="s">
        <v>713</v>
      </c>
      <c r="C275" s="63">
        <v>1</v>
      </c>
      <c r="D275" s="63" t="s">
        <v>481</v>
      </c>
      <c r="E275" s="63" t="s">
        <v>441</v>
      </c>
      <c r="F275" s="63" t="s">
        <v>413</v>
      </c>
      <c r="G275" s="400" t="s">
        <v>93</v>
      </c>
      <c r="H275" s="63">
        <v>4</v>
      </c>
      <c r="I275" s="400" t="s">
        <v>93</v>
      </c>
    </row>
    <row r="276" spans="1:11" ht="13.5">
      <c r="A276" s="469" t="s">
        <v>732</v>
      </c>
      <c r="B276" s="470" t="s">
        <v>292</v>
      </c>
      <c r="C276" s="470" t="s">
        <v>293</v>
      </c>
      <c r="D276" s="470" t="s">
        <v>294</v>
      </c>
      <c r="E276" s="470" t="s">
        <v>176</v>
      </c>
      <c r="F276" s="470" t="s">
        <v>295</v>
      </c>
      <c r="G276" s="470" t="s">
        <v>248</v>
      </c>
      <c r="H276" s="470" t="s">
        <v>296</v>
      </c>
      <c r="I276" s="470" t="s">
        <v>242</v>
      </c>
      <c r="J276" s="471" t="s">
        <v>297</v>
      </c>
      <c r="K276" s="471" t="s">
        <v>409</v>
      </c>
    </row>
    <row r="277" spans="1:9" ht="13.5">
      <c r="A277" s="63" t="s">
        <v>375</v>
      </c>
      <c r="B277" s="63" t="s">
        <v>732</v>
      </c>
      <c r="C277" s="63" t="s">
        <v>411</v>
      </c>
      <c r="D277" s="63" t="s">
        <v>503</v>
      </c>
      <c r="E277" s="400" t="s">
        <v>46</v>
      </c>
      <c r="F277" s="63" t="s">
        <v>489</v>
      </c>
      <c r="G277" s="63" t="s">
        <v>510</v>
      </c>
      <c r="H277" s="63">
        <v>3</v>
      </c>
      <c r="I277" s="63" t="s">
        <v>293</v>
      </c>
    </row>
    <row r="278" spans="1:9" ht="13.5">
      <c r="A278" s="63" t="s">
        <v>733</v>
      </c>
      <c r="B278" s="63" t="s">
        <v>732</v>
      </c>
      <c r="C278" s="63">
        <v>1</v>
      </c>
      <c r="D278" s="63" t="s">
        <v>427</v>
      </c>
      <c r="E278" s="400" t="s">
        <v>46</v>
      </c>
      <c r="F278" s="63" t="s">
        <v>489</v>
      </c>
      <c r="G278" s="63" t="s">
        <v>510</v>
      </c>
      <c r="H278" s="63">
        <v>4</v>
      </c>
      <c r="I278" s="63" t="s">
        <v>93</v>
      </c>
    </row>
    <row r="279" spans="1:12" s="472" customFormat="1" ht="11.25">
      <c r="A279" s="472" t="s">
        <v>734</v>
      </c>
      <c r="B279" s="472" t="s">
        <v>732</v>
      </c>
      <c r="C279" s="472">
        <v>1</v>
      </c>
      <c r="D279" s="472" t="s">
        <v>412</v>
      </c>
      <c r="E279" s="472" t="s">
        <v>93</v>
      </c>
      <c r="F279" s="472" t="s">
        <v>413</v>
      </c>
      <c r="G279" s="472" t="s">
        <v>93</v>
      </c>
      <c r="H279" s="472" t="s">
        <v>93</v>
      </c>
      <c r="I279" s="472" t="s">
        <v>93</v>
      </c>
      <c r="J279" s="473"/>
      <c r="L279" s="474"/>
    </row>
    <row r="280" spans="1:9" ht="13.5">
      <c r="A280" s="63" t="s">
        <v>735</v>
      </c>
      <c r="B280" s="63" t="s">
        <v>732</v>
      </c>
      <c r="C280" s="63" t="s">
        <v>411</v>
      </c>
      <c r="D280" s="63" t="s">
        <v>503</v>
      </c>
      <c r="E280" s="400" t="s">
        <v>46</v>
      </c>
      <c r="F280" s="63" t="s">
        <v>501</v>
      </c>
      <c r="G280" s="63" t="s">
        <v>510</v>
      </c>
      <c r="H280" s="63">
        <v>8</v>
      </c>
      <c r="I280" s="63" t="s">
        <v>93</v>
      </c>
    </row>
    <row r="281" spans="1:9" ht="13.5">
      <c r="A281" s="63" t="s">
        <v>736</v>
      </c>
      <c r="B281" s="63" t="s">
        <v>732</v>
      </c>
      <c r="C281" s="63" t="s">
        <v>411</v>
      </c>
      <c r="D281" s="63" t="s">
        <v>477</v>
      </c>
      <c r="E281" s="400" t="s">
        <v>46</v>
      </c>
      <c r="F281" s="63" t="s">
        <v>413</v>
      </c>
      <c r="G281" s="400" t="s">
        <v>93</v>
      </c>
      <c r="H281" s="63" t="s">
        <v>93</v>
      </c>
      <c r="I281" s="63" t="s">
        <v>93</v>
      </c>
    </row>
    <row r="282" spans="1:12" s="472" customFormat="1" ht="11.25">
      <c r="A282" s="472" t="s">
        <v>737</v>
      </c>
      <c r="B282" s="472" t="s">
        <v>732</v>
      </c>
      <c r="C282" s="472">
        <v>1</v>
      </c>
      <c r="D282" s="472" t="s">
        <v>412</v>
      </c>
      <c r="E282" s="472" t="s">
        <v>93</v>
      </c>
      <c r="F282" s="472" t="s">
        <v>413</v>
      </c>
      <c r="G282" s="472" t="s">
        <v>93</v>
      </c>
      <c r="H282" s="472" t="s">
        <v>93</v>
      </c>
      <c r="I282" s="472" t="s">
        <v>93</v>
      </c>
      <c r="J282" s="473"/>
      <c r="L282" s="474"/>
    </row>
    <row r="283" spans="1:12" s="472" customFormat="1" ht="11.25">
      <c r="A283" s="472" t="s">
        <v>738</v>
      </c>
      <c r="B283" s="472" t="s">
        <v>732</v>
      </c>
      <c r="C283" s="472" t="s">
        <v>411</v>
      </c>
      <c r="D283" s="472" t="s">
        <v>412</v>
      </c>
      <c r="E283" s="472" t="s">
        <v>93</v>
      </c>
      <c r="F283" s="472" t="s">
        <v>413</v>
      </c>
      <c r="G283" s="472" t="s">
        <v>93</v>
      </c>
      <c r="H283" s="472" t="s">
        <v>93</v>
      </c>
      <c r="I283" s="472" t="s">
        <v>93</v>
      </c>
      <c r="J283" s="473"/>
      <c r="L283" s="474"/>
    </row>
    <row r="284" spans="1:12" s="472" customFormat="1" ht="11.25">
      <c r="A284" s="472" t="s">
        <v>739</v>
      </c>
      <c r="B284" s="472" t="s">
        <v>732</v>
      </c>
      <c r="C284" s="472" t="s">
        <v>411</v>
      </c>
      <c r="D284" s="472" t="s">
        <v>412</v>
      </c>
      <c r="E284" s="472" t="s">
        <v>93</v>
      </c>
      <c r="F284" s="472" t="s">
        <v>413</v>
      </c>
      <c r="G284" s="472" t="s">
        <v>93</v>
      </c>
      <c r="H284" s="472" t="s">
        <v>93</v>
      </c>
      <c r="I284" s="472" t="s">
        <v>93</v>
      </c>
      <c r="J284" s="473"/>
      <c r="L284" s="474"/>
    </row>
    <row r="285" spans="1:9" ht="13.5">
      <c r="A285" s="63" t="s">
        <v>740</v>
      </c>
      <c r="B285" s="63" t="s">
        <v>732</v>
      </c>
      <c r="C285" s="63">
        <v>1</v>
      </c>
      <c r="D285" s="63" t="s">
        <v>503</v>
      </c>
      <c r="E285" s="400" t="s">
        <v>46</v>
      </c>
      <c r="F285" s="63" t="s">
        <v>741</v>
      </c>
      <c r="G285" s="63" t="s">
        <v>510</v>
      </c>
      <c r="H285" s="63">
        <v>6</v>
      </c>
      <c r="I285" s="63" t="s">
        <v>93</v>
      </c>
    </row>
    <row r="286" spans="1:12" s="472" customFormat="1" ht="11.25">
      <c r="A286" s="472" t="s">
        <v>742</v>
      </c>
      <c r="B286" s="472" t="s">
        <v>732</v>
      </c>
      <c r="C286" s="472" t="s">
        <v>411</v>
      </c>
      <c r="D286" s="472" t="s">
        <v>412</v>
      </c>
      <c r="E286" s="472" t="s">
        <v>93</v>
      </c>
      <c r="F286" s="472" t="s">
        <v>413</v>
      </c>
      <c r="G286" s="472" t="s">
        <v>93</v>
      </c>
      <c r="H286" s="472" t="s">
        <v>93</v>
      </c>
      <c r="I286" s="472" t="s">
        <v>93</v>
      </c>
      <c r="J286" s="473"/>
      <c r="L286" s="474"/>
    </row>
    <row r="287" spans="1:12" s="477" customFormat="1" ht="11.25">
      <c r="A287" s="477" t="s">
        <v>743</v>
      </c>
      <c r="B287" s="477" t="s">
        <v>732</v>
      </c>
      <c r="C287" s="477" t="s">
        <v>411</v>
      </c>
      <c r="D287" s="477" t="s">
        <v>412</v>
      </c>
      <c r="E287" s="477" t="s">
        <v>93</v>
      </c>
      <c r="F287" s="477" t="s">
        <v>413</v>
      </c>
      <c r="G287" s="477" t="s">
        <v>93</v>
      </c>
      <c r="H287" s="477" t="s">
        <v>93</v>
      </c>
      <c r="I287" s="477" t="s">
        <v>93</v>
      </c>
      <c r="J287" s="478"/>
      <c r="L287" s="479"/>
    </row>
    <row r="288" spans="1:12" s="472" customFormat="1" ht="11.25">
      <c r="A288" s="472" t="s">
        <v>744</v>
      </c>
      <c r="B288" s="472" t="s">
        <v>732</v>
      </c>
      <c r="C288" s="472">
        <v>1</v>
      </c>
      <c r="D288" s="472" t="s">
        <v>412</v>
      </c>
      <c r="E288" s="472" t="s">
        <v>93</v>
      </c>
      <c r="F288" s="472" t="s">
        <v>413</v>
      </c>
      <c r="G288" s="472" t="s">
        <v>93</v>
      </c>
      <c r="H288" s="472" t="s">
        <v>93</v>
      </c>
      <c r="I288" s="472" t="s">
        <v>93</v>
      </c>
      <c r="J288" s="473"/>
      <c r="L288" s="474"/>
    </row>
    <row r="289" spans="1:12" s="477" customFormat="1" ht="11.25">
      <c r="A289" s="477" t="s">
        <v>745</v>
      </c>
      <c r="B289" s="477" t="s">
        <v>732</v>
      </c>
      <c r="C289" s="477">
        <v>1</v>
      </c>
      <c r="D289" s="477" t="s">
        <v>412</v>
      </c>
      <c r="E289" s="477" t="s">
        <v>93</v>
      </c>
      <c r="F289" s="477" t="s">
        <v>413</v>
      </c>
      <c r="G289" s="477" t="s">
        <v>93</v>
      </c>
      <c r="H289" s="477" t="s">
        <v>93</v>
      </c>
      <c r="I289" s="477" t="s">
        <v>93</v>
      </c>
      <c r="J289" s="478"/>
      <c r="L289" s="479"/>
    </row>
    <row r="290" spans="1:9" ht="13.5">
      <c r="A290" s="63" t="s">
        <v>746</v>
      </c>
      <c r="B290" s="63" t="s">
        <v>732</v>
      </c>
      <c r="C290" s="63" t="s">
        <v>411</v>
      </c>
      <c r="D290" s="63" t="s">
        <v>460</v>
      </c>
      <c r="E290" s="63" t="s">
        <v>441</v>
      </c>
      <c r="F290" s="63" t="s">
        <v>413</v>
      </c>
      <c r="G290" s="400" t="s">
        <v>93</v>
      </c>
      <c r="H290" s="63">
        <v>5</v>
      </c>
      <c r="I290" s="63" t="s">
        <v>93</v>
      </c>
    </row>
    <row r="291" spans="1:9" ht="13.5">
      <c r="A291" s="63" t="s">
        <v>747</v>
      </c>
      <c r="B291" s="63" t="s">
        <v>732</v>
      </c>
      <c r="C291" s="63">
        <v>1</v>
      </c>
      <c r="D291" s="63" t="s">
        <v>460</v>
      </c>
      <c r="E291" s="63" t="s">
        <v>441</v>
      </c>
      <c r="F291" s="63" t="s">
        <v>413</v>
      </c>
      <c r="G291" s="400" t="s">
        <v>93</v>
      </c>
      <c r="H291" s="63">
        <v>3</v>
      </c>
      <c r="I291" s="63" t="s">
        <v>93</v>
      </c>
    </row>
    <row r="292" spans="1:9" ht="13.5">
      <c r="A292" s="63" t="s">
        <v>748</v>
      </c>
      <c r="B292" s="63" t="s">
        <v>732</v>
      </c>
      <c r="C292" s="63" t="s">
        <v>411</v>
      </c>
      <c r="D292" s="63" t="s">
        <v>427</v>
      </c>
      <c r="E292" s="63" t="s">
        <v>441</v>
      </c>
      <c r="F292" s="63" t="s">
        <v>413</v>
      </c>
      <c r="G292" s="400" t="s">
        <v>93</v>
      </c>
      <c r="H292" s="63">
        <v>4</v>
      </c>
      <c r="I292" s="63">
        <v>3</v>
      </c>
    </row>
    <row r="293" spans="1:9" ht="13.5">
      <c r="A293" s="63" t="s">
        <v>749</v>
      </c>
      <c r="B293" s="63" t="s">
        <v>732</v>
      </c>
      <c r="C293" s="63">
        <v>1</v>
      </c>
      <c r="D293" s="63" t="s">
        <v>532</v>
      </c>
      <c r="E293" s="63" t="s">
        <v>441</v>
      </c>
      <c r="F293" s="63" t="s">
        <v>489</v>
      </c>
      <c r="G293" s="63" t="s">
        <v>510</v>
      </c>
      <c r="H293" s="63">
        <v>10</v>
      </c>
      <c r="I293" s="63" t="s">
        <v>93</v>
      </c>
    </row>
    <row r="294" spans="1:11" ht="13.5">
      <c r="A294" s="469" t="s">
        <v>750</v>
      </c>
      <c r="B294" s="470" t="s">
        <v>292</v>
      </c>
      <c r="C294" s="470" t="s">
        <v>293</v>
      </c>
      <c r="D294" s="470" t="s">
        <v>294</v>
      </c>
      <c r="E294" s="470" t="s">
        <v>176</v>
      </c>
      <c r="F294" s="470" t="s">
        <v>295</v>
      </c>
      <c r="G294" s="470" t="s">
        <v>248</v>
      </c>
      <c r="H294" s="470" t="s">
        <v>296</v>
      </c>
      <c r="I294" s="470" t="s">
        <v>242</v>
      </c>
      <c r="J294" s="471" t="s">
        <v>297</v>
      </c>
      <c r="K294" s="471" t="s">
        <v>409</v>
      </c>
    </row>
    <row r="295" spans="1:9" ht="13.5">
      <c r="A295" s="63" t="s">
        <v>377</v>
      </c>
      <c r="B295" s="63" t="s">
        <v>750</v>
      </c>
      <c r="C295" s="63" t="s">
        <v>411</v>
      </c>
      <c r="D295" s="63" t="s">
        <v>477</v>
      </c>
      <c r="E295" s="63" t="s">
        <v>441</v>
      </c>
      <c r="F295" s="63" t="s">
        <v>501</v>
      </c>
      <c r="G295" s="63" t="s">
        <v>510</v>
      </c>
      <c r="H295" s="63" t="s">
        <v>93</v>
      </c>
      <c r="I295" s="63">
        <v>1</v>
      </c>
    </row>
    <row r="296" spans="1:9" ht="13.5">
      <c r="A296" s="63" t="s">
        <v>751</v>
      </c>
      <c r="B296" s="63" t="s">
        <v>750</v>
      </c>
      <c r="C296" s="63" t="s">
        <v>411</v>
      </c>
      <c r="D296" s="63" t="s">
        <v>503</v>
      </c>
      <c r="E296" s="400" t="s">
        <v>509</v>
      </c>
      <c r="F296" s="63" t="s">
        <v>413</v>
      </c>
      <c r="G296" s="400" t="s">
        <v>93</v>
      </c>
      <c r="H296" s="63">
        <v>7</v>
      </c>
      <c r="I296" s="63" t="s">
        <v>93</v>
      </c>
    </row>
    <row r="297" spans="1:9" ht="13.5">
      <c r="A297" s="63" t="s">
        <v>752</v>
      </c>
      <c r="B297" s="63" t="s">
        <v>750</v>
      </c>
      <c r="C297" s="63">
        <v>1</v>
      </c>
      <c r="D297" s="63" t="s">
        <v>477</v>
      </c>
      <c r="E297" s="400" t="s">
        <v>509</v>
      </c>
      <c r="F297" s="63" t="s">
        <v>489</v>
      </c>
      <c r="G297" s="63" t="s">
        <v>510</v>
      </c>
      <c r="H297" s="63">
        <v>6</v>
      </c>
      <c r="I297" s="63" t="s">
        <v>93</v>
      </c>
    </row>
    <row r="298" spans="1:9" ht="13.5">
      <c r="A298" s="63" t="s">
        <v>753</v>
      </c>
      <c r="B298" s="63" t="s">
        <v>750</v>
      </c>
      <c r="C298" s="63" t="s">
        <v>411</v>
      </c>
      <c r="D298" s="63" t="s">
        <v>477</v>
      </c>
      <c r="E298" s="400" t="s">
        <v>166</v>
      </c>
      <c r="F298" s="63" t="s">
        <v>489</v>
      </c>
      <c r="G298" s="63" t="s">
        <v>510</v>
      </c>
      <c r="H298" s="63">
        <v>3</v>
      </c>
      <c r="I298" s="63" t="s">
        <v>93</v>
      </c>
    </row>
    <row r="299" spans="1:9" ht="13.5">
      <c r="A299" s="63" t="s">
        <v>754</v>
      </c>
      <c r="B299" s="63" t="s">
        <v>750</v>
      </c>
      <c r="C299" s="63">
        <v>1</v>
      </c>
      <c r="D299" s="63" t="s">
        <v>460</v>
      </c>
      <c r="E299" s="63" t="s">
        <v>441</v>
      </c>
      <c r="F299" s="63" t="s">
        <v>413</v>
      </c>
      <c r="G299" s="400" t="s">
        <v>93</v>
      </c>
      <c r="H299" s="63">
        <v>6</v>
      </c>
      <c r="I299" s="63" t="s">
        <v>93</v>
      </c>
    </row>
    <row r="300" spans="1:12" s="472" customFormat="1" ht="11.25">
      <c r="A300" s="472" t="s">
        <v>755</v>
      </c>
      <c r="B300" s="472" t="s">
        <v>750</v>
      </c>
      <c r="C300" s="472" t="s">
        <v>411</v>
      </c>
      <c r="D300" s="472" t="s">
        <v>412</v>
      </c>
      <c r="E300" s="472" t="s">
        <v>93</v>
      </c>
      <c r="F300" s="472" t="s">
        <v>413</v>
      </c>
      <c r="G300" s="472" t="s">
        <v>93</v>
      </c>
      <c r="H300" s="472" t="s">
        <v>93</v>
      </c>
      <c r="I300" s="472" t="s">
        <v>93</v>
      </c>
      <c r="J300" s="473"/>
      <c r="L300" s="474"/>
    </row>
    <row r="301" spans="1:9" ht="13.5">
      <c r="A301" s="63" t="s">
        <v>756</v>
      </c>
      <c r="B301" s="63" t="s">
        <v>750</v>
      </c>
      <c r="C301" s="63">
        <v>1</v>
      </c>
      <c r="D301" s="63" t="s">
        <v>757</v>
      </c>
      <c r="E301" s="63" t="s">
        <v>441</v>
      </c>
      <c r="F301" s="63" t="s">
        <v>413</v>
      </c>
      <c r="G301" s="400" t="s">
        <v>93</v>
      </c>
      <c r="H301" s="63">
        <v>8</v>
      </c>
      <c r="I301" s="63" t="s">
        <v>293</v>
      </c>
    </row>
    <row r="302" spans="1:9" ht="13.5">
      <c r="A302" s="63" t="s">
        <v>758</v>
      </c>
      <c r="B302" s="63" t="s">
        <v>750</v>
      </c>
      <c r="C302" s="63" t="s">
        <v>411</v>
      </c>
      <c r="D302" s="63" t="s">
        <v>460</v>
      </c>
      <c r="E302" s="63" t="s">
        <v>441</v>
      </c>
      <c r="F302" s="63" t="s">
        <v>413</v>
      </c>
      <c r="G302" s="400" t="s">
        <v>93</v>
      </c>
      <c r="H302" s="63">
        <v>3</v>
      </c>
      <c r="I302" s="63" t="s">
        <v>93</v>
      </c>
    </row>
    <row r="303" spans="1:9" ht="13.5">
      <c r="A303" s="63" t="s">
        <v>759</v>
      </c>
      <c r="B303" s="63" t="s">
        <v>750</v>
      </c>
      <c r="C303" s="63">
        <v>1</v>
      </c>
      <c r="D303" s="63" t="s">
        <v>484</v>
      </c>
      <c r="E303" s="63" t="s">
        <v>441</v>
      </c>
      <c r="F303" s="63" t="s">
        <v>413</v>
      </c>
      <c r="G303" s="400" t="s">
        <v>93</v>
      </c>
      <c r="H303" s="63">
        <v>7</v>
      </c>
      <c r="I303" s="63" t="s">
        <v>93</v>
      </c>
    </row>
    <row r="304" spans="1:9" ht="13.5">
      <c r="A304" s="63" t="s">
        <v>760</v>
      </c>
      <c r="B304" s="63" t="s">
        <v>750</v>
      </c>
      <c r="C304" s="63">
        <v>1</v>
      </c>
      <c r="D304" s="63" t="s">
        <v>503</v>
      </c>
      <c r="E304" s="63" t="s">
        <v>441</v>
      </c>
      <c r="F304" s="63" t="s">
        <v>413</v>
      </c>
      <c r="G304" s="400" t="s">
        <v>93</v>
      </c>
      <c r="H304" s="63">
        <v>5</v>
      </c>
      <c r="I304" s="63" t="s">
        <v>93</v>
      </c>
    </row>
    <row r="305" spans="1:12" s="472" customFormat="1" ht="11.25">
      <c r="A305" s="472" t="s">
        <v>761</v>
      </c>
      <c r="B305" s="472" t="s">
        <v>750</v>
      </c>
      <c r="C305" s="472" t="s">
        <v>411</v>
      </c>
      <c r="D305" s="472" t="s">
        <v>412</v>
      </c>
      <c r="E305" s="472" t="s">
        <v>93</v>
      </c>
      <c r="F305" s="472" t="s">
        <v>413</v>
      </c>
      <c r="G305" s="472" t="s">
        <v>93</v>
      </c>
      <c r="H305" s="472" t="s">
        <v>93</v>
      </c>
      <c r="I305" s="472" t="s">
        <v>93</v>
      </c>
      <c r="J305" s="473"/>
      <c r="L305" s="474"/>
    </row>
    <row r="306" spans="1:9" ht="13.5">
      <c r="A306" s="63" t="s">
        <v>762</v>
      </c>
      <c r="B306" s="63" t="s">
        <v>750</v>
      </c>
      <c r="C306" s="63">
        <v>1</v>
      </c>
      <c r="D306" s="63" t="s">
        <v>477</v>
      </c>
      <c r="E306" s="400" t="s">
        <v>509</v>
      </c>
      <c r="F306" s="63" t="s">
        <v>489</v>
      </c>
      <c r="G306" s="63" t="s">
        <v>510</v>
      </c>
      <c r="H306" s="63">
        <v>5</v>
      </c>
      <c r="I306" s="63" t="s">
        <v>93</v>
      </c>
    </row>
    <row r="307" spans="1:9" ht="13.5">
      <c r="A307" s="63" t="s">
        <v>763</v>
      </c>
      <c r="B307" s="63" t="s">
        <v>750</v>
      </c>
      <c r="C307" s="63">
        <v>1</v>
      </c>
      <c r="D307" s="63" t="s">
        <v>460</v>
      </c>
      <c r="E307" s="400" t="s">
        <v>93</v>
      </c>
      <c r="F307" s="63" t="s">
        <v>413</v>
      </c>
      <c r="G307" s="400" t="s">
        <v>93</v>
      </c>
      <c r="H307" s="63">
        <v>3</v>
      </c>
      <c r="I307" s="63" t="s">
        <v>93</v>
      </c>
    </row>
    <row r="308" spans="1:9" ht="13.5">
      <c r="A308" s="63" t="s">
        <v>764</v>
      </c>
      <c r="B308" s="63" t="s">
        <v>750</v>
      </c>
      <c r="C308" s="63" t="s">
        <v>411</v>
      </c>
      <c r="D308" s="63" t="s">
        <v>477</v>
      </c>
      <c r="E308" s="400" t="s">
        <v>509</v>
      </c>
      <c r="F308" s="63" t="s">
        <v>501</v>
      </c>
      <c r="G308" s="63" t="s">
        <v>490</v>
      </c>
      <c r="H308" s="63" t="s">
        <v>93</v>
      </c>
      <c r="I308" s="63" t="s">
        <v>93</v>
      </c>
    </row>
    <row r="309" spans="1:9" ht="13.5">
      <c r="A309" s="63" t="s">
        <v>765</v>
      </c>
      <c r="B309" s="63" t="s">
        <v>750</v>
      </c>
      <c r="C309" s="63">
        <v>1</v>
      </c>
      <c r="D309" s="63" t="s">
        <v>477</v>
      </c>
      <c r="E309" s="400" t="s">
        <v>509</v>
      </c>
      <c r="F309" s="63" t="s">
        <v>489</v>
      </c>
      <c r="G309" s="63" t="s">
        <v>510</v>
      </c>
      <c r="H309" s="63">
        <v>4</v>
      </c>
      <c r="I309" s="63" t="s">
        <v>93</v>
      </c>
    </row>
    <row r="310" spans="1:12" s="472" customFormat="1" ht="11.25">
      <c r="A310" s="472" t="s">
        <v>766</v>
      </c>
      <c r="B310" s="472" t="s">
        <v>750</v>
      </c>
      <c r="C310" s="472">
        <v>1</v>
      </c>
      <c r="D310" s="472" t="s">
        <v>412</v>
      </c>
      <c r="E310" s="472" t="s">
        <v>93</v>
      </c>
      <c r="F310" s="472" t="s">
        <v>413</v>
      </c>
      <c r="G310" s="472" t="s">
        <v>93</v>
      </c>
      <c r="H310" s="472" t="s">
        <v>93</v>
      </c>
      <c r="I310" s="472" t="s">
        <v>93</v>
      </c>
      <c r="J310" s="473"/>
      <c r="L310" s="474"/>
    </row>
    <row r="311" spans="1:9" ht="13.5">
      <c r="A311" s="63" t="s">
        <v>767</v>
      </c>
      <c r="B311" s="63" t="s">
        <v>750</v>
      </c>
      <c r="C311" s="63">
        <v>1</v>
      </c>
      <c r="D311" s="63" t="s">
        <v>477</v>
      </c>
      <c r="E311" s="400" t="s">
        <v>509</v>
      </c>
      <c r="F311" s="63" t="s">
        <v>489</v>
      </c>
      <c r="G311" s="63" t="s">
        <v>510</v>
      </c>
      <c r="H311" s="63">
        <v>5</v>
      </c>
      <c r="I311" s="63" t="s">
        <v>93</v>
      </c>
    </row>
    <row r="312" spans="1:11" ht="13.5">
      <c r="A312" s="469" t="s">
        <v>768</v>
      </c>
      <c r="B312" s="470" t="s">
        <v>292</v>
      </c>
      <c r="C312" s="470" t="s">
        <v>293</v>
      </c>
      <c r="D312" s="470" t="s">
        <v>294</v>
      </c>
      <c r="E312" s="470" t="s">
        <v>176</v>
      </c>
      <c r="F312" s="470" t="s">
        <v>295</v>
      </c>
      <c r="G312" s="470" t="s">
        <v>248</v>
      </c>
      <c r="H312" s="470" t="s">
        <v>296</v>
      </c>
      <c r="I312" s="470" t="s">
        <v>242</v>
      </c>
      <c r="J312" s="471" t="s">
        <v>297</v>
      </c>
      <c r="K312" s="471" t="s">
        <v>409</v>
      </c>
    </row>
    <row r="313" spans="1:9" ht="13.5">
      <c r="A313" s="63" t="s">
        <v>379</v>
      </c>
      <c r="B313" s="63" t="s">
        <v>768</v>
      </c>
      <c r="C313" s="63" t="s">
        <v>411</v>
      </c>
      <c r="D313" s="63" t="s">
        <v>427</v>
      </c>
      <c r="E313" s="63" t="s">
        <v>441</v>
      </c>
      <c r="F313" s="63" t="s">
        <v>413</v>
      </c>
      <c r="G313" s="400" t="s">
        <v>93</v>
      </c>
      <c r="H313" s="63" t="s">
        <v>93</v>
      </c>
      <c r="I313" s="63" t="s">
        <v>121</v>
      </c>
    </row>
    <row r="314" spans="1:9" ht="13.5">
      <c r="A314" s="63" t="s">
        <v>769</v>
      </c>
      <c r="B314" s="63" t="s">
        <v>768</v>
      </c>
      <c r="C314" s="63">
        <v>1</v>
      </c>
      <c r="D314" s="63" t="s">
        <v>477</v>
      </c>
      <c r="E314" s="63" t="s">
        <v>441</v>
      </c>
      <c r="F314" s="63" t="s">
        <v>413</v>
      </c>
      <c r="G314" s="400" t="s">
        <v>93</v>
      </c>
      <c r="H314" s="63">
        <v>5</v>
      </c>
      <c r="I314" s="63" t="s">
        <v>93</v>
      </c>
    </row>
    <row r="315" spans="1:9" ht="13.5">
      <c r="A315" s="63" t="s">
        <v>770</v>
      </c>
      <c r="B315" s="63" t="s">
        <v>768</v>
      </c>
      <c r="C315" s="63">
        <v>1</v>
      </c>
      <c r="D315" s="63" t="s">
        <v>583</v>
      </c>
      <c r="E315" s="400" t="s">
        <v>220</v>
      </c>
      <c r="F315" s="63" t="s">
        <v>413</v>
      </c>
      <c r="G315" s="400" t="s">
        <v>93</v>
      </c>
      <c r="H315" s="63">
        <v>4</v>
      </c>
      <c r="I315" s="63" t="s">
        <v>93</v>
      </c>
    </row>
    <row r="316" spans="1:9" ht="13.5">
      <c r="A316" s="63" t="s">
        <v>771</v>
      </c>
      <c r="B316" s="63" t="s">
        <v>768</v>
      </c>
      <c r="C316" s="63">
        <v>1</v>
      </c>
      <c r="D316" s="63" t="s">
        <v>477</v>
      </c>
      <c r="E316" s="63" t="s">
        <v>441</v>
      </c>
      <c r="F316" s="63" t="s">
        <v>413</v>
      </c>
      <c r="G316" s="400" t="s">
        <v>93</v>
      </c>
      <c r="H316" s="63" t="s">
        <v>93</v>
      </c>
      <c r="I316" s="63">
        <v>1</v>
      </c>
    </row>
    <row r="317" spans="1:9" ht="13.5">
      <c r="A317" s="63" t="s">
        <v>772</v>
      </c>
      <c r="B317" s="63" t="s">
        <v>768</v>
      </c>
      <c r="C317" s="63">
        <v>1</v>
      </c>
      <c r="D317" s="63" t="s">
        <v>477</v>
      </c>
      <c r="E317" s="63" t="s">
        <v>441</v>
      </c>
      <c r="F317" s="63" t="s">
        <v>413</v>
      </c>
      <c r="G317" s="400" t="s">
        <v>93</v>
      </c>
      <c r="H317" s="63">
        <v>5</v>
      </c>
      <c r="I317" s="63" t="s">
        <v>93</v>
      </c>
    </row>
    <row r="318" spans="1:9" ht="13.5">
      <c r="A318" s="63" t="s">
        <v>773</v>
      </c>
      <c r="B318" s="63" t="s">
        <v>768</v>
      </c>
      <c r="C318" s="63">
        <v>1</v>
      </c>
      <c r="D318" s="63" t="s">
        <v>477</v>
      </c>
      <c r="E318" s="63" t="s">
        <v>441</v>
      </c>
      <c r="F318" s="63" t="s">
        <v>413</v>
      </c>
      <c r="G318" s="400" t="s">
        <v>93</v>
      </c>
      <c r="H318" s="63">
        <v>4</v>
      </c>
      <c r="I318" s="63" t="s">
        <v>93</v>
      </c>
    </row>
    <row r="319" spans="1:9" ht="13.5">
      <c r="A319" s="63" t="s">
        <v>774</v>
      </c>
      <c r="B319" s="63" t="s">
        <v>768</v>
      </c>
      <c r="C319" s="63">
        <v>1</v>
      </c>
      <c r="D319" s="63" t="s">
        <v>477</v>
      </c>
      <c r="E319" s="400" t="s">
        <v>166</v>
      </c>
      <c r="F319" s="63" t="s">
        <v>489</v>
      </c>
      <c r="G319" s="63" t="s">
        <v>490</v>
      </c>
      <c r="H319" s="63">
        <v>7</v>
      </c>
      <c r="I319" s="63" t="s">
        <v>93</v>
      </c>
    </row>
    <row r="320" spans="1:9" ht="13.5">
      <c r="A320" s="63" t="s">
        <v>775</v>
      </c>
      <c r="B320" s="63" t="s">
        <v>768</v>
      </c>
      <c r="C320" s="63" t="s">
        <v>411</v>
      </c>
      <c r="D320" s="63" t="s">
        <v>717</v>
      </c>
      <c r="E320" s="63" t="s">
        <v>441</v>
      </c>
      <c r="F320" s="63" t="s">
        <v>489</v>
      </c>
      <c r="G320" s="63" t="s">
        <v>510</v>
      </c>
      <c r="H320" s="63">
        <v>10</v>
      </c>
      <c r="I320" s="63">
        <v>1</v>
      </c>
    </row>
    <row r="321" spans="1:9" ht="13.5">
      <c r="A321" s="63" t="s">
        <v>776</v>
      </c>
      <c r="B321" s="63" t="s">
        <v>768</v>
      </c>
      <c r="C321" s="63" t="s">
        <v>411</v>
      </c>
      <c r="D321" s="63" t="s">
        <v>503</v>
      </c>
      <c r="E321" s="63" t="s">
        <v>441</v>
      </c>
      <c r="F321" s="63" t="s">
        <v>413</v>
      </c>
      <c r="G321" s="400" t="s">
        <v>93</v>
      </c>
      <c r="H321" s="63">
        <v>5</v>
      </c>
      <c r="I321" s="63" t="s">
        <v>93</v>
      </c>
    </row>
    <row r="322" spans="1:9" ht="13.5">
      <c r="A322" s="63" t="s">
        <v>777</v>
      </c>
      <c r="B322" s="63" t="s">
        <v>768</v>
      </c>
      <c r="C322" s="63" t="s">
        <v>411</v>
      </c>
      <c r="D322" s="63" t="s">
        <v>460</v>
      </c>
      <c r="E322" s="63" t="s">
        <v>441</v>
      </c>
      <c r="F322" s="63" t="s">
        <v>413</v>
      </c>
      <c r="G322" s="400" t="s">
        <v>93</v>
      </c>
      <c r="H322" s="63">
        <v>5</v>
      </c>
      <c r="I322" s="63" t="s">
        <v>93</v>
      </c>
    </row>
    <row r="323" spans="1:9" ht="13.5">
      <c r="A323" s="63" t="s">
        <v>778</v>
      </c>
      <c r="B323" s="63" t="s">
        <v>768</v>
      </c>
      <c r="C323" s="63">
        <v>1</v>
      </c>
      <c r="D323" s="63" t="s">
        <v>477</v>
      </c>
      <c r="E323" s="63" t="s">
        <v>441</v>
      </c>
      <c r="F323" s="63" t="s">
        <v>489</v>
      </c>
      <c r="G323" s="63" t="s">
        <v>510</v>
      </c>
      <c r="H323" s="63">
        <v>12</v>
      </c>
      <c r="I323" s="63" t="s">
        <v>293</v>
      </c>
    </row>
    <row r="324" spans="1:9" ht="13.5">
      <c r="A324" s="63" t="s">
        <v>779</v>
      </c>
      <c r="B324" s="63" t="s">
        <v>768</v>
      </c>
      <c r="C324" s="63">
        <v>1</v>
      </c>
      <c r="D324" s="63" t="s">
        <v>484</v>
      </c>
      <c r="E324" s="63" t="s">
        <v>441</v>
      </c>
      <c r="F324" s="63" t="s">
        <v>413</v>
      </c>
      <c r="G324" s="400" t="s">
        <v>93</v>
      </c>
      <c r="H324" s="63">
        <v>5</v>
      </c>
      <c r="I324" s="63" t="s">
        <v>93</v>
      </c>
    </row>
    <row r="325" spans="1:12" s="477" customFormat="1" ht="11.25">
      <c r="A325" s="477" t="s">
        <v>780</v>
      </c>
      <c r="B325" s="477" t="s">
        <v>768</v>
      </c>
      <c r="C325" s="477">
        <v>1</v>
      </c>
      <c r="D325" s="477" t="s">
        <v>412</v>
      </c>
      <c r="E325" s="477" t="s">
        <v>93</v>
      </c>
      <c r="F325" s="477" t="s">
        <v>413</v>
      </c>
      <c r="G325" s="477" t="s">
        <v>93</v>
      </c>
      <c r="H325" s="477" t="s">
        <v>93</v>
      </c>
      <c r="I325" s="477" t="s">
        <v>93</v>
      </c>
      <c r="J325" s="478"/>
      <c r="L325" s="479"/>
    </row>
    <row r="326" spans="1:9" ht="13.5">
      <c r="A326" s="63" t="s">
        <v>781</v>
      </c>
      <c r="B326" s="63" t="s">
        <v>768</v>
      </c>
      <c r="C326" s="63">
        <v>1</v>
      </c>
      <c r="D326" s="63" t="s">
        <v>477</v>
      </c>
      <c r="E326" s="63" t="s">
        <v>441</v>
      </c>
      <c r="F326" s="63" t="s">
        <v>413</v>
      </c>
      <c r="G326" s="400" t="s">
        <v>93</v>
      </c>
      <c r="H326" s="63">
        <v>4</v>
      </c>
      <c r="I326" s="63" t="s">
        <v>93</v>
      </c>
    </row>
    <row r="327" spans="1:9" ht="13.5">
      <c r="A327" s="63" t="s">
        <v>782</v>
      </c>
      <c r="B327" s="63" t="s">
        <v>768</v>
      </c>
      <c r="C327" s="63" t="s">
        <v>411</v>
      </c>
      <c r="D327" s="63" t="s">
        <v>460</v>
      </c>
      <c r="E327" s="63" t="s">
        <v>441</v>
      </c>
      <c r="F327" s="63" t="s">
        <v>413</v>
      </c>
      <c r="G327" s="400" t="s">
        <v>93</v>
      </c>
      <c r="H327" s="63">
        <v>4</v>
      </c>
      <c r="I327" s="63" t="s">
        <v>93</v>
      </c>
    </row>
    <row r="328" spans="1:9" ht="13.5">
      <c r="A328" s="63" t="s">
        <v>783</v>
      </c>
      <c r="B328" s="63" t="s">
        <v>768</v>
      </c>
      <c r="C328" s="63">
        <v>1</v>
      </c>
      <c r="D328" s="63" t="s">
        <v>503</v>
      </c>
      <c r="E328" s="63" t="s">
        <v>441</v>
      </c>
      <c r="F328" s="63" t="s">
        <v>413</v>
      </c>
      <c r="G328" s="400" t="s">
        <v>93</v>
      </c>
      <c r="H328" s="63">
        <v>4</v>
      </c>
      <c r="I328" s="63" t="s">
        <v>93</v>
      </c>
    </row>
    <row r="329" spans="1:9" ht="13.5">
      <c r="A329" s="63" t="s">
        <v>784</v>
      </c>
      <c r="B329" s="63" t="s">
        <v>768</v>
      </c>
      <c r="C329" s="63">
        <v>1</v>
      </c>
      <c r="D329" s="63" t="s">
        <v>477</v>
      </c>
      <c r="E329" s="400" t="s">
        <v>45</v>
      </c>
      <c r="F329" s="63" t="s">
        <v>489</v>
      </c>
      <c r="G329" s="63" t="s">
        <v>510</v>
      </c>
      <c r="H329" s="63">
        <v>5</v>
      </c>
      <c r="I329" s="63" t="s">
        <v>93</v>
      </c>
    </row>
    <row r="330" spans="1:11" ht="13.5">
      <c r="A330" s="469" t="s">
        <v>785</v>
      </c>
      <c r="B330" s="470" t="s">
        <v>292</v>
      </c>
      <c r="C330" s="470" t="s">
        <v>293</v>
      </c>
      <c r="D330" s="470" t="s">
        <v>294</v>
      </c>
      <c r="E330" s="470" t="s">
        <v>176</v>
      </c>
      <c r="F330" s="470" t="s">
        <v>295</v>
      </c>
      <c r="G330" s="470" t="s">
        <v>248</v>
      </c>
      <c r="H330" s="470" t="s">
        <v>296</v>
      </c>
      <c r="I330" s="470" t="s">
        <v>242</v>
      </c>
      <c r="J330" s="471" t="s">
        <v>297</v>
      </c>
      <c r="K330" s="471" t="s">
        <v>409</v>
      </c>
    </row>
    <row r="331" spans="1:11" ht="13.5">
      <c r="A331" s="63" t="s">
        <v>786</v>
      </c>
      <c r="B331" s="63" t="s">
        <v>785</v>
      </c>
      <c r="C331" s="63" t="s">
        <v>411</v>
      </c>
      <c r="D331" s="63" t="s">
        <v>460</v>
      </c>
      <c r="E331" s="63" t="s">
        <v>441</v>
      </c>
      <c r="F331" s="63" t="s">
        <v>413</v>
      </c>
      <c r="G331" s="63" t="s">
        <v>93</v>
      </c>
      <c r="H331" s="63">
        <v>8</v>
      </c>
      <c r="I331" s="63" t="s">
        <v>93</v>
      </c>
      <c r="K331" s="400" t="s">
        <v>787</v>
      </c>
    </row>
    <row r="332" spans="1:11" ht="13.5">
      <c r="A332" s="63" t="s">
        <v>788</v>
      </c>
      <c r="B332" s="63" t="s">
        <v>785</v>
      </c>
      <c r="C332" s="63" t="s">
        <v>411</v>
      </c>
      <c r="D332" s="63" t="s">
        <v>446</v>
      </c>
      <c r="E332" s="63" t="s">
        <v>441</v>
      </c>
      <c r="F332" s="63" t="s">
        <v>413</v>
      </c>
      <c r="G332" s="63" t="s">
        <v>93</v>
      </c>
      <c r="H332" s="63" t="s">
        <v>93</v>
      </c>
      <c r="I332" s="63">
        <v>1</v>
      </c>
      <c r="K332" s="400" t="s">
        <v>787</v>
      </c>
    </row>
    <row r="333" spans="1:11" ht="13.5">
      <c r="A333" s="63" t="s">
        <v>789</v>
      </c>
      <c r="B333" s="63" t="s">
        <v>785</v>
      </c>
      <c r="C333" s="63">
        <v>1</v>
      </c>
      <c r="D333" s="63" t="s">
        <v>460</v>
      </c>
      <c r="E333" s="63" t="s">
        <v>441</v>
      </c>
      <c r="F333" s="63" t="s">
        <v>413</v>
      </c>
      <c r="G333" s="63" t="s">
        <v>93</v>
      </c>
      <c r="H333" s="63">
        <v>8</v>
      </c>
      <c r="I333" s="63" t="s">
        <v>93</v>
      </c>
      <c r="K333" s="400" t="s">
        <v>787</v>
      </c>
    </row>
    <row r="334" spans="1:12" s="481" customFormat="1" ht="11.25">
      <c r="A334" s="481" t="s">
        <v>790</v>
      </c>
      <c r="B334" s="481" t="s">
        <v>785</v>
      </c>
      <c r="C334" s="481">
        <v>1</v>
      </c>
      <c r="D334" s="481" t="s">
        <v>412</v>
      </c>
      <c r="E334" s="481" t="s">
        <v>93</v>
      </c>
      <c r="F334" s="481" t="s">
        <v>413</v>
      </c>
      <c r="G334" s="481" t="s">
        <v>93</v>
      </c>
      <c r="H334" s="481" t="s">
        <v>93</v>
      </c>
      <c r="I334" s="481" t="s">
        <v>93</v>
      </c>
      <c r="J334" s="482"/>
      <c r="K334" s="477" t="s">
        <v>787</v>
      </c>
      <c r="L334" s="483"/>
    </row>
    <row r="335" spans="1:12" s="481" customFormat="1" ht="11.25">
      <c r="A335" s="481" t="s">
        <v>791</v>
      </c>
      <c r="B335" s="481" t="s">
        <v>785</v>
      </c>
      <c r="C335" s="481">
        <v>1</v>
      </c>
      <c r="D335" s="481" t="s">
        <v>412</v>
      </c>
      <c r="E335" s="481" t="s">
        <v>93</v>
      </c>
      <c r="F335" s="481" t="s">
        <v>413</v>
      </c>
      <c r="G335" s="481" t="s">
        <v>93</v>
      </c>
      <c r="H335" s="481" t="s">
        <v>93</v>
      </c>
      <c r="I335" s="481" t="s">
        <v>93</v>
      </c>
      <c r="J335" s="482"/>
      <c r="K335" s="477" t="s">
        <v>787</v>
      </c>
      <c r="L335" s="483"/>
    </row>
    <row r="336" spans="1:12" s="481" customFormat="1" ht="11.25">
      <c r="A336" s="481" t="s">
        <v>792</v>
      </c>
      <c r="B336" s="481" t="s">
        <v>785</v>
      </c>
      <c r="C336" s="481">
        <v>1</v>
      </c>
      <c r="D336" s="481" t="s">
        <v>412</v>
      </c>
      <c r="E336" s="481" t="s">
        <v>93</v>
      </c>
      <c r="F336" s="481" t="s">
        <v>413</v>
      </c>
      <c r="G336" s="481" t="s">
        <v>93</v>
      </c>
      <c r="H336" s="481" t="s">
        <v>93</v>
      </c>
      <c r="I336" s="481" t="s">
        <v>93</v>
      </c>
      <c r="J336" s="482"/>
      <c r="K336" s="477" t="s">
        <v>787</v>
      </c>
      <c r="L336" s="483"/>
    </row>
    <row r="337" spans="1:12" s="481" customFormat="1" ht="11.25">
      <c r="A337" s="481" t="s">
        <v>793</v>
      </c>
      <c r="B337" s="481" t="s">
        <v>785</v>
      </c>
      <c r="C337" s="481">
        <v>1</v>
      </c>
      <c r="D337" s="481" t="s">
        <v>412</v>
      </c>
      <c r="E337" s="481" t="s">
        <v>93</v>
      </c>
      <c r="F337" s="481" t="s">
        <v>413</v>
      </c>
      <c r="G337" s="481" t="s">
        <v>93</v>
      </c>
      <c r="H337" s="481" t="s">
        <v>93</v>
      </c>
      <c r="I337" s="481" t="s">
        <v>93</v>
      </c>
      <c r="J337" s="482"/>
      <c r="K337" s="477" t="s">
        <v>787</v>
      </c>
      <c r="L337" s="483"/>
    </row>
    <row r="338" spans="1:12" s="481" customFormat="1" ht="11.25">
      <c r="A338" s="481" t="s">
        <v>794</v>
      </c>
      <c r="B338" s="481" t="s">
        <v>785</v>
      </c>
      <c r="C338" s="481">
        <v>1</v>
      </c>
      <c r="D338" s="481" t="s">
        <v>412</v>
      </c>
      <c r="E338" s="481" t="s">
        <v>93</v>
      </c>
      <c r="F338" s="481" t="s">
        <v>413</v>
      </c>
      <c r="G338" s="481" t="s">
        <v>93</v>
      </c>
      <c r="H338" s="481" t="s">
        <v>93</v>
      </c>
      <c r="I338" s="481" t="s">
        <v>93</v>
      </c>
      <c r="J338" s="482"/>
      <c r="K338" s="477" t="s">
        <v>787</v>
      </c>
      <c r="L338" s="483"/>
    </row>
    <row r="339" spans="1:12" s="481" customFormat="1" ht="11.25">
      <c r="A339" s="481" t="s">
        <v>795</v>
      </c>
      <c r="B339" s="481" t="s">
        <v>785</v>
      </c>
      <c r="C339" s="481">
        <v>1</v>
      </c>
      <c r="D339" s="481" t="s">
        <v>412</v>
      </c>
      <c r="E339" s="481" t="s">
        <v>93</v>
      </c>
      <c r="F339" s="481" t="s">
        <v>413</v>
      </c>
      <c r="G339" s="481" t="s">
        <v>93</v>
      </c>
      <c r="H339" s="481" t="s">
        <v>93</v>
      </c>
      <c r="I339" s="481" t="s">
        <v>93</v>
      </c>
      <c r="J339" s="482"/>
      <c r="K339" s="477" t="s">
        <v>787</v>
      </c>
      <c r="L339" s="483"/>
    </row>
    <row r="340" spans="1:11" ht="13.5">
      <c r="A340" s="63" t="s">
        <v>796</v>
      </c>
      <c r="B340" s="63" t="s">
        <v>785</v>
      </c>
      <c r="C340" s="63" t="s">
        <v>411</v>
      </c>
      <c r="D340" s="63" t="s">
        <v>460</v>
      </c>
      <c r="E340" s="63" t="s">
        <v>441</v>
      </c>
      <c r="F340" s="63" t="s">
        <v>413</v>
      </c>
      <c r="G340" s="63" t="s">
        <v>93</v>
      </c>
      <c r="H340" s="63">
        <v>6</v>
      </c>
      <c r="I340" s="63" t="s">
        <v>93</v>
      </c>
      <c r="K340" s="400" t="s">
        <v>787</v>
      </c>
    </row>
    <row r="341" spans="1:11" ht="13.5">
      <c r="A341" s="63" t="s">
        <v>797</v>
      </c>
      <c r="B341" s="63" t="s">
        <v>785</v>
      </c>
      <c r="C341" s="63" t="s">
        <v>411</v>
      </c>
      <c r="D341" s="63" t="s">
        <v>460</v>
      </c>
      <c r="E341" s="63" t="s">
        <v>441</v>
      </c>
      <c r="F341" s="63" t="s">
        <v>413</v>
      </c>
      <c r="G341" s="63" t="s">
        <v>93</v>
      </c>
      <c r="H341" s="63">
        <v>6</v>
      </c>
      <c r="I341" s="63" t="s">
        <v>93</v>
      </c>
      <c r="K341" s="400" t="s">
        <v>787</v>
      </c>
    </row>
    <row r="342" spans="1:11" ht="13.5">
      <c r="A342" s="63" t="s">
        <v>798</v>
      </c>
      <c r="B342" s="63" t="s">
        <v>785</v>
      </c>
      <c r="C342" s="63" t="s">
        <v>411</v>
      </c>
      <c r="D342" s="63" t="s">
        <v>460</v>
      </c>
      <c r="E342" s="63" t="s">
        <v>441</v>
      </c>
      <c r="F342" s="63" t="s">
        <v>413</v>
      </c>
      <c r="G342" s="63" t="s">
        <v>93</v>
      </c>
      <c r="H342" s="63">
        <v>6</v>
      </c>
      <c r="I342" s="63" t="s">
        <v>93</v>
      </c>
      <c r="K342" s="400" t="s">
        <v>787</v>
      </c>
    </row>
    <row r="343" spans="1:11" ht="13.5">
      <c r="A343" s="63" t="s">
        <v>799</v>
      </c>
      <c r="B343" s="63" t="s">
        <v>785</v>
      </c>
      <c r="C343" s="63" t="s">
        <v>411</v>
      </c>
      <c r="D343" s="63" t="s">
        <v>460</v>
      </c>
      <c r="E343" s="63" t="s">
        <v>441</v>
      </c>
      <c r="F343" s="63" t="s">
        <v>413</v>
      </c>
      <c r="G343" s="63" t="s">
        <v>93</v>
      </c>
      <c r="H343" s="63">
        <v>6</v>
      </c>
      <c r="I343" s="63" t="s">
        <v>93</v>
      </c>
      <c r="K343" s="400" t="s">
        <v>787</v>
      </c>
    </row>
    <row r="344" spans="1:11" ht="13.5">
      <c r="A344" s="63" t="s">
        <v>800</v>
      </c>
      <c r="B344" s="63" t="s">
        <v>785</v>
      </c>
      <c r="C344" s="63" t="s">
        <v>411</v>
      </c>
      <c r="D344" s="63" t="s">
        <v>460</v>
      </c>
      <c r="E344" s="63" t="s">
        <v>441</v>
      </c>
      <c r="F344" s="63" t="s">
        <v>413</v>
      </c>
      <c r="G344" s="63" t="s">
        <v>93</v>
      </c>
      <c r="H344" s="63">
        <v>6</v>
      </c>
      <c r="I344" s="63" t="s">
        <v>93</v>
      </c>
      <c r="K344" s="400" t="s">
        <v>787</v>
      </c>
    </row>
    <row r="345" spans="1:11" ht="13.5">
      <c r="A345" s="63" t="s">
        <v>801</v>
      </c>
      <c r="B345" s="63" t="s">
        <v>785</v>
      </c>
      <c r="C345" s="63" t="s">
        <v>411</v>
      </c>
      <c r="D345" s="63" t="s">
        <v>460</v>
      </c>
      <c r="E345" s="63" t="s">
        <v>441</v>
      </c>
      <c r="F345" s="63" t="s">
        <v>413</v>
      </c>
      <c r="G345" s="63" t="s">
        <v>93</v>
      </c>
      <c r="H345" s="63">
        <v>6</v>
      </c>
      <c r="I345" s="63" t="s">
        <v>93</v>
      </c>
      <c r="K345" s="400" t="s">
        <v>787</v>
      </c>
    </row>
    <row r="346" spans="1:11" ht="13.5">
      <c r="A346" s="63" t="s">
        <v>802</v>
      </c>
      <c r="B346" s="63" t="s">
        <v>785</v>
      </c>
      <c r="C346" s="63" t="s">
        <v>411</v>
      </c>
      <c r="D346" s="63" t="s">
        <v>460</v>
      </c>
      <c r="E346" s="63" t="s">
        <v>441</v>
      </c>
      <c r="F346" s="63" t="s">
        <v>413</v>
      </c>
      <c r="G346" s="63" t="s">
        <v>93</v>
      </c>
      <c r="H346" s="63">
        <v>8</v>
      </c>
      <c r="I346" s="63" t="s">
        <v>93</v>
      </c>
      <c r="K346" s="400" t="s">
        <v>787</v>
      </c>
    </row>
    <row r="347" spans="1:11" ht="13.5">
      <c r="A347" s="63" t="s">
        <v>803</v>
      </c>
      <c r="B347" s="63" t="s">
        <v>785</v>
      </c>
      <c r="C347" s="63">
        <v>1</v>
      </c>
      <c r="D347" s="63" t="s">
        <v>477</v>
      </c>
      <c r="E347" s="63" t="s">
        <v>166</v>
      </c>
      <c r="F347" s="63" t="s">
        <v>489</v>
      </c>
      <c r="G347" s="63" t="s">
        <v>497</v>
      </c>
      <c r="H347" s="63">
        <v>9</v>
      </c>
      <c r="I347" s="63" t="s">
        <v>93</v>
      </c>
      <c r="K347" s="400" t="s">
        <v>787</v>
      </c>
    </row>
    <row r="348" spans="1:12" s="484" customFormat="1" ht="11.25">
      <c r="A348" s="484" t="s">
        <v>804</v>
      </c>
      <c r="B348" s="484" t="s">
        <v>785</v>
      </c>
      <c r="C348" s="484">
        <v>1</v>
      </c>
      <c r="D348" s="484" t="s">
        <v>412</v>
      </c>
      <c r="E348" s="484" t="s">
        <v>93</v>
      </c>
      <c r="F348" s="484" t="s">
        <v>413</v>
      </c>
      <c r="G348" s="484" t="s">
        <v>93</v>
      </c>
      <c r="H348" s="484" t="s">
        <v>93</v>
      </c>
      <c r="I348" s="484" t="s">
        <v>93</v>
      </c>
      <c r="J348" s="485"/>
      <c r="K348" s="472" t="s">
        <v>787</v>
      </c>
      <c r="L348" s="486"/>
    </row>
    <row r="349" spans="1:12" s="484" customFormat="1" ht="11.25">
      <c r="A349" s="484" t="s">
        <v>805</v>
      </c>
      <c r="B349" s="484" t="s">
        <v>785</v>
      </c>
      <c r="C349" s="484">
        <v>1</v>
      </c>
      <c r="D349" s="484" t="s">
        <v>412</v>
      </c>
      <c r="E349" s="484" t="s">
        <v>93</v>
      </c>
      <c r="F349" s="484" t="s">
        <v>413</v>
      </c>
      <c r="G349" s="484" t="s">
        <v>93</v>
      </c>
      <c r="H349" s="484" t="s">
        <v>93</v>
      </c>
      <c r="I349" s="484" t="s">
        <v>93</v>
      </c>
      <c r="J349" s="485"/>
      <c r="K349" s="472" t="s">
        <v>787</v>
      </c>
      <c r="L349" s="486"/>
    </row>
    <row r="350" spans="1:12" s="484" customFormat="1" ht="11.25">
      <c r="A350" s="484" t="s">
        <v>806</v>
      </c>
      <c r="B350" s="484" t="s">
        <v>785</v>
      </c>
      <c r="C350" s="484">
        <v>1</v>
      </c>
      <c r="D350" s="484" t="s">
        <v>412</v>
      </c>
      <c r="E350" s="484" t="s">
        <v>93</v>
      </c>
      <c r="F350" s="484" t="s">
        <v>413</v>
      </c>
      <c r="G350" s="484" t="s">
        <v>93</v>
      </c>
      <c r="H350" s="484" t="s">
        <v>93</v>
      </c>
      <c r="I350" s="484" t="s">
        <v>93</v>
      </c>
      <c r="J350" s="485"/>
      <c r="K350" s="472" t="s">
        <v>787</v>
      </c>
      <c r="L350" s="486"/>
    </row>
    <row r="351" spans="1:12" s="484" customFormat="1" ht="11.25">
      <c r="A351" s="484" t="s">
        <v>807</v>
      </c>
      <c r="B351" s="484" t="s">
        <v>785</v>
      </c>
      <c r="C351" s="484">
        <v>1</v>
      </c>
      <c r="D351" s="484" t="s">
        <v>412</v>
      </c>
      <c r="E351" s="484" t="s">
        <v>93</v>
      </c>
      <c r="F351" s="484" t="s">
        <v>413</v>
      </c>
      <c r="G351" s="484" t="s">
        <v>93</v>
      </c>
      <c r="H351" s="484" t="s">
        <v>93</v>
      </c>
      <c r="I351" s="484" t="s">
        <v>93</v>
      </c>
      <c r="J351" s="485"/>
      <c r="K351" s="472" t="s">
        <v>787</v>
      </c>
      <c r="L351" s="486"/>
    </row>
    <row r="352" spans="1:12" s="484" customFormat="1" ht="11.25">
      <c r="A352" s="484" t="s">
        <v>808</v>
      </c>
      <c r="B352" s="484" t="s">
        <v>785</v>
      </c>
      <c r="C352" s="484">
        <v>1</v>
      </c>
      <c r="D352" s="484" t="s">
        <v>412</v>
      </c>
      <c r="E352" s="484" t="s">
        <v>93</v>
      </c>
      <c r="F352" s="484" t="s">
        <v>413</v>
      </c>
      <c r="G352" s="484" t="s">
        <v>93</v>
      </c>
      <c r="H352" s="484" t="s">
        <v>93</v>
      </c>
      <c r="I352" s="484" t="s">
        <v>93</v>
      </c>
      <c r="J352" s="485"/>
      <c r="K352" s="472" t="s">
        <v>787</v>
      </c>
      <c r="L352" s="486"/>
    </row>
    <row r="353" spans="1:12" s="484" customFormat="1" ht="11.25">
      <c r="A353" s="484" t="s">
        <v>809</v>
      </c>
      <c r="B353" s="484" t="s">
        <v>785</v>
      </c>
      <c r="C353" s="484">
        <v>1</v>
      </c>
      <c r="D353" s="484" t="s">
        <v>412</v>
      </c>
      <c r="E353" s="484" t="s">
        <v>93</v>
      </c>
      <c r="F353" s="484" t="s">
        <v>413</v>
      </c>
      <c r="G353" s="484" t="s">
        <v>93</v>
      </c>
      <c r="H353" s="484" t="s">
        <v>93</v>
      </c>
      <c r="I353" s="484" t="s">
        <v>93</v>
      </c>
      <c r="J353" s="485"/>
      <c r="K353" s="472" t="s">
        <v>787</v>
      </c>
      <c r="L353" s="486"/>
    </row>
    <row r="354" spans="1:11" ht="13.5">
      <c r="A354" s="63" t="s">
        <v>810</v>
      </c>
      <c r="B354" s="63" t="s">
        <v>785</v>
      </c>
      <c r="C354" s="63">
        <v>1</v>
      </c>
      <c r="D354" s="63" t="s">
        <v>484</v>
      </c>
      <c r="E354" s="63" t="s">
        <v>441</v>
      </c>
      <c r="F354" s="63" t="s">
        <v>413</v>
      </c>
      <c r="G354" s="63" t="s">
        <v>93</v>
      </c>
      <c r="H354" s="63" t="s">
        <v>93</v>
      </c>
      <c r="I354" s="63" t="s">
        <v>811</v>
      </c>
      <c r="K354" s="400" t="s">
        <v>812</v>
      </c>
    </row>
    <row r="355" spans="1:11" ht="13.5">
      <c r="A355" s="63" t="s">
        <v>813</v>
      </c>
      <c r="B355" s="63" t="s">
        <v>785</v>
      </c>
      <c r="C355" s="63">
        <v>1</v>
      </c>
      <c r="D355" s="63" t="s">
        <v>460</v>
      </c>
      <c r="E355" s="63" t="s">
        <v>441</v>
      </c>
      <c r="F355" s="63" t="s">
        <v>413</v>
      </c>
      <c r="G355" s="63" t="s">
        <v>93</v>
      </c>
      <c r="H355" s="63">
        <v>8</v>
      </c>
      <c r="I355" s="63" t="s">
        <v>93</v>
      </c>
      <c r="K355" s="400" t="s">
        <v>812</v>
      </c>
    </row>
    <row r="356" spans="1:11" ht="13.5">
      <c r="A356" s="63" t="s">
        <v>814</v>
      </c>
      <c r="B356" s="63" t="s">
        <v>785</v>
      </c>
      <c r="C356" s="63">
        <v>1</v>
      </c>
      <c r="D356" s="63" t="s">
        <v>460</v>
      </c>
      <c r="E356" s="63" t="s">
        <v>441</v>
      </c>
      <c r="F356" s="63" t="s">
        <v>413</v>
      </c>
      <c r="G356" s="63" t="s">
        <v>93</v>
      </c>
      <c r="H356" s="63">
        <v>8</v>
      </c>
      <c r="I356" s="63" t="s">
        <v>93</v>
      </c>
      <c r="K356" s="400" t="s">
        <v>812</v>
      </c>
    </row>
    <row r="357" spans="1:11" ht="13.5">
      <c r="A357" s="63" t="s">
        <v>815</v>
      </c>
      <c r="B357" s="63" t="s">
        <v>785</v>
      </c>
      <c r="C357" s="63">
        <v>1</v>
      </c>
      <c r="D357" s="63" t="s">
        <v>427</v>
      </c>
      <c r="E357" s="63" t="s">
        <v>441</v>
      </c>
      <c r="F357" s="63" t="s">
        <v>413</v>
      </c>
      <c r="G357" s="63" t="s">
        <v>93</v>
      </c>
      <c r="H357" s="63">
        <v>9</v>
      </c>
      <c r="I357" s="63" t="s">
        <v>811</v>
      </c>
      <c r="K357" s="400" t="s">
        <v>812</v>
      </c>
    </row>
    <row r="358" spans="1:12" s="484" customFormat="1" ht="11.25">
      <c r="A358" s="484" t="s">
        <v>816</v>
      </c>
      <c r="B358" s="484" t="s">
        <v>785</v>
      </c>
      <c r="C358" s="484">
        <v>1</v>
      </c>
      <c r="D358" s="484" t="s">
        <v>412</v>
      </c>
      <c r="E358" s="484" t="s">
        <v>93</v>
      </c>
      <c r="F358" s="484" t="s">
        <v>413</v>
      </c>
      <c r="G358" s="484" t="s">
        <v>93</v>
      </c>
      <c r="H358" s="484" t="s">
        <v>93</v>
      </c>
      <c r="J358" s="485"/>
      <c r="K358" s="472" t="s">
        <v>812</v>
      </c>
      <c r="L358" s="486"/>
    </row>
    <row r="359" spans="1:12" s="481" customFormat="1" ht="11.25">
      <c r="A359" s="481" t="s">
        <v>817</v>
      </c>
      <c r="B359" s="481" t="s">
        <v>785</v>
      </c>
      <c r="C359" s="63" t="s">
        <v>411</v>
      </c>
      <c r="D359" s="481" t="s">
        <v>412</v>
      </c>
      <c r="E359" s="481" t="s">
        <v>93</v>
      </c>
      <c r="F359" s="481" t="s">
        <v>413</v>
      </c>
      <c r="G359" s="481" t="s">
        <v>93</v>
      </c>
      <c r="H359" s="481" t="s">
        <v>93</v>
      </c>
      <c r="I359" s="481" t="s">
        <v>93</v>
      </c>
      <c r="J359" s="482"/>
      <c r="K359" s="477" t="s">
        <v>812</v>
      </c>
      <c r="L359" s="483"/>
    </row>
    <row r="360" spans="1:11" ht="13.5">
      <c r="A360" s="63" t="s">
        <v>818</v>
      </c>
      <c r="B360" s="63" t="s">
        <v>785</v>
      </c>
      <c r="C360" s="63">
        <v>1</v>
      </c>
      <c r="D360" s="63" t="s">
        <v>477</v>
      </c>
      <c r="E360" s="63" t="s">
        <v>166</v>
      </c>
      <c r="F360" s="63" t="s">
        <v>428</v>
      </c>
      <c r="G360" s="63" t="s">
        <v>428</v>
      </c>
      <c r="H360" s="63">
        <v>12</v>
      </c>
      <c r="I360" s="63" t="s">
        <v>93</v>
      </c>
      <c r="K360" s="400" t="s">
        <v>812</v>
      </c>
    </row>
    <row r="361" spans="1:12" s="484" customFormat="1" ht="11.25">
      <c r="A361" s="484" t="s">
        <v>819</v>
      </c>
      <c r="B361" s="484" t="s">
        <v>785</v>
      </c>
      <c r="C361" s="484" t="s">
        <v>411</v>
      </c>
      <c r="D361" s="484" t="s">
        <v>412</v>
      </c>
      <c r="E361" s="484" t="s">
        <v>93</v>
      </c>
      <c r="F361" s="484" t="s">
        <v>413</v>
      </c>
      <c r="G361" s="484" t="s">
        <v>93</v>
      </c>
      <c r="H361" s="484" t="s">
        <v>93</v>
      </c>
      <c r="I361" s="484" t="s">
        <v>93</v>
      </c>
      <c r="J361" s="485"/>
      <c r="K361" s="472" t="s">
        <v>812</v>
      </c>
      <c r="L361" s="486"/>
    </row>
    <row r="362" spans="1:11" ht="13.5">
      <c r="A362" s="63" t="s">
        <v>820</v>
      </c>
      <c r="B362" s="63" t="s">
        <v>785</v>
      </c>
      <c r="C362" s="63">
        <v>1</v>
      </c>
      <c r="D362" s="63" t="s">
        <v>446</v>
      </c>
      <c r="E362" s="63" t="s">
        <v>441</v>
      </c>
      <c r="F362" s="63" t="s">
        <v>413</v>
      </c>
      <c r="G362" s="63" t="s">
        <v>93</v>
      </c>
      <c r="H362" s="63" t="s">
        <v>93</v>
      </c>
      <c r="I362" s="63" t="s">
        <v>93</v>
      </c>
      <c r="K362" s="400" t="s">
        <v>812</v>
      </c>
    </row>
    <row r="363" spans="1:11" ht="13.5">
      <c r="A363" s="469" t="s">
        <v>821</v>
      </c>
      <c r="B363" s="470" t="s">
        <v>292</v>
      </c>
      <c r="C363" s="470" t="s">
        <v>293</v>
      </c>
      <c r="D363" s="470" t="s">
        <v>294</v>
      </c>
      <c r="E363" s="470" t="s">
        <v>176</v>
      </c>
      <c r="F363" s="470" t="s">
        <v>295</v>
      </c>
      <c r="G363" s="470" t="s">
        <v>248</v>
      </c>
      <c r="H363" s="470" t="s">
        <v>296</v>
      </c>
      <c r="I363" s="470" t="s">
        <v>242</v>
      </c>
      <c r="J363" s="471" t="s">
        <v>297</v>
      </c>
      <c r="K363" s="471" t="s">
        <v>409</v>
      </c>
    </row>
    <row r="364" spans="1:12" s="484" customFormat="1" ht="11.25">
      <c r="A364" s="484" t="s">
        <v>822</v>
      </c>
      <c r="B364" s="484" t="s">
        <v>821</v>
      </c>
      <c r="C364" s="484" t="s">
        <v>411</v>
      </c>
      <c r="D364" s="484" t="s">
        <v>412</v>
      </c>
      <c r="E364" s="484" t="s">
        <v>93</v>
      </c>
      <c r="F364" s="484" t="s">
        <v>413</v>
      </c>
      <c r="G364" s="484" t="s">
        <v>93</v>
      </c>
      <c r="H364" s="484" t="s">
        <v>93</v>
      </c>
      <c r="I364" s="484" t="s">
        <v>93</v>
      </c>
      <c r="J364" s="485"/>
      <c r="K364" s="472" t="s">
        <v>823</v>
      </c>
      <c r="L364" s="486"/>
    </row>
    <row r="365" spans="1:12" s="481" customFormat="1" ht="11.25">
      <c r="A365" s="481" t="s">
        <v>824</v>
      </c>
      <c r="B365" s="481" t="s">
        <v>821</v>
      </c>
      <c r="C365" s="481">
        <v>1</v>
      </c>
      <c r="D365" s="481" t="s">
        <v>412</v>
      </c>
      <c r="E365" s="481" t="s">
        <v>93</v>
      </c>
      <c r="F365" s="481" t="s">
        <v>413</v>
      </c>
      <c r="G365" s="481" t="s">
        <v>93</v>
      </c>
      <c r="H365" s="481" t="s">
        <v>93</v>
      </c>
      <c r="I365" s="481" t="s">
        <v>93</v>
      </c>
      <c r="J365" s="482"/>
      <c r="K365" s="477" t="s">
        <v>823</v>
      </c>
      <c r="L365" s="483"/>
    </row>
    <row r="366" spans="1:11" ht="13.5">
      <c r="A366" s="63" t="s">
        <v>825</v>
      </c>
      <c r="B366" s="63" t="s">
        <v>821</v>
      </c>
      <c r="C366" s="63">
        <v>1</v>
      </c>
      <c r="D366" s="63" t="s">
        <v>460</v>
      </c>
      <c r="E366" s="63" t="s">
        <v>441</v>
      </c>
      <c r="F366" s="63" t="s">
        <v>413</v>
      </c>
      <c r="G366" s="63" t="s">
        <v>93</v>
      </c>
      <c r="H366" s="63">
        <v>8</v>
      </c>
      <c r="I366" s="63" t="s">
        <v>93</v>
      </c>
      <c r="K366" s="400" t="s">
        <v>823</v>
      </c>
    </row>
    <row r="367" spans="1:11" ht="13.5">
      <c r="A367" s="63" t="s">
        <v>826</v>
      </c>
      <c r="B367" s="63" t="s">
        <v>821</v>
      </c>
      <c r="C367" s="63">
        <v>1</v>
      </c>
      <c r="D367" s="63" t="s">
        <v>477</v>
      </c>
      <c r="E367" s="63" t="s">
        <v>441</v>
      </c>
      <c r="F367" s="63" t="s">
        <v>413</v>
      </c>
      <c r="G367" s="63" t="s">
        <v>93</v>
      </c>
      <c r="H367" s="63">
        <v>10</v>
      </c>
      <c r="I367" s="63" t="s">
        <v>93</v>
      </c>
      <c r="K367" s="400" t="s">
        <v>823</v>
      </c>
    </row>
    <row r="368" spans="1:11" ht="13.5">
      <c r="A368" s="63" t="s">
        <v>827</v>
      </c>
      <c r="B368" s="63" t="s">
        <v>821</v>
      </c>
      <c r="C368" s="63">
        <v>1</v>
      </c>
      <c r="D368" s="63" t="s">
        <v>477</v>
      </c>
      <c r="E368" s="63" t="s">
        <v>166</v>
      </c>
      <c r="F368" s="63" t="s">
        <v>501</v>
      </c>
      <c r="G368" s="63" t="s">
        <v>497</v>
      </c>
      <c r="H368" s="63">
        <v>9</v>
      </c>
      <c r="I368" s="63" t="s">
        <v>93</v>
      </c>
      <c r="K368" s="400" t="s">
        <v>823</v>
      </c>
    </row>
    <row r="369" spans="1:11" ht="13.5">
      <c r="A369" s="63" t="s">
        <v>828</v>
      </c>
      <c r="B369" s="63" t="s">
        <v>821</v>
      </c>
      <c r="C369" s="63">
        <v>1</v>
      </c>
      <c r="D369" s="63" t="s">
        <v>460</v>
      </c>
      <c r="E369" s="63" t="s">
        <v>441</v>
      </c>
      <c r="F369" s="63" t="s">
        <v>413</v>
      </c>
      <c r="G369" s="63" t="s">
        <v>93</v>
      </c>
      <c r="H369" s="63">
        <v>4</v>
      </c>
      <c r="I369" s="63" t="s">
        <v>93</v>
      </c>
      <c r="K369" s="400" t="s">
        <v>823</v>
      </c>
    </row>
    <row r="370" spans="1:11" ht="13.5">
      <c r="A370" s="63" t="s">
        <v>829</v>
      </c>
      <c r="B370" s="63" t="s">
        <v>821</v>
      </c>
      <c r="C370" s="63">
        <v>1</v>
      </c>
      <c r="D370" s="63" t="s">
        <v>484</v>
      </c>
      <c r="E370" s="63" t="s">
        <v>441</v>
      </c>
      <c r="F370" s="63" t="s">
        <v>413</v>
      </c>
      <c r="G370" s="63" t="s">
        <v>93</v>
      </c>
      <c r="H370" s="63">
        <v>10</v>
      </c>
      <c r="I370" s="63" t="s">
        <v>93</v>
      </c>
      <c r="K370" s="400" t="s">
        <v>823</v>
      </c>
    </row>
    <row r="371" spans="1:12" s="484" customFormat="1" ht="11.25">
      <c r="A371" s="484" t="s">
        <v>830</v>
      </c>
      <c r="B371" s="484" t="s">
        <v>821</v>
      </c>
      <c r="C371" s="484" t="s">
        <v>411</v>
      </c>
      <c r="D371" s="484" t="s">
        <v>412</v>
      </c>
      <c r="E371" s="484" t="s">
        <v>93</v>
      </c>
      <c r="F371" s="484" t="s">
        <v>413</v>
      </c>
      <c r="G371" s="484" t="s">
        <v>93</v>
      </c>
      <c r="H371" s="484" t="s">
        <v>93</v>
      </c>
      <c r="I371" s="484" t="s">
        <v>93</v>
      </c>
      <c r="J371" s="485"/>
      <c r="K371" s="472" t="s">
        <v>823</v>
      </c>
      <c r="L371" s="486"/>
    </row>
    <row r="372" spans="1:11" ht="13.5">
      <c r="A372" s="63" t="s">
        <v>831</v>
      </c>
      <c r="B372" s="63" t="s">
        <v>821</v>
      </c>
      <c r="C372" s="63" t="s">
        <v>411</v>
      </c>
      <c r="D372" s="63" t="s">
        <v>477</v>
      </c>
      <c r="E372" s="63" t="s">
        <v>166</v>
      </c>
      <c r="F372" s="63" t="s">
        <v>489</v>
      </c>
      <c r="G372" s="63" t="s">
        <v>497</v>
      </c>
      <c r="H372" s="63">
        <v>8</v>
      </c>
      <c r="I372" s="63" t="s">
        <v>93</v>
      </c>
      <c r="K372" s="400" t="s">
        <v>832</v>
      </c>
    </row>
    <row r="373" spans="1:11" ht="13.5">
      <c r="A373" s="63" t="s">
        <v>833</v>
      </c>
      <c r="B373" s="63" t="s">
        <v>821</v>
      </c>
      <c r="C373" s="63">
        <v>1</v>
      </c>
      <c r="D373" s="63" t="s">
        <v>477</v>
      </c>
      <c r="E373" s="63" t="s">
        <v>166</v>
      </c>
      <c r="F373" s="63" t="s">
        <v>428</v>
      </c>
      <c r="G373" s="63" t="s">
        <v>428</v>
      </c>
      <c r="H373" s="63">
        <v>10</v>
      </c>
      <c r="I373" s="63" t="s">
        <v>93</v>
      </c>
      <c r="K373" s="400" t="s">
        <v>832</v>
      </c>
    </row>
    <row r="374" spans="1:12" s="484" customFormat="1" ht="11.25">
      <c r="A374" s="484" t="s">
        <v>834</v>
      </c>
      <c r="B374" s="484" t="s">
        <v>821</v>
      </c>
      <c r="C374" s="484">
        <v>1</v>
      </c>
      <c r="D374" s="484" t="s">
        <v>412</v>
      </c>
      <c r="E374" s="484" t="s">
        <v>93</v>
      </c>
      <c r="F374" s="484" t="s">
        <v>413</v>
      </c>
      <c r="G374" s="484" t="s">
        <v>93</v>
      </c>
      <c r="H374" s="484" t="s">
        <v>93</v>
      </c>
      <c r="I374" s="484" t="s">
        <v>93</v>
      </c>
      <c r="J374" s="485"/>
      <c r="K374" s="472" t="s">
        <v>832</v>
      </c>
      <c r="L374" s="486"/>
    </row>
    <row r="375" spans="1:11" ht="13.5">
      <c r="A375" s="63" t="s">
        <v>835</v>
      </c>
      <c r="B375" s="63" t="s">
        <v>821</v>
      </c>
      <c r="C375" s="63" t="s">
        <v>411</v>
      </c>
      <c r="D375" s="63" t="s">
        <v>460</v>
      </c>
      <c r="E375" s="63" t="s">
        <v>441</v>
      </c>
      <c r="F375" s="63" t="s">
        <v>413</v>
      </c>
      <c r="G375" s="63" t="s">
        <v>93</v>
      </c>
      <c r="H375" s="63">
        <v>6</v>
      </c>
      <c r="I375" s="63" t="s">
        <v>93</v>
      </c>
      <c r="K375" s="400" t="s">
        <v>832</v>
      </c>
    </row>
    <row r="376" spans="1:12" s="484" customFormat="1" ht="11.25">
      <c r="A376" s="484" t="s">
        <v>836</v>
      </c>
      <c r="B376" s="484" t="s">
        <v>821</v>
      </c>
      <c r="C376" s="484">
        <v>1</v>
      </c>
      <c r="D376" s="484" t="s">
        <v>412</v>
      </c>
      <c r="E376" s="484" t="s">
        <v>93</v>
      </c>
      <c r="F376" s="484" t="s">
        <v>413</v>
      </c>
      <c r="G376" s="484" t="s">
        <v>93</v>
      </c>
      <c r="H376" s="484" t="s">
        <v>93</v>
      </c>
      <c r="I376" s="484" t="s">
        <v>93</v>
      </c>
      <c r="J376" s="485"/>
      <c r="K376" s="472" t="s">
        <v>832</v>
      </c>
      <c r="L376" s="486"/>
    </row>
    <row r="377" spans="1:12" s="481" customFormat="1" ht="11.25">
      <c r="A377" s="481" t="s">
        <v>837</v>
      </c>
      <c r="B377" s="481" t="s">
        <v>821</v>
      </c>
      <c r="C377" s="481" t="s">
        <v>411</v>
      </c>
      <c r="D377" s="481" t="s">
        <v>412</v>
      </c>
      <c r="E377" s="481" t="s">
        <v>93</v>
      </c>
      <c r="F377" s="481" t="s">
        <v>413</v>
      </c>
      <c r="G377" s="481" t="s">
        <v>93</v>
      </c>
      <c r="H377" s="481" t="s">
        <v>93</v>
      </c>
      <c r="I377" s="481" t="s">
        <v>93</v>
      </c>
      <c r="J377" s="482"/>
      <c r="K377" s="477" t="s">
        <v>832</v>
      </c>
      <c r="L377" s="483"/>
    </row>
    <row r="378" spans="1:11" ht="13.5">
      <c r="A378" s="63" t="s">
        <v>838</v>
      </c>
      <c r="B378" s="63" t="s">
        <v>821</v>
      </c>
      <c r="C378" s="63" t="s">
        <v>411</v>
      </c>
      <c r="D378" s="63" t="s">
        <v>477</v>
      </c>
      <c r="E378" s="63" t="s">
        <v>48</v>
      </c>
      <c r="F378" s="63" t="s">
        <v>489</v>
      </c>
      <c r="G378" s="63" t="s">
        <v>504</v>
      </c>
      <c r="H378" s="63">
        <v>13</v>
      </c>
      <c r="I378" s="63" t="s">
        <v>93</v>
      </c>
      <c r="K378" s="400" t="s">
        <v>832</v>
      </c>
    </row>
    <row r="379" spans="1:11" ht="13.5">
      <c r="A379" s="63" t="s">
        <v>839</v>
      </c>
      <c r="B379" s="63" t="s">
        <v>821</v>
      </c>
      <c r="C379" s="63">
        <v>1</v>
      </c>
      <c r="D379" s="63" t="s">
        <v>460</v>
      </c>
      <c r="E379" s="63" t="s">
        <v>441</v>
      </c>
      <c r="F379" s="63" t="s">
        <v>413</v>
      </c>
      <c r="G379" s="63" t="s">
        <v>93</v>
      </c>
      <c r="H379" s="63">
        <v>5</v>
      </c>
      <c r="I379" s="63" t="s">
        <v>93</v>
      </c>
      <c r="K379" s="400" t="s">
        <v>832</v>
      </c>
    </row>
    <row r="380" spans="1:11" ht="13.5">
      <c r="A380" s="63" t="s">
        <v>840</v>
      </c>
      <c r="B380" s="63" t="s">
        <v>821</v>
      </c>
      <c r="C380" s="63">
        <v>1</v>
      </c>
      <c r="D380" s="63" t="s">
        <v>460</v>
      </c>
      <c r="E380" s="63" t="s">
        <v>441</v>
      </c>
      <c r="F380" s="63" t="s">
        <v>413</v>
      </c>
      <c r="G380" s="63" t="s">
        <v>93</v>
      </c>
      <c r="H380" s="63">
        <v>8</v>
      </c>
      <c r="I380" s="63" t="s">
        <v>93</v>
      </c>
      <c r="K380" s="400" t="s">
        <v>832</v>
      </c>
    </row>
    <row r="381" spans="1:11" ht="13.5">
      <c r="A381" s="469" t="s">
        <v>841</v>
      </c>
      <c r="B381" s="470" t="s">
        <v>292</v>
      </c>
      <c r="C381" s="470" t="s">
        <v>293</v>
      </c>
      <c r="D381" s="470" t="s">
        <v>294</v>
      </c>
      <c r="E381" s="470" t="s">
        <v>176</v>
      </c>
      <c r="F381" s="470" t="s">
        <v>295</v>
      </c>
      <c r="G381" s="470" t="s">
        <v>248</v>
      </c>
      <c r="H381" s="470" t="s">
        <v>296</v>
      </c>
      <c r="I381" s="470" t="s">
        <v>242</v>
      </c>
      <c r="J381" s="471" t="s">
        <v>297</v>
      </c>
      <c r="K381" s="471" t="s">
        <v>409</v>
      </c>
    </row>
    <row r="382" spans="1:12" s="484" customFormat="1" ht="11.25">
      <c r="A382" s="484" t="s">
        <v>842</v>
      </c>
      <c r="B382" s="484" t="s">
        <v>841</v>
      </c>
      <c r="C382" s="484" t="s">
        <v>411</v>
      </c>
      <c r="D382" s="484" t="s">
        <v>412</v>
      </c>
      <c r="E382" s="484" t="s">
        <v>93</v>
      </c>
      <c r="F382" s="484" t="s">
        <v>413</v>
      </c>
      <c r="G382" s="484" t="s">
        <v>93</v>
      </c>
      <c r="H382" s="484" t="s">
        <v>93</v>
      </c>
      <c r="I382" s="484" t="s">
        <v>93</v>
      </c>
      <c r="J382" s="485"/>
      <c r="L382" s="486"/>
    </row>
    <row r="383" spans="1:12" s="484" customFormat="1" ht="11.25">
      <c r="A383" s="484" t="s">
        <v>843</v>
      </c>
      <c r="B383" s="484" t="s">
        <v>841</v>
      </c>
      <c r="C383" s="484" t="s">
        <v>411</v>
      </c>
      <c r="D383" s="484" t="s">
        <v>412</v>
      </c>
      <c r="E383" s="484" t="s">
        <v>93</v>
      </c>
      <c r="F383" s="484" t="s">
        <v>413</v>
      </c>
      <c r="G383" s="484" t="s">
        <v>93</v>
      </c>
      <c r="H383" s="484" t="s">
        <v>93</v>
      </c>
      <c r="I383" s="484" t="s">
        <v>93</v>
      </c>
      <c r="J383" s="485"/>
      <c r="L383" s="486"/>
    </row>
    <row r="384" spans="1:12" s="484" customFormat="1" ht="11.25">
      <c r="A384" s="484" t="s">
        <v>844</v>
      </c>
      <c r="B384" s="484" t="s">
        <v>841</v>
      </c>
      <c r="C384" s="484" t="s">
        <v>411</v>
      </c>
      <c r="D384" s="484" t="s">
        <v>412</v>
      </c>
      <c r="E384" s="484" t="s">
        <v>93</v>
      </c>
      <c r="F384" s="484" t="s">
        <v>413</v>
      </c>
      <c r="G384" s="484" t="s">
        <v>93</v>
      </c>
      <c r="H384" s="484" t="s">
        <v>93</v>
      </c>
      <c r="I384" s="484" t="s">
        <v>93</v>
      </c>
      <c r="J384" s="485"/>
      <c r="L384" s="486"/>
    </row>
    <row r="385" spans="1:12" s="484" customFormat="1" ht="11.25">
      <c r="A385" s="484" t="s">
        <v>845</v>
      </c>
      <c r="B385" s="484" t="s">
        <v>841</v>
      </c>
      <c r="C385" s="484" t="s">
        <v>411</v>
      </c>
      <c r="D385" s="484" t="s">
        <v>412</v>
      </c>
      <c r="E385" s="484" t="s">
        <v>93</v>
      </c>
      <c r="F385" s="484" t="s">
        <v>413</v>
      </c>
      <c r="G385" s="484" t="s">
        <v>93</v>
      </c>
      <c r="H385" s="484" t="s">
        <v>93</v>
      </c>
      <c r="I385" s="484" t="s">
        <v>93</v>
      </c>
      <c r="J385" s="485"/>
      <c r="L385" s="486"/>
    </row>
    <row r="386" spans="1:12" s="484" customFormat="1" ht="11.25">
      <c r="A386" s="484" t="s">
        <v>846</v>
      </c>
      <c r="B386" s="484" t="s">
        <v>841</v>
      </c>
      <c r="C386" s="484" t="s">
        <v>411</v>
      </c>
      <c r="D386" s="484" t="s">
        <v>412</v>
      </c>
      <c r="E386" s="484" t="s">
        <v>93</v>
      </c>
      <c r="F386" s="484" t="s">
        <v>413</v>
      </c>
      <c r="G386" s="484" t="s">
        <v>93</v>
      </c>
      <c r="H386" s="484" t="s">
        <v>93</v>
      </c>
      <c r="I386" s="484" t="s">
        <v>93</v>
      </c>
      <c r="J386" s="485"/>
      <c r="L386" s="486"/>
    </row>
    <row r="387" spans="1:12" s="484" customFormat="1" ht="11.25">
      <c r="A387" s="484" t="s">
        <v>847</v>
      </c>
      <c r="B387" s="484" t="s">
        <v>841</v>
      </c>
      <c r="C387" s="484" t="s">
        <v>411</v>
      </c>
      <c r="D387" s="484" t="s">
        <v>412</v>
      </c>
      <c r="E387" s="484" t="s">
        <v>93</v>
      </c>
      <c r="F387" s="484" t="s">
        <v>413</v>
      </c>
      <c r="G387" s="484" t="s">
        <v>93</v>
      </c>
      <c r="H387" s="484" t="s">
        <v>93</v>
      </c>
      <c r="I387" s="484" t="s">
        <v>93</v>
      </c>
      <c r="J387" s="485"/>
      <c r="L387" s="486"/>
    </row>
    <row r="388" spans="1:12" s="484" customFormat="1" ht="11.25">
      <c r="A388" s="484" t="s">
        <v>848</v>
      </c>
      <c r="B388" s="484" t="s">
        <v>841</v>
      </c>
      <c r="C388" s="484" t="s">
        <v>411</v>
      </c>
      <c r="D388" s="484" t="s">
        <v>412</v>
      </c>
      <c r="E388" s="484" t="s">
        <v>93</v>
      </c>
      <c r="F388" s="484" t="s">
        <v>413</v>
      </c>
      <c r="G388" s="484" t="s">
        <v>93</v>
      </c>
      <c r="H388" s="484" t="s">
        <v>93</v>
      </c>
      <c r="I388" s="484" t="s">
        <v>93</v>
      </c>
      <c r="J388" s="485"/>
      <c r="L388" s="486"/>
    </row>
    <row r="389" spans="1:12" s="484" customFormat="1" ht="11.25">
      <c r="A389" s="484" t="s">
        <v>849</v>
      </c>
      <c r="B389" s="484" t="s">
        <v>841</v>
      </c>
      <c r="C389" s="484" t="s">
        <v>411</v>
      </c>
      <c r="D389" s="484" t="s">
        <v>412</v>
      </c>
      <c r="E389" s="484" t="s">
        <v>93</v>
      </c>
      <c r="F389" s="484" t="s">
        <v>413</v>
      </c>
      <c r="G389" s="484" t="s">
        <v>93</v>
      </c>
      <c r="H389" s="484" t="s">
        <v>93</v>
      </c>
      <c r="I389" s="484" t="s">
        <v>93</v>
      </c>
      <c r="J389" s="485"/>
      <c r="L389" s="486"/>
    </row>
    <row r="390" spans="1:12" s="484" customFormat="1" ht="11.25">
      <c r="A390" s="484" t="s">
        <v>850</v>
      </c>
      <c r="B390" s="484" t="s">
        <v>841</v>
      </c>
      <c r="C390" s="484" t="s">
        <v>411</v>
      </c>
      <c r="D390" s="484" t="s">
        <v>412</v>
      </c>
      <c r="E390" s="484" t="s">
        <v>93</v>
      </c>
      <c r="F390" s="484" t="s">
        <v>413</v>
      </c>
      <c r="G390" s="484" t="s">
        <v>93</v>
      </c>
      <c r="H390" s="484" t="s">
        <v>93</v>
      </c>
      <c r="I390" s="484" t="s">
        <v>93</v>
      </c>
      <c r="J390" s="485"/>
      <c r="L390" s="486"/>
    </row>
    <row r="391" spans="1:12" s="484" customFormat="1" ht="11.25">
      <c r="A391" s="484" t="s">
        <v>851</v>
      </c>
      <c r="B391" s="484" t="s">
        <v>841</v>
      </c>
      <c r="C391" s="484" t="s">
        <v>411</v>
      </c>
      <c r="D391" s="484" t="s">
        <v>412</v>
      </c>
      <c r="E391" s="484" t="s">
        <v>93</v>
      </c>
      <c r="F391" s="484" t="s">
        <v>413</v>
      </c>
      <c r="G391" s="484" t="s">
        <v>93</v>
      </c>
      <c r="H391" s="484" t="s">
        <v>93</v>
      </c>
      <c r="I391" s="484" t="s">
        <v>93</v>
      </c>
      <c r="J391" s="485"/>
      <c r="L391" s="486"/>
    </row>
    <row r="392" spans="1:12" s="484" customFormat="1" ht="11.25">
      <c r="A392" s="484" t="s">
        <v>852</v>
      </c>
      <c r="B392" s="484" t="s">
        <v>841</v>
      </c>
      <c r="C392" s="484" t="s">
        <v>411</v>
      </c>
      <c r="D392" s="484" t="s">
        <v>412</v>
      </c>
      <c r="E392" s="484" t="s">
        <v>93</v>
      </c>
      <c r="F392" s="484" t="s">
        <v>413</v>
      </c>
      <c r="G392" s="484" t="s">
        <v>93</v>
      </c>
      <c r="H392" s="484" t="s">
        <v>93</v>
      </c>
      <c r="I392" s="484" t="s">
        <v>93</v>
      </c>
      <c r="J392" s="485"/>
      <c r="L392" s="486"/>
    </row>
    <row r="393" spans="1:12" s="484" customFormat="1" ht="11.25">
      <c r="A393" s="484" t="s">
        <v>853</v>
      </c>
      <c r="B393" s="484" t="s">
        <v>841</v>
      </c>
      <c r="C393" s="484" t="s">
        <v>411</v>
      </c>
      <c r="D393" s="484" t="s">
        <v>412</v>
      </c>
      <c r="E393" s="484" t="s">
        <v>93</v>
      </c>
      <c r="F393" s="484" t="s">
        <v>413</v>
      </c>
      <c r="G393" s="484" t="s">
        <v>93</v>
      </c>
      <c r="H393" s="484" t="s">
        <v>93</v>
      </c>
      <c r="I393" s="484" t="s">
        <v>93</v>
      </c>
      <c r="J393" s="485"/>
      <c r="L393" s="486"/>
    </row>
    <row r="394" spans="1:9" ht="13.5">
      <c r="A394" s="63" t="s">
        <v>854</v>
      </c>
      <c r="B394" s="63" t="s">
        <v>841</v>
      </c>
      <c r="C394" s="63">
        <v>1</v>
      </c>
      <c r="D394" s="63" t="s">
        <v>477</v>
      </c>
      <c r="E394" s="63" t="s">
        <v>441</v>
      </c>
      <c r="F394" s="63" t="s">
        <v>501</v>
      </c>
      <c r="G394" s="63" t="s">
        <v>490</v>
      </c>
      <c r="H394" s="63">
        <v>6</v>
      </c>
      <c r="I394" s="63" t="s">
        <v>93</v>
      </c>
    </row>
    <row r="395" spans="1:12" s="481" customFormat="1" ht="11.25">
      <c r="A395" s="481" t="s">
        <v>855</v>
      </c>
      <c r="B395" s="481" t="s">
        <v>841</v>
      </c>
      <c r="C395" s="481" t="s">
        <v>411</v>
      </c>
      <c r="D395" s="481" t="s">
        <v>412</v>
      </c>
      <c r="E395" s="481" t="s">
        <v>93</v>
      </c>
      <c r="F395" s="481" t="s">
        <v>413</v>
      </c>
      <c r="G395" s="481" t="s">
        <v>93</v>
      </c>
      <c r="H395" s="481" t="s">
        <v>93</v>
      </c>
      <c r="I395" s="481" t="s">
        <v>93</v>
      </c>
      <c r="J395" s="482"/>
      <c r="L395" s="483"/>
    </row>
    <row r="396" spans="1:9" ht="13.5">
      <c r="A396" s="63" t="s">
        <v>856</v>
      </c>
      <c r="B396" s="63" t="s">
        <v>841</v>
      </c>
      <c r="C396" s="63">
        <v>1</v>
      </c>
      <c r="D396" s="63" t="s">
        <v>477</v>
      </c>
      <c r="E396" s="63" t="s">
        <v>166</v>
      </c>
      <c r="F396" s="63" t="s">
        <v>428</v>
      </c>
      <c r="G396" s="63" t="s">
        <v>428</v>
      </c>
      <c r="H396" s="63">
        <v>10</v>
      </c>
      <c r="I396" s="63" t="s">
        <v>293</v>
      </c>
    </row>
    <row r="397" spans="1:9" ht="13.5">
      <c r="A397" s="63" t="s">
        <v>857</v>
      </c>
      <c r="B397" s="63" t="s">
        <v>841</v>
      </c>
      <c r="C397" s="63" t="s">
        <v>411</v>
      </c>
      <c r="D397" s="63" t="s">
        <v>477</v>
      </c>
      <c r="E397" s="63" t="s">
        <v>166</v>
      </c>
      <c r="F397" s="63" t="s">
        <v>489</v>
      </c>
      <c r="G397" s="63" t="s">
        <v>497</v>
      </c>
      <c r="H397" s="63">
        <v>11</v>
      </c>
      <c r="I397" s="63" t="s">
        <v>93</v>
      </c>
    </row>
    <row r="398" spans="1:12" s="484" customFormat="1" ht="11.25">
      <c r="A398" s="484" t="s">
        <v>858</v>
      </c>
      <c r="B398" s="484" t="s">
        <v>841</v>
      </c>
      <c r="C398" s="484" t="s">
        <v>411</v>
      </c>
      <c r="D398" s="484" t="s">
        <v>412</v>
      </c>
      <c r="E398" s="484" t="s">
        <v>93</v>
      </c>
      <c r="F398" s="484" t="s">
        <v>413</v>
      </c>
      <c r="G398" s="484" t="s">
        <v>93</v>
      </c>
      <c r="H398" s="484" t="s">
        <v>93</v>
      </c>
      <c r="I398" s="484" t="s">
        <v>93</v>
      </c>
      <c r="J398" s="485"/>
      <c r="L398" s="486"/>
    </row>
    <row r="399" spans="1:9" ht="13.5">
      <c r="A399" s="63" t="s">
        <v>859</v>
      </c>
      <c r="B399" s="63" t="s">
        <v>841</v>
      </c>
      <c r="C399" s="63" t="s">
        <v>411</v>
      </c>
      <c r="D399" s="63" t="s">
        <v>583</v>
      </c>
      <c r="E399" s="63" t="s">
        <v>166</v>
      </c>
      <c r="F399" s="63" t="s">
        <v>413</v>
      </c>
      <c r="G399" s="63" t="s">
        <v>93</v>
      </c>
      <c r="H399" s="63">
        <v>5</v>
      </c>
      <c r="I399" s="63" t="s">
        <v>93</v>
      </c>
    </row>
    <row r="400" spans="1:9" ht="13.5">
      <c r="A400" s="63" t="s">
        <v>860</v>
      </c>
      <c r="B400" s="63" t="s">
        <v>841</v>
      </c>
      <c r="C400" s="63">
        <v>1</v>
      </c>
      <c r="D400" s="63" t="s">
        <v>503</v>
      </c>
      <c r="E400" s="63" t="s">
        <v>441</v>
      </c>
      <c r="F400" s="63" t="s">
        <v>413</v>
      </c>
      <c r="G400" s="63" t="s">
        <v>93</v>
      </c>
      <c r="H400" s="63">
        <v>9</v>
      </c>
      <c r="I400" s="63" t="s">
        <v>93</v>
      </c>
    </row>
    <row r="401" spans="1:9" ht="13.5">
      <c r="A401" s="63" t="s">
        <v>861</v>
      </c>
      <c r="B401" s="63" t="s">
        <v>841</v>
      </c>
      <c r="C401" s="63">
        <v>1</v>
      </c>
      <c r="D401" s="63" t="s">
        <v>446</v>
      </c>
      <c r="E401" s="63" t="s">
        <v>441</v>
      </c>
      <c r="F401" s="63" t="s">
        <v>413</v>
      </c>
      <c r="G401" s="63" t="s">
        <v>93</v>
      </c>
      <c r="H401" s="63">
        <v>4</v>
      </c>
      <c r="I401" s="63" t="s">
        <v>293</v>
      </c>
    </row>
    <row r="402" spans="1:12" s="484" customFormat="1" ht="11.25">
      <c r="A402" s="484" t="s">
        <v>862</v>
      </c>
      <c r="B402" s="484" t="s">
        <v>841</v>
      </c>
      <c r="C402" s="484" t="s">
        <v>411</v>
      </c>
      <c r="D402" s="484" t="s">
        <v>412</v>
      </c>
      <c r="E402" s="484" t="s">
        <v>93</v>
      </c>
      <c r="F402" s="484" t="s">
        <v>413</v>
      </c>
      <c r="G402" s="484" t="s">
        <v>93</v>
      </c>
      <c r="H402" s="484" t="s">
        <v>93</v>
      </c>
      <c r="I402" s="484" t="s">
        <v>93</v>
      </c>
      <c r="J402" s="485"/>
      <c r="L402" s="486"/>
    </row>
    <row r="403" spans="1:12" s="481" customFormat="1" ht="11.25">
      <c r="A403" s="481" t="s">
        <v>863</v>
      </c>
      <c r="B403" s="481" t="s">
        <v>841</v>
      </c>
      <c r="C403" s="481">
        <v>1</v>
      </c>
      <c r="D403" s="481" t="s">
        <v>412</v>
      </c>
      <c r="E403" s="481" t="s">
        <v>93</v>
      </c>
      <c r="F403" s="63" t="s">
        <v>413</v>
      </c>
      <c r="G403" s="481" t="s">
        <v>93</v>
      </c>
      <c r="H403" s="481" t="s">
        <v>93</v>
      </c>
      <c r="I403" s="481" t="s">
        <v>93</v>
      </c>
      <c r="J403" s="482"/>
      <c r="L403" s="483"/>
    </row>
    <row r="404" spans="1:9" ht="13.5">
      <c r="A404" s="63" t="s">
        <v>864</v>
      </c>
      <c r="B404" s="63" t="s">
        <v>841</v>
      </c>
      <c r="C404" s="63">
        <v>1</v>
      </c>
      <c r="D404" s="63" t="s">
        <v>477</v>
      </c>
      <c r="E404" s="63" t="s">
        <v>441</v>
      </c>
      <c r="F404" s="63" t="s">
        <v>413</v>
      </c>
      <c r="G404" s="63" t="s">
        <v>93</v>
      </c>
      <c r="H404" s="63">
        <v>10</v>
      </c>
      <c r="I404" s="63" t="s">
        <v>293</v>
      </c>
    </row>
    <row r="405" spans="1:12" s="484" customFormat="1" ht="11.25">
      <c r="A405" s="484" t="s">
        <v>865</v>
      </c>
      <c r="B405" s="484" t="s">
        <v>841</v>
      </c>
      <c r="C405" s="484" t="s">
        <v>411</v>
      </c>
      <c r="D405" s="484" t="s">
        <v>412</v>
      </c>
      <c r="E405" s="484" t="s">
        <v>93</v>
      </c>
      <c r="F405" s="484" t="s">
        <v>413</v>
      </c>
      <c r="G405" s="484" t="s">
        <v>93</v>
      </c>
      <c r="H405" s="484" t="s">
        <v>93</v>
      </c>
      <c r="I405" s="484" t="s">
        <v>93</v>
      </c>
      <c r="J405" s="485"/>
      <c r="L405" s="486"/>
    </row>
    <row r="406" spans="1:9" ht="13.5">
      <c r="A406" s="63" t="s">
        <v>866</v>
      </c>
      <c r="B406" s="63" t="s">
        <v>841</v>
      </c>
      <c r="C406" s="63" t="s">
        <v>411</v>
      </c>
      <c r="D406" s="63" t="s">
        <v>460</v>
      </c>
      <c r="E406" s="63" t="s">
        <v>441</v>
      </c>
      <c r="F406" s="63" t="s">
        <v>413</v>
      </c>
      <c r="G406" s="63" t="s">
        <v>93</v>
      </c>
      <c r="H406" s="63">
        <v>6</v>
      </c>
      <c r="I406" s="63" t="s">
        <v>93</v>
      </c>
    </row>
    <row r="407" spans="1:9" ht="13.5">
      <c r="A407" s="63" t="s">
        <v>867</v>
      </c>
      <c r="B407" s="63" t="s">
        <v>841</v>
      </c>
      <c r="C407" s="63">
        <v>1</v>
      </c>
      <c r="D407" s="63" t="s">
        <v>460</v>
      </c>
      <c r="E407" s="63" t="s">
        <v>441</v>
      </c>
      <c r="F407" s="63" t="s">
        <v>413</v>
      </c>
      <c r="G407" s="63" t="s">
        <v>93</v>
      </c>
      <c r="H407" s="63" t="s">
        <v>93</v>
      </c>
      <c r="I407" s="63" t="s">
        <v>93</v>
      </c>
    </row>
    <row r="408" spans="1:9" ht="13.5">
      <c r="A408" s="63" t="s">
        <v>868</v>
      </c>
      <c r="B408" s="63" t="s">
        <v>841</v>
      </c>
      <c r="C408" s="63">
        <v>1</v>
      </c>
      <c r="D408" s="63" t="s">
        <v>460</v>
      </c>
      <c r="E408" s="63" t="s">
        <v>441</v>
      </c>
      <c r="F408" s="63" t="s">
        <v>413</v>
      </c>
      <c r="G408" s="63" t="s">
        <v>93</v>
      </c>
      <c r="H408" s="63">
        <v>7</v>
      </c>
      <c r="I408" s="63" t="s">
        <v>293</v>
      </c>
    </row>
    <row r="409" spans="1:9" ht="13.5">
      <c r="A409" s="63" t="s">
        <v>869</v>
      </c>
      <c r="B409" s="63" t="s">
        <v>841</v>
      </c>
      <c r="C409" s="63">
        <v>1</v>
      </c>
      <c r="D409" s="63" t="s">
        <v>460</v>
      </c>
      <c r="E409" s="63" t="s">
        <v>441</v>
      </c>
      <c r="F409" s="63" t="s">
        <v>413</v>
      </c>
      <c r="G409" s="63" t="s">
        <v>93</v>
      </c>
      <c r="H409" s="63">
        <v>6</v>
      </c>
      <c r="I409" s="63" t="s">
        <v>93</v>
      </c>
    </row>
    <row r="410" spans="1:12" s="481" customFormat="1" ht="11.25">
      <c r="A410" s="481" t="s">
        <v>870</v>
      </c>
      <c r="B410" s="481" t="s">
        <v>841</v>
      </c>
      <c r="C410" s="481">
        <v>1</v>
      </c>
      <c r="D410" s="481" t="s">
        <v>412</v>
      </c>
      <c r="E410" s="481" t="s">
        <v>93</v>
      </c>
      <c r="F410" s="481" t="s">
        <v>413</v>
      </c>
      <c r="G410" s="481" t="s">
        <v>93</v>
      </c>
      <c r="H410" s="481" t="s">
        <v>93</v>
      </c>
      <c r="I410" s="481" t="s">
        <v>93</v>
      </c>
      <c r="J410" s="482"/>
      <c r="K410" s="477" t="s">
        <v>871</v>
      </c>
      <c r="L410" s="483"/>
    </row>
    <row r="411" spans="1:11" ht="13.5">
      <c r="A411" s="63" t="s">
        <v>872</v>
      </c>
      <c r="B411" s="63" t="s">
        <v>841</v>
      </c>
      <c r="C411" s="63">
        <v>1</v>
      </c>
      <c r="D411" s="63" t="s">
        <v>477</v>
      </c>
      <c r="E411" s="63" t="s">
        <v>166</v>
      </c>
      <c r="F411" s="63" t="s">
        <v>489</v>
      </c>
      <c r="G411" s="63" t="s">
        <v>490</v>
      </c>
      <c r="H411" s="63">
        <v>12</v>
      </c>
      <c r="I411" s="63" t="s">
        <v>93</v>
      </c>
      <c r="K411" s="400" t="s">
        <v>871</v>
      </c>
    </row>
    <row r="412" spans="1:12" s="481" customFormat="1" ht="11.25">
      <c r="A412" s="481" t="s">
        <v>873</v>
      </c>
      <c r="B412" s="481" t="s">
        <v>841</v>
      </c>
      <c r="C412" s="481" t="s">
        <v>411</v>
      </c>
      <c r="D412" s="481" t="s">
        <v>412</v>
      </c>
      <c r="E412" s="481" t="s">
        <v>93</v>
      </c>
      <c r="F412" s="481" t="s">
        <v>413</v>
      </c>
      <c r="G412" s="481" t="s">
        <v>93</v>
      </c>
      <c r="H412" s="481" t="s">
        <v>93</v>
      </c>
      <c r="I412" s="481" t="s">
        <v>93</v>
      </c>
      <c r="J412" s="482"/>
      <c r="K412" s="477" t="s">
        <v>871</v>
      </c>
      <c r="L412" s="483"/>
    </row>
    <row r="413" spans="1:11" ht="13.5">
      <c r="A413" s="63" t="s">
        <v>874</v>
      </c>
      <c r="B413" s="63" t="s">
        <v>841</v>
      </c>
      <c r="C413" s="63" t="s">
        <v>411</v>
      </c>
      <c r="D413" s="63" t="s">
        <v>446</v>
      </c>
      <c r="E413" s="63" t="s">
        <v>441</v>
      </c>
      <c r="F413" s="63" t="s">
        <v>413</v>
      </c>
      <c r="G413" s="63" t="s">
        <v>93</v>
      </c>
      <c r="H413" s="63">
        <v>7</v>
      </c>
      <c r="I413" s="63" t="s">
        <v>93</v>
      </c>
      <c r="K413" s="400" t="s">
        <v>871</v>
      </c>
    </row>
    <row r="414" spans="1:11" ht="13.5">
      <c r="A414" s="63" t="s">
        <v>875</v>
      </c>
      <c r="B414" s="63" t="s">
        <v>841</v>
      </c>
      <c r="C414" s="63" t="s">
        <v>411</v>
      </c>
      <c r="D414" s="63" t="s">
        <v>477</v>
      </c>
      <c r="E414" s="63" t="s">
        <v>166</v>
      </c>
      <c r="F414" s="63" t="s">
        <v>489</v>
      </c>
      <c r="G414" s="63" t="s">
        <v>497</v>
      </c>
      <c r="H414" s="63">
        <v>7</v>
      </c>
      <c r="I414" s="63" t="s">
        <v>93</v>
      </c>
      <c r="K414" s="400" t="s">
        <v>871</v>
      </c>
    </row>
    <row r="415" spans="1:11" ht="13.5">
      <c r="A415" s="63" t="s">
        <v>876</v>
      </c>
      <c r="B415" s="63" t="s">
        <v>841</v>
      </c>
      <c r="C415" s="63">
        <v>1</v>
      </c>
      <c r="D415" s="63" t="s">
        <v>460</v>
      </c>
      <c r="E415" s="63" t="s">
        <v>441</v>
      </c>
      <c r="F415" s="63" t="s">
        <v>413</v>
      </c>
      <c r="G415" s="63" t="s">
        <v>490</v>
      </c>
      <c r="H415" s="63">
        <v>10</v>
      </c>
      <c r="I415" s="63" t="s">
        <v>293</v>
      </c>
      <c r="K415" s="400" t="s">
        <v>871</v>
      </c>
    </row>
    <row r="416" spans="1:12" s="481" customFormat="1" ht="11.25">
      <c r="A416" s="481" t="s">
        <v>877</v>
      </c>
      <c r="B416" s="481" t="s">
        <v>841</v>
      </c>
      <c r="C416" s="481">
        <v>1</v>
      </c>
      <c r="D416" s="481" t="s">
        <v>412</v>
      </c>
      <c r="E416" s="481" t="s">
        <v>93</v>
      </c>
      <c r="F416" s="481" t="s">
        <v>413</v>
      </c>
      <c r="G416" s="481" t="s">
        <v>93</v>
      </c>
      <c r="H416" s="481" t="s">
        <v>93</v>
      </c>
      <c r="I416" s="481" t="s">
        <v>93</v>
      </c>
      <c r="J416" s="482"/>
      <c r="K416" s="477" t="s">
        <v>871</v>
      </c>
      <c r="L416" s="483"/>
    </row>
    <row r="417" spans="1:11" ht="13.5">
      <c r="A417" s="63" t="s">
        <v>878</v>
      </c>
      <c r="B417" s="63" t="s">
        <v>841</v>
      </c>
      <c r="C417" s="63">
        <v>1</v>
      </c>
      <c r="D417" s="63" t="s">
        <v>503</v>
      </c>
      <c r="E417" s="63" t="s">
        <v>441</v>
      </c>
      <c r="F417" s="63" t="s">
        <v>413</v>
      </c>
      <c r="G417" s="63" t="s">
        <v>93</v>
      </c>
      <c r="H417" s="63" t="s">
        <v>93</v>
      </c>
      <c r="I417" s="63" t="s">
        <v>93</v>
      </c>
      <c r="K417" s="400" t="s">
        <v>871</v>
      </c>
    </row>
    <row r="418" spans="1:11" ht="13.5">
      <c r="A418" s="469" t="s">
        <v>879</v>
      </c>
      <c r="B418" s="470" t="s">
        <v>292</v>
      </c>
      <c r="C418" s="470" t="s">
        <v>293</v>
      </c>
      <c r="D418" s="470" t="s">
        <v>294</v>
      </c>
      <c r="E418" s="470" t="s">
        <v>176</v>
      </c>
      <c r="F418" s="470" t="s">
        <v>295</v>
      </c>
      <c r="G418" s="470" t="s">
        <v>248</v>
      </c>
      <c r="H418" s="470" t="s">
        <v>296</v>
      </c>
      <c r="I418" s="470" t="s">
        <v>242</v>
      </c>
      <c r="J418" s="471" t="s">
        <v>297</v>
      </c>
      <c r="K418" s="471" t="s">
        <v>409</v>
      </c>
    </row>
    <row r="419" spans="1:9" ht="13.5">
      <c r="A419" s="63" t="s">
        <v>880</v>
      </c>
      <c r="B419" s="63" t="s">
        <v>879</v>
      </c>
      <c r="C419" s="63">
        <v>1</v>
      </c>
      <c r="D419" s="63" t="s">
        <v>477</v>
      </c>
      <c r="E419" s="63" t="s">
        <v>166</v>
      </c>
      <c r="F419" s="63" t="s">
        <v>428</v>
      </c>
      <c r="G419" s="63" t="s">
        <v>428</v>
      </c>
      <c r="H419" s="63">
        <v>10</v>
      </c>
      <c r="I419" s="63" t="s">
        <v>293</v>
      </c>
    </row>
    <row r="420" spans="1:9" ht="13.5">
      <c r="A420" s="63" t="s">
        <v>881</v>
      </c>
      <c r="B420" s="63" t="s">
        <v>879</v>
      </c>
      <c r="C420" s="63">
        <v>1</v>
      </c>
      <c r="D420" s="63" t="s">
        <v>481</v>
      </c>
      <c r="E420" s="63" t="s">
        <v>441</v>
      </c>
      <c r="F420" s="63" t="s">
        <v>428</v>
      </c>
      <c r="G420" s="63" t="s">
        <v>428</v>
      </c>
      <c r="H420" s="63">
        <v>6</v>
      </c>
      <c r="I420" s="63" t="s">
        <v>293</v>
      </c>
    </row>
    <row r="421" spans="1:9" ht="13.5">
      <c r="A421" s="63" t="s">
        <v>882</v>
      </c>
      <c r="B421" s="63" t="s">
        <v>879</v>
      </c>
      <c r="C421" s="63" t="s">
        <v>411</v>
      </c>
      <c r="D421" s="63" t="s">
        <v>484</v>
      </c>
      <c r="E421" s="63" t="s">
        <v>441</v>
      </c>
      <c r="F421" s="63" t="s">
        <v>413</v>
      </c>
      <c r="G421" s="63" t="s">
        <v>93</v>
      </c>
      <c r="H421" s="63" t="s">
        <v>93</v>
      </c>
      <c r="I421" s="63">
        <v>1</v>
      </c>
    </row>
    <row r="422" spans="1:12" s="484" customFormat="1" ht="11.25">
      <c r="A422" s="484" t="s">
        <v>883</v>
      </c>
      <c r="B422" s="484" t="s">
        <v>879</v>
      </c>
      <c r="C422" s="484" t="s">
        <v>411</v>
      </c>
      <c r="D422" s="484" t="s">
        <v>412</v>
      </c>
      <c r="E422" s="484" t="s">
        <v>93</v>
      </c>
      <c r="F422" s="484" t="s">
        <v>413</v>
      </c>
      <c r="G422" s="484" t="s">
        <v>93</v>
      </c>
      <c r="H422" s="484" t="s">
        <v>93</v>
      </c>
      <c r="I422" s="484" t="s">
        <v>93</v>
      </c>
      <c r="J422" s="485"/>
      <c r="L422" s="486"/>
    </row>
    <row r="423" spans="1:12" s="484" customFormat="1" ht="11.25">
      <c r="A423" s="484" t="s">
        <v>884</v>
      </c>
      <c r="B423" s="484" t="s">
        <v>879</v>
      </c>
      <c r="C423" s="484" t="s">
        <v>411</v>
      </c>
      <c r="D423" s="484" t="s">
        <v>412</v>
      </c>
      <c r="E423" s="484" t="s">
        <v>93</v>
      </c>
      <c r="F423" s="484" t="s">
        <v>413</v>
      </c>
      <c r="G423" s="484" t="s">
        <v>93</v>
      </c>
      <c r="H423" s="484" t="s">
        <v>93</v>
      </c>
      <c r="I423" s="484" t="s">
        <v>93</v>
      </c>
      <c r="J423" s="485"/>
      <c r="L423" s="486"/>
    </row>
    <row r="424" spans="1:12" s="484" customFormat="1" ht="11.25">
      <c r="A424" s="484" t="s">
        <v>885</v>
      </c>
      <c r="B424" s="484" t="s">
        <v>879</v>
      </c>
      <c r="C424" s="484" t="s">
        <v>411</v>
      </c>
      <c r="D424" s="484" t="s">
        <v>412</v>
      </c>
      <c r="E424" s="484" t="s">
        <v>93</v>
      </c>
      <c r="F424" s="484" t="s">
        <v>413</v>
      </c>
      <c r="G424" s="484" t="s">
        <v>93</v>
      </c>
      <c r="H424" s="484" t="s">
        <v>93</v>
      </c>
      <c r="I424" s="484" t="s">
        <v>93</v>
      </c>
      <c r="J424" s="485"/>
      <c r="L424" s="486"/>
    </row>
    <row r="425" spans="1:12" s="484" customFormat="1" ht="11.25">
      <c r="A425" s="484" t="s">
        <v>886</v>
      </c>
      <c r="B425" s="484" t="s">
        <v>879</v>
      </c>
      <c r="C425" s="484" t="s">
        <v>411</v>
      </c>
      <c r="D425" s="484" t="s">
        <v>412</v>
      </c>
      <c r="E425" s="484" t="s">
        <v>93</v>
      </c>
      <c r="F425" s="484" t="s">
        <v>413</v>
      </c>
      <c r="G425" s="484" t="s">
        <v>93</v>
      </c>
      <c r="H425" s="484" t="s">
        <v>93</v>
      </c>
      <c r="I425" s="484" t="s">
        <v>93</v>
      </c>
      <c r="J425" s="485"/>
      <c r="L425" s="486"/>
    </row>
    <row r="426" spans="1:12" s="484" customFormat="1" ht="11.25">
      <c r="A426" s="484" t="s">
        <v>887</v>
      </c>
      <c r="B426" s="484" t="s">
        <v>879</v>
      </c>
      <c r="C426" s="484" t="s">
        <v>411</v>
      </c>
      <c r="D426" s="484" t="s">
        <v>412</v>
      </c>
      <c r="E426" s="484" t="s">
        <v>93</v>
      </c>
      <c r="F426" s="484" t="s">
        <v>413</v>
      </c>
      <c r="G426" s="484" t="s">
        <v>93</v>
      </c>
      <c r="H426" s="484" t="s">
        <v>93</v>
      </c>
      <c r="I426" s="484" t="s">
        <v>93</v>
      </c>
      <c r="J426" s="485"/>
      <c r="L426" s="486"/>
    </row>
    <row r="427" spans="1:12" s="484" customFormat="1" ht="11.25">
      <c r="A427" s="484" t="s">
        <v>888</v>
      </c>
      <c r="B427" s="484" t="s">
        <v>879</v>
      </c>
      <c r="C427" s="484" t="s">
        <v>411</v>
      </c>
      <c r="D427" s="484" t="s">
        <v>412</v>
      </c>
      <c r="E427" s="484" t="s">
        <v>93</v>
      </c>
      <c r="F427" s="484" t="s">
        <v>413</v>
      </c>
      <c r="G427" s="484" t="s">
        <v>93</v>
      </c>
      <c r="H427" s="484" t="s">
        <v>93</v>
      </c>
      <c r="I427" s="484" t="s">
        <v>93</v>
      </c>
      <c r="J427" s="485"/>
      <c r="L427" s="486"/>
    </row>
    <row r="428" spans="1:12" s="484" customFormat="1" ht="11.25">
      <c r="A428" s="484" t="s">
        <v>889</v>
      </c>
      <c r="B428" s="484" t="s">
        <v>879</v>
      </c>
      <c r="C428" s="484" t="s">
        <v>411</v>
      </c>
      <c r="D428" s="484" t="s">
        <v>412</v>
      </c>
      <c r="E428" s="484" t="s">
        <v>93</v>
      </c>
      <c r="F428" s="484" t="s">
        <v>413</v>
      </c>
      <c r="G428" s="484" t="s">
        <v>93</v>
      </c>
      <c r="H428" s="484" t="s">
        <v>93</v>
      </c>
      <c r="I428" s="484" t="s">
        <v>93</v>
      </c>
      <c r="J428" s="485"/>
      <c r="L428" s="486"/>
    </row>
    <row r="429" spans="1:12" s="484" customFormat="1" ht="11.25">
      <c r="A429" s="484" t="s">
        <v>890</v>
      </c>
      <c r="B429" s="484" t="s">
        <v>879</v>
      </c>
      <c r="C429" s="484" t="s">
        <v>411</v>
      </c>
      <c r="D429" s="484" t="s">
        <v>412</v>
      </c>
      <c r="E429" s="484" t="s">
        <v>93</v>
      </c>
      <c r="F429" s="484" t="s">
        <v>413</v>
      </c>
      <c r="G429" s="484" t="s">
        <v>93</v>
      </c>
      <c r="H429" s="484" t="s">
        <v>93</v>
      </c>
      <c r="I429" s="484" t="s">
        <v>93</v>
      </c>
      <c r="J429" s="485"/>
      <c r="L429" s="486"/>
    </row>
    <row r="430" spans="1:12" s="484" customFormat="1" ht="11.25">
      <c r="A430" s="484" t="s">
        <v>891</v>
      </c>
      <c r="B430" s="484" t="s">
        <v>879</v>
      </c>
      <c r="C430" s="484" t="s">
        <v>411</v>
      </c>
      <c r="D430" s="484" t="s">
        <v>412</v>
      </c>
      <c r="E430" s="484" t="s">
        <v>93</v>
      </c>
      <c r="F430" s="484" t="s">
        <v>413</v>
      </c>
      <c r="G430" s="484" t="s">
        <v>93</v>
      </c>
      <c r="H430" s="484" t="s">
        <v>93</v>
      </c>
      <c r="I430" s="484" t="s">
        <v>93</v>
      </c>
      <c r="J430" s="485"/>
      <c r="L430" s="486"/>
    </row>
    <row r="431" spans="1:12" s="484" customFormat="1" ht="11.25">
      <c r="A431" s="484" t="s">
        <v>892</v>
      </c>
      <c r="B431" s="484" t="s">
        <v>879</v>
      </c>
      <c r="C431" s="484" t="s">
        <v>411</v>
      </c>
      <c r="D431" s="484" t="s">
        <v>412</v>
      </c>
      <c r="E431" s="484" t="s">
        <v>93</v>
      </c>
      <c r="F431" s="484" t="s">
        <v>413</v>
      </c>
      <c r="G431" s="484" t="s">
        <v>93</v>
      </c>
      <c r="H431" s="484" t="s">
        <v>93</v>
      </c>
      <c r="I431" s="484" t="s">
        <v>93</v>
      </c>
      <c r="J431" s="485"/>
      <c r="L431" s="486"/>
    </row>
    <row r="432" spans="1:12" s="484" customFormat="1" ht="11.25">
      <c r="A432" s="484" t="s">
        <v>893</v>
      </c>
      <c r="B432" s="484" t="s">
        <v>879</v>
      </c>
      <c r="C432" s="484" t="s">
        <v>411</v>
      </c>
      <c r="D432" s="484" t="s">
        <v>412</v>
      </c>
      <c r="E432" s="484" t="s">
        <v>93</v>
      </c>
      <c r="F432" s="484" t="s">
        <v>413</v>
      </c>
      <c r="G432" s="484" t="s">
        <v>93</v>
      </c>
      <c r="H432" s="484" t="s">
        <v>93</v>
      </c>
      <c r="I432" s="484" t="s">
        <v>93</v>
      </c>
      <c r="J432" s="485"/>
      <c r="L432" s="486"/>
    </row>
    <row r="433" spans="1:12" s="484" customFormat="1" ht="11.25">
      <c r="A433" s="484" t="s">
        <v>894</v>
      </c>
      <c r="B433" s="484" t="s">
        <v>879</v>
      </c>
      <c r="C433" s="484" t="s">
        <v>411</v>
      </c>
      <c r="D433" s="484" t="s">
        <v>412</v>
      </c>
      <c r="E433" s="484" t="s">
        <v>93</v>
      </c>
      <c r="F433" s="484" t="s">
        <v>413</v>
      </c>
      <c r="G433" s="484" t="s">
        <v>93</v>
      </c>
      <c r="H433" s="484" t="s">
        <v>93</v>
      </c>
      <c r="I433" s="484" t="s">
        <v>93</v>
      </c>
      <c r="J433" s="485"/>
      <c r="L433" s="486"/>
    </row>
    <row r="434" spans="1:12" s="484" customFormat="1" ht="11.25">
      <c r="A434" s="484" t="s">
        <v>895</v>
      </c>
      <c r="B434" s="484" t="s">
        <v>879</v>
      </c>
      <c r="C434" s="484" t="s">
        <v>411</v>
      </c>
      <c r="D434" s="484" t="s">
        <v>412</v>
      </c>
      <c r="E434" s="484" t="s">
        <v>93</v>
      </c>
      <c r="F434" s="484" t="s">
        <v>413</v>
      </c>
      <c r="G434" s="484" t="s">
        <v>93</v>
      </c>
      <c r="H434" s="484" t="s">
        <v>93</v>
      </c>
      <c r="I434" s="484" t="s">
        <v>93</v>
      </c>
      <c r="J434" s="485"/>
      <c r="L434" s="486"/>
    </row>
    <row r="435" spans="1:9" ht="13.5">
      <c r="A435" s="63" t="s">
        <v>896</v>
      </c>
      <c r="B435" s="63" t="s">
        <v>879</v>
      </c>
      <c r="C435" s="63">
        <v>1</v>
      </c>
      <c r="D435" s="63" t="s">
        <v>503</v>
      </c>
      <c r="E435" s="63" t="s">
        <v>441</v>
      </c>
      <c r="F435" s="63" t="s">
        <v>413</v>
      </c>
      <c r="G435" s="63" t="s">
        <v>93</v>
      </c>
      <c r="H435" s="63">
        <v>7</v>
      </c>
      <c r="I435" s="63" t="s">
        <v>93</v>
      </c>
    </row>
    <row r="436" spans="1:12" s="481" customFormat="1" ht="11.25">
      <c r="A436" s="481" t="s">
        <v>897</v>
      </c>
      <c r="B436" s="481" t="s">
        <v>879</v>
      </c>
      <c r="C436" s="481" t="s">
        <v>411</v>
      </c>
      <c r="D436" s="481" t="s">
        <v>412</v>
      </c>
      <c r="E436" s="481" t="s">
        <v>93</v>
      </c>
      <c r="F436" s="481" t="s">
        <v>413</v>
      </c>
      <c r="G436" s="481" t="s">
        <v>93</v>
      </c>
      <c r="H436" s="481" t="s">
        <v>93</v>
      </c>
      <c r="I436" s="481" t="s">
        <v>93</v>
      </c>
      <c r="J436" s="482"/>
      <c r="L436" s="483"/>
    </row>
    <row r="437" spans="1:12" s="484" customFormat="1" ht="11.25">
      <c r="A437" s="484" t="s">
        <v>898</v>
      </c>
      <c r="B437" s="484" t="s">
        <v>879</v>
      </c>
      <c r="C437" s="484" t="s">
        <v>411</v>
      </c>
      <c r="D437" s="484" t="s">
        <v>412</v>
      </c>
      <c r="E437" s="484" t="s">
        <v>93</v>
      </c>
      <c r="F437" s="484" t="s">
        <v>413</v>
      </c>
      <c r="G437" s="484" t="s">
        <v>93</v>
      </c>
      <c r="H437" s="484" t="s">
        <v>93</v>
      </c>
      <c r="I437" s="484" t="s">
        <v>93</v>
      </c>
      <c r="J437" s="485"/>
      <c r="L437" s="486" t="s">
        <v>899</v>
      </c>
    </row>
    <row r="438" spans="1:12" s="481" customFormat="1" ht="11.25">
      <c r="A438" s="481" t="s">
        <v>900</v>
      </c>
      <c r="B438" s="481" t="s">
        <v>879</v>
      </c>
      <c r="C438" s="481" t="s">
        <v>411</v>
      </c>
      <c r="D438" s="481" t="s">
        <v>412</v>
      </c>
      <c r="E438" s="481" t="s">
        <v>93</v>
      </c>
      <c r="F438" s="481" t="s">
        <v>413</v>
      </c>
      <c r="G438" s="481" t="s">
        <v>93</v>
      </c>
      <c r="H438" s="481" t="s">
        <v>93</v>
      </c>
      <c r="I438" s="481" t="s">
        <v>93</v>
      </c>
      <c r="J438" s="482"/>
      <c r="L438" s="483"/>
    </row>
    <row r="439" spans="1:12" s="484" customFormat="1" ht="11.25">
      <c r="A439" s="484" t="s">
        <v>901</v>
      </c>
      <c r="B439" s="484" t="s">
        <v>879</v>
      </c>
      <c r="C439" s="484" t="s">
        <v>411</v>
      </c>
      <c r="D439" s="484" t="s">
        <v>412</v>
      </c>
      <c r="E439" s="484" t="s">
        <v>93</v>
      </c>
      <c r="F439" s="484" t="s">
        <v>413</v>
      </c>
      <c r="G439" s="484" t="s">
        <v>93</v>
      </c>
      <c r="H439" s="484" t="s">
        <v>93</v>
      </c>
      <c r="I439" s="484" t="s">
        <v>93</v>
      </c>
      <c r="J439" s="485"/>
      <c r="L439" s="486"/>
    </row>
    <row r="440" spans="1:9" ht="13.5">
      <c r="A440" s="63" t="s">
        <v>902</v>
      </c>
      <c r="B440" s="63" t="s">
        <v>879</v>
      </c>
      <c r="C440" s="63" t="s">
        <v>411</v>
      </c>
      <c r="D440" s="63" t="s">
        <v>460</v>
      </c>
      <c r="E440" s="63" t="s">
        <v>441</v>
      </c>
      <c r="F440" s="63" t="s">
        <v>413</v>
      </c>
      <c r="G440" s="63" t="s">
        <v>93</v>
      </c>
      <c r="H440" s="63">
        <v>4</v>
      </c>
      <c r="I440" s="63" t="s">
        <v>93</v>
      </c>
    </row>
    <row r="441" spans="1:9" ht="13.5">
      <c r="A441" s="63" t="s">
        <v>903</v>
      </c>
      <c r="B441" s="63" t="s">
        <v>879</v>
      </c>
      <c r="C441" s="63">
        <v>1</v>
      </c>
      <c r="D441" s="63" t="s">
        <v>460</v>
      </c>
      <c r="E441" s="63" t="s">
        <v>441</v>
      </c>
      <c r="F441" s="63" t="s">
        <v>413</v>
      </c>
      <c r="G441" s="63" t="s">
        <v>93</v>
      </c>
      <c r="H441" s="63">
        <v>5</v>
      </c>
      <c r="I441" s="63" t="s">
        <v>93</v>
      </c>
    </row>
    <row r="442" spans="1:9" ht="13.5">
      <c r="A442" s="63" t="s">
        <v>904</v>
      </c>
      <c r="B442" s="63" t="s">
        <v>879</v>
      </c>
      <c r="C442" s="63" t="s">
        <v>411</v>
      </c>
      <c r="D442" s="63" t="s">
        <v>460</v>
      </c>
      <c r="E442" s="63" t="s">
        <v>441</v>
      </c>
      <c r="F442" s="63" t="s">
        <v>413</v>
      </c>
      <c r="G442" s="63" t="s">
        <v>93</v>
      </c>
      <c r="H442" s="63">
        <v>10</v>
      </c>
      <c r="I442" s="63" t="s">
        <v>93</v>
      </c>
    </row>
    <row r="443" spans="1:9" ht="13.5">
      <c r="A443" s="63" t="s">
        <v>905</v>
      </c>
      <c r="B443" s="63" t="s">
        <v>879</v>
      </c>
      <c r="C443" s="63" t="s">
        <v>411</v>
      </c>
      <c r="D443" s="63" t="s">
        <v>477</v>
      </c>
      <c r="E443" s="63" t="s">
        <v>166</v>
      </c>
      <c r="F443" s="63" t="s">
        <v>489</v>
      </c>
      <c r="G443" s="63" t="s">
        <v>497</v>
      </c>
      <c r="H443" s="63">
        <v>6</v>
      </c>
      <c r="I443" s="63" t="s">
        <v>93</v>
      </c>
    </row>
    <row r="444" spans="1:12" s="484" customFormat="1" ht="11.25">
      <c r="A444" s="484" t="s">
        <v>906</v>
      </c>
      <c r="B444" s="484" t="s">
        <v>879</v>
      </c>
      <c r="C444" s="484">
        <v>1</v>
      </c>
      <c r="D444" s="484" t="s">
        <v>412</v>
      </c>
      <c r="E444" s="484" t="s">
        <v>93</v>
      </c>
      <c r="F444" s="484" t="s">
        <v>413</v>
      </c>
      <c r="G444" s="484" t="s">
        <v>93</v>
      </c>
      <c r="H444" s="484" t="s">
        <v>93</v>
      </c>
      <c r="I444" s="484" t="s">
        <v>93</v>
      </c>
      <c r="J444" s="485"/>
      <c r="L444" s="486"/>
    </row>
    <row r="445" spans="1:9" ht="13.5">
      <c r="A445" s="63" t="s">
        <v>907</v>
      </c>
      <c r="B445" s="63" t="s">
        <v>879</v>
      </c>
      <c r="C445" s="63" t="s">
        <v>411</v>
      </c>
      <c r="D445" s="63" t="s">
        <v>477</v>
      </c>
      <c r="E445" s="63" t="s">
        <v>166</v>
      </c>
      <c r="F445" s="63" t="s">
        <v>489</v>
      </c>
      <c r="G445" s="63" t="s">
        <v>490</v>
      </c>
      <c r="H445" s="63">
        <v>6</v>
      </c>
      <c r="I445" s="63" t="s">
        <v>93</v>
      </c>
    </row>
    <row r="446" spans="1:9" ht="13.5">
      <c r="A446" s="63" t="s">
        <v>908</v>
      </c>
      <c r="B446" s="63" t="s">
        <v>879</v>
      </c>
      <c r="C446" s="63" t="s">
        <v>411</v>
      </c>
      <c r="D446" s="63" t="s">
        <v>446</v>
      </c>
      <c r="E446" s="63" t="s">
        <v>441</v>
      </c>
      <c r="F446" s="63" t="s">
        <v>413</v>
      </c>
      <c r="G446" s="63" t="s">
        <v>93</v>
      </c>
      <c r="H446" s="63">
        <v>5</v>
      </c>
      <c r="I446" s="63" t="s">
        <v>93</v>
      </c>
    </row>
    <row r="447" spans="1:11" ht="13.5">
      <c r="A447" s="63" t="s">
        <v>909</v>
      </c>
      <c r="B447" s="63" t="s">
        <v>879</v>
      </c>
      <c r="C447" s="63">
        <v>1</v>
      </c>
      <c r="D447" s="63" t="s">
        <v>477</v>
      </c>
      <c r="E447" s="63" t="s">
        <v>166</v>
      </c>
      <c r="F447" s="63" t="s">
        <v>489</v>
      </c>
      <c r="G447" s="63" t="s">
        <v>428</v>
      </c>
      <c r="H447" s="63">
        <v>10</v>
      </c>
      <c r="I447" s="63" t="s">
        <v>93</v>
      </c>
      <c r="K447" s="400" t="s">
        <v>910</v>
      </c>
    </row>
    <row r="448" spans="1:11" ht="13.5">
      <c r="A448" s="63" t="s">
        <v>911</v>
      </c>
      <c r="B448" s="63" t="s">
        <v>879</v>
      </c>
      <c r="C448" s="63">
        <v>1</v>
      </c>
      <c r="D448" s="63" t="s">
        <v>446</v>
      </c>
      <c r="E448" s="63" t="s">
        <v>441</v>
      </c>
      <c r="F448" s="63" t="s">
        <v>428</v>
      </c>
      <c r="G448" s="63" t="s">
        <v>428</v>
      </c>
      <c r="H448" s="63">
        <v>15</v>
      </c>
      <c r="I448" s="63" t="s">
        <v>683</v>
      </c>
      <c r="K448" s="400" t="s">
        <v>910</v>
      </c>
    </row>
    <row r="449" spans="1:12" s="484" customFormat="1" ht="11.25">
      <c r="A449" s="484" t="s">
        <v>912</v>
      </c>
      <c r="B449" s="484" t="s">
        <v>879</v>
      </c>
      <c r="C449" s="484">
        <v>1</v>
      </c>
      <c r="D449" s="484" t="s">
        <v>412</v>
      </c>
      <c r="E449" s="484" t="s">
        <v>93</v>
      </c>
      <c r="F449" s="484" t="s">
        <v>413</v>
      </c>
      <c r="G449" s="484" t="s">
        <v>93</v>
      </c>
      <c r="H449" s="484" t="s">
        <v>93</v>
      </c>
      <c r="I449" s="484" t="s">
        <v>93</v>
      </c>
      <c r="J449" s="485"/>
      <c r="K449" s="472" t="s">
        <v>910</v>
      </c>
      <c r="L449" s="486" t="s">
        <v>913</v>
      </c>
    </row>
    <row r="450" spans="1:11" ht="13.5">
      <c r="A450" s="63" t="s">
        <v>914</v>
      </c>
      <c r="B450" s="63" t="s">
        <v>879</v>
      </c>
      <c r="C450" s="63" t="s">
        <v>411</v>
      </c>
      <c r="D450" s="63" t="s">
        <v>481</v>
      </c>
      <c r="E450" s="63" t="s">
        <v>441</v>
      </c>
      <c r="F450" s="63" t="s">
        <v>413</v>
      </c>
      <c r="G450" s="63" t="s">
        <v>93</v>
      </c>
      <c r="H450" s="63" t="s">
        <v>93</v>
      </c>
      <c r="I450" s="63" t="s">
        <v>915</v>
      </c>
      <c r="K450" s="400" t="s">
        <v>910</v>
      </c>
    </row>
    <row r="451" spans="1:11" ht="13.5">
      <c r="A451" s="63" t="s">
        <v>916</v>
      </c>
      <c r="B451" s="63" t="s">
        <v>879</v>
      </c>
      <c r="C451" s="63" t="s">
        <v>411</v>
      </c>
      <c r="D451" s="63" t="s">
        <v>460</v>
      </c>
      <c r="E451" s="63" t="s">
        <v>441</v>
      </c>
      <c r="F451" s="63" t="s">
        <v>413</v>
      </c>
      <c r="G451" s="63" t="s">
        <v>93</v>
      </c>
      <c r="H451" s="63">
        <v>8</v>
      </c>
      <c r="I451" s="63" t="s">
        <v>93</v>
      </c>
      <c r="K451" s="400" t="s">
        <v>910</v>
      </c>
    </row>
    <row r="452" spans="1:12" s="481" customFormat="1" ht="11.25">
      <c r="A452" s="481" t="s">
        <v>917</v>
      </c>
      <c r="B452" s="481" t="s">
        <v>879</v>
      </c>
      <c r="C452" s="481">
        <v>1</v>
      </c>
      <c r="D452" s="481" t="s">
        <v>412</v>
      </c>
      <c r="E452" s="481" t="s">
        <v>93</v>
      </c>
      <c r="F452" s="481" t="s">
        <v>413</v>
      </c>
      <c r="G452" s="481" t="s">
        <v>93</v>
      </c>
      <c r="H452" s="481" t="s">
        <v>93</v>
      </c>
      <c r="I452" s="481" t="s">
        <v>93</v>
      </c>
      <c r="J452" s="482"/>
      <c r="K452" s="477" t="s">
        <v>910</v>
      </c>
      <c r="L452" s="483"/>
    </row>
    <row r="453" spans="1:12" s="484" customFormat="1" ht="11.25">
      <c r="A453" s="484" t="s">
        <v>918</v>
      </c>
      <c r="B453" s="484" t="s">
        <v>879</v>
      </c>
      <c r="C453" s="484">
        <v>1</v>
      </c>
      <c r="D453" s="484" t="s">
        <v>412</v>
      </c>
      <c r="E453" s="484" t="s">
        <v>93</v>
      </c>
      <c r="F453" s="484" t="s">
        <v>413</v>
      </c>
      <c r="G453" s="484" t="s">
        <v>93</v>
      </c>
      <c r="H453" s="484" t="s">
        <v>93</v>
      </c>
      <c r="I453" s="484" t="s">
        <v>93</v>
      </c>
      <c r="J453" s="485"/>
      <c r="K453" s="472" t="s">
        <v>910</v>
      </c>
      <c r="L453" s="486"/>
    </row>
    <row r="454" spans="1:11" ht="13.5">
      <c r="A454" s="63" t="s">
        <v>919</v>
      </c>
      <c r="B454" s="63" t="s">
        <v>879</v>
      </c>
      <c r="C454" s="63">
        <v>1</v>
      </c>
      <c r="D454" s="63" t="s">
        <v>460</v>
      </c>
      <c r="E454" s="63" t="s">
        <v>441</v>
      </c>
      <c r="F454" s="63" t="s">
        <v>413</v>
      </c>
      <c r="G454" s="63" t="s">
        <v>93</v>
      </c>
      <c r="H454" s="63">
        <v>10</v>
      </c>
      <c r="I454" s="63" t="s">
        <v>93</v>
      </c>
      <c r="K454" s="400" t="s">
        <v>910</v>
      </c>
    </row>
    <row r="455" spans="1:11" ht="13.5">
      <c r="A455" s="469" t="s">
        <v>920</v>
      </c>
      <c r="B455" s="470" t="s">
        <v>292</v>
      </c>
      <c r="C455" s="470" t="s">
        <v>293</v>
      </c>
      <c r="D455" s="470" t="s">
        <v>294</v>
      </c>
      <c r="E455" s="470" t="s">
        <v>176</v>
      </c>
      <c r="F455" s="470" t="s">
        <v>295</v>
      </c>
      <c r="G455" s="470" t="s">
        <v>248</v>
      </c>
      <c r="H455" s="470" t="s">
        <v>296</v>
      </c>
      <c r="I455" s="470" t="s">
        <v>242</v>
      </c>
      <c r="J455" s="471" t="s">
        <v>297</v>
      </c>
      <c r="K455" s="471" t="s">
        <v>409</v>
      </c>
    </row>
    <row r="456" spans="1:9" ht="13.5">
      <c r="A456" s="63" t="s">
        <v>921</v>
      </c>
      <c r="B456" s="63" t="s">
        <v>920</v>
      </c>
      <c r="C456" s="63">
        <v>1</v>
      </c>
      <c r="D456" s="63" t="s">
        <v>481</v>
      </c>
      <c r="E456" s="63" t="s">
        <v>509</v>
      </c>
      <c r="F456" s="63" t="s">
        <v>489</v>
      </c>
      <c r="G456" s="63" t="s">
        <v>510</v>
      </c>
      <c r="H456" s="63">
        <v>12</v>
      </c>
      <c r="I456" s="63" t="s">
        <v>93</v>
      </c>
    </row>
    <row r="457" spans="1:9" ht="13.5">
      <c r="A457" s="63" t="s">
        <v>922</v>
      </c>
      <c r="B457" s="63" t="s">
        <v>920</v>
      </c>
      <c r="C457" s="63">
        <v>1</v>
      </c>
      <c r="D457" s="63" t="s">
        <v>477</v>
      </c>
      <c r="E457" s="63" t="s">
        <v>509</v>
      </c>
      <c r="F457" s="63" t="s">
        <v>489</v>
      </c>
      <c r="G457" s="63" t="s">
        <v>490</v>
      </c>
      <c r="H457" s="63">
        <v>10</v>
      </c>
      <c r="I457" s="63" t="s">
        <v>93</v>
      </c>
    </row>
    <row r="458" spans="1:9" ht="13.5">
      <c r="A458" s="63" t="s">
        <v>923</v>
      </c>
      <c r="B458" s="63" t="s">
        <v>920</v>
      </c>
      <c r="C458" s="63" t="s">
        <v>411</v>
      </c>
      <c r="D458" s="63" t="s">
        <v>477</v>
      </c>
      <c r="E458" s="63" t="s">
        <v>509</v>
      </c>
      <c r="F458" s="63" t="s">
        <v>489</v>
      </c>
      <c r="G458" s="63" t="s">
        <v>510</v>
      </c>
      <c r="H458" s="63">
        <v>12</v>
      </c>
      <c r="I458" s="63" t="s">
        <v>93</v>
      </c>
    </row>
    <row r="459" spans="1:9" ht="13.5">
      <c r="A459" s="63" t="s">
        <v>924</v>
      </c>
      <c r="B459" s="63" t="s">
        <v>920</v>
      </c>
      <c r="C459" s="63" t="s">
        <v>411</v>
      </c>
      <c r="D459" s="63" t="s">
        <v>446</v>
      </c>
      <c r="E459" s="63" t="s">
        <v>441</v>
      </c>
      <c r="F459" s="63" t="s">
        <v>428</v>
      </c>
      <c r="G459" s="63" t="s">
        <v>510</v>
      </c>
      <c r="H459" s="63">
        <v>8</v>
      </c>
      <c r="I459" s="63" t="s">
        <v>93</v>
      </c>
    </row>
    <row r="460" spans="1:9" ht="13.5">
      <c r="A460" s="63" t="s">
        <v>925</v>
      </c>
      <c r="B460" s="63" t="s">
        <v>920</v>
      </c>
      <c r="C460" s="63">
        <v>1</v>
      </c>
      <c r="D460" s="63" t="s">
        <v>460</v>
      </c>
      <c r="E460" s="63" t="s">
        <v>441</v>
      </c>
      <c r="F460" s="63" t="s">
        <v>428</v>
      </c>
      <c r="G460" s="63" t="s">
        <v>428</v>
      </c>
      <c r="H460" s="63">
        <v>10</v>
      </c>
      <c r="I460" s="63" t="s">
        <v>293</v>
      </c>
    </row>
    <row r="461" spans="1:9" ht="13.5">
      <c r="A461" s="63" t="s">
        <v>926</v>
      </c>
      <c r="B461" s="63" t="s">
        <v>920</v>
      </c>
      <c r="C461" s="63">
        <v>1</v>
      </c>
      <c r="D461" s="63" t="s">
        <v>477</v>
      </c>
      <c r="E461" s="63" t="s">
        <v>509</v>
      </c>
      <c r="F461" s="63" t="s">
        <v>489</v>
      </c>
      <c r="G461" s="63" t="s">
        <v>510</v>
      </c>
      <c r="H461" s="63">
        <v>2</v>
      </c>
      <c r="I461" s="63" t="s">
        <v>811</v>
      </c>
    </row>
    <row r="462" spans="1:12" s="481" customFormat="1" ht="11.25">
      <c r="A462" s="481" t="s">
        <v>927</v>
      </c>
      <c r="B462" s="481" t="s">
        <v>920</v>
      </c>
      <c r="C462" s="481" t="s">
        <v>411</v>
      </c>
      <c r="D462" s="481" t="s">
        <v>412</v>
      </c>
      <c r="E462" s="481" t="s">
        <v>93</v>
      </c>
      <c r="F462" s="481" t="s">
        <v>413</v>
      </c>
      <c r="G462" s="481" t="s">
        <v>93</v>
      </c>
      <c r="H462" s="481" t="s">
        <v>93</v>
      </c>
      <c r="I462" s="481" t="s">
        <v>93</v>
      </c>
      <c r="J462" s="482"/>
      <c r="L462" s="483"/>
    </row>
    <row r="463" spans="1:9" ht="13.5">
      <c r="A463" s="63" t="s">
        <v>928</v>
      </c>
      <c r="B463" s="63" t="s">
        <v>920</v>
      </c>
      <c r="C463" s="63">
        <v>1</v>
      </c>
      <c r="D463" s="63" t="s">
        <v>477</v>
      </c>
      <c r="E463" s="63" t="s">
        <v>509</v>
      </c>
      <c r="F463" s="63" t="s">
        <v>489</v>
      </c>
      <c r="G463" s="63" t="s">
        <v>510</v>
      </c>
      <c r="H463" s="63">
        <v>10</v>
      </c>
      <c r="I463" s="63" t="s">
        <v>93</v>
      </c>
    </row>
    <row r="464" spans="1:12" s="484" customFormat="1" ht="11.25">
      <c r="A464" s="484" t="s">
        <v>929</v>
      </c>
      <c r="B464" s="484" t="s">
        <v>920</v>
      </c>
      <c r="C464" s="484">
        <v>1</v>
      </c>
      <c r="D464" s="484" t="s">
        <v>412</v>
      </c>
      <c r="E464" s="484" t="s">
        <v>93</v>
      </c>
      <c r="F464" s="484" t="s">
        <v>413</v>
      </c>
      <c r="G464" s="484" t="s">
        <v>93</v>
      </c>
      <c r="H464" s="484" t="s">
        <v>93</v>
      </c>
      <c r="I464" s="484" t="s">
        <v>93</v>
      </c>
      <c r="J464" s="485"/>
      <c r="L464" s="486"/>
    </row>
    <row r="465" spans="1:9" ht="13.5">
      <c r="A465" s="63" t="s">
        <v>930</v>
      </c>
      <c r="B465" s="63" t="s">
        <v>920</v>
      </c>
      <c r="C465" s="63" t="s">
        <v>411</v>
      </c>
      <c r="D465" s="63" t="s">
        <v>446</v>
      </c>
      <c r="E465" s="63" t="s">
        <v>509</v>
      </c>
      <c r="F465" s="63" t="s">
        <v>428</v>
      </c>
      <c r="G465" s="63" t="s">
        <v>510</v>
      </c>
      <c r="H465" s="63">
        <v>20</v>
      </c>
      <c r="I465" s="63" t="s">
        <v>683</v>
      </c>
    </row>
    <row r="466" spans="1:9" ht="13.5">
      <c r="A466" s="63" t="s">
        <v>931</v>
      </c>
      <c r="B466" s="63" t="s">
        <v>920</v>
      </c>
      <c r="C466" s="63">
        <v>1</v>
      </c>
      <c r="D466" s="63" t="s">
        <v>477</v>
      </c>
      <c r="E466" s="63" t="s">
        <v>509</v>
      </c>
      <c r="F466" s="63" t="s">
        <v>489</v>
      </c>
      <c r="G466" s="63" t="s">
        <v>510</v>
      </c>
      <c r="H466" s="63">
        <v>8</v>
      </c>
      <c r="I466" s="63" t="s">
        <v>93</v>
      </c>
    </row>
    <row r="467" spans="1:9" ht="13.5">
      <c r="A467" s="63" t="s">
        <v>932</v>
      </c>
      <c r="B467" s="63" t="s">
        <v>920</v>
      </c>
      <c r="C467" s="63">
        <v>1</v>
      </c>
      <c r="D467" s="63" t="s">
        <v>532</v>
      </c>
      <c r="E467" s="63" t="s">
        <v>441</v>
      </c>
      <c r="F467" s="63" t="s">
        <v>489</v>
      </c>
      <c r="G467" s="63" t="s">
        <v>510</v>
      </c>
      <c r="H467" s="63">
        <v>10</v>
      </c>
      <c r="I467" s="63" t="s">
        <v>293</v>
      </c>
    </row>
    <row r="468" spans="1:9" ht="13.5">
      <c r="A468" s="63" t="s">
        <v>933</v>
      </c>
      <c r="B468" s="63" t="s">
        <v>920</v>
      </c>
      <c r="C468" s="63">
        <v>1</v>
      </c>
      <c r="D468" s="63" t="s">
        <v>460</v>
      </c>
      <c r="E468" s="63" t="s">
        <v>441</v>
      </c>
      <c r="F468" s="63" t="s">
        <v>413</v>
      </c>
      <c r="G468" s="63" t="s">
        <v>93</v>
      </c>
      <c r="H468" s="63">
        <v>10</v>
      </c>
      <c r="I468" s="63" t="s">
        <v>93</v>
      </c>
    </row>
    <row r="469" spans="1:9" ht="13.5">
      <c r="A469" s="63" t="s">
        <v>934</v>
      </c>
      <c r="B469" s="63" t="s">
        <v>920</v>
      </c>
      <c r="C469" s="63">
        <v>1</v>
      </c>
      <c r="D469" s="63" t="s">
        <v>477</v>
      </c>
      <c r="E469" s="63" t="s">
        <v>509</v>
      </c>
      <c r="F469" s="63" t="s">
        <v>489</v>
      </c>
      <c r="G469" s="63" t="s">
        <v>510</v>
      </c>
      <c r="H469" s="63">
        <v>15</v>
      </c>
      <c r="I469" s="63" t="s">
        <v>293</v>
      </c>
    </row>
    <row r="470" spans="1:9" ht="13.5">
      <c r="A470" s="63" t="s">
        <v>935</v>
      </c>
      <c r="B470" s="63" t="s">
        <v>920</v>
      </c>
      <c r="C470" s="63">
        <v>1</v>
      </c>
      <c r="D470" s="63" t="s">
        <v>503</v>
      </c>
      <c r="E470" s="63" t="s">
        <v>441</v>
      </c>
      <c r="F470" s="63" t="s">
        <v>489</v>
      </c>
      <c r="G470" s="63" t="s">
        <v>490</v>
      </c>
      <c r="H470" s="63" t="s">
        <v>428</v>
      </c>
      <c r="I470" s="63" t="s">
        <v>93</v>
      </c>
    </row>
    <row r="471" spans="1:9" ht="13.5">
      <c r="A471" s="63" t="s">
        <v>936</v>
      </c>
      <c r="B471" s="63" t="s">
        <v>920</v>
      </c>
      <c r="C471" s="63">
        <v>1</v>
      </c>
      <c r="D471" s="63" t="s">
        <v>477</v>
      </c>
      <c r="E471" s="63" t="s">
        <v>509</v>
      </c>
      <c r="F471" s="63" t="s">
        <v>489</v>
      </c>
      <c r="G471" s="63" t="s">
        <v>490</v>
      </c>
      <c r="H471" s="63">
        <v>20</v>
      </c>
      <c r="I471" s="63" t="s">
        <v>93</v>
      </c>
    </row>
    <row r="472" spans="1:9" ht="13.5">
      <c r="A472" s="63" t="s">
        <v>937</v>
      </c>
      <c r="B472" s="63" t="s">
        <v>920</v>
      </c>
      <c r="C472" s="63">
        <v>1</v>
      </c>
      <c r="D472" s="63" t="s">
        <v>481</v>
      </c>
      <c r="E472" s="63" t="s">
        <v>441</v>
      </c>
      <c r="F472" s="63" t="s">
        <v>489</v>
      </c>
      <c r="G472" s="63" t="s">
        <v>510</v>
      </c>
      <c r="H472" s="63">
        <v>12</v>
      </c>
      <c r="I472" s="63" t="s">
        <v>683</v>
      </c>
    </row>
    <row r="473" spans="1:11" ht="13.5">
      <c r="A473" s="63" t="s">
        <v>938</v>
      </c>
      <c r="B473" s="63" t="s">
        <v>920</v>
      </c>
      <c r="C473" s="63">
        <v>1</v>
      </c>
      <c r="D473" s="63" t="s">
        <v>446</v>
      </c>
      <c r="E473" s="63" t="s">
        <v>441</v>
      </c>
      <c r="F473" s="63" t="s">
        <v>489</v>
      </c>
      <c r="G473" s="63" t="s">
        <v>510</v>
      </c>
      <c r="H473" s="63">
        <v>13</v>
      </c>
      <c r="I473" s="63" t="s">
        <v>93</v>
      </c>
      <c r="K473" s="400" t="s">
        <v>939</v>
      </c>
    </row>
    <row r="474" spans="1:11" ht="13.5">
      <c r="A474" s="63" t="s">
        <v>940</v>
      </c>
      <c r="B474" s="63" t="s">
        <v>920</v>
      </c>
      <c r="C474" s="63" t="s">
        <v>411</v>
      </c>
      <c r="D474" s="63" t="s">
        <v>460</v>
      </c>
      <c r="E474" s="63" t="s">
        <v>441</v>
      </c>
      <c r="F474" s="63" t="s">
        <v>413</v>
      </c>
      <c r="G474" s="63" t="s">
        <v>93</v>
      </c>
      <c r="H474" s="63">
        <v>6</v>
      </c>
      <c r="I474" s="63" t="s">
        <v>915</v>
      </c>
      <c r="K474" s="400" t="s">
        <v>939</v>
      </c>
    </row>
    <row r="475" spans="1:11" ht="13.5">
      <c r="A475" s="63" t="s">
        <v>941</v>
      </c>
      <c r="B475" s="63" t="s">
        <v>920</v>
      </c>
      <c r="C475" s="63">
        <v>1</v>
      </c>
      <c r="D475" s="63" t="s">
        <v>477</v>
      </c>
      <c r="E475" s="63" t="s">
        <v>509</v>
      </c>
      <c r="F475" s="63" t="s">
        <v>489</v>
      </c>
      <c r="G475" s="63" t="s">
        <v>510</v>
      </c>
      <c r="H475" s="63">
        <v>15</v>
      </c>
      <c r="I475" s="63" t="s">
        <v>811</v>
      </c>
      <c r="K475" s="400" t="s">
        <v>939</v>
      </c>
    </row>
    <row r="476" spans="1:11" ht="13.5">
      <c r="A476" s="63" t="s">
        <v>942</v>
      </c>
      <c r="B476" s="63" t="s">
        <v>920</v>
      </c>
      <c r="C476" s="63" t="s">
        <v>411</v>
      </c>
      <c r="D476" s="63" t="s">
        <v>446</v>
      </c>
      <c r="E476" s="63" t="s">
        <v>441</v>
      </c>
      <c r="F476" s="63" t="s">
        <v>413</v>
      </c>
      <c r="G476" s="63" t="s">
        <v>93</v>
      </c>
      <c r="H476" s="63">
        <v>10</v>
      </c>
      <c r="I476" s="63" t="s">
        <v>93</v>
      </c>
      <c r="K476" s="400" t="s">
        <v>939</v>
      </c>
    </row>
    <row r="477" spans="1:11" ht="13.5">
      <c r="A477" s="63" t="s">
        <v>943</v>
      </c>
      <c r="B477" s="63" t="s">
        <v>920</v>
      </c>
      <c r="C477" s="63">
        <v>1</v>
      </c>
      <c r="D477" s="63" t="s">
        <v>446</v>
      </c>
      <c r="E477" s="63" t="s">
        <v>441</v>
      </c>
      <c r="F477" s="63" t="s">
        <v>489</v>
      </c>
      <c r="G477" s="63" t="s">
        <v>510</v>
      </c>
      <c r="H477" s="63">
        <v>10</v>
      </c>
      <c r="I477" s="63" t="s">
        <v>944</v>
      </c>
      <c r="K477" s="400" t="s">
        <v>939</v>
      </c>
    </row>
    <row r="478" spans="1:12" s="481" customFormat="1" ht="11.25">
      <c r="A478" s="481" t="s">
        <v>945</v>
      </c>
      <c r="B478" s="481" t="s">
        <v>920</v>
      </c>
      <c r="C478" s="481">
        <v>1</v>
      </c>
      <c r="D478" s="481" t="s">
        <v>412</v>
      </c>
      <c r="E478" s="481" t="s">
        <v>93</v>
      </c>
      <c r="F478" s="481" t="s">
        <v>413</v>
      </c>
      <c r="G478" s="481" t="s">
        <v>93</v>
      </c>
      <c r="H478" s="481" t="s">
        <v>93</v>
      </c>
      <c r="I478" s="481" t="s">
        <v>93</v>
      </c>
      <c r="J478" s="482"/>
      <c r="K478" s="477" t="s">
        <v>939</v>
      </c>
      <c r="L478" s="483"/>
    </row>
    <row r="479" spans="1:12" s="481" customFormat="1" ht="11.25">
      <c r="A479" s="481" t="s">
        <v>946</v>
      </c>
      <c r="B479" s="481" t="s">
        <v>920</v>
      </c>
      <c r="C479" s="481">
        <v>1</v>
      </c>
      <c r="D479" s="481" t="s">
        <v>412</v>
      </c>
      <c r="E479" s="481" t="s">
        <v>93</v>
      </c>
      <c r="F479" s="481" t="s">
        <v>413</v>
      </c>
      <c r="G479" s="481" t="s">
        <v>93</v>
      </c>
      <c r="H479" s="481" t="s">
        <v>93</v>
      </c>
      <c r="I479" s="481" t="s">
        <v>93</v>
      </c>
      <c r="J479" s="482"/>
      <c r="K479" s="477" t="s">
        <v>939</v>
      </c>
      <c r="L479" s="483"/>
    </row>
    <row r="480" spans="1:12" s="481" customFormat="1" ht="11.25">
      <c r="A480" s="481" t="s">
        <v>947</v>
      </c>
      <c r="B480" s="481" t="s">
        <v>920</v>
      </c>
      <c r="C480" s="481">
        <v>1</v>
      </c>
      <c r="D480" s="481" t="s">
        <v>412</v>
      </c>
      <c r="E480" s="481" t="s">
        <v>93</v>
      </c>
      <c r="F480" s="481" t="s">
        <v>413</v>
      </c>
      <c r="G480" s="481" t="s">
        <v>93</v>
      </c>
      <c r="H480" s="481" t="s">
        <v>93</v>
      </c>
      <c r="I480" s="481" t="s">
        <v>93</v>
      </c>
      <c r="J480" s="482"/>
      <c r="K480" s="477" t="s">
        <v>939</v>
      </c>
      <c r="L480" s="483"/>
    </row>
    <row r="481" spans="1:11" ht="13.5">
      <c r="A481" s="469" t="s">
        <v>948</v>
      </c>
      <c r="B481" s="470" t="s">
        <v>292</v>
      </c>
      <c r="C481" s="470" t="s">
        <v>293</v>
      </c>
      <c r="D481" s="470" t="s">
        <v>294</v>
      </c>
      <c r="E481" s="470" t="s">
        <v>176</v>
      </c>
      <c r="F481" s="470" t="s">
        <v>295</v>
      </c>
      <c r="G481" s="470" t="s">
        <v>248</v>
      </c>
      <c r="H481" s="470" t="s">
        <v>296</v>
      </c>
      <c r="I481" s="470" t="s">
        <v>242</v>
      </c>
      <c r="J481" s="471" t="s">
        <v>297</v>
      </c>
      <c r="K481" s="471" t="s">
        <v>409</v>
      </c>
    </row>
    <row r="482" spans="1:9" ht="13.5">
      <c r="A482" s="63" t="s">
        <v>949</v>
      </c>
      <c r="B482" s="63" t="s">
        <v>948</v>
      </c>
      <c r="C482" s="63">
        <v>1</v>
      </c>
      <c r="D482" s="63" t="s">
        <v>477</v>
      </c>
      <c r="E482" s="63" t="s">
        <v>441</v>
      </c>
      <c r="F482" s="63" t="s">
        <v>413</v>
      </c>
      <c r="G482" s="63" t="s">
        <v>93</v>
      </c>
      <c r="H482" s="63" t="s">
        <v>93</v>
      </c>
      <c r="I482" s="63" t="s">
        <v>293</v>
      </c>
    </row>
    <row r="483" spans="1:12" s="484" customFormat="1" ht="11.25">
      <c r="A483" s="484" t="s">
        <v>950</v>
      </c>
      <c r="B483" s="484" t="s">
        <v>948</v>
      </c>
      <c r="C483" s="484">
        <v>1</v>
      </c>
      <c r="D483" s="484" t="s">
        <v>412</v>
      </c>
      <c r="E483" s="484" t="s">
        <v>93</v>
      </c>
      <c r="F483" s="484" t="s">
        <v>413</v>
      </c>
      <c r="G483" s="484" t="s">
        <v>93</v>
      </c>
      <c r="H483" s="484" t="s">
        <v>93</v>
      </c>
      <c r="I483" s="484" t="s">
        <v>93</v>
      </c>
      <c r="J483" s="485"/>
      <c r="L483" s="486"/>
    </row>
    <row r="484" spans="1:9" ht="13.5">
      <c r="A484" s="63" t="s">
        <v>951</v>
      </c>
      <c r="B484" s="63" t="s">
        <v>948</v>
      </c>
      <c r="C484" s="63" t="s">
        <v>411</v>
      </c>
      <c r="D484" s="63" t="s">
        <v>460</v>
      </c>
      <c r="E484" s="63" t="s">
        <v>441</v>
      </c>
      <c r="F484" s="63" t="s">
        <v>413</v>
      </c>
      <c r="G484" s="63" t="s">
        <v>93</v>
      </c>
      <c r="H484" s="63">
        <v>6</v>
      </c>
      <c r="I484" s="63" t="s">
        <v>93</v>
      </c>
    </row>
    <row r="485" spans="1:12" s="481" customFormat="1" ht="11.25">
      <c r="A485" s="481" t="s">
        <v>952</v>
      </c>
      <c r="B485" s="481" t="s">
        <v>948</v>
      </c>
      <c r="C485" s="481" t="s">
        <v>411</v>
      </c>
      <c r="D485" s="481" t="s">
        <v>412</v>
      </c>
      <c r="E485" s="481" t="s">
        <v>93</v>
      </c>
      <c r="F485" s="481" t="s">
        <v>413</v>
      </c>
      <c r="G485" s="481" t="s">
        <v>93</v>
      </c>
      <c r="H485" s="481" t="s">
        <v>93</v>
      </c>
      <c r="I485" s="481" t="s">
        <v>93</v>
      </c>
      <c r="J485" s="482"/>
      <c r="L485" s="483"/>
    </row>
    <row r="486" spans="1:9" ht="13.5">
      <c r="A486" s="63" t="s">
        <v>953</v>
      </c>
      <c r="B486" s="63" t="s">
        <v>948</v>
      </c>
      <c r="C486" s="63" t="s">
        <v>411</v>
      </c>
      <c r="D486" s="63" t="s">
        <v>460</v>
      </c>
      <c r="E486" s="63" t="s">
        <v>441</v>
      </c>
      <c r="F486" s="63" t="s">
        <v>413</v>
      </c>
      <c r="G486" s="63" t="s">
        <v>93</v>
      </c>
      <c r="H486" s="63">
        <v>6</v>
      </c>
      <c r="I486" s="63" t="s">
        <v>93</v>
      </c>
    </row>
    <row r="487" spans="1:9" ht="13.5">
      <c r="A487" s="63" t="s">
        <v>954</v>
      </c>
      <c r="B487" s="63" t="s">
        <v>948</v>
      </c>
      <c r="C487" s="63" t="s">
        <v>411</v>
      </c>
      <c r="D487" s="63" t="s">
        <v>460</v>
      </c>
      <c r="E487" s="63" t="s">
        <v>441</v>
      </c>
      <c r="F487" s="63" t="s">
        <v>413</v>
      </c>
      <c r="G487" s="63" t="s">
        <v>93</v>
      </c>
      <c r="H487" s="63">
        <v>6</v>
      </c>
      <c r="I487" s="63" t="s">
        <v>93</v>
      </c>
    </row>
    <row r="488" spans="1:12" s="484" customFormat="1" ht="11.25">
      <c r="A488" s="484" t="s">
        <v>955</v>
      </c>
      <c r="B488" s="484" t="s">
        <v>948</v>
      </c>
      <c r="C488" s="484">
        <v>1</v>
      </c>
      <c r="D488" s="484" t="s">
        <v>412</v>
      </c>
      <c r="E488" s="484" t="s">
        <v>93</v>
      </c>
      <c r="F488" s="484" t="s">
        <v>413</v>
      </c>
      <c r="G488" s="484" t="s">
        <v>93</v>
      </c>
      <c r="H488" s="484" t="s">
        <v>93</v>
      </c>
      <c r="I488" s="484" t="s">
        <v>93</v>
      </c>
      <c r="J488" s="485"/>
      <c r="L488" s="486"/>
    </row>
    <row r="489" spans="1:9" ht="13.5">
      <c r="A489" s="63" t="s">
        <v>956</v>
      </c>
      <c r="B489" s="63" t="s">
        <v>948</v>
      </c>
      <c r="C489" s="63">
        <v>1</v>
      </c>
      <c r="D489" s="63" t="s">
        <v>477</v>
      </c>
      <c r="E489" s="63" t="s">
        <v>509</v>
      </c>
      <c r="F489" s="63" t="s">
        <v>489</v>
      </c>
      <c r="G489" s="63" t="s">
        <v>510</v>
      </c>
      <c r="H489" s="63">
        <v>10</v>
      </c>
      <c r="I489" s="63" t="s">
        <v>93</v>
      </c>
    </row>
    <row r="490" spans="1:9" ht="13.5">
      <c r="A490" s="63" t="s">
        <v>957</v>
      </c>
      <c r="B490" s="63" t="s">
        <v>948</v>
      </c>
      <c r="C490" s="63" t="s">
        <v>411</v>
      </c>
      <c r="D490" s="63" t="s">
        <v>477</v>
      </c>
      <c r="E490" s="63" t="s">
        <v>48</v>
      </c>
      <c r="F490" s="63" t="s">
        <v>501</v>
      </c>
      <c r="G490" s="63" t="s">
        <v>510</v>
      </c>
      <c r="H490" s="63">
        <v>10</v>
      </c>
      <c r="I490" s="63" t="s">
        <v>93</v>
      </c>
    </row>
    <row r="491" spans="1:9" ht="13.5">
      <c r="A491" s="63" t="s">
        <v>958</v>
      </c>
      <c r="B491" s="63" t="s">
        <v>948</v>
      </c>
      <c r="C491" s="63">
        <v>1</v>
      </c>
      <c r="D491" s="63" t="s">
        <v>477</v>
      </c>
      <c r="E491" s="63" t="s">
        <v>166</v>
      </c>
      <c r="F491" s="63" t="s">
        <v>428</v>
      </c>
      <c r="G491" s="63" t="s">
        <v>428</v>
      </c>
      <c r="H491" s="63">
        <v>12</v>
      </c>
      <c r="I491" s="63" t="s">
        <v>293</v>
      </c>
    </row>
    <row r="492" spans="1:9" ht="13.5">
      <c r="A492" s="63" t="s">
        <v>959</v>
      </c>
      <c r="B492" s="63" t="s">
        <v>948</v>
      </c>
      <c r="C492" s="63">
        <v>1</v>
      </c>
      <c r="D492" s="63" t="s">
        <v>477</v>
      </c>
      <c r="E492" s="63" t="s">
        <v>166</v>
      </c>
      <c r="F492" s="63" t="s">
        <v>489</v>
      </c>
      <c r="G492" s="63" t="s">
        <v>497</v>
      </c>
      <c r="H492" s="63">
        <v>10</v>
      </c>
      <c r="I492" s="63" t="s">
        <v>293</v>
      </c>
    </row>
    <row r="493" spans="1:12" s="481" customFormat="1" ht="11.25">
      <c r="A493" s="481" t="s">
        <v>960</v>
      </c>
      <c r="B493" s="481" t="s">
        <v>948</v>
      </c>
      <c r="C493" s="481" t="s">
        <v>411</v>
      </c>
      <c r="D493" s="481" t="s">
        <v>412</v>
      </c>
      <c r="E493" s="481" t="s">
        <v>93</v>
      </c>
      <c r="F493" s="481" t="s">
        <v>413</v>
      </c>
      <c r="G493" s="481" t="s">
        <v>93</v>
      </c>
      <c r="H493" s="481" t="s">
        <v>93</v>
      </c>
      <c r="I493" s="481" t="s">
        <v>93</v>
      </c>
      <c r="J493" s="482"/>
      <c r="L493" s="483"/>
    </row>
    <row r="494" spans="1:9" ht="13.5">
      <c r="A494" s="63" t="s">
        <v>961</v>
      </c>
      <c r="B494" s="63" t="s">
        <v>948</v>
      </c>
      <c r="C494" s="63" t="s">
        <v>411</v>
      </c>
      <c r="D494" s="63" t="s">
        <v>460</v>
      </c>
      <c r="E494" s="63" t="s">
        <v>441</v>
      </c>
      <c r="F494" s="63" t="s">
        <v>413</v>
      </c>
      <c r="G494" s="63" t="s">
        <v>93</v>
      </c>
      <c r="H494" s="63">
        <v>6</v>
      </c>
      <c r="I494" s="63" t="s">
        <v>93</v>
      </c>
    </row>
    <row r="495" spans="1:12" s="481" customFormat="1" ht="11.25">
      <c r="A495" s="481" t="s">
        <v>962</v>
      </c>
      <c r="B495" s="481" t="s">
        <v>948</v>
      </c>
      <c r="C495" s="481" t="s">
        <v>411</v>
      </c>
      <c r="D495" s="481" t="s">
        <v>412</v>
      </c>
      <c r="E495" s="481" t="s">
        <v>93</v>
      </c>
      <c r="F495" s="481" t="s">
        <v>413</v>
      </c>
      <c r="G495" s="481" t="s">
        <v>93</v>
      </c>
      <c r="H495" s="481" t="s">
        <v>93</v>
      </c>
      <c r="I495" s="481" t="s">
        <v>93</v>
      </c>
      <c r="J495" s="482"/>
      <c r="L495" s="483"/>
    </row>
    <row r="496" spans="1:12" s="484" customFormat="1" ht="11.25">
      <c r="A496" s="484" t="s">
        <v>963</v>
      </c>
      <c r="B496" s="484" t="s">
        <v>948</v>
      </c>
      <c r="C496" s="484" t="s">
        <v>411</v>
      </c>
      <c r="D496" s="484" t="s">
        <v>412</v>
      </c>
      <c r="E496" s="484" t="s">
        <v>93</v>
      </c>
      <c r="F496" s="484" t="s">
        <v>413</v>
      </c>
      <c r="G496" s="484" t="s">
        <v>93</v>
      </c>
      <c r="H496" s="484" t="s">
        <v>93</v>
      </c>
      <c r="I496" s="484" t="s">
        <v>93</v>
      </c>
      <c r="J496" s="485"/>
      <c r="L496" s="486"/>
    </row>
    <row r="497" spans="1:12" s="481" customFormat="1" ht="11.25">
      <c r="A497" s="481" t="s">
        <v>964</v>
      </c>
      <c r="B497" s="481" t="s">
        <v>948</v>
      </c>
      <c r="C497" s="481" t="s">
        <v>411</v>
      </c>
      <c r="D497" s="481" t="s">
        <v>412</v>
      </c>
      <c r="E497" s="481" t="s">
        <v>93</v>
      </c>
      <c r="F497" s="481" t="s">
        <v>413</v>
      </c>
      <c r="G497" s="481" t="s">
        <v>93</v>
      </c>
      <c r="H497" s="481" t="s">
        <v>93</v>
      </c>
      <c r="I497" s="481" t="s">
        <v>93</v>
      </c>
      <c r="J497" s="482"/>
      <c r="L497" s="483"/>
    </row>
    <row r="498" spans="1:12" s="481" customFormat="1" ht="11.25">
      <c r="A498" s="481" t="s">
        <v>965</v>
      </c>
      <c r="B498" s="481" t="s">
        <v>948</v>
      </c>
      <c r="C498" s="481" t="s">
        <v>411</v>
      </c>
      <c r="D498" s="481" t="s">
        <v>412</v>
      </c>
      <c r="E498" s="481" t="s">
        <v>93</v>
      </c>
      <c r="F498" s="481" t="s">
        <v>413</v>
      </c>
      <c r="G498" s="481" t="s">
        <v>93</v>
      </c>
      <c r="H498" s="481" t="s">
        <v>93</v>
      </c>
      <c r="I498" s="481" t="s">
        <v>93</v>
      </c>
      <c r="J498" s="482"/>
      <c r="L498" s="483"/>
    </row>
    <row r="499" spans="1:11" ht="13.5">
      <c r="A499" s="63" t="s">
        <v>966</v>
      </c>
      <c r="B499" s="63" t="s">
        <v>948</v>
      </c>
      <c r="C499" s="63" t="s">
        <v>411</v>
      </c>
      <c r="D499" s="63" t="s">
        <v>503</v>
      </c>
      <c r="E499" s="63" t="s">
        <v>441</v>
      </c>
      <c r="F499" s="63" t="s">
        <v>413</v>
      </c>
      <c r="G499" s="63" t="s">
        <v>93</v>
      </c>
      <c r="H499" s="63">
        <v>12</v>
      </c>
      <c r="I499" s="63" t="s">
        <v>93</v>
      </c>
      <c r="K499" s="400" t="s">
        <v>967</v>
      </c>
    </row>
    <row r="500" spans="1:11" ht="13.5">
      <c r="A500" s="63" t="s">
        <v>968</v>
      </c>
      <c r="B500" s="63" t="s">
        <v>948</v>
      </c>
      <c r="C500" s="63">
        <v>1</v>
      </c>
      <c r="D500" s="63" t="s">
        <v>446</v>
      </c>
      <c r="E500" s="63" t="s">
        <v>441</v>
      </c>
      <c r="F500" s="63" t="s">
        <v>413</v>
      </c>
      <c r="G500" s="63" t="s">
        <v>93</v>
      </c>
      <c r="H500" s="63">
        <v>8</v>
      </c>
      <c r="I500" s="63" t="s">
        <v>93</v>
      </c>
      <c r="K500" s="400" t="s">
        <v>967</v>
      </c>
    </row>
    <row r="501" spans="1:11" ht="13.5">
      <c r="A501" s="63" t="s">
        <v>969</v>
      </c>
      <c r="B501" s="63" t="s">
        <v>948</v>
      </c>
      <c r="C501" s="63">
        <v>1</v>
      </c>
      <c r="D501" s="63" t="s">
        <v>446</v>
      </c>
      <c r="E501" s="63" t="s">
        <v>441</v>
      </c>
      <c r="F501" s="63" t="s">
        <v>413</v>
      </c>
      <c r="G501" s="63" t="s">
        <v>93</v>
      </c>
      <c r="H501" s="63">
        <v>7</v>
      </c>
      <c r="I501" s="63" t="s">
        <v>944</v>
      </c>
      <c r="K501" s="400" t="s">
        <v>967</v>
      </c>
    </row>
    <row r="502" spans="1:11" ht="13.5">
      <c r="A502" s="63" t="s">
        <v>970</v>
      </c>
      <c r="B502" s="63" t="s">
        <v>948</v>
      </c>
      <c r="C502" s="63">
        <v>1</v>
      </c>
      <c r="D502" s="63" t="s">
        <v>503</v>
      </c>
      <c r="E502" s="63" t="s">
        <v>509</v>
      </c>
      <c r="F502" s="63" t="s">
        <v>413</v>
      </c>
      <c r="G502" s="63" t="s">
        <v>93</v>
      </c>
      <c r="H502" s="63">
        <v>10</v>
      </c>
      <c r="I502" s="63" t="s">
        <v>93</v>
      </c>
      <c r="K502" s="400" t="s">
        <v>967</v>
      </c>
    </row>
    <row r="503" spans="1:11" ht="13.5">
      <c r="A503" s="63" t="s">
        <v>971</v>
      </c>
      <c r="B503" s="63" t="s">
        <v>948</v>
      </c>
      <c r="C503" s="63">
        <v>1</v>
      </c>
      <c r="D503" s="63" t="s">
        <v>503</v>
      </c>
      <c r="E503" s="63" t="s">
        <v>441</v>
      </c>
      <c r="F503" s="63" t="s">
        <v>413</v>
      </c>
      <c r="G503" s="63" t="s">
        <v>93</v>
      </c>
      <c r="H503" s="63">
        <v>9</v>
      </c>
      <c r="I503" s="63" t="s">
        <v>93</v>
      </c>
      <c r="K503" s="400" t="s">
        <v>967</v>
      </c>
    </row>
    <row r="504" spans="1:12" s="484" customFormat="1" ht="11.25">
      <c r="A504" s="484" t="s">
        <v>972</v>
      </c>
      <c r="B504" s="484" t="s">
        <v>948</v>
      </c>
      <c r="C504" s="484">
        <v>1</v>
      </c>
      <c r="D504" s="484" t="s">
        <v>412</v>
      </c>
      <c r="E504" s="484" t="s">
        <v>93</v>
      </c>
      <c r="F504" s="484" t="s">
        <v>413</v>
      </c>
      <c r="G504" s="484" t="s">
        <v>93</v>
      </c>
      <c r="H504" s="484" t="s">
        <v>93</v>
      </c>
      <c r="I504" s="484" t="s">
        <v>93</v>
      </c>
      <c r="J504" s="485"/>
      <c r="K504" s="472" t="s">
        <v>967</v>
      </c>
      <c r="L504" s="486" t="s">
        <v>973</v>
      </c>
    </row>
    <row r="505" spans="1:12" s="481" customFormat="1" ht="11.25">
      <c r="A505" s="481" t="s">
        <v>974</v>
      </c>
      <c r="B505" s="481" t="s">
        <v>948</v>
      </c>
      <c r="C505" s="481">
        <v>1</v>
      </c>
      <c r="D505" s="481" t="s">
        <v>412</v>
      </c>
      <c r="E505" s="481" t="s">
        <v>93</v>
      </c>
      <c r="F505" s="481" t="s">
        <v>413</v>
      </c>
      <c r="G505" s="481" t="s">
        <v>93</v>
      </c>
      <c r="H505" s="481" t="s">
        <v>93</v>
      </c>
      <c r="I505" s="481" t="s">
        <v>93</v>
      </c>
      <c r="J505" s="482"/>
      <c r="K505" s="477" t="s">
        <v>967</v>
      </c>
      <c r="L505" s="483"/>
    </row>
    <row r="506" spans="1:12" s="481" customFormat="1" ht="11.25">
      <c r="A506" s="481" t="s">
        <v>975</v>
      </c>
      <c r="B506" s="481" t="s">
        <v>948</v>
      </c>
      <c r="C506" s="481">
        <v>1</v>
      </c>
      <c r="D506" s="481" t="s">
        <v>412</v>
      </c>
      <c r="E506" s="481" t="s">
        <v>93</v>
      </c>
      <c r="F506" s="481" t="s">
        <v>413</v>
      </c>
      <c r="G506" s="481" t="s">
        <v>93</v>
      </c>
      <c r="H506" s="481" t="s">
        <v>93</v>
      </c>
      <c r="I506" s="481" t="s">
        <v>93</v>
      </c>
      <c r="J506" s="482"/>
      <c r="K506" s="477" t="s">
        <v>967</v>
      </c>
      <c r="L506" s="483"/>
    </row>
    <row r="507" spans="1:11" ht="13.5">
      <c r="A507" s="469" t="s">
        <v>976</v>
      </c>
      <c r="B507" s="470" t="s">
        <v>292</v>
      </c>
      <c r="C507" s="470" t="s">
        <v>293</v>
      </c>
      <c r="D507" s="470" t="s">
        <v>294</v>
      </c>
      <c r="E507" s="470" t="s">
        <v>176</v>
      </c>
      <c r="F507" s="470" t="s">
        <v>295</v>
      </c>
      <c r="G507" s="470" t="s">
        <v>248</v>
      </c>
      <c r="H507" s="470" t="s">
        <v>296</v>
      </c>
      <c r="I507" s="470" t="s">
        <v>242</v>
      </c>
      <c r="J507" s="471" t="s">
        <v>297</v>
      </c>
      <c r="K507" s="471" t="s">
        <v>409</v>
      </c>
    </row>
    <row r="508" spans="1:9" ht="13.5">
      <c r="A508" s="63" t="s">
        <v>977</v>
      </c>
      <c r="B508" s="63" t="s">
        <v>976</v>
      </c>
      <c r="C508" s="63">
        <v>1</v>
      </c>
      <c r="D508" s="63" t="s">
        <v>477</v>
      </c>
      <c r="E508" s="63" t="s">
        <v>509</v>
      </c>
      <c r="F508" s="63" t="s">
        <v>489</v>
      </c>
      <c r="G508" s="63" t="s">
        <v>510</v>
      </c>
      <c r="H508" s="63">
        <v>12</v>
      </c>
      <c r="I508" s="63" t="s">
        <v>93</v>
      </c>
    </row>
    <row r="509" spans="1:9" ht="13.5">
      <c r="A509" s="63" t="s">
        <v>978</v>
      </c>
      <c r="B509" s="63" t="s">
        <v>976</v>
      </c>
      <c r="C509" s="63" t="s">
        <v>411</v>
      </c>
      <c r="D509" s="63" t="s">
        <v>583</v>
      </c>
      <c r="E509" s="63" t="s">
        <v>509</v>
      </c>
      <c r="F509" s="63" t="s">
        <v>489</v>
      </c>
      <c r="G509" s="63" t="s">
        <v>428</v>
      </c>
      <c r="H509" s="63">
        <v>10</v>
      </c>
      <c r="I509" s="63" t="s">
        <v>93</v>
      </c>
    </row>
    <row r="510" spans="1:9" ht="13.5">
      <c r="A510" s="63" t="s">
        <v>979</v>
      </c>
      <c r="B510" s="63" t="s">
        <v>976</v>
      </c>
      <c r="C510" s="63">
        <v>1</v>
      </c>
      <c r="D510" s="63" t="s">
        <v>477</v>
      </c>
      <c r="E510" s="63" t="s">
        <v>509</v>
      </c>
      <c r="F510" s="63" t="s">
        <v>489</v>
      </c>
      <c r="G510" s="63" t="s">
        <v>510</v>
      </c>
      <c r="H510" s="63">
        <v>12</v>
      </c>
      <c r="I510" s="63" t="s">
        <v>93</v>
      </c>
    </row>
    <row r="511" spans="1:9" ht="13.5">
      <c r="A511" s="63" t="s">
        <v>980</v>
      </c>
      <c r="B511" s="63" t="s">
        <v>976</v>
      </c>
      <c r="C511" s="63" t="s">
        <v>411</v>
      </c>
      <c r="D511" s="63" t="s">
        <v>460</v>
      </c>
      <c r="E511" s="63" t="s">
        <v>441</v>
      </c>
      <c r="F511" s="63" t="s">
        <v>413</v>
      </c>
      <c r="G511" s="63" t="s">
        <v>93</v>
      </c>
      <c r="H511" s="63">
        <v>10</v>
      </c>
      <c r="I511" s="63" t="s">
        <v>93</v>
      </c>
    </row>
    <row r="512" spans="1:9" ht="13.5">
      <c r="A512" s="63" t="s">
        <v>981</v>
      </c>
      <c r="B512" s="63" t="s">
        <v>976</v>
      </c>
      <c r="C512" s="63">
        <v>1</v>
      </c>
      <c r="D512" s="63" t="s">
        <v>446</v>
      </c>
      <c r="E512" s="63" t="s">
        <v>441</v>
      </c>
      <c r="F512" s="63" t="s">
        <v>428</v>
      </c>
      <c r="G512" s="63" t="s">
        <v>510</v>
      </c>
      <c r="H512" s="63">
        <v>15</v>
      </c>
      <c r="I512" s="63" t="s">
        <v>683</v>
      </c>
    </row>
    <row r="513" spans="1:9" ht="13.5">
      <c r="A513" s="63" t="s">
        <v>982</v>
      </c>
      <c r="B513" s="63" t="s">
        <v>976</v>
      </c>
      <c r="C513" s="63">
        <v>1</v>
      </c>
      <c r="D513" s="63" t="s">
        <v>477</v>
      </c>
      <c r="E513" s="63" t="s">
        <v>509</v>
      </c>
      <c r="F513" s="63" t="s">
        <v>489</v>
      </c>
      <c r="G513" s="63" t="s">
        <v>510</v>
      </c>
      <c r="H513" s="63">
        <v>12</v>
      </c>
      <c r="I513" s="63" t="s">
        <v>93</v>
      </c>
    </row>
    <row r="514" spans="1:9" ht="13.5">
      <c r="A514" s="63" t="s">
        <v>983</v>
      </c>
      <c r="B514" s="63" t="s">
        <v>976</v>
      </c>
      <c r="C514" s="63">
        <v>1</v>
      </c>
      <c r="D514" s="63" t="s">
        <v>477</v>
      </c>
      <c r="E514" s="63" t="s">
        <v>509</v>
      </c>
      <c r="F514" s="63" t="s">
        <v>489</v>
      </c>
      <c r="G514" s="63" t="s">
        <v>510</v>
      </c>
      <c r="H514" s="63">
        <v>12</v>
      </c>
      <c r="I514" s="63" t="s">
        <v>93</v>
      </c>
    </row>
    <row r="515" spans="1:9" ht="13.5">
      <c r="A515" s="63" t="s">
        <v>984</v>
      </c>
      <c r="B515" s="63" t="s">
        <v>976</v>
      </c>
      <c r="C515" s="63">
        <v>1</v>
      </c>
      <c r="D515" s="63" t="s">
        <v>477</v>
      </c>
      <c r="E515" s="63" t="s">
        <v>509</v>
      </c>
      <c r="F515" s="63" t="s">
        <v>501</v>
      </c>
      <c r="G515" s="63" t="s">
        <v>510</v>
      </c>
      <c r="H515" s="63">
        <v>12</v>
      </c>
      <c r="I515" s="63" t="s">
        <v>93</v>
      </c>
    </row>
    <row r="516" spans="1:9" ht="13.5">
      <c r="A516" s="63" t="s">
        <v>985</v>
      </c>
      <c r="B516" s="63" t="s">
        <v>976</v>
      </c>
      <c r="C516" s="63" t="s">
        <v>411</v>
      </c>
      <c r="D516" s="63" t="s">
        <v>477</v>
      </c>
      <c r="E516" s="63" t="s">
        <v>509</v>
      </c>
      <c r="F516" s="63" t="s">
        <v>489</v>
      </c>
      <c r="G516" s="63" t="s">
        <v>510</v>
      </c>
      <c r="H516" s="63">
        <v>12</v>
      </c>
      <c r="I516" s="63" t="s">
        <v>93</v>
      </c>
    </row>
    <row r="517" spans="1:9" ht="13.5">
      <c r="A517" s="63" t="s">
        <v>986</v>
      </c>
      <c r="B517" s="63" t="s">
        <v>976</v>
      </c>
      <c r="C517" s="63">
        <v>1</v>
      </c>
      <c r="D517" s="63" t="s">
        <v>477</v>
      </c>
      <c r="E517" s="63" t="s">
        <v>509</v>
      </c>
      <c r="F517" s="63" t="s">
        <v>501</v>
      </c>
      <c r="G517" s="63" t="s">
        <v>510</v>
      </c>
      <c r="H517" s="63">
        <v>12</v>
      </c>
      <c r="I517" s="63" t="s">
        <v>93</v>
      </c>
    </row>
    <row r="518" spans="1:9" ht="13.5">
      <c r="A518" s="63" t="s">
        <v>987</v>
      </c>
      <c r="B518" s="63" t="s">
        <v>976</v>
      </c>
      <c r="C518" s="63" t="s">
        <v>411</v>
      </c>
      <c r="D518" s="63" t="s">
        <v>477</v>
      </c>
      <c r="E518" s="63" t="s">
        <v>509</v>
      </c>
      <c r="F518" s="63" t="s">
        <v>489</v>
      </c>
      <c r="G518" s="63" t="s">
        <v>510</v>
      </c>
      <c r="H518" s="63">
        <v>10</v>
      </c>
      <c r="I518" s="63" t="s">
        <v>93</v>
      </c>
    </row>
    <row r="519" spans="1:9" ht="13.5">
      <c r="A519" s="63" t="s">
        <v>988</v>
      </c>
      <c r="B519" s="63" t="s">
        <v>976</v>
      </c>
      <c r="C519" s="63" t="s">
        <v>411</v>
      </c>
      <c r="D519" s="63" t="s">
        <v>460</v>
      </c>
      <c r="E519" s="63" t="s">
        <v>441</v>
      </c>
      <c r="F519" s="63" t="s">
        <v>413</v>
      </c>
      <c r="G519" s="63" t="s">
        <v>93</v>
      </c>
      <c r="H519" s="63">
        <v>15</v>
      </c>
      <c r="I519" s="63" t="s">
        <v>93</v>
      </c>
    </row>
    <row r="520" spans="1:9" ht="13.5">
      <c r="A520" s="63" t="s">
        <v>989</v>
      </c>
      <c r="B520" s="63" t="s">
        <v>976</v>
      </c>
      <c r="C520" s="63">
        <v>1</v>
      </c>
      <c r="D520" s="63" t="s">
        <v>477</v>
      </c>
      <c r="E520" s="63" t="s">
        <v>509</v>
      </c>
      <c r="F520" s="63" t="s">
        <v>489</v>
      </c>
      <c r="G520" s="63" t="s">
        <v>510</v>
      </c>
      <c r="H520" s="63">
        <v>12</v>
      </c>
      <c r="I520" s="63" t="s">
        <v>93</v>
      </c>
    </row>
    <row r="521" spans="1:9" ht="13.5">
      <c r="A521" s="63" t="s">
        <v>990</v>
      </c>
      <c r="B521" s="63" t="s">
        <v>976</v>
      </c>
      <c r="C521" s="63" t="s">
        <v>411</v>
      </c>
      <c r="D521" s="63" t="s">
        <v>477</v>
      </c>
      <c r="E521" s="63" t="s">
        <v>509</v>
      </c>
      <c r="F521" s="63" t="s">
        <v>489</v>
      </c>
      <c r="G521" s="63" t="s">
        <v>510</v>
      </c>
      <c r="H521" s="63">
        <v>10</v>
      </c>
      <c r="I521" s="63" t="s">
        <v>93</v>
      </c>
    </row>
    <row r="522" spans="1:9" ht="13.5">
      <c r="A522" s="63" t="s">
        <v>991</v>
      </c>
      <c r="B522" s="63" t="s">
        <v>976</v>
      </c>
      <c r="C522" s="63" t="s">
        <v>411</v>
      </c>
      <c r="D522" s="63" t="s">
        <v>477</v>
      </c>
      <c r="E522" s="63" t="s">
        <v>509</v>
      </c>
      <c r="F522" s="63" t="s">
        <v>489</v>
      </c>
      <c r="G522" s="63" t="s">
        <v>510</v>
      </c>
      <c r="H522" s="63">
        <v>12</v>
      </c>
      <c r="I522" s="63" t="s">
        <v>93</v>
      </c>
    </row>
    <row r="523" spans="1:9" ht="13.5">
      <c r="A523" s="63" t="s">
        <v>992</v>
      </c>
      <c r="B523" s="63" t="s">
        <v>976</v>
      </c>
      <c r="C523" s="63">
        <v>1</v>
      </c>
      <c r="D523" s="63" t="s">
        <v>477</v>
      </c>
      <c r="E523" s="63" t="s">
        <v>509</v>
      </c>
      <c r="F523" s="63" t="s">
        <v>428</v>
      </c>
      <c r="G523" s="63" t="s">
        <v>428</v>
      </c>
      <c r="H523" s="63">
        <v>17</v>
      </c>
      <c r="I523" s="63" t="s">
        <v>93</v>
      </c>
    </row>
    <row r="524" spans="1:9" ht="13.5">
      <c r="A524" s="63" t="s">
        <v>993</v>
      </c>
      <c r="B524" s="63" t="s">
        <v>976</v>
      </c>
      <c r="C524" s="63" t="s">
        <v>411</v>
      </c>
      <c r="D524" s="63" t="s">
        <v>477</v>
      </c>
      <c r="E524" s="63" t="s">
        <v>509</v>
      </c>
      <c r="F524" s="63" t="s">
        <v>489</v>
      </c>
      <c r="G524" s="63" t="s">
        <v>510</v>
      </c>
      <c r="H524" s="63">
        <v>12</v>
      </c>
      <c r="I524" s="63" t="s">
        <v>93</v>
      </c>
    </row>
    <row r="525" spans="1:11" ht="13.5">
      <c r="A525" s="63" t="s">
        <v>994</v>
      </c>
      <c r="B525" s="63" t="s">
        <v>976</v>
      </c>
      <c r="C525" s="63" t="s">
        <v>411</v>
      </c>
      <c r="D525" s="63" t="s">
        <v>503</v>
      </c>
      <c r="E525" s="63" t="s">
        <v>509</v>
      </c>
      <c r="F525" s="63" t="s">
        <v>413</v>
      </c>
      <c r="G525" s="63" t="s">
        <v>93</v>
      </c>
      <c r="H525" s="63">
        <v>15</v>
      </c>
      <c r="I525" s="63" t="s">
        <v>93</v>
      </c>
      <c r="K525" s="400" t="s">
        <v>995</v>
      </c>
    </row>
    <row r="526" spans="1:11" ht="13.5">
      <c r="A526" s="63" t="s">
        <v>996</v>
      </c>
      <c r="B526" s="63" t="s">
        <v>976</v>
      </c>
      <c r="C526" s="63" t="s">
        <v>411</v>
      </c>
      <c r="D526" s="63" t="s">
        <v>503</v>
      </c>
      <c r="E526" s="63" t="s">
        <v>441</v>
      </c>
      <c r="F526" s="63" t="s">
        <v>413</v>
      </c>
      <c r="G526" s="63" t="s">
        <v>93</v>
      </c>
      <c r="H526" s="63">
        <v>8</v>
      </c>
      <c r="I526" s="63" t="s">
        <v>93</v>
      </c>
      <c r="K526" s="400" t="s">
        <v>995</v>
      </c>
    </row>
    <row r="527" spans="1:11" ht="13.5">
      <c r="A527" s="63" t="s">
        <v>997</v>
      </c>
      <c r="B527" s="63" t="s">
        <v>976</v>
      </c>
      <c r="C527" s="63" t="s">
        <v>411</v>
      </c>
      <c r="D527" s="63" t="s">
        <v>460</v>
      </c>
      <c r="E527" s="63" t="s">
        <v>441</v>
      </c>
      <c r="F527" s="63" t="s">
        <v>413</v>
      </c>
      <c r="G527" s="63" t="s">
        <v>93</v>
      </c>
      <c r="H527" s="63">
        <v>10</v>
      </c>
      <c r="I527" s="63" t="s">
        <v>93</v>
      </c>
      <c r="K527" s="400" t="s">
        <v>995</v>
      </c>
    </row>
    <row r="528" spans="1:12" s="481" customFormat="1" ht="11.25">
      <c r="A528" s="481" t="s">
        <v>998</v>
      </c>
      <c r="B528" s="481" t="s">
        <v>976</v>
      </c>
      <c r="C528" s="481">
        <v>1</v>
      </c>
      <c r="D528" s="481" t="s">
        <v>412</v>
      </c>
      <c r="E528" s="481" t="s">
        <v>93</v>
      </c>
      <c r="F528" s="481" t="s">
        <v>413</v>
      </c>
      <c r="G528" s="481" t="s">
        <v>93</v>
      </c>
      <c r="H528" s="481" t="s">
        <v>93</v>
      </c>
      <c r="I528" s="481" t="s">
        <v>93</v>
      </c>
      <c r="J528" s="482"/>
      <c r="K528" s="477" t="s">
        <v>995</v>
      </c>
      <c r="L528" s="483"/>
    </row>
    <row r="529" spans="1:12" s="484" customFormat="1" ht="11.25">
      <c r="A529" s="484" t="s">
        <v>999</v>
      </c>
      <c r="B529" s="484" t="s">
        <v>976</v>
      </c>
      <c r="C529" s="484">
        <v>1</v>
      </c>
      <c r="D529" s="484" t="s">
        <v>412</v>
      </c>
      <c r="E529" s="484" t="s">
        <v>93</v>
      </c>
      <c r="F529" s="484" t="s">
        <v>413</v>
      </c>
      <c r="G529" s="484" t="s">
        <v>93</v>
      </c>
      <c r="H529" s="484" t="s">
        <v>93</v>
      </c>
      <c r="I529" s="484" t="s">
        <v>93</v>
      </c>
      <c r="J529" s="485"/>
      <c r="K529" s="472" t="s">
        <v>995</v>
      </c>
      <c r="L529" s="486"/>
    </row>
    <row r="530" spans="1:11" ht="13.5">
      <c r="A530" s="63" t="s">
        <v>1000</v>
      </c>
      <c r="B530" s="63" t="s">
        <v>976</v>
      </c>
      <c r="C530" s="63">
        <v>1</v>
      </c>
      <c r="D530" s="63" t="s">
        <v>477</v>
      </c>
      <c r="E530" s="63" t="s">
        <v>509</v>
      </c>
      <c r="F530" s="63" t="s">
        <v>489</v>
      </c>
      <c r="G530" s="63" t="s">
        <v>1001</v>
      </c>
      <c r="H530" s="63">
        <v>24</v>
      </c>
      <c r="I530" s="63" t="s">
        <v>93</v>
      </c>
      <c r="K530" s="400" t="s">
        <v>995</v>
      </c>
    </row>
    <row r="531" spans="1:11" ht="13.5">
      <c r="A531" s="63" t="s">
        <v>1002</v>
      </c>
      <c r="B531" s="63" t="s">
        <v>976</v>
      </c>
      <c r="C531" s="63">
        <v>1</v>
      </c>
      <c r="D531" s="63" t="s">
        <v>477</v>
      </c>
      <c r="E531" s="63" t="s">
        <v>509</v>
      </c>
      <c r="F531" s="63" t="s">
        <v>489</v>
      </c>
      <c r="G531" s="63" t="s">
        <v>1001</v>
      </c>
      <c r="H531" s="63">
        <v>24</v>
      </c>
      <c r="I531" s="63" t="s">
        <v>93</v>
      </c>
      <c r="K531" s="400" t="s">
        <v>995</v>
      </c>
    </row>
    <row r="532" spans="1:11" ht="13.5">
      <c r="A532" s="63" t="s">
        <v>1003</v>
      </c>
      <c r="B532" s="63" t="s">
        <v>976</v>
      </c>
      <c r="C532" s="63">
        <v>1</v>
      </c>
      <c r="D532" s="63" t="s">
        <v>477</v>
      </c>
      <c r="E532" s="63" t="s">
        <v>509</v>
      </c>
      <c r="F532" s="63" t="s">
        <v>489</v>
      </c>
      <c r="G532" s="63" t="s">
        <v>1001</v>
      </c>
      <c r="H532" s="63">
        <v>26</v>
      </c>
      <c r="I532" s="63" t="s">
        <v>93</v>
      </c>
      <c r="K532" s="400" t="s">
        <v>995</v>
      </c>
    </row>
    <row r="533" spans="1:11" ht="13.5">
      <c r="A533" s="469" t="s">
        <v>1004</v>
      </c>
      <c r="B533" s="470" t="s">
        <v>292</v>
      </c>
      <c r="C533" s="470" t="s">
        <v>293</v>
      </c>
      <c r="D533" s="470" t="s">
        <v>294</v>
      </c>
      <c r="E533" s="470" t="s">
        <v>176</v>
      </c>
      <c r="F533" s="470" t="s">
        <v>295</v>
      </c>
      <c r="G533" s="470" t="s">
        <v>248</v>
      </c>
      <c r="H533" s="470" t="s">
        <v>296</v>
      </c>
      <c r="I533" s="470" t="s">
        <v>242</v>
      </c>
      <c r="J533" s="471" t="s">
        <v>297</v>
      </c>
      <c r="K533" s="471" t="s">
        <v>409</v>
      </c>
    </row>
    <row r="534" spans="1:12" s="484" customFormat="1" ht="11.25">
      <c r="A534" s="484" t="s">
        <v>1005</v>
      </c>
      <c r="B534" s="484" t="s">
        <v>1004</v>
      </c>
      <c r="C534" s="484">
        <v>1</v>
      </c>
      <c r="D534" s="484" t="s">
        <v>412</v>
      </c>
      <c r="E534" s="484" t="s">
        <v>93</v>
      </c>
      <c r="F534" s="484" t="s">
        <v>413</v>
      </c>
      <c r="G534" s="484" t="s">
        <v>93</v>
      </c>
      <c r="H534" s="484" t="s">
        <v>93</v>
      </c>
      <c r="I534" s="484" t="s">
        <v>93</v>
      </c>
      <c r="J534" s="485"/>
      <c r="L534" s="486"/>
    </row>
    <row r="535" spans="1:9" ht="13.5">
      <c r="A535" s="63" t="s">
        <v>1006</v>
      </c>
      <c r="B535" s="63" t="s">
        <v>1004</v>
      </c>
      <c r="C535" s="63" t="s">
        <v>411</v>
      </c>
      <c r="D535" s="63" t="s">
        <v>477</v>
      </c>
      <c r="E535" s="63" t="s">
        <v>509</v>
      </c>
      <c r="F535" s="63" t="s">
        <v>428</v>
      </c>
      <c r="G535" s="63" t="s">
        <v>510</v>
      </c>
      <c r="H535" s="63">
        <v>13</v>
      </c>
      <c r="I535" s="63" t="s">
        <v>93</v>
      </c>
    </row>
    <row r="536" spans="1:9" ht="13.5">
      <c r="A536" s="63" t="s">
        <v>1007</v>
      </c>
      <c r="B536" s="63" t="s">
        <v>1004</v>
      </c>
      <c r="C536" s="63">
        <v>1</v>
      </c>
      <c r="D536" s="63" t="s">
        <v>446</v>
      </c>
      <c r="E536" s="63" t="s">
        <v>441</v>
      </c>
      <c r="F536" s="63" t="s">
        <v>413</v>
      </c>
      <c r="G536" s="63" t="s">
        <v>93</v>
      </c>
      <c r="H536" s="63">
        <v>10</v>
      </c>
      <c r="I536" s="63" t="s">
        <v>293</v>
      </c>
    </row>
    <row r="537" spans="1:9" ht="13.5">
      <c r="A537" s="63" t="s">
        <v>1008</v>
      </c>
      <c r="B537" s="63" t="s">
        <v>1004</v>
      </c>
      <c r="C537" s="63" t="s">
        <v>411</v>
      </c>
      <c r="D537" s="63" t="s">
        <v>460</v>
      </c>
      <c r="E537" s="63" t="s">
        <v>441</v>
      </c>
      <c r="F537" s="63" t="s">
        <v>413</v>
      </c>
      <c r="G537" s="63" t="s">
        <v>93</v>
      </c>
      <c r="H537" s="63">
        <v>12</v>
      </c>
      <c r="I537" s="63" t="s">
        <v>93</v>
      </c>
    </row>
    <row r="538" spans="1:9" ht="13.5">
      <c r="A538" s="63" t="s">
        <v>1009</v>
      </c>
      <c r="B538" s="63" t="s">
        <v>1004</v>
      </c>
      <c r="C538" s="63" t="s">
        <v>411</v>
      </c>
      <c r="D538" s="63" t="s">
        <v>477</v>
      </c>
      <c r="E538" s="63" t="s">
        <v>441</v>
      </c>
      <c r="F538" s="63" t="s">
        <v>413</v>
      </c>
      <c r="G538" s="63" t="s">
        <v>93</v>
      </c>
      <c r="H538" s="63">
        <v>14</v>
      </c>
      <c r="I538" s="63" t="s">
        <v>93</v>
      </c>
    </row>
    <row r="539" spans="1:9" ht="13.5">
      <c r="A539" s="63" t="s">
        <v>1010</v>
      </c>
      <c r="B539" s="63" t="s">
        <v>1004</v>
      </c>
      <c r="C539" s="63" t="s">
        <v>411</v>
      </c>
      <c r="D539" s="63" t="s">
        <v>484</v>
      </c>
      <c r="E539" s="63" t="s">
        <v>441</v>
      </c>
      <c r="F539" s="63" t="s">
        <v>413</v>
      </c>
      <c r="G539" s="63" t="s">
        <v>93</v>
      </c>
      <c r="H539" s="63" t="s">
        <v>93</v>
      </c>
      <c r="I539" s="63">
        <v>1</v>
      </c>
    </row>
    <row r="540" spans="1:9" ht="13.5">
      <c r="A540" s="63" t="s">
        <v>1011</v>
      </c>
      <c r="B540" s="63" t="s">
        <v>1004</v>
      </c>
      <c r="C540" s="63">
        <v>1</v>
      </c>
      <c r="D540" s="63" t="s">
        <v>503</v>
      </c>
      <c r="E540" s="63" t="s">
        <v>441</v>
      </c>
      <c r="F540" s="63" t="s">
        <v>413</v>
      </c>
      <c r="G540" s="63" t="s">
        <v>93</v>
      </c>
      <c r="H540" s="63" t="s">
        <v>93</v>
      </c>
      <c r="I540" s="63" t="s">
        <v>293</v>
      </c>
    </row>
    <row r="541" spans="1:9" ht="13.5">
      <c r="A541" s="63" t="s">
        <v>1012</v>
      </c>
      <c r="B541" s="63" t="s">
        <v>1004</v>
      </c>
      <c r="C541" s="63" t="s">
        <v>411</v>
      </c>
      <c r="D541" s="63" t="s">
        <v>460</v>
      </c>
      <c r="E541" s="63" t="s">
        <v>441</v>
      </c>
      <c r="F541" s="63" t="s">
        <v>413</v>
      </c>
      <c r="G541" s="63" t="s">
        <v>93</v>
      </c>
      <c r="H541" s="63">
        <v>13</v>
      </c>
      <c r="I541" s="63" t="s">
        <v>93</v>
      </c>
    </row>
    <row r="542" spans="1:9" ht="13.5">
      <c r="A542" s="63" t="s">
        <v>1013</v>
      </c>
      <c r="B542" s="63" t="s">
        <v>1004</v>
      </c>
      <c r="C542" s="63">
        <v>1</v>
      </c>
      <c r="D542" s="63" t="s">
        <v>477</v>
      </c>
      <c r="E542" s="63" t="s">
        <v>428</v>
      </c>
      <c r="F542" s="63" t="s">
        <v>428</v>
      </c>
      <c r="G542" s="63" t="s">
        <v>428</v>
      </c>
      <c r="H542" s="63">
        <v>15</v>
      </c>
      <c r="I542" s="63" t="s">
        <v>293</v>
      </c>
    </row>
    <row r="543" spans="1:9" ht="13.5">
      <c r="A543" s="63" t="s">
        <v>1014</v>
      </c>
      <c r="B543" s="63" t="s">
        <v>1004</v>
      </c>
      <c r="C543" s="63" t="s">
        <v>411</v>
      </c>
      <c r="D543" s="63" t="s">
        <v>460</v>
      </c>
      <c r="E543" s="63" t="s">
        <v>441</v>
      </c>
      <c r="F543" s="63" t="s">
        <v>413</v>
      </c>
      <c r="G543" s="63" t="s">
        <v>93</v>
      </c>
      <c r="H543" s="63">
        <v>8</v>
      </c>
      <c r="I543" s="63" t="s">
        <v>93</v>
      </c>
    </row>
    <row r="544" spans="1:9" ht="13.5">
      <c r="A544" s="63" t="s">
        <v>1015</v>
      </c>
      <c r="B544" s="63" t="s">
        <v>1004</v>
      </c>
      <c r="C544" s="63" t="s">
        <v>411</v>
      </c>
      <c r="D544" s="63" t="s">
        <v>477</v>
      </c>
      <c r="E544" s="63" t="s">
        <v>509</v>
      </c>
      <c r="F544" s="63" t="s">
        <v>489</v>
      </c>
      <c r="G544" s="63" t="s">
        <v>510</v>
      </c>
      <c r="H544" s="63">
        <v>15</v>
      </c>
      <c r="I544" s="63" t="s">
        <v>93</v>
      </c>
    </row>
    <row r="545" spans="1:9" ht="13.5">
      <c r="A545" s="63" t="s">
        <v>1016</v>
      </c>
      <c r="B545" s="63" t="s">
        <v>1004</v>
      </c>
      <c r="C545" s="63">
        <v>1</v>
      </c>
      <c r="D545" s="63" t="s">
        <v>460</v>
      </c>
      <c r="E545" s="63" t="s">
        <v>441</v>
      </c>
      <c r="F545" s="63" t="s">
        <v>413</v>
      </c>
      <c r="G545" s="63" t="s">
        <v>93</v>
      </c>
      <c r="H545" s="63">
        <v>12</v>
      </c>
      <c r="I545" s="63" t="s">
        <v>93</v>
      </c>
    </row>
    <row r="546" spans="1:9" ht="13.5">
      <c r="A546" s="63" t="s">
        <v>1017</v>
      </c>
      <c r="B546" s="63" t="s">
        <v>1004</v>
      </c>
      <c r="C546" s="63">
        <v>1</v>
      </c>
      <c r="D546" s="63" t="s">
        <v>460</v>
      </c>
      <c r="E546" s="63" t="s">
        <v>441</v>
      </c>
      <c r="F546" s="63" t="s">
        <v>413</v>
      </c>
      <c r="G546" s="63" t="s">
        <v>93</v>
      </c>
      <c r="H546" s="63" t="s">
        <v>428</v>
      </c>
      <c r="I546" s="63" t="s">
        <v>293</v>
      </c>
    </row>
    <row r="547" spans="1:9" ht="13.5">
      <c r="A547" s="63" t="s">
        <v>1018</v>
      </c>
      <c r="B547" s="63" t="s">
        <v>1004</v>
      </c>
      <c r="C547" s="63" t="s">
        <v>411</v>
      </c>
      <c r="D547" s="63" t="s">
        <v>460</v>
      </c>
      <c r="E547" s="63" t="s">
        <v>441</v>
      </c>
      <c r="F547" s="63" t="s">
        <v>413</v>
      </c>
      <c r="G547" s="63" t="s">
        <v>93</v>
      </c>
      <c r="H547" s="63">
        <v>5</v>
      </c>
      <c r="I547" s="63" t="s">
        <v>93</v>
      </c>
    </row>
    <row r="548" spans="1:9" ht="13.5">
      <c r="A548" s="63" t="s">
        <v>1019</v>
      </c>
      <c r="B548" s="63" t="s">
        <v>1004</v>
      </c>
      <c r="C548" s="63" t="s">
        <v>411</v>
      </c>
      <c r="D548" s="63" t="s">
        <v>460</v>
      </c>
      <c r="E548" s="63" t="s">
        <v>441</v>
      </c>
      <c r="F548" s="63" t="s">
        <v>413</v>
      </c>
      <c r="G548" s="63" t="s">
        <v>93</v>
      </c>
      <c r="H548" s="63">
        <v>6</v>
      </c>
      <c r="I548" s="63" t="s">
        <v>93</v>
      </c>
    </row>
    <row r="549" spans="1:9" ht="13.5">
      <c r="A549" s="63" t="s">
        <v>1020</v>
      </c>
      <c r="B549" s="63" t="s">
        <v>1004</v>
      </c>
      <c r="C549" s="63">
        <v>1</v>
      </c>
      <c r="D549" s="63" t="s">
        <v>460</v>
      </c>
      <c r="E549" s="63" t="s">
        <v>441</v>
      </c>
      <c r="F549" s="63" t="s">
        <v>413</v>
      </c>
      <c r="G549" s="63" t="s">
        <v>93</v>
      </c>
      <c r="H549" s="63">
        <v>14</v>
      </c>
      <c r="I549" s="63" t="s">
        <v>293</v>
      </c>
    </row>
    <row r="550" spans="1:9" ht="13.5">
      <c r="A550" s="63" t="s">
        <v>1021</v>
      </c>
      <c r="B550" s="63" t="s">
        <v>1004</v>
      </c>
      <c r="C550" s="63" t="s">
        <v>411</v>
      </c>
      <c r="D550" s="63" t="s">
        <v>477</v>
      </c>
      <c r="E550" s="63" t="s">
        <v>509</v>
      </c>
      <c r="F550" s="63" t="s">
        <v>489</v>
      </c>
      <c r="G550" s="63" t="s">
        <v>510</v>
      </c>
      <c r="H550" s="63">
        <v>8</v>
      </c>
      <c r="I550" s="63" t="s">
        <v>93</v>
      </c>
    </row>
    <row r="551" spans="1:11" ht="13.5">
      <c r="A551" s="63" t="s">
        <v>1022</v>
      </c>
      <c r="B551" s="63" t="s">
        <v>1004</v>
      </c>
      <c r="C551" s="63" t="s">
        <v>411</v>
      </c>
      <c r="D551" s="63" t="s">
        <v>460</v>
      </c>
      <c r="E551" s="63" t="s">
        <v>441</v>
      </c>
      <c r="F551" s="63" t="s">
        <v>413</v>
      </c>
      <c r="G551" s="63" t="s">
        <v>93</v>
      </c>
      <c r="H551" s="63">
        <v>9</v>
      </c>
      <c r="I551" s="63" t="s">
        <v>93</v>
      </c>
      <c r="K551" s="400" t="s">
        <v>1023</v>
      </c>
    </row>
    <row r="552" spans="1:12" s="481" customFormat="1" ht="11.25">
      <c r="A552" s="481" t="s">
        <v>1024</v>
      </c>
      <c r="B552" s="481" t="s">
        <v>1004</v>
      </c>
      <c r="C552" s="481">
        <v>1</v>
      </c>
      <c r="D552" s="481" t="s">
        <v>412</v>
      </c>
      <c r="E552" s="481" t="s">
        <v>93</v>
      </c>
      <c r="F552" s="481" t="s">
        <v>413</v>
      </c>
      <c r="G552" s="481" t="s">
        <v>93</v>
      </c>
      <c r="H552" s="481" t="s">
        <v>93</v>
      </c>
      <c r="I552" s="481" t="s">
        <v>93</v>
      </c>
      <c r="J552" s="482"/>
      <c r="K552" s="477" t="s">
        <v>1023</v>
      </c>
      <c r="L552" s="483"/>
    </row>
    <row r="553" spans="1:12" s="481" customFormat="1" ht="11.25">
      <c r="A553" s="481" t="s">
        <v>1025</v>
      </c>
      <c r="B553" s="481" t="s">
        <v>1004</v>
      </c>
      <c r="C553" s="481" t="s">
        <v>411</v>
      </c>
      <c r="D553" s="481" t="s">
        <v>412</v>
      </c>
      <c r="E553" s="481" t="s">
        <v>93</v>
      </c>
      <c r="F553" s="481" t="s">
        <v>413</v>
      </c>
      <c r="G553" s="481" t="s">
        <v>93</v>
      </c>
      <c r="H553" s="481" t="s">
        <v>93</v>
      </c>
      <c r="I553" s="481" t="s">
        <v>93</v>
      </c>
      <c r="J553" s="482"/>
      <c r="K553" s="477" t="s">
        <v>1023</v>
      </c>
      <c r="L553" s="483"/>
    </row>
    <row r="554" spans="1:11" ht="13.5">
      <c r="A554" s="63" t="s">
        <v>1026</v>
      </c>
      <c r="B554" s="63" t="s">
        <v>1004</v>
      </c>
      <c r="C554" s="63" t="s">
        <v>411</v>
      </c>
      <c r="D554" s="63" t="s">
        <v>446</v>
      </c>
      <c r="E554" s="63" t="s">
        <v>441</v>
      </c>
      <c r="F554" s="63" t="s">
        <v>489</v>
      </c>
      <c r="G554" s="63" t="s">
        <v>1001</v>
      </c>
      <c r="H554" s="63">
        <v>15</v>
      </c>
      <c r="I554" s="63" t="s">
        <v>915</v>
      </c>
      <c r="K554" s="400" t="s">
        <v>1023</v>
      </c>
    </row>
    <row r="555" spans="1:11" ht="13.5">
      <c r="A555" s="63" t="s">
        <v>1027</v>
      </c>
      <c r="B555" s="63" t="s">
        <v>1004</v>
      </c>
      <c r="C555" s="63">
        <v>1</v>
      </c>
      <c r="D555" s="63" t="s">
        <v>583</v>
      </c>
      <c r="E555" s="63" t="s">
        <v>509</v>
      </c>
      <c r="F555" s="63" t="s">
        <v>489</v>
      </c>
      <c r="G555" s="63" t="s">
        <v>510</v>
      </c>
      <c r="H555" s="63">
        <v>10</v>
      </c>
      <c r="I555" s="63" t="s">
        <v>93</v>
      </c>
      <c r="K555" s="400" t="s">
        <v>1023</v>
      </c>
    </row>
    <row r="556" spans="1:12" s="484" customFormat="1" ht="11.25">
      <c r="A556" s="484" t="s">
        <v>1028</v>
      </c>
      <c r="B556" s="484" t="s">
        <v>1004</v>
      </c>
      <c r="C556" s="484">
        <v>1</v>
      </c>
      <c r="D556" s="484" t="s">
        <v>412</v>
      </c>
      <c r="E556" s="484" t="s">
        <v>441</v>
      </c>
      <c r="F556" s="484" t="s">
        <v>413</v>
      </c>
      <c r="G556" s="484" t="s">
        <v>93</v>
      </c>
      <c r="H556" s="484" t="s">
        <v>93</v>
      </c>
      <c r="I556" s="484" t="s">
        <v>93</v>
      </c>
      <c r="J556" s="485"/>
      <c r="K556" s="472" t="s">
        <v>1023</v>
      </c>
      <c r="L556" s="486"/>
    </row>
    <row r="557" spans="1:11" ht="13.5">
      <c r="A557" s="63" t="s">
        <v>1029</v>
      </c>
      <c r="B557" s="63" t="s">
        <v>1004</v>
      </c>
      <c r="C557" s="63">
        <v>1</v>
      </c>
      <c r="D557" s="63" t="s">
        <v>481</v>
      </c>
      <c r="E557" s="63" t="s">
        <v>441</v>
      </c>
      <c r="F557" s="63" t="s">
        <v>489</v>
      </c>
      <c r="G557" s="63">
        <v>20</v>
      </c>
      <c r="H557" s="63" t="s">
        <v>93</v>
      </c>
      <c r="I557" s="63" t="s">
        <v>683</v>
      </c>
      <c r="K557" s="400" t="s">
        <v>1023</v>
      </c>
    </row>
    <row r="558" spans="1:11" ht="13.5">
      <c r="A558" s="63" t="s">
        <v>1030</v>
      </c>
      <c r="B558" s="63" t="s">
        <v>1004</v>
      </c>
      <c r="C558" s="63">
        <v>1</v>
      </c>
      <c r="D558" s="63" t="s">
        <v>460</v>
      </c>
      <c r="E558" s="63" t="s">
        <v>441</v>
      </c>
      <c r="F558" s="63" t="s">
        <v>413</v>
      </c>
      <c r="G558" s="63" t="s">
        <v>93</v>
      </c>
      <c r="H558" s="63">
        <v>20</v>
      </c>
      <c r="I558" s="63" t="s">
        <v>293</v>
      </c>
      <c r="K558" s="400" t="s">
        <v>1023</v>
      </c>
    </row>
    <row r="559" spans="1:11" ht="13.5">
      <c r="A559" s="469" t="s">
        <v>1031</v>
      </c>
      <c r="B559" s="470" t="s">
        <v>292</v>
      </c>
      <c r="C559" s="470" t="s">
        <v>293</v>
      </c>
      <c r="D559" s="470" t="s">
        <v>294</v>
      </c>
      <c r="E559" s="470" t="s">
        <v>176</v>
      </c>
      <c r="F559" s="470" t="s">
        <v>295</v>
      </c>
      <c r="G559" s="470" t="s">
        <v>248</v>
      </c>
      <c r="H559" s="470" t="s">
        <v>296</v>
      </c>
      <c r="I559" s="470" t="s">
        <v>242</v>
      </c>
      <c r="J559" s="471" t="s">
        <v>297</v>
      </c>
      <c r="K559" s="471" t="s">
        <v>409</v>
      </c>
    </row>
    <row r="560" spans="1:9" ht="13.5">
      <c r="A560" s="63" t="s">
        <v>1032</v>
      </c>
      <c r="B560" s="63" t="s">
        <v>1031</v>
      </c>
      <c r="C560" s="63" t="s">
        <v>411</v>
      </c>
      <c r="D560" s="63" t="s">
        <v>503</v>
      </c>
      <c r="E560" s="63" t="s">
        <v>47</v>
      </c>
      <c r="F560" s="63" t="s">
        <v>428</v>
      </c>
      <c r="G560" s="63" t="s">
        <v>490</v>
      </c>
      <c r="H560" s="63">
        <v>5</v>
      </c>
      <c r="I560" s="63" t="s">
        <v>93</v>
      </c>
    </row>
    <row r="561" spans="1:12" s="484" customFormat="1" ht="11.25">
      <c r="A561" s="484" t="s">
        <v>1033</v>
      </c>
      <c r="B561" s="484" t="s">
        <v>1031</v>
      </c>
      <c r="C561" s="484" t="s">
        <v>411</v>
      </c>
      <c r="D561" s="484" t="s">
        <v>412</v>
      </c>
      <c r="E561" s="484" t="s">
        <v>93</v>
      </c>
      <c r="F561" s="484" t="s">
        <v>413</v>
      </c>
      <c r="G561" s="484" t="s">
        <v>93</v>
      </c>
      <c r="H561" s="484" t="s">
        <v>93</v>
      </c>
      <c r="I561" s="484" t="s">
        <v>93</v>
      </c>
      <c r="J561" s="485"/>
      <c r="L561" s="486"/>
    </row>
    <row r="562" spans="1:12" s="484" customFormat="1" ht="11.25">
      <c r="A562" s="484" t="s">
        <v>1034</v>
      </c>
      <c r="B562" s="484" t="s">
        <v>1031</v>
      </c>
      <c r="C562" s="484">
        <v>1</v>
      </c>
      <c r="D562" s="484" t="s">
        <v>412</v>
      </c>
      <c r="E562" s="484" t="s">
        <v>93</v>
      </c>
      <c r="F562" s="484" t="s">
        <v>413</v>
      </c>
      <c r="G562" s="484" t="s">
        <v>93</v>
      </c>
      <c r="H562" s="484" t="s">
        <v>93</v>
      </c>
      <c r="I562" s="484" t="s">
        <v>93</v>
      </c>
      <c r="J562" s="485"/>
      <c r="L562" s="486"/>
    </row>
    <row r="563" spans="1:12" s="484" customFormat="1" ht="11.25">
      <c r="A563" s="484" t="s">
        <v>1035</v>
      </c>
      <c r="B563" s="484" t="s">
        <v>1031</v>
      </c>
      <c r="C563" s="484">
        <v>1</v>
      </c>
      <c r="D563" s="484" t="s">
        <v>412</v>
      </c>
      <c r="E563" s="484" t="s">
        <v>93</v>
      </c>
      <c r="F563" s="484" t="s">
        <v>413</v>
      </c>
      <c r="G563" s="484" t="s">
        <v>93</v>
      </c>
      <c r="H563" s="484" t="s">
        <v>93</v>
      </c>
      <c r="I563" s="484" t="s">
        <v>93</v>
      </c>
      <c r="J563" s="485"/>
      <c r="L563" s="486"/>
    </row>
    <row r="564" spans="1:9" ht="13.5">
      <c r="A564" s="63" t="s">
        <v>1036</v>
      </c>
      <c r="B564" s="63" t="s">
        <v>1031</v>
      </c>
      <c r="C564" s="63" t="s">
        <v>411</v>
      </c>
      <c r="D564" s="63" t="s">
        <v>460</v>
      </c>
      <c r="E564" s="63" t="s">
        <v>441</v>
      </c>
      <c r="F564" s="63" t="s">
        <v>413</v>
      </c>
      <c r="G564" s="63" t="s">
        <v>93</v>
      </c>
      <c r="H564" s="63">
        <v>7</v>
      </c>
      <c r="I564" s="63" t="s">
        <v>93</v>
      </c>
    </row>
    <row r="565" spans="1:9" ht="13.5">
      <c r="A565" s="63" t="s">
        <v>1037</v>
      </c>
      <c r="B565" s="63" t="s">
        <v>1031</v>
      </c>
      <c r="C565" s="63">
        <v>1</v>
      </c>
      <c r="D565" s="63" t="s">
        <v>427</v>
      </c>
      <c r="E565" s="63" t="s">
        <v>441</v>
      </c>
      <c r="F565" s="63" t="s">
        <v>489</v>
      </c>
      <c r="G565" s="63" t="s">
        <v>510</v>
      </c>
      <c r="H565" s="63">
        <v>8</v>
      </c>
      <c r="I565" s="63" t="s">
        <v>293</v>
      </c>
    </row>
    <row r="566" spans="1:9" ht="13.5">
      <c r="A566" s="63" t="s">
        <v>1038</v>
      </c>
      <c r="B566" s="63" t="s">
        <v>1031</v>
      </c>
      <c r="C566" s="63" t="s">
        <v>411</v>
      </c>
      <c r="D566" s="63" t="s">
        <v>583</v>
      </c>
      <c r="E566" s="63" t="s">
        <v>220</v>
      </c>
      <c r="F566" s="63" t="s">
        <v>413</v>
      </c>
      <c r="G566" s="63" t="s">
        <v>93</v>
      </c>
      <c r="H566" s="63">
        <v>10</v>
      </c>
      <c r="I566" s="63" t="s">
        <v>93</v>
      </c>
    </row>
    <row r="567" spans="1:12" s="484" customFormat="1" ht="11.25">
      <c r="A567" s="484" t="s">
        <v>1039</v>
      </c>
      <c r="B567" s="484" t="s">
        <v>1031</v>
      </c>
      <c r="C567" s="484">
        <v>1</v>
      </c>
      <c r="D567" s="484" t="s">
        <v>412</v>
      </c>
      <c r="E567" s="484" t="s">
        <v>93</v>
      </c>
      <c r="F567" s="484" t="s">
        <v>413</v>
      </c>
      <c r="G567" s="484" t="s">
        <v>93</v>
      </c>
      <c r="H567" s="484" t="s">
        <v>93</v>
      </c>
      <c r="I567" s="484" t="s">
        <v>93</v>
      </c>
      <c r="J567" s="485"/>
      <c r="L567" s="486"/>
    </row>
    <row r="568" spans="1:9" ht="13.5">
      <c r="A568" s="63" t="s">
        <v>1040</v>
      </c>
      <c r="B568" s="63" t="s">
        <v>1031</v>
      </c>
      <c r="C568" s="63" t="s">
        <v>411</v>
      </c>
      <c r="D568" s="63" t="s">
        <v>460</v>
      </c>
      <c r="E568" s="63" t="s">
        <v>441</v>
      </c>
      <c r="F568" s="63" t="s">
        <v>413</v>
      </c>
      <c r="G568" s="63" t="s">
        <v>93</v>
      </c>
      <c r="H568" s="63">
        <v>5</v>
      </c>
      <c r="I568" s="63" t="s">
        <v>93</v>
      </c>
    </row>
    <row r="569" spans="1:12" s="484" customFormat="1" ht="11.25">
      <c r="A569" s="484" t="s">
        <v>1041</v>
      </c>
      <c r="B569" s="484" t="s">
        <v>1031</v>
      </c>
      <c r="C569" s="484" t="s">
        <v>411</v>
      </c>
      <c r="D569" s="484" t="s">
        <v>412</v>
      </c>
      <c r="E569" s="484" t="s">
        <v>93</v>
      </c>
      <c r="F569" s="484" t="s">
        <v>413</v>
      </c>
      <c r="G569" s="484" t="s">
        <v>93</v>
      </c>
      <c r="H569" s="484" t="s">
        <v>93</v>
      </c>
      <c r="I569" s="484" t="s">
        <v>93</v>
      </c>
      <c r="J569" s="485"/>
      <c r="L569" s="486"/>
    </row>
    <row r="570" spans="1:9" ht="13.5">
      <c r="A570" s="63" t="s">
        <v>1042</v>
      </c>
      <c r="B570" s="63" t="s">
        <v>1031</v>
      </c>
      <c r="C570" s="63" t="s">
        <v>411</v>
      </c>
      <c r="D570" s="63" t="s">
        <v>446</v>
      </c>
      <c r="E570" s="63" t="s">
        <v>441</v>
      </c>
      <c r="F570" s="63" t="s">
        <v>413</v>
      </c>
      <c r="G570" s="63" t="s">
        <v>93</v>
      </c>
      <c r="H570" s="63">
        <v>8</v>
      </c>
      <c r="I570" s="63" t="s">
        <v>93</v>
      </c>
    </row>
    <row r="571" spans="1:9" ht="13.5">
      <c r="A571" s="63" t="s">
        <v>1043</v>
      </c>
      <c r="B571" s="63" t="s">
        <v>1031</v>
      </c>
      <c r="C571" s="63">
        <v>1</v>
      </c>
      <c r="D571" s="63" t="s">
        <v>481</v>
      </c>
      <c r="E571" s="63" t="s">
        <v>441</v>
      </c>
      <c r="F571" s="63" t="s">
        <v>428</v>
      </c>
      <c r="G571" s="63" t="s">
        <v>93</v>
      </c>
      <c r="H571" s="63">
        <v>10</v>
      </c>
      <c r="I571" s="63" t="s">
        <v>293</v>
      </c>
    </row>
    <row r="572" spans="1:9" ht="13.5">
      <c r="A572" s="63" t="s">
        <v>1044</v>
      </c>
      <c r="B572" s="63" t="s">
        <v>1031</v>
      </c>
      <c r="C572" s="63">
        <v>1</v>
      </c>
      <c r="D572" s="63" t="s">
        <v>503</v>
      </c>
      <c r="E572" s="63" t="s">
        <v>441</v>
      </c>
      <c r="F572" s="63" t="s">
        <v>413</v>
      </c>
      <c r="G572" s="63" t="s">
        <v>93</v>
      </c>
      <c r="H572" s="63">
        <v>15</v>
      </c>
      <c r="I572" s="63" t="s">
        <v>293</v>
      </c>
    </row>
    <row r="573" spans="1:9" ht="13.5">
      <c r="A573" s="63" t="s">
        <v>1045</v>
      </c>
      <c r="B573" s="63" t="s">
        <v>1031</v>
      </c>
      <c r="C573" s="63" t="s">
        <v>411</v>
      </c>
      <c r="D573" s="63" t="s">
        <v>460</v>
      </c>
      <c r="E573" s="63" t="s">
        <v>441</v>
      </c>
      <c r="F573" s="63" t="s">
        <v>413</v>
      </c>
      <c r="G573" s="63" t="s">
        <v>93</v>
      </c>
      <c r="H573" s="63">
        <v>10</v>
      </c>
      <c r="I573" s="63" t="s">
        <v>93</v>
      </c>
    </row>
    <row r="574" spans="1:9" ht="13.5">
      <c r="A574" s="63" t="s">
        <v>1046</v>
      </c>
      <c r="B574" s="63" t="s">
        <v>1031</v>
      </c>
      <c r="C574" s="63">
        <v>1</v>
      </c>
      <c r="D574" s="63" t="s">
        <v>477</v>
      </c>
      <c r="E574" s="63" t="s">
        <v>166</v>
      </c>
      <c r="F574" s="63" t="s">
        <v>489</v>
      </c>
      <c r="G574" s="63" t="s">
        <v>497</v>
      </c>
      <c r="H574" s="63">
        <v>8</v>
      </c>
      <c r="I574" s="63" t="s">
        <v>93</v>
      </c>
    </row>
    <row r="575" spans="1:9" ht="13.5">
      <c r="A575" s="63" t="s">
        <v>1047</v>
      </c>
      <c r="B575" s="63" t="s">
        <v>1031</v>
      </c>
      <c r="C575" s="63">
        <v>1</v>
      </c>
      <c r="D575" s="63" t="s">
        <v>446</v>
      </c>
      <c r="E575" s="63" t="s">
        <v>441</v>
      </c>
      <c r="F575" s="63" t="s">
        <v>413</v>
      </c>
      <c r="G575" s="63" t="s">
        <v>93</v>
      </c>
      <c r="H575" s="63">
        <v>10</v>
      </c>
      <c r="I575" s="63" t="s">
        <v>293</v>
      </c>
    </row>
    <row r="576" spans="1:9" ht="13.5">
      <c r="A576" s="63" t="s">
        <v>1048</v>
      </c>
      <c r="B576" s="63" t="s">
        <v>1031</v>
      </c>
      <c r="C576" s="63" t="s">
        <v>411</v>
      </c>
      <c r="D576" s="63" t="s">
        <v>477</v>
      </c>
      <c r="E576" s="63" t="s">
        <v>166</v>
      </c>
      <c r="F576" s="63" t="s">
        <v>428</v>
      </c>
      <c r="G576" s="63" t="s">
        <v>428</v>
      </c>
      <c r="H576" s="63">
        <v>12</v>
      </c>
      <c r="I576" s="63" t="s">
        <v>93</v>
      </c>
    </row>
    <row r="577" spans="1:11" ht="13.5">
      <c r="A577" s="63" t="s">
        <v>1049</v>
      </c>
      <c r="B577" s="63" t="s">
        <v>1031</v>
      </c>
      <c r="C577" s="63" t="s">
        <v>411</v>
      </c>
      <c r="D577" s="63" t="s">
        <v>477</v>
      </c>
      <c r="E577" s="63" t="s">
        <v>441</v>
      </c>
      <c r="F577" s="63" t="s">
        <v>413</v>
      </c>
      <c r="G577" s="63" t="s">
        <v>93</v>
      </c>
      <c r="H577" s="63">
        <v>20</v>
      </c>
      <c r="I577" s="63" t="s">
        <v>93</v>
      </c>
      <c r="K577" s="400" t="s">
        <v>1050</v>
      </c>
    </row>
    <row r="578" spans="1:11" ht="13.5">
      <c r="A578" s="63" t="s">
        <v>1051</v>
      </c>
      <c r="B578" s="63" t="s">
        <v>1031</v>
      </c>
      <c r="C578" s="63">
        <v>1</v>
      </c>
      <c r="D578" s="63" t="s">
        <v>477</v>
      </c>
      <c r="E578" s="63" t="s">
        <v>166</v>
      </c>
      <c r="F578" s="63" t="s">
        <v>489</v>
      </c>
      <c r="G578" s="63" t="s">
        <v>93</v>
      </c>
      <c r="H578" s="63" t="s">
        <v>93</v>
      </c>
      <c r="I578" s="63" t="s">
        <v>93</v>
      </c>
      <c r="K578" s="400" t="s">
        <v>1050</v>
      </c>
    </row>
    <row r="579" spans="1:11" ht="13.5">
      <c r="A579" s="63" t="s">
        <v>1052</v>
      </c>
      <c r="B579" s="63" t="s">
        <v>1031</v>
      </c>
      <c r="C579" s="63" t="s">
        <v>411</v>
      </c>
      <c r="D579" s="63" t="s">
        <v>477</v>
      </c>
      <c r="E579" s="63" t="s">
        <v>166</v>
      </c>
      <c r="F579" s="63" t="s">
        <v>489</v>
      </c>
      <c r="G579" s="63" t="s">
        <v>93</v>
      </c>
      <c r="H579" s="63">
        <v>8</v>
      </c>
      <c r="I579" s="63" t="s">
        <v>93</v>
      </c>
      <c r="K579" s="400" t="s">
        <v>1050</v>
      </c>
    </row>
    <row r="580" spans="1:12" s="484" customFormat="1" ht="11.25">
      <c r="A580" s="484" t="s">
        <v>1053</v>
      </c>
      <c r="B580" s="484" t="s">
        <v>1031</v>
      </c>
      <c r="C580" s="484">
        <v>1</v>
      </c>
      <c r="D580" s="484" t="s">
        <v>412</v>
      </c>
      <c r="E580" s="484" t="s">
        <v>93</v>
      </c>
      <c r="F580" s="484" t="s">
        <v>413</v>
      </c>
      <c r="G580" s="484" t="s">
        <v>1001</v>
      </c>
      <c r="H580" s="484">
        <v>15</v>
      </c>
      <c r="I580" s="484" t="s">
        <v>93</v>
      </c>
      <c r="J580" s="485"/>
      <c r="K580" s="472" t="s">
        <v>1050</v>
      </c>
      <c r="L580" s="486"/>
    </row>
    <row r="581" spans="1:11" ht="13.5">
      <c r="A581" s="63" t="s">
        <v>1054</v>
      </c>
      <c r="B581" s="63" t="s">
        <v>1031</v>
      </c>
      <c r="C581" s="63">
        <v>1</v>
      </c>
      <c r="D581" s="63" t="s">
        <v>446</v>
      </c>
      <c r="E581" s="63" t="s">
        <v>441</v>
      </c>
      <c r="F581" s="63" t="s">
        <v>428</v>
      </c>
      <c r="G581" s="63" t="s">
        <v>93</v>
      </c>
      <c r="H581" s="63">
        <v>18</v>
      </c>
      <c r="I581" s="63" t="s">
        <v>293</v>
      </c>
      <c r="K581" s="400" t="s">
        <v>1050</v>
      </c>
    </row>
    <row r="582" spans="1:12" s="484" customFormat="1" ht="11.25">
      <c r="A582" s="484" t="s">
        <v>1055</v>
      </c>
      <c r="B582" s="484" t="s">
        <v>1031</v>
      </c>
      <c r="C582" s="484">
        <v>1</v>
      </c>
      <c r="D582" s="484" t="s">
        <v>412</v>
      </c>
      <c r="E582" s="484" t="s">
        <v>93</v>
      </c>
      <c r="F582" s="484" t="s">
        <v>413</v>
      </c>
      <c r="G582" s="484" t="s">
        <v>93</v>
      </c>
      <c r="H582" s="484">
        <v>14</v>
      </c>
      <c r="I582" s="484" t="s">
        <v>93</v>
      </c>
      <c r="J582" s="485"/>
      <c r="K582" s="472" t="s">
        <v>1050</v>
      </c>
      <c r="L582" s="486"/>
    </row>
    <row r="583" spans="1:12" s="481" customFormat="1" ht="11.25">
      <c r="A583" s="481" t="s">
        <v>1056</v>
      </c>
      <c r="B583" s="481" t="s">
        <v>1031</v>
      </c>
      <c r="C583" s="481">
        <v>1</v>
      </c>
      <c r="D583" s="481" t="s">
        <v>412</v>
      </c>
      <c r="E583" s="481" t="s">
        <v>93</v>
      </c>
      <c r="F583" s="481" t="s">
        <v>413</v>
      </c>
      <c r="G583" s="481" t="s">
        <v>93</v>
      </c>
      <c r="H583" s="481" t="s">
        <v>93</v>
      </c>
      <c r="I583" s="481" t="s">
        <v>93</v>
      </c>
      <c r="J583" s="482"/>
      <c r="K583" s="477" t="s">
        <v>1050</v>
      </c>
      <c r="L583" s="483"/>
    </row>
    <row r="584" spans="1:11" ht="13.5">
      <c r="A584" s="63" t="s">
        <v>1057</v>
      </c>
      <c r="B584" s="63" t="s">
        <v>1031</v>
      </c>
      <c r="C584" s="63">
        <v>1</v>
      </c>
      <c r="D584" s="63" t="s">
        <v>446</v>
      </c>
      <c r="E584" s="63" t="s">
        <v>441</v>
      </c>
      <c r="F584" s="63" t="s">
        <v>413</v>
      </c>
      <c r="G584" s="63" t="s">
        <v>93</v>
      </c>
      <c r="H584" s="63" t="s">
        <v>93</v>
      </c>
      <c r="I584" s="63" t="s">
        <v>1058</v>
      </c>
      <c r="K584" s="400" t="s">
        <v>1050</v>
      </c>
    </row>
    <row r="585" spans="1:11" ht="13.5">
      <c r="A585" s="469" t="s">
        <v>1059</v>
      </c>
      <c r="B585" s="470" t="s">
        <v>292</v>
      </c>
      <c r="C585" s="470" t="s">
        <v>293</v>
      </c>
      <c r="D585" s="470" t="s">
        <v>294</v>
      </c>
      <c r="E585" s="470" t="s">
        <v>176</v>
      </c>
      <c r="F585" s="470" t="s">
        <v>295</v>
      </c>
      <c r="G585" s="470" t="s">
        <v>248</v>
      </c>
      <c r="H585" s="470" t="s">
        <v>296</v>
      </c>
      <c r="I585" s="470" t="s">
        <v>242</v>
      </c>
      <c r="J585" s="471" t="s">
        <v>297</v>
      </c>
      <c r="K585" s="471" t="s">
        <v>409</v>
      </c>
    </row>
    <row r="586" spans="1:12" s="484" customFormat="1" ht="11.25">
      <c r="A586" s="484" t="s">
        <v>1060</v>
      </c>
      <c r="B586" s="484" t="s">
        <v>1059</v>
      </c>
      <c r="C586" s="484" t="s">
        <v>411</v>
      </c>
      <c r="D586" s="484" t="s">
        <v>412</v>
      </c>
      <c r="E586" s="484" t="s">
        <v>93</v>
      </c>
      <c r="F586" s="484" t="s">
        <v>413</v>
      </c>
      <c r="G586" s="484" t="s">
        <v>93</v>
      </c>
      <c r="H586" s="484" t="s">
        <v>93</v>
      </c>
      <c r="I586" s="484" t="s">
        <v>93</v>
      </c>
      <c r="J586" s="485"/>
      <c r="L586" s="486"/>
    </row>
    <row r="587" spans="1:12" s="481" customFormat="1" ht="11.25">
      <c r="A587" s="481" t="s">
        <v>1061</v>
      </c>
      <c r="B587" s="481" t="s">
        <v>1059</v>
      </c>
      <c r="C587" s="481" t="s">
        <v>411</v>
      </c>
      <c r="D587" s="481" t="s">
        <v>412</v>
      </c>
      <c r="E587" s="481" t="s">
        <v>93</v>
      </c>
      <c r="F587" s="481" t="s">
        <v>413</v>
      </c>
      <c r="G587" s="481" t="s">
        <v>93</v>
      </c>
      <c r="H587" s="481" t="s">
        <v>93</v>
      </c>
      <c r="I587" s="481" t="s">
        <v>93</v>
      </c>
      <c r="J587" s="482"/>
      <c r="L587" s="483"/>
    </row>
    <row r="588" spans="1:9" ht="13.5">
      <c r="A588" s="63" t="s">
        <v>1062</v>
      </c>
      <c r="B588" s="63" t="s">
        <v>1059</v>
      </c>
      <c r="C588" s="63" t="s">
        <v>411</v>
      </c>
      <c r="D588" s="63" t="s">
        <v>446</v>
      </c>
      <c r="E588" s="63" t="s">
        <v>44</v>
      </c>
      <c r="F588" s="63" t="s">
        <v>428</v>
      </c>
      <c r="G588" s="63" t="s">
        <v>428</v>
      </c>
      <c r="H588" s="63">
        <v>15</v>
      </c>
      <c r="I588" s="63" t="s">
        <v>683</v>
      </c>
    </row>
    <row r="589" spans="1:9" ht="13.5">
      <c r="A589" s="63" t="s">
        <v>1063</v>
      </c>
      <c r="B589" s="63" t="s">
        <v>1059</v>
      </c>
      <c r="C589" s="63" t="s">
        <v>411</v>
      </c>
      <c r="D589" s="63" t="s">
        <v>503</v>
      </c>
      <c r="E589" s="63" t="s">
        <v>441</v>
      </c>
      <c r="F589" s="63" t="s">
        <v>413</v>
      </c>
      <c r="G589" s="63" t="s">
        <v>93</v>
      </c>
      <c r="H589" s="63">
        <v>10</v>
      </c>
      <c r="I589" s="63" t="s">
        <v>93</v>
      </c>
    </row>
    <row r="590" spans="1:9" ht="13.5">
      <c r="A590" s="63" t="s">
        <v>1064</v>
      </c>
      <c r="B590" s="63" t="s">
        <v>1059</v>
      </c>
      <c r="C590" s="63" t="s">
        <v>411</v>
      </c>
      <c r="D590" s="63" t="s">
        <v>460</v>
      </c>
      <c r="E590" s="63" t="s">
        <v>441</v>
      </c>
      <c r="F590" s="63" t="s">
        <v>413</v>
      </c>
      <c r="G590" s="63" t="s">
        <v>93</v>
      </c>
      <c r="H590" s="63">
        <v>8</v>
      </c>
      <c r="I590" s="63" t="s">
        <v>93</v>
      </c>
    </row>
    <row r="591" spans="1:9" ht="13.5">
      <c r="A591" s="63" t="s">
        <v>1065</v>
      </c>
      <c r="B591" s="63" t="s">
        <v>1059</v>
      </c>
      <c r="C591" s="63" t="s">
        <v>411</v>
      </c>
      <c r="D591" s="63" t="s">
        <v>477</v>
      </c>
      <c r="E591" s="63" t="s">
        <v>166</v>
      </c>
      <c r="F591" s="63" t="s">
        <v>489</v>
      </c>
      <c r="G591" s="63" t="s">
        <v>497</v>
      </c>
      <c r="H591" s="63">
        <v>12</v>
      </c>
      <c r="I591" s="63" t="s">
        <v>93</v>
      </c>
    </row>
    <row r="592" spans="1:9" ht="13.5">
      <c r="A592" s="63" t="s">
        <v>1066</v>
      </c>
      <c r="B592" s="63" t="s">
        <v>1059</v>
      </c>
      <c r="C592" s="63" t="s">
        <v>411</v>
      </c>
      <c r="D592" s="63" t="s">
        <v>427</v>
      </c>
      <c r="E592" s="63" t="s">
        <v>441</v>
      </c>
      <c r="F592" s="63" t="s">
        <v>489</v>
      </c>
      <c r="G592" s="63" t="s">
        <v>510</v>
      </c>
      <c r="H592" s="63">
        <v>10</v>
      </c>
      <c r="I592" s="63" t="s">
        <v>93</v>
      </c>
    </row>
    <row r="593" spans="1:12" s="484" customFormat="1" ht="11.25">
      <c r="A593" s="484" t="s">
        <v>1067</v>
      </c>
      <c r="B593" s="484" t="s">
        <v>1059</v>
      </c>
      <c r="C593" s="484">
        <v>1</v>
      </c>
      <c r="D593" s="484" t="s">
        <v>412</v>
      </c>
      <c r="E593" s="484" t="s">
        <v>93</v>
      </c>
      <c r="F593" s="484" t="s">
        <v>413</v>
      </c>
      <c r="G593" s="484" t="s">
        <v>93</v>
      </c>
      <c r="H593" s="484" t="s">
        <v>93</v>
      </c>
      <c r="I593" s="484" t="s">
        <v>93</v>
      </c>
      <c r="J593" s="485"/>
      <c r="L593" s="486"/>
    </row>
    <row r="594" spans="1:9" ht="13.5">
      <c r="A594" s="63" t="s">
        <v>1068</v>
      </c>
      <c r="B594" s="63" t="s">
        <v>1059</v>
      </c>
      <c r="C594" s="63">
        <v>1</v>
      </c>
      <c r="D594" s="63" t="s">
        <v>477</v>
      </c>
      <c r="E594" s="63" t="s">
        <v>44</v>
      </c>
      <c r="F594" s="63" t="s">
        <v>489</v>
      </c>
      <c r="G594" s="63" t="s">
        <v>510</v>
      </c>
      <c r="H594" s="63">
        <v>8</v>
      </c>
      <c r="I594" s="63" t="s">
        <v>93</v>
      </c>
    </row>
    <row r="595" spans="1:12" s="481" customFormat="1" ht="11.25">
      <c r="A595" s="481" t="s">
        <v>1069</v>
      </c>
      <c r="B595" s="481" t="s">
        <v>1059</v>
      </c>
      <c r="C595" s="481" t="s">
        <v>411</v>
      </c>
      <c r="D595" s="481" t="s">
        <v>412</v>
      </c>
      <c r="E595" s="481" t="s">
        <v>93</v>
      </c>
      <c r="F595" s="481" t="s">
        <v>413</v>
      </c>
      <c r="G595" s="481" t="s">
        <v>93</v>
      </c>
      <c r="H595" s="481" t="s">
        <v>93</v>
      </c>
      <c r="I595" s="481" t="s">
        <v>93</v>
      </c>
      <c r="J595" s="482"/>
      <c r="L595" s="483"/>
    </row>
    <row r="596" spans="1:9" ht="13.5">
      <c r="A596" s="63" t="s">
        <v>1070</v>
      </c>
      <c r="B596" s="63" t="s">
        <v>1059</v>
      </c>
      <c r="C596" s="63">
        <v>1</v>
      </c>
      <c r="D596" s="63" t="s">
        <v>532</v>
      </c>
      <c r="E596" s="63" t="s">
        <v>441</v>
      </c>
      <c r="F596" s="63" t="s">
        <v>413</v>
      </c>
      <c r="G596" s="63" t="s">
        <v>93</v>
      </c>
      <c r="H596" s="63">
        <v>15</v>
      </c>
      <c r="I596" s="63" t="s">
        <v>293</v>
      </c>
    </row>
    <row r="597" spans="1:12" s="484" customFormat="1" ht="11.25">
      <c r="A597" s="484" t="s">
        <v>1071</v>
      </c>
      <c r="B597" s="484" t="s">
        <v>1059</v>
      </c>
      <c r="C597" s="484" t="s">
        <v>411</v>
      </c>
      <c r="D597" s="484" t="s">
        <v>412</v>
      </c>
      <c r="E597" s="484" t="s">
        <v>93</v>
      </c>
      <c r="F597" s="484" t="s">
        <v>413</v>
      </c>
      <c r="G597" s="484" t="s">
        <v>93</v>
      </c>
      <c r="H597" s="484" t="s">
        <v>93</v>
      </c>
      <c r="I597" s="484" t="s">
        <v>93</v>
      </c>
      <c r="J597" s="485"/>
      <c r="L597" s="486"/>
    </row>
    <row r="598" spans="1:12" s="484" customFormat="1" ht="11.25">
      <c r="A598" s="484" t="s">
        <v>1072</v>
      </c>
      <c r="B598" s="484" t="s">
        <v>1059</v>
      </c>
      <c r="C598" s="484" t="s">
        <v>411</v>
      </c>
      <c r="D598" s="484" t="s">
        <v>412</v>
      </c>
      <c r="E598" s="484" t="s">
        <v>93</v>
      </c>
      <c r="F598" s="484" t="s">
        <v>413</v>
      </c>
      <c r="G598" s="484" t="s">
        <v>93</v>
      </c>
      <c r="H598" s="484" t="s">
        <v>93</v>
      </c>
      <c r="I598" s="484" t="s">
        <v>93</v>
      </c>
      <c r="J598" s="485"/>
      <c r="L598" s="486"/>
    </row>
    <row r="599" spans="1:9" ht="13.5">
      <c r="A599" s="63" t="s">
        <v>1073</v>
      </c>
      <c r="B599" s="63" t="s">
        <v>1059</v>
      </c>
      <c r="C599" s="63">
        <v>1</v>
      </c>
      <c r="D599" s="63" t="s">
        <v>460</v>
      </c>
      <c r="E599" s="63" t="s">
        <v>441</v>
      </c>
      <c r="F599" s="63" t="s">
        <v>413</v>
      </c>
      <c r="G599" s="63" t="s">
        <v>93</v>
      </c>
      <c r="H599" s="63">
        <v>6</v>
      </c>
      <c r="I599" s="63" t="s">
        <v>93</v>
      </c>
    </row>
    <row r="600" spans="1:12" s="484" customFormat="1" ht="11.25">
      <c r="A600" s="484" t="s">
        <v>1074</v>
      </c>
      <c r="B600" s="484" t="s">
        <v>1059</v>
      </c>
      <c r="C600" s="484">
        <v>1</v>
      </c>
      <c r="D600" s="484" t="s">
        <v>412</v>
      </c>
      <c r="E600" s="484" t="s">
        <v>93</v>
      </c>
      <c r="F600" s="484" t="s">
        <v>413</v>
      </c>
      <c r="G600" s="484" t="s">
        <v>93</v>
      </c>
      <c r="H600" s="484" t="s">
        <v>93</v>
      </c>
      <c r="I600" s="484" t="s">
        <v>93</v>
      </c>
      <c r="J600" s="485"/>
      <c r="L600" s="486"/>
    </row>
    <row r="601" spans="1:9" ht="13.5">
      <c r="A601" s="63" t="s">
        <v>1075</v>
      </c>
      <c r="B601" s="63" t="s">
        <v>1059</v>
      </c>
      <c r="C601" s="63">
        <v>1</v>
      </c>
      <c r="D601" s="63" t="s">
        <v>477</v>
      </c>
      <c r="E601" s="63" t="s">
        <v>166</v>
      </c>
      <c r="F601" s="63" t="s">
        <v>428</v>
      </c>
      <c r="G601" s="63" t="s">
        <v>428</v>
      </c>
      <c r="H601" s="63">
        <v>10</v>
      </c>
      <c r="I601" s="63" t="s">
        <v>293</v>
      </c>
    </row>
    <row r="602" spans="1:9" ht="13.5">
      <c r="A602" s="63" t="s">
        <v>1076</v>
      </c>
      <c r="B602" s="63" t="s">
        <v>1059</v>
      </c>
      <c r="C602" s="63" t="s">
        <v>411</v>
      </c>
      <c r="D602" s="63" t="s">
        <v>460</v>
      </c>
      <c r="E602" s="63" t="s">
        <v>441</v>
      </c>
      <c r="F602" s="63" t="s">
        <v>413</v>
      </c>
      <c r="G602" s="63" t="s">
        <v>93</v>
      </c>
      <c r="H602" s="63">
        <v>8</v>
      </c>
      <c r="I602" s="63" t="s">
        <v>93</v>
      </c>
    </row>
    <row r="603" spans="1:11" ht="13.5">
      <c r="A603" s="63" t="s">
        <v>1077</v>
      </c>
      <c r="B603" s="63" t="s">
        <v>1059</v>
      </c>
      <c r="C603" s="63" t="s">
        <v>411</v>
      </c>
      <c r="D603" s="63" t="s">
        <v>717</v>
      </c>
      <c r="E603" s="63" t="s">
        <v>441</v>
      </c>
      <c r="F603" s="63" t="s">
        <v>413</v>
      </c>
      <c r="G603" s="63" t="s">
        <v>93</v>
      </c>
      <c r="H603" s="63">
        <v>20</v>
      </c>
      <c r="I603" s="63">
        <v>1</v>
      </c>
      <c r="K603" s="400" t="s">
        <v>1078</v>
      </c>
    </row>
    <row r="604" spans="1:12" s="484" customFormat="1" ht="11.25">
      <c r="A604" s="484" t="s">
        <v>1079</v>
      </c>
      <c r="B604" s="484" t="s">
        <v>1059</v>
      </c>
      <c r="C604" s="484" t="s">
        <v>411</v>
      </c>
      <c r="D604" s="484" t="s">
        <v>412</v>
      </c>
      <c r="E604" s="484" t="s">
        <v>93</v>
      </c>
      <c r="F604" s="484" t="s">
        <v>413</v>
      </c>
      <c r="G604" s="484" t="s">
        <v>93</v>
      </c>
      <c r="H604" s="484" t="s">
        <v>93</v>
      </c>
      <c r="I604" s="484" t="s">
        <v>93</v>
      </c>
      <c r="J604" s="485"/>
      <c r="K604" s="472" t="s">
        <v>1078</v>
      </c>
      <c r="L604" s="486"/>
    </row>
    <row r="605" spans="1:11" ht="13.5">
      <c r="A605" s="63" t="s">
        <v>1080</v>
      </c>
      <c r="B605" s="63" t="s">
        <v>1059</v>
      </c>
      <c r="C605" s="63">
        <v>1</v>
      </c>
      <c r="D605" s="63" t="s">
        <v>460</v>
      </c>
      <c r="E605" s="63" t="s">
        <v>441</v>
      </c>
      <c r="F605" s="63" t="s">
        <v>413</v>
      </c>
      <c r="G605" s="63" t="s">
        <v>93</v>
      </c>
      <c r="H605" s="63">
        <v>8</v>
      </c>
      <c r="I605" s="63" t="s">
        <v>93</v>
      </c>
      <c r="K605" s="400" t="s">
        <v>1078</v>
      </c>
    </row>
    <row r="606" spans="1:11" ht="13.5">
      <c r="A606" s="63" t="s">
        <v>1081</v>
      </c>
      <c r="B606" s="63" t="s">
        <v>1059</v>
      </c>
      <c r="C606" s="63">
        <v>1</v>
      </c>
      <c r="D606" s="63" t="s">
        <v>481</v>
      </c>
      <c r="E606" s="63" t="s">
        <v>441</v>
      </c>
      <c r="F606" s="63" t="s">
        <v>489</v>
      </c>
      <c r="G606" s="63" t="s">
        <v>1001</v>
      </c>
      <c r="H606" s="63">
        <v>15</v>
      </c>
      <c r="I606" s="63" t="s">
        <v>683</v>
      </c>
      <c r="K606" s="400" t="s">
        <v>1078</v>
      </c>
    </row>
    <row r="607" spans="1:11" ht="13.5">
      <c r="A607" s="63" t="s">
        <v>1082</v>
      </c>
      <c r="B607" s="63" t="s">
        <v>1059</v>
      </c>
      <c r="C607" s="63">
        <v>1</v>
      </c>
      <c r="D607" s="63" t="s">
        <v>460</v>
      </c>
      <c r="E607" s="63" t="s">
        <v>441</v>
      </c>
      <c r="F607" s="63" t="s">
        <v>413</v>
      </c>
      <c r="G607" s="63" t="s">
        <v>93</v>
      </c>
      <c r="H607" s="63">
        <v>18</v>
      </c>
      <c r="I607" s="63" t="s">
        <v>293</v>
      </c>
      <c r="K607" s="400" t="s">
        <v>1078</v>
      </c>
    </row>
    <row r="608" spans="1:11" ht="12" customHeight="1">
      <c r="A608" s="63" t="s">
        <v>1083</v>
      </c>
      <c r="B608" s="63" t="s">
        <v>1059</v>
      </c>
      <c r="C608" s="63">
        <v>1</v>
      </c>
      <c r="D608" s="63" t="s">
        <v>481</v>
      </c>
      <c r="E608" s="63" t="s">
        <v>441</v>
      </c>
      <c r="F608" s="63" t="s">
        <v>413</v>
      </c>
      <c r="G608" s="63" t="s">
        <v>93</v>
      </c>
      <c r="H608" s="63">
        <v>14</v>
      </c>
      <c r="I608" s="63" t="s">
        <v>293</v>
      </c>
      <c r="K608" s="400" t="s">
        <v>1078</v>
      </c>
    </row>
    <row r="609" spans="1:12" s="484" customFormat="1" ht="11.25">
      <c r="A609" s="484" t="s">
        <v>1084</v>
      </c>
      <c r="B609" s="484" t="s">
        <v>1059</v>
      </c>
      <c r="C609" s="484">
        <v>1</v>
      </c>
      <c r="D609" s="484" t="s">
        <v>412</v>
      </c>
      <c r="E609" s="484" t="s">
        <v>93</v>
      </c>
      <c r="F609" s="484" t="s">
        <v>413</v>
      </c>
      <c r="G609" s="484" t="s">
        <v>93</v>
      </c>
      <c r="H609" s="484" t="s">
        <v>93</v>
      </c>
      <c r="I609" s="484" t="s">
        <v>93</v>
      </c>
      <c r="J609" s="485"/>
      <c r="K609" s="472" t="s">
        <v>1078</v>
      </c>
      <c r="L609" s="486"/>
    </row>
    <row r="610" spans="1:12" s="484" customFormat="1" ht="11.25">
      <c r="A610" s="484" t="s">
        <v>1085</v>
      </c>
      <c r="B610" s="484" t="s">
        <v>1059</v>
      </c>
      <c r="C610" s="484">
        <v>1</v>
      </c>
      <c r="D610" s="484" t="s">
        <v>412</v>
      </c>
      <c r="E610" s="484" t="s">
        <v>93</v>
      </c>
      <c r="F610" s="484" t="s">
        <v>413</v>
      </c>
      <c r="G610" s="484" t="s">
        <v>93</v>
      </c>
      <c r="H610" s="484" t="s">
        <v>93</v>
      </c>
      <c r="I610" s="484" t="s">
        <v>93</v>
      </c>
      <c r="J610" s="485"/>
      <c r="K610" s="472" t="s">
        <v>1078</v>
      </c>
      <c r="L610" s="486"/>
    </row>
    <row r="611" spans="1:11" ht="13.5">
      <c r="A611" s="469" t="s">
        <v>1086</v>
      </c>
      <c r="B611" s="470" t="s">
        <v>292</v>
      </c>
      <c r="C611" s="470" t="s">
        <v>293</v>
      </c>
      <c r="D611" s="470" t="s">
        <v>294</v>
      </c>
      <c r="E611" s="470" t="s">
        <v>176</v>
      </c>
      <c r="F611" s="470" t="s">
        <v>295</v>
      </c>
      <c r="G611" s="470" t="s">
        <v>248</v>
      </c>
      <c r="H611" s="470" t="s">
        <v>296</v>
      </c>
      <c r="I611" s="470" t="s">
        <v>242</v>
      </c>
      <c r="J611" s="471" t="s">
        <v>297</v>
      </c>
      <c r="K611" s="471" t="s">
        <v>409</v>
      </c>
    </row>
    <row r="612" spans="1:11" ht="13.5">
      <c r="A612" s="63" t="s">
        <v>1087</v>
      </c>
      <c r="B612" s="63" t="s">
        <v>1086</v>
      </c>
      <c r="C612" s="63">
        <v>1</v>
      </c>
      <c r="D612" s="63" t="s">
        <v>477</v>
      </c>
      <c r="E612" s="63" t="s">
        <v>166</v>
      </c>
      <c r="F612" s="63" t="s">
        <v>1088</v>
      </c>
      <c r="G612" s="63" t="s">
        <v>490</v>
      </c>
      <c r="H612" s="63">
        <v>5</v>
      </c>
      <c r="I612" s="63" t="s">
        <v>93</v>
      </c>
      <c r="K612" s="400" t="s">
        <v>1089</v>
      </c>
    </row>
    <row r="613" spans="1:11" ht="13.5">
      <c r="A613" s="63" t="s">
        <v>1090</v>
      </c>
      <c r="B613" s="63" t="s">
        <v>1086</v>
      </c>
      <c r="C613" s="63">
        <v>1</v>
      </c>
      <c r="D613" s="63" t="s">
        <v>477</v>
      </c>
      <c r="E613" s="63" t="s">
        <v>166</v>
      </c>
      <c r="F613" s="63" t="s">
        <v>1088</v>
      </c>
      <c r="G613" s="63" t="s">
        <v>490</v>
      </c>
      <c r="H613" s="63">
        <v>6</v>
      </c>
      <c r="I613" s="63" t="s">
        <v>93</v>
      </c>
      <c r="K613" s="400" t="s">
        <v>1089</v>
      </c>
    </row>
    <row r="614" spans="1:11" ht="13.5">
      <c r="A614" s="469" t="s">
        <v>1091</v>
      </c>
      <c r="B614" s="470" t="s">
        <v>292</v>
      </c>
      <c r="C614" s="470" t="s">
        <v>293</v>
      </c>
      <c r="D614" s="470" t="s">
        <v>294</v>
      </c>
      <c r="E614" s="470" t="s">
        <v>176</v>
      </c>
      <c r="F614" s="470" t="s">
        <v>295</v>
      </c>
      <c r="G614" s="470" t="s">
        <v>248</v>
      </c>
      <c r="H614" s="470" t="s">
        <v>296</v>
      </c>
      <c r="I614" s="470" t="s">
        <v>242</v>
      </c>
      <c r="J614" s="471" t="s">
        <v>297</v>
      </c>
      <c r="K614" s="471" t="s">
        <v>409</v>
      </c>
    </row>
    <row r="615" spans="1:11" ht="13.5">
      <c r="A615" s="63" t="s">
        <v>1092</v>
      </c>
      <c r="B615" s="63" t="s">
        <v>1091</v>
      </c>
      <c r="C615" s="63">
        <v>1</v>
      </c>
      <c r="D615" s="63" t="s">
        <v>477</v>
      </c>
      <c r="E615" s="63" t="s">
        <v>166</v>
      </c>
      <c r="F615" s="63" t="s">
        <v>1088</v>
      </c>
      <c r="G615" s="63" t="s">
        <v>490</v>
      </c>
      <c r="H615" s="63">
        <v>6</v>
      </c>
      <c r="I615" s="63" t="s">
        <v>93</v>
      </c>
      <c r="K615" s="400" t="s">
        <v>1089</v>
      </c>
    </row>
    <row r="616" spans="1:11" ht="13.5">
      <c r="A616" s="63" t="s">
        <v>1093</v>
      </c>
      <c r="B616" s="63" t="s">
        <v>1091</v>
      </c>
      <c r="C616" s="63">
        <v>1</v>
      </c>
      <c r="D616" s="63" t="s">
        <v>477</v>
      </c>
      <c r="E616" s="63" t="s">
        <v>166</v>
      </c>
      <c r="F616" s="63" t="s">
        <v>1088</v>
      </c>
      <c r="G616" s="63" t="s">
        <v>490</v>
      </c>
      <c r="H616" s="63">
        <v>8</v>
      </c>
      <c r="I616" s="63" t="s">
        <v>93</v>
      </c>
      <c r="K616" s="400" t="s">
        <v>1089</v>
      </c>
    </row>
    <row r="617" spans="1:11" ht="13.5">
      <c r="A617" s="469" t="s">
        <v>1094</v>
      </c>
      <c r="B617" s="470" t="s">
        <v>292</v>
      </c>
      <c r="C617" s="470" t="s">
        <v>293</v>
      </c>
      <c r="D617" s="470" t="s">
        <v>294</v>
      </c>
      <c r="E617" s="470" t="s">
        <v>176</v>
      </c>
      <c r="F617" s="470" t="s">
        <v>295</v>
      </c>
      <c r="G617" s="470" t="s">
        <v>248</v>
      </c>
      <c r="H617" s="470" t="s">
        <v>296</v>
      </c>
      <c r="I617" s="470" t="s">
        <v>242</v>
      </c>
      <c r="J617" s="471" t="s">
        <v>297</v>
      </c>
      <c r="K617" s="471" t="s">
        <v>409</v>
      </c>
    </row>
    <row r="618" spans="1:11" ht="13.5">
      <c r="A618" s="63" t="s">
        <v>1095</v>
      </c>
      <c r="B618" s="63" t="s">
        <v>1094</v>
      </c>
      <c r="C618" s="63">
        <v>1</v>
      </c>
      <c r="D618" s="63" t="s">
        <v>477</v>
      </c>
      <c r="E618" s="63" t="s">
        <v>166</v>
      </c>
      <c r="F618" s="63" t="s">
        <v>1088</v>
      </c>
      <c r="G618" s="63" t="s">
        <v>490</v>
      </c>
      <c r="H618" s="63">
        <v>6</v>
      </c>
      <c r="I618" s="63" t="s">
        <v>93</v>
      </c>
      <c r="K618" s="400" t="s">
        <v>1089</v>
      </c>
    </row>
    <row r="619" spans="1:11" ht="13.5">
      <c r="A619" s="63" t="s">
        <v>1096</v>
      </c>
      <c r="B619" s="63" t="s">
        <v>1094</v>
      </c>
      <c r="C619" s="63">
        <v>1</v>
      </c>
      <c r="D619" s="63" t="s">
        <v>477</v>
      </c>
      <c r="E619" s="63" t="s">
        <v>166</v>
      </c>
      <c r="F619" s="63" t="s">
        <v>1088</v>
      </c>
      <c r="G619" s="63" t="s">
        <v>490</v>
      </c>
      <c r="H619" s="63">
        <v>5</v>
      </c>
      <c r="I619" s="63" t="s">
        <v>93</v>
      </c>
      <c r="K619" s="400" t="s">
        <v>1089</v>
      </c>
    </row>
    <row r="620" spans="1:11" ht="13.5">
      <c r="A620" s="469" t="s">
        <v>1097</v>
      </c>
      <c r="B620" s="470" t="s">
        <v>292</v>
      </c>
      <c r="C620" s="470" t="s">
        <v>293</v>
      </c>
      <c r="D620" s="470" t="s">
        <v>294</v>
      </c>
      <c r="E620" s="470" t="s">
        <v>176</v>
      </c>
      <c r="F620" s="470" t="s">
        <v>295</v>
      </c>
      <c r="G620" s="470" t="s">
        <v>248</v>
      </c>
      <c r="H620" s="470" t="s">
        <v>296</v>
      </c>
      <c r="I620" s="470" t="s">
        <v>242</v>
      </c>
      <c r="J620" s="471" t="s">
        <v>297</v>
      </c>
      <c r="K620" s="471" t="s">
        <v>409</v>
      </c>
    </row>
    <row r="621" spans="1:11" ht="13.5">
      <c r="A621" s="63" t="s">
        <v>1098</v>
      </c>
      <c r="B621" s="63" t="s">
        <v>1097</v>
      </c>
      <c r="C621" s="63">
        <v>1</v>
      </c>
      <c r="D621" s="63" t="s">
        <v>477</v>
      </c>
      <c r="E621" s="63" t="s">
        <v>166</v>
      </c>
      <c r="F621" s="63" t="s">
        <v>1088</v>
      </c>
      <c r="G621" s="63" t="s">
        <v>490</v>
      </c>
      <c r="H621" s="63">
        <v>5</v>
      </c>
      <c r="I621" s="63" t="s">
        <v>93</v>
      </c>
      <c r="K621" s="400" t="s">
        <v>1099</v>
      </c>
    </row>
    <row r="622" spans="1:11" ht="13.5">
      <c r="A622" s="63" t="s">
        <v>1100</v>
      </c>
      <c r="B622" s="63" t="s">
        <v>1097</v>
      </c>
      <c r="C622" s="63">
        <v>1</v>
      </c>
      <c r="D622" s="63" t="s">
        <v>477</v>
      </c>
      <c r="E622" s="63" t="s">
        <v>166</v>
      </c>
      <c r="F622" s="63" t="s">
        <v>1088</v>
      </c>
      <c r="G622" s="63" t="s">
        <v>490</v>
      </c>
      <c r="H622" s="63">
        <v>6</v>
      </c>
      <c r="I622" s="63" t="s">
        <v>93</v>
      </c>
      <c r="K622" s="400" t="s">
        <v>1099</v>
      </c>
    </row>
    <row r="623" spans="1:11" ht="13.5">
      <c r="A623" s="469" t="s">
        <v>1101</v>
      </c>
      <c r="B623" s="470" t="s">
        <v>292</v>
      </c>
      <c r="C623" s="470" t="s">
        <v>293</v>
      </c>
      <c r="D623" s="470" t="s">
        <v>294</v>
      </c>
      <c r="E623" s="470" t="s">
        <v>176</v>
      </c>
      <c r="F623" s="470" t="s">
        <v>295</v>
      </c>
      <c r="G623" s="470" t="s">
        <v>248</v>
      </c>
      <c r="H623" s="470" t="s">
        <v>296</v>
      </c>
      <c r="I623" s="470" t="s">
        <v>242</v>
      </c>
      <c r="J623" s="471" t="s">
        <v>297</v>
      </c>
      <c r="K623" s="471" t="s">
        <v>409</v>
      </c>
    </row>
    <row r="624" spans="1:11" ht="13.5">
      <c r="A624" s="63" t="s">
        <v>1102</v>
      </c>
      <c r="B624" s="63" t="s">
        <v>1101</v>
      </c>
      <c r="C624" s="63">
        <v>1</v>
      </c>
      <c r="D624" s="63" t="s">
        <v>477</v>
      </c>
      <c r="E624" s="63" t="s">
        <v>166</v>
      </c>
      <c r="F624" s="63" t="s">
        <v>1088</v>
      </c>
      <c r="G624" s="63" t="s">
        <v>490</v>
      </c>
      <c r="H624" s="63">
        <v>6</v>
      </c>
      <c r="I624" s="63" t="s">
        <v>93</v>
      </c>
      <c r="K624" s="400" t="s">
        <v>1099</v>
      </c>
    </row>
    <row r="625" spans="1:11" ht="13.5">
      <c r="A625" s="63" t="s">
        <v>1103</v>
      </c>
      <c r="B625" s="63" t="s">
        <v>1101</v>
      </c>
      <c r="C625" s="63">
        <v>1</v>
      </c>
      <c r="D625" s="63" t="s">
        <v>477</v>
      </c>
      <c r="E625" s="63" t="s">
        <v>166</v>
      </c>
      <c r="F625" s="63" t="s">
        <v>1088</v>
      </c>
      <c r="G625" s="63" t="s">
        <v>490</v>
      </c>
      <c r="H625" s="63">
        <v>6</v>
      </c>
      <c r="I625" s="63" t="s">
        <v>93</v>
      </c>
      <c r="K625" s="400" t="s">
        <v>1099</v>
      </c>
    </row>
    <row r="626" spans="1:11" ht="13.5">
      <c r="A626" s="469" t="s">
        <v>1104</v>
      </c>
      <c r="B626" s="470" t="s">
        <v>292</v>
      </c>
      <c r="C626" s="470" t="s">
        <v>293</v>
      </c>
      <c r="D626" s="470" t="s">
        <v>294</v>
      </c>
      <c r="E626" s="470" t="s">
        <v>176</v>
      </c>
      <c r="F626" s="470" t="s">
        <v>295</v>
      </c>
      <c r="G626" s="470" t="s">
        <v>248</v>
      </c>
      <c r="H626" s="470" t="s">
        <v>296</v>
      </c>
      <c r="I626" s="470" t="s">
        <v>242</v>
      </c>
      <c r="J626" s="471" t="s">
        <v>297</v>
      </c>
      <c r="K626" s="471" t="s">
        <v>409</v>
      </c>
    </row>
    <row r="627" spans="1:11" ht="13.5">
      <c r="A627" s="63" t="s">
        <v>1105</v>
      </c>
      <c r="B627" s="63" t="s">
        <v>1104</v>
      </c>
      <c r="C627" s="63">
        <v>1</v>
      </c>
      <c r="D627" s="63" t="s">
        <v>477</v>
      </c>
      <c r="E627" s="63" t="s">
        <v>166</v>
      </c>
      <c r="F627" s="63" t="s">
        <v>1088</v>
      </c>
      <c r="G627" s="63" t="s">
        <v>490</v>
      </c>
      <c r="H627" s="63">
        <v>6</v>
      </c>
      <c r="I627" s="63" t="s">
        <v>93</v>
      </c>
      <c r="K627" s="400" t="s">
        <v>1099</v>
      </c>
    </row>
    <row r="628" spans="1:11" ht="13.5">
      <c r="A628" s="63" t="s">
        <v>1106</v>
      </c>
      <c r="B628" s="63" t="s">
        <v>1104</v>
      </c>
      <c r="C628" s="63">
        <v>1</v>
      </c>
      <c r="D628" s="63" t="s">
        <v>477</v>
      </c>
      <c r="E628" s="63" t="s">
        <v>166</v>
      </c>
      <c r="F628" s="63" t="s">
        <v>1088</v>
      </c>
      <c r="G628" s="63" t="s">
        <v>504</v>
      </c>
      <c r="H628" s="63">
        <v>6</v>
      </c>
      <c r="I628" s="63" t="s">
        <v>93</v>
      </c>
      <c r="K628" s="400" t="s">
        <v>1099</v>
      </c>
    </row>
    <row r="629" spans="1:11" ht="13.5">
      <c r="A629" s="469" t="s">
        <v>1107</v>
      </c>
      <c r="B629" s="470" t="s">
        <v>292</v>
      </c>
      <c r="C629" s="470" t="s">
        <v>293</v>
      </c>
      <c r="D629" s="470" t="s">
        <v>294</v>
      </c>
      <c r="E629" s="470" t="s">
        <v>176</v>
      </c>
      <c r="F629" s="470" t="s">
        <v>295</v>
      </c>
      <c r="G629" s="470" t="s">
        <v>248</v>
      </c>
      <c r="H629" s="470" t="s">
        <v>296</v>
      </c>
      <c r="I629" s="470" t="s">
        <v>242</v>
      </c>
      <c r="J629" s="471" t="s">
        <v>297</v>
      </c>
      <c r="K629" s="471" t="s">
        <v>409</v>
      </c>
    </row>
    <row r="630" spans="1:11" ht="13.5">
      <c r="A630" s="63" t="s">
        <v>1108</v>
      </c>
      <c r="B630" s="63" t="s">
        <v>1107</v>
      </c>
      <c r="C630" s="63">
        <v>1</v>
      </c>
      <c r="D630" s="63" t="s">
        <v>477</v>
      </c>
      <c r="E630" s="63" t="s">
        <v>166</v>
      </c>
      <c r="F630" s="63" t="s">
        <v>1088</v>
      </c>
      <c r="G630" s="63" t="s">
        <v>490</v>
      </c>
      <c r="H630" s="63">
        <v>6</v>
      </c>
      <c r="I630" s="63" t="s">
        <v>93</v>
      </c>
      <c r="K630" s="400" t="s">
        <v>1109</v>
      </c>
    </row>
    <row r="631" spans="1:11" ht="13.5">
      <c r="A631" s="63" t="s">
        <v>1110</v>
      </c>
      <c r="B631" s="63" t="s">
        <v>1107</v>
      </c>
      <c r="C631" s="63">
        <v>1</v>
      </c>
      <c r="D631" s="63" t="s">
        <v>477</v>
      </c>
      <c r="E631" s="63" t="s">
        <v>166</v>
      </c>
      <c r="F631" s="63" t="s">
        <v>1088</v>
      </c>
      <c r="G631" s="63" t="s">
        <v>490</v>
      </c>
      <c r="H631" s="63">
        <v>5</v>
      </c>
      <c r="I631" s="63" t="s">
        <v>93</v>
      </c>
      <c r="K631" s="400" t="s">
        <v>1109</v>
      </c>
    </row>
    <row r="632" spans="1:11" ht="13.5">
      <c r="A632" s="469" t="s">
        <v>1111</v>
      </c>
      <c r="B632" s="470" t="s">
        <v>292</v>
      </c>
      <c r="C632" s="470" t="s">
        <v>293</v>
      </c>
      <c r="D632" s="470" t="s">
        <v>294</v>
      </c>
      <c r="E632" s="470" t="s">
        <v>176</v>
      </c>
      <c r="F632" s="470" t="s">
        <v>295</v>
      </c>
      <c r="G632" s="470" t="s">
        <v>248</v>
      </c>
      <c r="H632" s="470" t="s">
        <v>296</v>
      </c>
      <c r="I632" s="470" t="s">
        <v>242</v>
      </c>
      <c r="J632" s="471" t="s">
        <v>297</v>
      </c>
      <c r="K632" s="471" t="s">
        <v>409</v>
      </c>
    </row>
    <row r="633" spans="1:11" ht="13.5">
      <c r="A633" s="63" t="s">
        <v>1112</v>
      </c>
      <c r="B633" s="63" t="s">
        <v>1111</v>
      </c>
      <c r="C633" s="63">
        <v>1</v>
      </c>
      <c r="D633" s="63" t="s">
        <v>477</v>
      </c>
      <c r="E633" s="63" t="s">
        <v>166</v>
      </c>
      <c r="F633" s="63" t="s">
        <v>1088</v>
      </c>
      <c r="G633" s="63" t="s">
        <v>490</v>
      </c>
      <c r="H633" s="63">
        <v>6</v>
      </c>
      <c r="I633" s="63" t="s">
        <v>93</v>
      </c>
      <c r="K633" s="400" t="s">
        <v>1109</v>
      </c>
    </row>
    <row r="634" spans="1:11" ht="13.5">
      <c r="A634" s="63" t="s">
        <v>1113</v>
      </c>
      <c r="B634" s="63" t="s">
        <v>1111</v>
      </c>
      <c r="C634" s="63">
        <v>1</v>
      </c>
      <c r="D634" s="63" t="s">
        <v>477</v>
      </c>
      <c r="E634" s="63" t="s">
        <v>166</v>
      </c>
      <c r="F634" s="63" t="s">
        <v>1088</v>
      </c>
      <c r="G634" s="63" t="s">
        <v>490</v>
      </c>
      <c r="H634" s="63">
        <v>5</v>
      </c>
      <c r="I634" s="63" t="s">
        <v>93</v>
      </c>
      <c r="K634" s="400" t="s">
        <v>1109</v>
      </c>
    </row>
    <row r="635" spans="1:11" ht="13.5">
      <c r="A635" s="469" t="s">
        <v>1114</v>
      </c>
      <c r="B635" s="470" t="s">
        <v>292</v>
      </c>
      <c r="C635" s="470" t="s">
        <v>293</v>
      </c>
      <c r="D635" s="470" t="s">
        <v>294</v>
      </c>
      <c r="E635" s="470" t="s">
        <v>176</v>
      </c>
      <c r="F635" s="470" t="s">
        <v>295</v>
      </c>
      <c r="G635" s="470" t="s">
        <v>248</v>
      </c>
      <c r="H635" s="470" t="s">
        <v>296</v>
      </c>
      <c r="I635" s="470" t="s">
        <v>242</v>
      </c>
      <c r="J635" s="471" t="s">
        <v>297</v>
      </c>
      <c r="K635" s="471" t="s">
        <v>409</v>
      </c>
    </row>
    <row r="636" spans="1:11" ht="13.5">
      <c r="A636" s="63" t="s">
        <v>1115</v>
      </c>
      <c r="B636" s="63" t="s">
        <v>1114</v>
      </c>
      <c r="C636" s="63">
        <v>1</v>
      </c>
      <c r="D636" s="63" t="s">
        <v>477</v>
      </c>
      <c r="E636" s="63" t="s">
        <v>166</v>
      </c>
      <c r="F636" s="63" t="s">
        <v>1088</v>
      </c>
      <c r="G636" s="63" t="s">
        <v>490</v>
      </c>
      <c r="H636" s="63">
        <v>7</v>
      </c>
      <c r="I636" s="63" t="s">
        <v>93</v>
      </c>
      <c r="K636" s="400" t="s">
        <v>1109</v>
      </c>
    </row>
    <row r="637" spans="1:11" ht="13.5">
      <c r="A637" s="63" t="s">
        <v>1116</v>
      </c>
      <c r="B637" s="63" t="s">
        <v>1114</v>
      </c>
      <c r="C637" s="63">
        <v>1</v>
      </c>
      <c r="D637" s="63" t="s">
        <v>477</v>
      </c>
      <c r="E637" s="63" t="s">
        <v>166</v>
      </c>
      <c r="F637" s="63" t="s">
        <v>1088</v>
      </c>
      <c r="G637" s="63" t="s">
        <v>490</v>
      </c>
      <c r="H637" s="63">
        <v>5</v>
      </c>
      <c r="I637" s="63" t="s">
        <v>93</v>
      </c>
      <c r="K637" s="400" t="s">
        <v>1109</v>
      </c>
    </row>
    <row r="638" spans="1:11" ht="13.5">
      <c r="A638" s="469" t="s">
        <v>1117</v>
      </c>
      <c r="B638" s="470" t="s">
        <v>292</v>
      </c>
      <c r="C638" s="470" t="s">
        <v>293</v>
      </c>
      <c r="D638" s="470" t="s">
        <v>294</v>
      </c>
      <c r="E638" s="470" t="s">
        <v>176</v>
      </c>
      <c r="F638" s="470" t="s">
        <v>295</v>
      </c>
      <c r="G638" s="470" t="s">
        <v>248</v>
      </c>
      <c r="H638" s="470" t="s">
        <v>296</v>
      </c>
      <c r="I638" s="470" t="s">
        <v>242</v>
      </c>
      <c r="J638" s="471" t="s">
        <v>297</v>
      </c>
      <c r="K638" s="471" t="s">
        <v>409</v>
      </c>
    </row>
    <row r="639" spans="1:11" ht="13.5">
      <c r="A639" s="63" t="s">
        <v>1118</v>
      </c>
      <c r="B639" s="63" t="s">
        <v>1117</v>
      </c>
      <c r="C639" s="63">
        <v>1</v>
      </c>
      <c r="D639" s="63" t="s">
        <v>477</v>
      </c>
      <c r="E639" s="63" t="s">
        <v>166</v>
      </c>
      <c r="F639" s="63" t="s">
        <v>1088</v>
      </c>
      <c r="G639" s="63" t="s">
        <v>497</v>
      </c>
      <c r="H639" s="63">
        <v>5</v>
      </c>
      <c r="I639" s="63" t="s">
        <v>93</v>
      </c>
      <c r="K639" s="400" t="s">
        <v>1119</v>
      </c>
    </row>
    <row r="640" spans="1:11" ht="13.5">
      <c r="A640" s="63" t="s">
        <v>1120</v>
      </c>
      <c r="B640" s="63" t="s">
        <v>1117</v>
      </c>
      <c r="C640" s="63">
        <v>1</v>
      </c>
      <c r="D640" s="63" t="s">
        <v>477</v>
      </c>
      <c r="E640" s="63" t="s">
        <v>166</v>
      </c>
      <c r="F640" s="63" t="s">
        <v>1088</v>
      </c>
      <c r="G640" s="63" t="s">
        <v>497</v>
      </c>
      <c r="H640" s="63">
        <v>6</v>
      </c>
      <c r="I640" s="63" t="s">
        <v>93</v>
      </c>
      <c r="K640" s="400" t="s">
        <v>1119</v>
      </c>
    </row>
    <row r="641" spans="1:11" ht="13.5">
      <c r="A641" s="469" t="s">
        <v>1121</v>
      </c>
      <c r="B641" s="470" t="s">
        <v>292</v>
      </c>
      <c r="C641" s="470" t="s">
        <v>293</v>
      </c>
      <c r="D641" s="470" t="s">
        <v>294</v>
      </c>
      <c r="E641" s="470" t="s">
        <v>176</v>
      </c>
      <c r="F641" s="470" t="s">
        <v>295</v>
      </c>
      <c r="G641" s="470" t="s">
        <v>248</v>
      </c>
      <c r="H641" s="470" t="s">
        <v>296</v>
      </c>
      <c r="I641" s="470" t="s">
        <v>242</v>
      </c>
      <c r="J641" s="471" t="s">
        <v>297</v>
      </c>
      <c r="K641" s="471" t="s">
        <v>409</v>
      </c>
    </row>
    <row r="642" spans="1:11" ht="13.5">
      <c r="A642" s="63" t="s">
        <v>1122</v>
      </c>
      <c r="B642" s="63" t="s">
        <v>1121</v>
      </c>
      <c r="C642" s="63">
        <v>1</v>
      </c>
      <c r="D642" s="63" t="s">
        <v>477</v>
      </c>
      <c r="E642" s="63" t="s">
        <v>166</v>
      </c>
      <c r="F642" s="63" t="s">
        <v>1088</v>
      </c>
      <c r="G642" s="63" t="s">
        <v>497</v>
      </c>
      <c r="H642" s="63">
        <v>6</v>
      </c>
      <c r="I642" s="63" t="s">
        <v>93</v>
      </c>
      <c r="K642" s="400" t="s">
        <v>1119</v>
      </c>
    </row>
    <row r="643" spans="1:11" ht="13.5">
      <c r="A643" s="63" t="s">
        <v>1123</v>
      </c>
      <c r="B643" s="63" t="s">
        <v>1121</v>
      </c>
      <c r="C643" s="63">
        <v>1</v>
      </c>
      <c r="D643" s="63" t="s">
        <v>477</v>
      </c>
      <c r="E643" s="63" t="s">
        <v>166</v>
      </c>
      <c r="F643" s="63" t="s">
        <v>1088</v>
      </c>
      <c r="G643" s="63" t="s">
        <v>497</v>
      </c>
      <c r="H643" s="63">
        <v>6</v>
      </c>
      <c r="I643" s="63" t="s">
        <v>93</v>
      </c>
      <c r="K643" s="400" t="s">
        <v>1119</v>
      </c>
    </row>
    <row r="644" spans="1:11" ht="13.5">
      <c r="A644" s="469" t="s">
        <v>1124</v>
      </c>
      <c r="B644" s="470" t="s">
        <v>292</v>
      </c>
      <c r="C644" s="470" t="s">
        <v>293</v>
      </c>
      <c r="D644" s="470" t="s">
        <v>294</v>
      </c>
      <c r="E644" s="470" t="s">
        <v>176</v>
      </c>
      <c r="F644" s="470" t="s">
        <v>295</v>
      </c>
      <c r="G644" s="470" t="s">
        <v>248</v>
      </c>
      <c r="H644" s="470" t="s">
        <v>296</v>
      </c>
      <c r="I644" s="470" t="s">
        <v>242</v>
      </c>
      <c r="J644" s="471" t="s">
        <v>297</v>
      </c>
      <c r="K644" s="471" t="s">
        <v>409</v>
      </c>
    </row>
    <row r="645" spans="1:11" ht="13.5">
      <c r="A645" s="63" t="s">
        <v>1125</v>
      </c>
      <c r="B645" s="63" t="s">
        <v>1124</v>
      </c>
      <c r="C645" s="63">
        <v>1</v>
      </c>
      <c r="D645" s="63" t="s">
        <v>477</v>
      </c>
      <c r="E645" s="63" t="s">
        <v>166</v>
      </c>
      <c r="F645" s="63" t="s">
        <v>1088</v>
      </c>
      <c r="G645" s="63" t="s">
        <v>497</v>
      </c>
      <c r="H645" s="63">
        <v>6</v>
      </c>
      <c r="I645" s="63" t="s">
        <v>93</v>
      </c>
      <c r="K645" s="400" t="s">
        <v>1119</v>
      </c>
    </row>
    <row r="646" spans="1:11" ht="13.5">
      <c r="A646" s="63" t="s">
        <v>1126</v>
      </c>
      <c r="B646" s="63" t="s">
        <v>1124</v>
      </c>
      <c r="C646" s="63">
        <v>1</v>
      </c>
      <c r="D646" s="63" t="s">
        <v>477</v>
      </c>
      <c r="E646" s="63" t="s">
        <v>166</v>
      </c>
      <c r="F646" s="63" t="s">
        <v>1088</v>
      </c>
      <c r="G646" s="63" t="s">
        <v>497</v>
      </c>
      <c r="H646" s="63">
        <v>5</v>
      </c>
      <c r="I646" s="63" t="s">
        <v>93</v>
      </c>
      <c r="K646" s="400" t="s">
        <v>1119</v>
      </c>
    </row>
    <row r="647" spans="1:11" ht="13.5">
      <c r="A647" s="469" t="s">
        <v>1127</v>
      </c>
      <c r="B647" s="470" t="s">
        <v>292</v>
      </c>
      <c r="C647" s="470" t="s">
        <v>293</v>
      </c>
      <c r="D647" s="470" t="s">
        <v>294</v>
      </c>
      <c r="E647" s="470" t="s">
        <v>176</v>
      </c>
      <c r="F647" s="470" t="s">
        <v>295</v>
      </c>
      <c r="G647" s="470" t="s">
        <v>248</v>
      </c>
      <c r="H647" s="470" t="s">
        <v>296</v>
      </c>
      <c r="I647" s="470" t="s">
        <v>242</v>
      </c>
      <c r="J647" s="471" t="s">
        <v>297</v>
      </c>
      <c r="K647" s="471" t="s">
        <v>409</v>
      </c>
    </row>
    <row r="648" spans="1:11" ht="13.5">
      <c r="A648" s="63" t="s">
        <v>1128</v>
      </c>
      <c r="B648" s="63" t="s">
        <v>1127</v>
      </c>
      <c r="C648" s="63">
        <v>1</v>
      </c>
      <c r="D648" s="63" t="s">
        <v>477</v>
      </c>
      <c r="E648" s="63" t="s">
        <v>1129</v>
      </c>
      <c r="F648" s="63" t="s">
        <v>1088</v>
      </c>
      <c r="G648" s="63" t="s">
        <v>510</v>
      </c>
      <c r="H648" s="63">
        <v>5</v>
      </c>
      <c r="I648" s="63" t="s">
        <v>93</v>
      </c>
      <c r="K648" s="400" t="s">
        <v>1130</v>
      </c>
    </row>
    <row r="649" spans="1:11" ht="13.5">
      <c r="A649" s="63" t="s">
        <v>1131</v>
      </c>
      <c r="B649" s="63" t="s">
        <v>1127</v>
      </c>
      <c r="C649" s="63">
        <v>1</v>
      </c>
      <c r="D649" s="63" t="s">
        <v>477</v>
      </c>
      <c r="E649" s="63" t="s">
        <v>1129</v>
      </c>
      <c r="F649" s="63" t="s">
        <v>1088</v>
      </c>
      <c r="G649" s="63" t="s">
        <v>490</v>
      </c>
      <c r="H649" s="63">
        <v>5</v>
      </c>
      <c r="I649" s="63" t="s">
        <v>93</v>
      </c>
      <c r="K649" s="400" t="s">
        <v>1130</v>
      </c>
    </row>
    <row r="650" spans="1:11" ht="13.5">
      <c r="A650" s="469" t="s">
        <v>1132</v>
      </c>
      <c r="B650" s="470" t="s">
        <v>292</v>
      </c>
      <c r="C650" s="470" t="s">
        <v>293</v>
      </c>
      <c r="D650" s="470" t="s">
        <v>294</v>
      </c>
      <c r="E650" s="470" t="s">
        <v>176</v>
      </c>
      <c r="F650" s="470" t="s">
        <v>295</v>
      </c>
      <c r="G650" s="470" t="s">
        <v>248</v>
      </c>
      <c r="H650" s="470" t="s">
        <v>296</v>
      </c>
      <c r="I650" s="470" t="s">
        <v>242</v>
      </c>
      <c r="J650" s="471" t="s">
        <v>297</v>
      </c>
      <c r="K650" s="471" t="s">
        <v>409</v>
      </c>
    </row>
    <row r="651" spans="1:11" ht="13.5">
      <c r="A651" s="63" t="s">
        <v>1133</v>
      </c>
      <c r="B651" s="63" t="s">
        <v>1132</v>
      </c>
      <c r="C651" s="63">
        <v>1</v>
      </c>
      <c r="D651" s="63" t="s">
        <v>477</v>
      </c>
      <c r="E651" s="63" t="s">
        <v>677</v>
      </c>
      <c r="F651" s="63" t="s">
        <v>1088</v>
      </c>
      <c r="G651" s="63" t="s">
        <v>510</v>
      </c>
      <c r="H651" s="63">
        <v>5</v>
      </c>
      <c r="I651" s="63" t="s">
        <v>93</v>
      </c>
      <c r="K651" s="400" t="s">
        <v>1130</v>
      </c>
    </row>
    <row r="652" spans="1:11" ht="13.5">
      <c r="A652" s="63" t="s">
        <v>1134</v>
      </c>
      <c r="B652" s="63" t="s">
        <v>1132</v>
      </c>
      <c r="C652" s="63">
        <v>1</v>
      </c>
      <c r="D652" s="63" t="s">
        <v>477</v>
      </c>
      <c r="E652" s="63" t="s">
        <v>677</v>
      </c>
      <c r="F652" s="63" t="s">
        <v>1088</v>
      </c>
      <c r="G652" s="63" t="s">
        <v>510</v>
      </c>
      <c r="H652" s="63">
        <v>5</v>
      </c>
      <c r="I652" s="63" t="s">
        <v>93</v>
      </c>
      <c r="K652" s="400" t="s">
        <v>1130</v>
      </c>
    </row>
    <row r="653" spans="1:11" ht="13.5">
      <c r="A653" s="469" t="s">
        <v>1135</v>
      </c>
      <c r="B653" s="470" t="s">
        <v>292</v>
      </c>
      <c r="C653" s="470" t="s">
        <v>293</v>
      </c>
      <c r="D653" s="470" t="s">
        <v>294</v>
      </c>
      <c r="E653" s="470" t="s">
        <v>176</v>
      </c>
      <c r="F653" s="470" t="s">
        <v>295</v>
      </c>
      <c r="G653" s="470" t="s">
        <v>248</v>
      </c>
      <c r="H653" s="470" t="s">
        <v>296</v>
      </c>
      <c r="I653" s="470" t="s">
        <v>242</v>
      </c>
      <c r="J653" s="471" t="s">
        <v>297</v>
      </c>
      <c r="K653" s="471" t="s">
        <v>409</v>
      </c>
    </row>
    <row r="654" spans="1:11" ht="13.5">
      <c r="A654" s="63" t="s">
        <v>1136</v>
      </c>
      <c r="B654" s="63" t="s">
        <v>1135</v>
      </c>
      <c r="C654" s="63">
        <v>1</v>
      </c>
      <c r="D654" s="63" t="s">
        <v>477</v>
      </c>
      <c r="E654" s="63" t="s">
        <v>166</v>
      </c>
      <c r="F654" s="63" t="s">
        <v>1088</v>
      </c>
      <c r="G654" s="63" t="s">
        <v>510</v>
      </c>
      <c r="H654" s="63">
        <v>6</v>
      </c>
      <c r="I654" s="63" t="s">
        <v>93</v>
      </c>
      <c r="K654" s="400" t="s">
        <v>1130</v>
      </c>
    </row>
    <row r="655" spans="1:11" ht="13.5">
      <c r="A655" s="63" t="s">
        <v>1137</v>
      </c>
      <c r="B655" s="63" t="s">
        <v>1135</v>
      </c>
      <c r="C655" s="63">
        <v>1</v>
      </c>
      <c r="D655" s="63" t="s">
        <v>477</v>
      </c>
      <c r="E655" s="63" t="s">
        <v>166</v>
      </c>
      <c r="F655" s="63" t="s">
        <v>1088</v>
      </c>
      <c r="G655" s="63" t="s">
        <v>490</v>
      </c>
      <c r="H655" s="63">
        <v>6</v>
      </c>
      <c r="I655" s="63" t="s">
        <v>93</v>
      </c>
      <c r="K655" s="400" t="s">
        <v>1130</v>
      </c>
    </row>
    <row r="656" spans="1:11" ht="13.5">
      <c r="A656" s="469" t="s">
        <v>1138</v>
      </c>
      <c r="B656" s="470" t="s">
        <v>292</v>
      </c>
      <c r="C656" s="470" t="s">
        <v>293</v>
      </c>
      <c r="D656" s="470" t="s">
        <v>294</v>
      </c>
      <c r="E656" s="470" t="s">
        <v>176</v>
      </c>
      <c r="F656" s="470" t="s">
        <v>295</v>
      </c>
      <c r="G656" s="470" t="s">
        <v>248</v>
      </c>
      <c r="H656" s="470" t="s">
        <v>296</v>
      </c>
      <c r="I656" s="470" t="s">
        <v>242</v>
      </c>
      <c r="J656" s="471" t="s">
        <v>297</v>
      </c>
      <c r="K656" s="471" t="s">
        <v>409</v>
      </c>
    </row>
    <row r="657" spans="1:11" ht="13.5">
      <c r="A657" s="63" t="s">
        <v>1139</v>
      </c>
      <c r="B657" s="63" t="s">
        <v>1138</v>
      </c>
      <c r="C657" s="63">
        <v>1</v>
      </c>
      <c r="D657" s="63" t="s">
        <v>477</v>
      </c>
      <c r="E657" s="63" t="s">
        <v>509</v>
      </c>
      <c r="F657" s="63" t="s">
        <v>1088</v>
      </c>
      <c r="G657" s="63" t="s">
        <v>510</v>
      </c>
      <c r="H657" s="63">
        <v>6</v>
      </c>
      <c r="I657" s="63" t="s">
        <v>93</v>
      </c>
      <c r="K657" s="400" t="s">
        <v>1140</v>
      </c>
    </row>
    <row r="658" spans="1:11" ht="13.5">
      <c r="A658" s="63" t="s">
        <v>1141</v>
      </c>
      <c r="B658" s="63" t="s">
        <v>1138</v>
      </c>
      <c r="C658" s="63">
        <v>1</v>
      </c>
      <c r="D658" s="63" t="s">
        <v>477</v>
      </c>
      <c r="E658" s="63" t="s">
        <v>509</v>
      </c>
      <c r="F658" s="63" t="s">
        <v>1088</v>
      </c>
      <c r="G658" s="63" t="s">
        <v>510</v>
      </c>
      <c r="H658" s="63">
        <v>6</v>
      </c>
      <c r="I658" s="63" t="s">
        <v>93</v>
      </c>
      <c r="K658" s="400" t="s">
        <v>1140</v>
      </c>
    </row>
    <row r="659" spans="1:11" ht="13.5">
      <c r="A659" s="63" t="s">
        <v>1142</v>
      </c>
      <c r="B659" s="63" t="s">
        <v>1138</v>
      </c>
      <c r="C659" s="63">
        <v>1</v>
      </c>
      <c r="D659" s="63" t="s">
        <v>477</v>
      </c>
      <c r="E659" s="63" t="s">
        <v>509</v>
      </c>
      <c r="F659" s="63" t="s">
        <v>1088</v>
      </c>
      <c r="G659" s="63" t="s">
        <v>510</v>
      </c>
      <c r="H659" s="63">
        <v>6</v>
      </c>
      <c r="I659" s="63" t="s">
        <v>93</v>
      </c>
      <c r="K659" s="400" t="s">
        <v>1140</v>
      </c>
    </row>
    <row r="660" spans="1:11" ht="13.5">
      <c r="A660" s="63" t="s">
        <v>1143</v>
      </c>
      <c r="B660" s="63" t="s">
        <v>1138</v>
      </c>
      <c r="C660" s="63">
        <v>1</v>
      </c>
      <c r="D660" s="63" t="s">
        <v>477</v>
      </c>
      <c r="E660" s="63" t="s">
        <v>509</v>
      </c>
      <c r="F660" s="63" t="s">
        <v>1088</v>
      </c>
      <c r="G660" s="63" t="s">
        <v>510</v>
      </c>
      <c r="H660" s="63">
        <v>6</v>
      </c>
      <c r="I660" s="63" t="s">
        <v>93</v>
      </c>
      <c r="K660" s="400" t="s">
        <v>1140</v>
      </c>
    </row>
    <row r="661" spans="1:11" ht="13.5">
      <c r="A661" s="63" t="s">
        <v>1144</v>
      </c>
      <c r="B661" s="63" t="s">
        <v>1138</v>
      </c>
      <c r="C661" s="63">
        <v>1</v>
      </c>
      <c r="D661" s="63" t="s">
        <v>477</v>
      </c>
      <c r="E661" s="63" t="s">
        <v>509</v>
      </c>
      <c r="F661" s="63" t="s">
        <v>1088</v>
      </c>
      <c r="G661" s="63" t="s">
        <v>510</v>
      </c>
      <c r="H661" s="63">
        <v>7</v>
      </c>
      <c r="I661" s="63" t="s">
        <v>93</v>
      </c>
      <c r="K661" s="400" t="s">
        <v>1140</v>
      </c>
    </row>
    <row r="662" spans="1:11" ht="13.5">
      <c r="A662" s="63" t="s">
        <v>1145</v>
      </c>
      <c r="B662" s="63" t="s">
        <v>1138</v>
      </c>
      <c r="C662" s="63">
        <v>1</v>
      </c>
      <c r="D662" s="63" t="s">
        <v>477</v>
      </c>
      <c r="E662" s="63" t="s">
        <v>509</v>
      </c>
      <c r="F662" s="63" t="s">
        <v>1088</v>
      </c>
      <c r="G662" s="63" t="s">
        <v>510</v>
      </c>
      <c r="H662" s="63">
        <v>7</v>
      </c>
      <c r="I662" s="63" t="s">
        <v>93</v>
      </c>
      <c r="K662" s="400" t="s">
        <v>1140</v>
      </c>
    </row>
    <row r="663" spans="1:11" ht="13.5">
      <c r="A663" s="63" t="s">
        <v>1146</v>
      </c>
      <c r="B663" s="63" t="s">
        <v>1138</v>
      </c>
      <c r="C663" s="63">
        <v>1</v>
      </c>
      <c r="D663" s="63" t="s">
        <v>477</v>
      </c>
      <c r="E663" s="63" t="s">
        <v>509</v>
      </c>
      <c r="F663" s="63" t="s">
        <v>1088</v>
      </c>
      <c r="G663" s="63" t="s">
        <v>510</v>
      </c>
      <c r="H663" s="63">
        <v>7</v>
      </c>
      <c r="I663" s="63" t="s">
        <v>93</v>
      </c>
      <c r="K663" s="400" t="s">
        <v>1140</v>
      </c>
    </row>
    <row r="664" spans="1:11" ht="13.5">
      <c r="A664" s="63" t="s">
        <v>1147</v>
      </c>
      <c r="B664" s="63" t="s">
        <v>1138</v>
      </c>
      <c r="C664" s="63">
        <v>1</v>
      </c>
      <c r="D664" s="63" t="s">
        <v>477</v>
      </c>
      <c r="E664" s="63" t="s">
        <v>509</v>
      </c>
      <c r="F664" s="63" t="s">
        <v>1088</v>
      </c>
      <c r="G664" s="63" t="s">
        <v>510</v>
      </c>
      <c r="H664" s="63">
        <v>7</v>
      </c>
      <c r="I664" s="63" t="s">
        <v>93</v>
      </c>
      <c r="K664" s="400" t="s">
        <v>1140</v>
      </c>
    </row>
    <row r="665" spans="1:11" ht="13.5">
      <c r="A665" s="469" t="s">
        <v>1148</v>
      </c>
      <c r="B665" s="470" t="s">
        <v>292</v>
      </c>
      <c r="C665" s="470" t="s">
        <v>293</v>
      </c>
      <c r="D665" s="470" t="s">
        <v>294</v>
      </c>
      <c r="E665" s="470" t="s">
        <v>176</v>
      </c>
      <c r="F665" s="470" t="s">
        <v>295</v>
      </c>
      <c r="G665" s="470" t="s">
        <v>248</v>
      </c>
      <c r="H665" s="470" t="s">
        <v>296</v>
      </c>
      <c r="I665" s="470" t="s">
        <v>242</v>
      </c>
      <c r="J665" s="471" t="s">
        <v>297</v>
      </c>
      <c r="K665" s="471" t="s">
        <v>409</v>
      </c>
    </row>
    <row r="666" spans="1:2" ht="13.5">
      <c r="A666" s="63" t="s">
        <v>1149</v>
      </c>
      <c r="B666" s="63" t="s">
        <v>1148</v>
      </c>
    </row>
    <row r="667" spans="1:2" ht="13.5">
      <c r="A667" s="63" t="s">
        <v>1150</v>
      </c>
      <c r="B667" s="63" t="s">
        <v>1148</v>
      </c>
    </row>
    <row r="668" spans="1:2" ht="13.5">
      <c r="A668" s="63" t="s">
        <v>1151</v>
      </c>
      <c r="B668" s="63" t="s">
        <v>1148</v>
      </c>
    </row>
    <row r="669" spans="1:2" ht="13.5">
      <c r="A669" s="63" t="s">
        <v>1152</v>
      </c>
      <c r="B669" s="63" t="s">
        <v>1148</v>
      </c>
    </row>
    <row r="670" spans="1:2" ht="13.5">
      <c r="A670" s="63" t="s">
        <v>1153</v>
      </c>
      <c r="B670" s="63" t="s">
        <v>1148</v>
      </c>
    </row>
    <row r="671" spans="1:2" ht="13.5">
      <c r="A671" s="63" t="s">
        <v>1154</v>
      </c>
      <c r="B671" s="63" t="s">
        <v>1148</v>
      </c>
    </row>
    <row r="672" spans="1:2" ht="13.5">
      <c r="A672" s="63" t="s">
        <v>1155</v>
      </c>
      <c r="B672" s="63" t="s">
        <v>1148</v>
      </c>
    </row>
    <row r="673" spans="1:2" ht="13.5">
      <c r="A673" s="63" t="s">
        <v>1156</v>
      </c>
      <c r="B673" s="63" t="s">
        <v>1148</v>
      </c>
    </row>
    <row r="674" spans="1:2" ht="13.5">
      <c r="A674" s="63" t="s">
        <v>1157</v>
      </c>
      <c r="B674" s="63" t="s">
        <v>1148</v>
      </c>
    </row>
    <row r="675" spans="1:2" ht="13.5">
      <c r="A675" s="63" t="s">
        <v>1158</v>
      </c>
      <c r="B675" s="63" t="s">
        <v>1148</v>
      </c>
    </row>
    <row r="676" spans="1:2" ht="13.5">
      <c r="A676" s="63" t="s">
        <v>1159</v>
      </c>
      <c r="B676" s="63" t="s">
        <v>1148</v>
      </c>
    </row>
    <row r="677" spans="1:2" ht="13.5">
      <c r="A677" s="63" t="s">
        <v>1160</v>
      </c>
      <c r="B677" s="63" t="s">
        <v>1148</v>
      </c>
    </row>
    <row r="678" spans="1:2" ht="13.5">
      <c r="A678" s="63" t="s">
        <v>1161</v>
      </c>
      <c r="B678" s="63" t="s">
        <v>1148</v>
      </c>
    </row>
    <row r="679" spans="1:2" ht="13.5">
      <c r="A679" s="63" t="s">
        <v>1162</v>
      </c>
      <c r="B679" s="63" t="s">
        <v>1148</v>
      </c>
    </row>
    <row r="680" spans="1:2" ht="13.5">
      <c r="A680" s="63" t="s">
        <v>1163</v>
      </c>
      <c r="B680" s="63" t="s">
        <v>1148</v>
      </c>
    </row>
    <row r="681" spans="1:2" ht="13.5">
      <c r="A681" s="63" t="s">
        <v>1164</v>
      </c>
      <c r="B681" s="63" t="s">
        <v>1148</v>
      </c>
    </row>
    <row r="682" spans="1:2" ht="13.5">
      <c r="A682" s="63" t="s">
        <v>1165</v>
      </c>
      <c r="B682" s="63" t="s">
        <v>1148</v>
      </c>
    </row>
    <row r="683" spans="1:2" ht="13.5">
      <c r="A683" s="63" t="s">
        <v>1166</v>
      </c>
      <c r="B683" s="63" t="s">
        <v>1148</v>
      </c>
    </row>
    <row r="684" spans="1:2" ht="13.5">
      <c r="A684" s="63" t="s">
        <v>1167</v>
      </c>
      <c r="B684" s="63" t="s">
        <v>1148</v>
      </c>
    </row>
    <row r="685" spans="1:2" ht="13.5">
      <c r="A685" s="63" t="s">
        <v>1168</v>
      </c>
      <c r="B685" s="63" t="s">
        <v>1148</v>
      </c>
    </row>
    <row r="686" spans="1:2" ht="13.5">
      <c r="A686" s="63" t="s">
        <v>1169</v>
      </c>
      <c r="B686" s="63" t="s">
        <v>1148</v>
      </c>
    </row>
    <row r="687" spans="1:2" ht="13.5">
      <c r="A687" s="63" t="s">
        <v>1170</v>
      </c>
      <c r="B687" s="63" t="s">
        <v>1148</v>
      </c>
    </row>
    <row r="688" spans="1:2" ht="13.5">
      <c r="A688" s="63" t="s">
        <v>1171</v>
      </c>
      <c r="B688" s="63" t="s">
        <v>1148</v>
      </c>
    </row>
    <row r="689" spans="1:2" ht="13.5">
      <c r="A689" s="63" t="s">
        <v>1172</v>
      </c>
      <c r="B689" s="63" t="s">
        <v>1148</v>
      </c>
    </row>
    <row r="690" spans="1:2" ht="13.5">
      <c r="A690" s="63" t="s">
        <v>1173</v>
      </c>
      <c r="B690" s="63" t="s">
        <v>1148</v>
      </c>
    </row>
    <row r="691" spans="1:2" ht="13.5">
      <c r="A691" s="63" t="s">
        <v>1174</v>
      </c>
      <c r="B691" s="63" t="s">
        <v>1148</v>
      </c>
    </row>
    <row r="692" spans="1:2" ht="13.5">
      <c r="A692" s="63" t="s">
        <v>1175</v>
      </c>
      <c r="B692" s="63" t="s">
        <v>1148</v>
      </c>
    </row>
    <row r="693" spans="1:2" ht="13.5">
      <c r="A693" s="63" t="s">
        <v>1176</v>
      </c>
      <c r="B693" s="63" t="s">
        <v>1148</v>
      </c>
    </row>
    <row r="694" spans="1:2" ht="13.5">
      <c r="A694" s="63" t="s">
        <v>1177</v>
      </c>
      <c r="B694" s="63" t="s">
        <v>1148</v>
      </c>
    </row>
    <row r="695" spans="1:2" ht="13.5">
      <c r="A695" s="63" t="s">
        <v>1178</v>
      </c>
      <c r="B695" s="63" t="s">
        <v>1148</v>
      </c>
    </row>
    <row r="696" spans="1:2" ht="13.5">
      <c r="A696" s="63" t="s">
        <v>1179</v>
      </c>
      <c r="B696" s="63" t="s">
        <v>1148</v>
      </c>
    </row>
    <row r="697" spans="1:2" ht="13.5">
      <c r="A697" s="63" t="s">
        <v>1180</v>
      </c>
      <c r="B697" s="63" t="s">
        <v>1148</v>
      </c>
    </row>
    <row r="698" spans="1:2" ht="13.5">
      <c r="A698" s="63" t="s">
        <v>1181</v>
      </c>
      <c r="B698" s="63" t="s">
        <v>1148</v>
      </c>
    </row>
    <row r="699" spans="1:2" ht="13.5">
      <c r="A699" s="63" t="s">
        <v>1182</v>
      </c>
      <c r="B699" s="63" t="s">
        <v>1148</v>
      </c>
    </row>
    <row r="700" spans="1:11" ht="13.5">
      <c r="A700" s="63" t="s">
        <v>1183</v>
      </c>
      <c r="B700" s="63" t="s">
        <v>1148</v>
      </c>
      <c r="K700" s="400" t="s">
        <v>1184</v>
      </c>
    </row>
    <row r="701" spans="1:11" ht="13.5">
      <c r="A701" s="63" t="s">
        <v>1185</v>
      </c>
      <c r="B701" s="63" t="s">
        <v>1148</v>
      </c>
      <c r="K701" s="400" t="s">
        <v>1184</v>
      </c>
    </row>
    <row r="702" spans="1:11" ht="13.5">
      <c r="A702" s="63" t="s">
        <v>1186</v>
      </c>
      <c r="B702" s="63" t="s">
        <v>1148</v>
      </c>
      <c r="K702" s="400" t="s">
        <v>1184</v>
      </c>
    </row>
    <row r="703" spans="1:11" ht="13.5">
      <c r="A703" s="63" t="s">
        <v>1187</v>
      </c>
      <c r="B703" s="63" t="s">
        <v>1148</v>
      </c>
      <c r="K703" s="400" t="s">
        <v>1184</v>
      </c>
    </row>
    <row r="704" spans="1:11" ht="13.5">
      <c r="A704" s="63" t="s">
        <v>1188</v>
      </c>
      <c r="B704" s="63" t="s">
        <v>1148</v>
      </c>
      <c r="K704" s="400" t="s">
        <v>1184</v>
      </c>
    </row>
    <row r="705" spans="1:11" ht="13.5">
      <c r="A705" s="63" t="s">
        <v>1189</v>
      </c>
      <c r="B705" s="63" t="s">
        <v>1148</v>
      </c>
      <c r="K705" s="400" t="s">
        <v>1184</v>
      </c>
    </row>
    <row r="706" spans="1:11" ht="13.5">
      <c r="A706" s="63" t="s">
        <v>1190</v>
      </c>
      <c r="B706" s="63" t="s">
        <v>1148</v>
      </c>
      <c r="K706" s="400" t="s">
        <v>1184</v>
      </c>
    </row>
    <row r="707" spans="1:11" ht="13.5">
      <c r="A707" s="63" t="s">
        <v>1191</v>
      </c>
      <c r="B707" s="63" t="s">
        <v>1148</v>
      </c>
      <c r="K707" s="400" t="s">
        <v>1184</v>
      </c>
    </row>
    <row r="708" spans="1:11" ht="13.5">
      <c r="A708" s="63" t="s">
        <v>1192</v>
      </c>
      <c r="B708" s="63" t="s">
        <v>1148</v>
      </c>
      <c r="K708" s="400" t="s">
        <v>1184</v>
      </c>
    </row>
    <row r="709" spans="1:11" ht="13.5">
      <c r="A709" s="63" t="s">
        <v>1193</v>
      </c>
      <c r="B709" s="63" t="s">
        <v>1148</v>
      </c>
      <c r="K709" s="400" t="s">
        <v>1184</v>
      </c>
    </row>
    <row r="710" spans="1:11" ht="13.5">
      <c r="A710" s="63" t="s">
        <v>1194</v>
      </c>
      <c r="B710" s="63" t="s">
        <v>1148</v>
      </c>
      <c r="K710" s="400" t="s">
        <v>1184</v>
      </c>
    </row>
    <row r="711" spans="1:11" ht="13.5">
      <c r="A711" s="63" t="s">
        <v>1195</v>
      </c>
      <c r="B711" s="63" t="s">
        <v>1148</v>
      </c>
      <c r="K711" s="400" t="s">
        <v>1184</v>
      </c>
    </row>
    <row r="712" spans="1:11" ht="13.5">
      <c r="A712" s="63" t="s">
        <v>1196</v>
      </c>
      <c r="B712" s="63" t="s">
        <v>1148</v>
      </c>
      <c r="K712" s="400" t="s">
        <v>1184</v>
      </c>
    </row>
    <row r="713" spans="1:11" ht="13.5">
      <c r="A713" s="63" t="s">
        <v>1197</v>
      </c>
      <c r="B713" s="63" t="s">
        <v>1148</v>
      </c>
      <c r="K713" s="400" t="s">
        <v>1184</v>
      </c>
    </row>
    <row r="714" spans="1:11" ht="13.5">
      <c r="A714" s="63" t="s">
        <v>1198</v>
      </c>
      <c r="B714" s="63" t="s">
        <v>1148</v>
      </c>
      <c r="K714" s="400" t="s">
        <v>1184</v>
      </c>
    </row>
    <row r="715" spans="1:11" ht="13.5">
      <c r="A715" s="63" t="s">
        <v>1199</v>
      </c>
      <c r="B715" s="63" t="s">
        <v>1148</v>
      </c>
      <c r="K715" s="400" t="s">
        <v>1184</v>
      </c>
    </row>
    <row r="716" spans="1:11" ht="13.5">
      <c r="A716" s="469" t="s">
        <v>335</v>
      </c>
      <c r="B716" s="470" t="s">
        <v>294</v>
      </c>
      <c r="C716" s="470" t="s">
        <v>293</v>
      </c>
      <c r="D716" s="471" t="s">
        <v>400</v>
      </c>
      <c r="E716" s="487" t="s">
        <v>297</v>
      </c>
      <c r="F716" s="487"/>
      <c r="G716" s="487"/>
      <c r="H716" s="487"/>
      <c r="I716" s="487"/>
      <c r="J716" s="471" t="s">
        <v>249</v>
      </c>
      <c r="K716" s="471" t="s">
        <v>409</v>
      </c>
    </row>
    <row r="717" spans="1:9" ht="13.5">
      <c r="A717" s="63" t="s">
        <v>1200</v>
      </c>
      <c r="B717" s="63" t="s">
        <v>86</v>
      </c>
      <c r="C717" s="63">
        <v>1</v>
      </c>
      <c r="D717" s="63">
        <v>1</v>
      </c>
      <c r="E717" s="488" t="s">
        <v>1201</v>
      </c>
      <c r="F717" s="488"/>
      <c r="G717" s="488"/>
      <c r="H717" s="488"/>
      <c r="I717" s="488"/>
    </row>
    <row r="718" spans="1:9" ht="13.5">
      <c r="A718" s="63" t="s">
        <v>1202</v>
      </c>
      <c r="B718" s="63" t="s">
        <v>1203</v>
      </c>
      <c r="C718" s="63">
        <v>1</v>
      </c>
      <c r="D718" s="63" t="s">
        <v>411</v>
      </c>
      <c r="E718" s="488" t="s">
        <v>1204</v>
      </c>
      <c r="F718" s="488"/>
      <c r="G718" s="488"/>
      <c r="H718" s="488"/>
      <c r="I718" s="488"/>
    </row>
    <row r="719" spans="1:12" s="472" customFormat="1" ht="11.25">
      <c r="A719" s="472" t="s">
        <v>1205</v>
      </c>
      <c r="B719" s="472" t="s">
        <v>1206</v>
      </c>
      <c r="C719" s="472">
        <v>1</v>
      </c>
      <c r="D719" s="472">
        <v>1</v>
      </c>
      <c r="E719" s="489" t="s">
        <v>1207</v>
      </c>
      <c r="F719" s="489"/>
      <c r="G719" s="489"/>
      <c r="H719" s="489"/>
      <c r="I719" s="489"/>
      <c r="J719" s="473"/>
      <c r="L719" s="474"/>
    </row>
    <row r="720" spans="1:9" ht="13.5">
      <c r="A720" s="63" t="s">
        <v>1208</v>
      </c>
      <c r="B720" s="63" t="s">
        <v>1209</v>
      </c>
      <c r="C720" s="63">
        <v>1</v>
      </c>
      <c r="D720" s="63" t="s">
        <v>411</v>
      </c>
      <c r="E720" s="488" t="s">
        <v>1210</v>
      </c>
      <c r="F720" s="488"/>
      <c r="G720" s="488"/>
      <c r="H720" s="488"/>
      <c r="I720" s="488"/>
    </row>
    <row r="721" spans="1:9" ht="13.5">
      <c r="A721" s="63" t="s">
        <v>1211</v>
      </c>
      <c r="B721" s="63" t="s">
        <v>428</v>
      </c>
      <c r="C721" s="63">
        <v>1</v>
      </c>
      <c r="D721" s="63" t="s">
        <v>411</v>
      </c>
      <c r="E721" s="488" t="s">
        <v>1212</v>
      </c>
      <c r="F721" s="488"/>
      <c r="G721" s="488"/>
      <c r="H721" s="488"/>
      <c r="I721" s="488"/>
    </row>
    <row r="722" spans="1:12" s="484" customFormat="1" ht="11.25">
      <c r="A722" s="472" t="s">
        <v>1213</v>
      </c>
      <c r="B722" s="484" t="s">
        <v>1206</v>
      </c>
      <c r="C722" s="484">
        <v>1</v>
      </c>
      <c r="D722" s="484">
        <v>1</v>
      </c>
      <c r="E722" s="490" t="s">
        <v>1214</v>
      </c>
      <c r="F722" s="490"/>
      <c r="G722" s="490"/>
      <c r="H722" s="490"/>
      <c r="I722" s="490"/>
      <c r="J722" s="485"/>
      <c r="L722" s="486"/>
    </row>
    <row r="723" spans="1:9" ht="13.5">
      <c r="A723" s="63" t="s">
        <v>1215</v>
      </c>
      <c r="B723" s="63" t="s">
        <v>428</v>
      </c>
      <c r="C723" s="63">
        <v>1</v>
      </c>
      <c r="D723" s="63" t="s">
        <v>411</v>
      </c>
      <c r="E723" s="488" t="s">
        <v>1216</v>
      </c>
      <c r="F723" s="488"/>
      <c r="G723" s="488"/>
      <c r="H723" s="488"/>
      <c r="I723" s="488"/>
    </row>
    <row r="724" spans="1:9" ht="13.5">
      <c r="A724" s="63" t="s">
        <v>1217</v>
      </c>
      <c r="B724" s="63" t="s">
        <v>1203</v>
      </c>
      <c r="C724" s="63">
        <v>1</v>
      </c>
      <c r="D724" s="63" t="s">
        <v>411</v>
      </c>
      <c r="E724" s="488" t="s">
        <v>1218</v>
      </c>
      <c r="F724" s="488"/>
      <c r="G724" s="488"/>
      <c r="H724" s="488"/>
      <c r="I724" s="488"/>
    </row>
    <row r="725" spans="1:12" s="472" customFormat="1" ht="11.25">
      <c r="A725" s="472" t="s">
        <v>1219</v>
      </c>
      <c r="B725" s="472" t="s">
        <v>1206</v>
      </c>
      <c r="C725" s="472">
        <v>1</v>
      </c>
      <c r="D725" s="472">
        <v>1</v>
      </c>
      <c r="E725" s="489" t="s">
        <v>1220</v>
      </c>
      <c r="F725" s="489"/>
      <c r="G725" s="489"/>
      <c r="H725" s="489"/>
      <c r="I725" s="489"/>
      <c r="J725" s="473"/>
      <c r="L725" s="474"/>
    </row>
    <row r="726" spans="1:12" s="477" customFormat="1" ht="11.25">
      <c r="A726" s="477" t="s">
        <v>1221</v>
      </c>
      <c r="B726" s="477" t="s">
        <v>1206</v>
      </c>
      <c r="C726" s="477">
        <v>1</v>
      </c>
      <c r="D726" s="477" t="s">
        <v>411</v>
      </c>
      <c r="E726" s="491" t="s">
        <v>1222</v>
      </c>
      <c r="F726" s="491"/>
      <c r="G726" s="491"/>
      <c r="H726" s="491"/>
      <c r="I726" s="491"/>
      <c r="J726" s="478"/>
      <c r="L726" s="479"/>
    </row>
    <row r="727" spans="1:12" s="472" customFormat="1" ht="11.25">
      <c r="A727" s="472" t="s">
        <v>1223</v>
      </c>
      <c r="B727" s="472" t="s">
        <v>1206</v>
      </c>
      <c r="C727" s="472">
        <v>1</v>
      </c>
      <c r="D727" s="472" t="s">
        <v>411</v>
      </c>
      <c r="E727" s="489" t="s">
        <v>1224</v>
      </c>
      <c r="F727" s="489"/>
      <c r="G727" s="489"/>
      <c r="H727" s="489"/>
      <c r="I727" s="489"/>
      <c r="J727" s="473"/>
      <c r="L727" s="474"/>
    </row>
    <row r="728" spans="1:12" s="472" customFormat="1" ht="11.25">
      <c r="A728" s="472" t="s">
        <v>1225</v>
      </c>
      <c r="B728" s="472" t="s">
        <v>1206</v>
      </c>
      <c r="C728" s="472">
        <v>1</v>
      </c>
      <c r="D728" s="472" t="s">
        <v>411</v>
      </c>
      <c r="E728" s="489" t="s">
        <v>1226</v>
      </c>
      <c r="F728" s="489"/>
      <c r="G728" s="489"/>
      <c r="H728" s="489"/>
      <c r="I728" s="489"/>
      <c r="J728" s="473"/>
      <c r="L728" s="474"/>
    </row>
    <row r="729" spans="1:12" s="472" customFormat="1" ht="11.25">
      <c r="A729" s="472" t="s">
        <v>1227</v>
      </c>
      <c r="B729" s="472" t="s">
        <v>1206</v>
      </c>
      <c r="C729" s="472">
        <v>1</v>
      </c>
      <c r="D729" s="472" t="s">
        <v>411</v>
      </c>
      <c r="E729" s="489" t="s">
        <v>1228</v>
      </c>
      <c r="F729" s="489"/>
      <c r="G729" s="489"/>
      <c r="H729" s="489"/>
      <c r="I729" s="489"/>
      <c r="J729" s="473"/>
      <c r="L729" s="474"/>
    </row>
    <row r="730" spans="1:12" s="472" customFormat="1" ht="11.25">
      <c r="A730" s="472" t="s">
        <v>1229</v>
      </c>
      <c r="B730" s="472" t="s">
        <v>1206</v>
      </c>
      <c r="C730" s="472">
        <v>1</v>
      </c>
      <c r="D730" s="472" t="s">
        <v>411</v>
      </c>
      <c r="E730" s="489" t="s">
        <v>1230</v>
      </c>
      <c r="F730" s="489"/>
      <c r="G730" s="489"/>
      <c r="H730" s="489"/>
      <c r="I730" s="489"/>
      <c r="J730" s="473"/>
      <c r="L730" s="474"/>
    </row>
    <row r="731" spans="1:12" s="472" customFormat="1" ht="11.25">
      <c r="A731" s="472" t="s">
        <v>1231</v>
      </c>
      <c r="B731" s="472" t="s">
        <v>1206</v>
      </c>
      <c r="C731" s="472">
        <v>1</v>
      </c>
      <c r="D731" s="472" t="s">
        <v>411</v>
      </c>
      <c r="E731" s="489" t="s">
        <v>1232</v>
      </c>
      <c r="F731" s="489"/>
      <c r="G731" s="489"/>
      <c r="H731" s="489"/>
      <c r="I731" s="489"/>
      <c r="J731" s="473"/>
      <c r="L731" s="474"/>
    </row>
    <row r="732" spans="1:12" s="472" customFormat="1" ht="11.25">
      <c r="A732" s="472" t="s">
        <v>1233</v>
      </c>
      <c r="B732" s="472" t="s">
        <v>1206</v>
      </c>
      <c r="C732" s="472">
        <v>1</v>
      </c>
      <c r="D732" s="472" t="s">
        <v>411</v>
      </c>
      <c r="E732" s="489" t="s">
        <v>1234</v>
      </c>
      <c r="F732" s="489"/>
      <c r="G732" s="489"/>
      <c r="H732" s="489"/>
      <c r="I732" s="489"/>
      <c r="J732" s="473"/>
      <c r="L732" s="474"/>
    </row>
    <row r="733" spans="1:11" ht="13.5">
      <c r="A733" s="63" t="s">
        <v>1235</v>
      </c>
      <c r="B733" s="63" t="s">
        <v>428</v>
      </c>
      <c r="C733" s="63">
        <v>1</v>
      </c>
      <c r="D733" s="63" t="s">
        <v>411</v>
      </c>
      <c r="E733" s="488" t="s">
        <v>1236</v>
      </c>
      <c r="F733" s="488"/>
      <c r="G733" s="488"/>
      <c r="H733" s="488"/>
      <c r="I733" s="488"/>
      <c r="K733" s="400" t="s">
        <v>1237</v>
      </c>
    </row>
    <row r="734" spans="1:11" ht="13.5">
      <c r="A734" s="63" t="s">
        <v>1238</v>
      </c>
      <c r="B734" s="63" t="s">
        <v>1209</v>
      </c>
      <c r="C734" s="63">
        <v>1</v>
      </c>
      <c r="D734" s="63" t="s">
        <v>411</v>
      </c>
      <c r="E734" s="488" t="s">
        <v>1239</v>
      </c>
      <c r="F734" s="488"/>
      <c r="G734" s="488"/>
      <c r="H734" s="488"/>
      <c r="I734" s="488"/>
      <c r="K734" s="400" t="s">
        <v>1237</v>
      </c>
    </row>
    <row r="735" spans="1:11" ht="13.5">
      <c r="A735" s="63" t="s">
        <v>1240</v>
      </c>
      <c r="B735" s="63" t="s">
        <v>1203</v>
      </c>
      <c r="C735" s="63">
        <v>1</v>
      </c>
      <c r="D735" s="63" t="s">
        <v>411</v>
      </c>
      <c r="E735" s="488" t="s">
        <v>1241</v>
      </c>
      <c r="F735" s="488"/>
      <c r="G735" s="488"/>
      <c r="H735" s="488"/>
      <c r="I735" s="488"/>
      <c r="K735" s="400" t="s">
        <v>1237</v>
      </c>
    </row>
    <row r="736" spans="1:12" s="484" customFormat="1" ht="11.25">
      <c r="A736" s="484" t="s">
        <v>1242</v>
      </c>
      <c r="B736" s="484" t="s">
        <v>1206</v>
      </c>
      <c r="C736" s="484">
        <v>1</v>
      </c>
      <c r="D736" s="484">
        <v>1</v>
      </c>
      <c r="E736" s="490" t="s">
        <v>1243</v>
      </c>
      <c r="F736" s="490"/>
      <c r="G736" s="490"/>
      <c r="H736" s="490"/>
      <c r="I736" s="490"/>
      <c r="J736" s="485"/>
      <c r="K736" s="472" t="s">
        <v>1237</v>
      </c>
      <c r="L736" s="486"/>
    </row>
    <row r="737" spans="1:11" ht="13.5">
      <c r="A737" s="63" t="s">
        <v>1244</v>
      </c>
      <c r="B737" s="63" t="s">
        <v>428</v>
      </c>
      <c r="C737" s="63">
        <v>1</v>
      </c>
      <c r="D737" s="63" t="s">
        <v>411</v>
      </c>
      <c r="E737" s="488" t="s">
        <v>1245</v>
      </c>
      <c r="F737" s="488"/>
      <c r="G737" s="488"/>
      <c r="H737" s="488"/>
      <c r="I737" s="488"/>
      <c r="K737" s="400" t="s">
        <v>1246</v>
      </c>
    </row>
    <row r="738" spans="1:12" s="484" customFormat="1" ht="11.25">
      <c r="A738" s="484" t="s">
        <v>1247</v>
      </c>
      <c r="B738" s="484" t="s">
        <v>1206</v>
      </c>
      <c r="C738" s="484">
        <v>1</v>
      </c>
      <c r="D738" s="484">
        <v>1</v>
      </c>
      <c r="E738" s="490" t="s">
        <v>1248</v>
      </c>
      <c r="F738" s="490"/>
      <c r="G738" s="490"/>
      <c r="H738" s="490"/>
      <c r="I738" s="490"/>
      <c r="J738" s="485"/>
      <c r="K738" s="472" t="s">
        <v>1246</v>
      </c>
      <c r="L738" s="486"/>
    </row>
    <row r="739" spans="1:12" s="484" customFormat="1" ht="11.25">
      <c r="A739" s="484" t="s">
        <v>1249</v>
      </c>
      <c r="B739" s="484" t="s">
        <v>1206</v>
      </c>
      <c r="C739" s="63">
        <v>1</v>
      </c>
      <c r="D739" s="484">
        <v>1</v>
      </c>
      <c r="E739" s="490" t="s">
        <v>1250</v>
      </c>
      <c r="F739" s="490"/>
      <c r="G739" s="490"/>
      <c r="H739" s="490"/>
      <c r="I739" s="490"/>
      <c r="J739" s="485"/>
      <c r="K739" s="472" t="s">
        <v>1246</v>
      </c>
      <c r="L739" s="486"/>
    </row>
    <row r="740" spans="1:12" s="484" customFormat="1" ht="11.25">
      <c r="A740" s="472" t="s">
        <v>1251</v>
      </c>
      <c r="B740" s="484" t="s">
        <v>1206</v>
      </c>
      <c r="C740" s="484">
        <v>1</v>
      </c>
      <c r="D740" s="484" t="s">
        <v>411</v>
      </c>
      <c r="E740" s="490" t="s">
        <v>1252</v>
      </c>
      <c r="F740" s="490"/>
      <c r="G740" s="490"/>
      <c r="H740" s="490"/>
      <c r="I740" s="490"/>
      <c r="J740" s="485"/>
      <c r="K740" s="472" t="s">
        <v>1246</v>
      </c>
      <c r="L740" s="486"/>
    </row>
    <row r="741" spans="1:12" s="484" customFormat="1" ht="11.25">
      <c r="A741" s="472" t="s">
        <v>1253</v>
      </c>
      <c r="B741" s="484" t="s">
        <v>1206</v>
      </c>
      <c r="C741" s="484">
        <v>1</v>
      </c>
      <c r="D741" s="484" t="s">
        <v>411</v>
      </c>
      <c r="E741" s="490" t="s">
        <v>1252</v>
      </c>
      <c r="F741" s="490"/>
      <c r="G741" s="490"/>
      <c r="H741" s="490"/>
      <c r="I741" s="490"/>
      <c r="J741" s="485"/>
      <c r="K741" s="472" t="s">
        <v>1246</v>
      </c>
      <c r="L741" s="486"/>
    </row>
    <row r="742" spans="1:12" s="484" customFormat="1" ht="11.25">
      <c r="A742" s="472" t="s">
        <v>1254</v>
      </c>
      <c r="B742" s="484" t="s">
        <v>1206</v>
      </c>
      <c r="C742" s="484">
        <v>1</v>
      </c>
      <c r="D742" s="484" t="s">
        <v>411</v>
      </c>
      <c r="E742" s="490" t="s">
        <v>1252</v>
      </c>
      <c r="F742" s="490"/>
      <c r="G742" s="490"/>
      <c r="H742" s="490"/>
      <c r="I742" s="490"/>
      <c r="J742" s="485"/>
      <c r="K742" s="472" t="s">
        <v>1246</v>
      </c>
      <c r="L742" s="486"/>
    </row>
    <row r="743" spans="1:12" s="484" customFormat="1" ht="11.25">
      <c r="A743" s="472" t="s">
        <v>1255</v>
      </c>
      <c r="B743" s="484" t="s">
        <v>1206</v>
      </c>
      <c r="C743" s="484">
        <v>1</v>
      </c>
      <c r="D743" s="484" t="s">
        <v>411</v>
      </c>
      <c r="E743" s="490" t="s">
        <v>1252</v>
      </c>
      <c r="F743" s="490"/>
      <c r="G743" s="490"/>
      <c r="H743" s="490"/>
      <c r="I743" s="490"/>
      <c r="J743" s="485"/>
      <c r="K743" s="472" t="s">
        <v>1246</v>
      </c>
      <c r="L743" s="486"/>
    </row>
    <row r="744" spans="1:12" s="484" customFormat="1" ht="11.25">
      <c r="A744" s="472" t="s">
        <v>1256</v>
      </c>
      <c r="B744" s="484" t="s">
        <v>1206</v>
      </c>
      <c r="C744" s="484">
        <v>1</v>
      </c>
      <c r="D744" s="484" t="s">
        <v>411</v>
      </c>
      <c r="E744" s="490" t="s">
        <v>1252</v>
      </c>
      <c r="F744" s="490"/>
      <c r="G744" s="490"/>
      <c r="H744" s="490"/>
      <c r="I744" s="490"/>
      <c r="J744" s="485"/>
      <c r="K744" s="472" t="s">
        <v>1246</v>
      </c>
      <c r="L744" s="486"/>
    </row>
    <row r="745" spans="1:12" s="484" customFormat="1" ht="11.25">
      <c r="A745" s="472" t="s">
        <v>1257</v>
      </c>
      <c r="B745" s="484" t="s">
        <v>1206</v>
      </c>
      <c r="C745" s="484">
        <v>1</v>
      </c>
      <c r="D745" s="484" t="s">
        <v>411</v>
      </c>
      <c r="E745" s="490" t="s">
        <v>1252</v>
      </c>
      <c r="F745" s="490"/>
      <c r="G745" s="490"/>
      <c r="H745" s="490"/>
      <c r="I745" s="490"/>
      <c r="J745" s="485"/>
      <c r="K745" s="472" t="s">
        <v>1246</v>
      </c>
      <c r="L745" s="486"/>
    </row>
    <row r="746" spans="1:12" s="484" customFormat="1" ht="11.25">
      <c r="A746" s="472" t="s">
        <v>1258</v>
      </c>
      <c r="B746" s="484" t="s">
        <v>1206</v>
      </c>
      <c r="C746" s="484">
        <v>1</v>
      </c>
      <c r="D746" s="484" t="s">
        <v>411</v>
      </c>
      <c r="E746" s="490" t="s">
        <v>1252</v>
      </c>
      <c r="F746" s="490"/>
      <c r="G746" s="490"/>
      <c r="H746" s="490"/>
      <c r="I746" s="490"/>
      <c r="J746" s="485"/>
      <c r="K746" s="472" t="s">
        <v>1246</v>
      </c>
      <c r="L746" s="486"/>
    </row>
    <row r="747" spans="1:12" s="484" customFormat="1" ht="11.25">
      <c r="A747" s="472" t="s">
        <v>1259</v>
      </c>
      <c r="B747" s="484" t="s">
        <v>1206</v>
      </c>
      <c r="C747" s="484">
        <v>1</v>
      </c>
      <c r="D747" s="484" t="s">
        <v>411</v>
      </c>
      <c r="E747" s="490" t="s">
        <v>1252</v>
      </c>
      <c r="F747" s="490"/>
      <c r="G747" s="490"/>
      <c r="H747" s="490"/>
      <c r="I747" s="490"/>
      <c r="J747" s="485"/>
      <c r="K747" s="472" t="s">
        <v>1246</v>
      </c>
      <c r="L747" s="486"/>
    </row>
    <row r="748" spans="1:12" s="484" customFormat="1" ht="11.25">
      <c r="A748" s="472" t="s">
        <v>1260</v>
      </c>
      <c r="B748" s="484" t="s">
        <v>1206</v>
      </c>
      <c r="C748" s="484">
        <v>1</v>
      </c>
      <c r="D748" s="484" t="s">
        <v>411</v>
      </c>
      <c r="E748" s="490" t="s">
        <v>1252</v>
      </c>
      <c r="F748" s="490"/>
      <c r="G748" s="490"/>
      <c r="H748" s="490"/>
      <c r="I748" s="490"/>
      <c r="J748" s="485"/>
      <c r="K748" s="472" t="s">
        <v>1246</v>
      </c>
      <c r="L748" s="486"/>
    </row>
    <row r="749" spans="1:12" s="484" customFormat="1" ht="11.25">
      <c r="A749" s="472" t="s">
        <v>1261</v>
      </c>
      <c r="B749" s="484" t="s">
        <v>1206</v>
      </c>
      <c r="C749" s="484">
        <v>1</v>
      </c>
      <c r="D749" s="484" t="s">
        <v>411</v>
      </c>
      <c r="E749" s="490" t="s">
        <v>1252</v>
      </c>
      <c r="F749" s="490"/>
      <c r="G749" s="490"/>
      <c r="H749" s="490"/>
      <c r="I749" s="490"/>
      <c r="J749" s="485"/>
      <c r="K749" s="472" t="s">
        <v>1246</v>
      </c>
      <c r="L749" s="486"/>
    </row>
    <row r="750" spans="1:12" s="484" customFormat="1" ht="11.25">
      <c r="A750" s="472" t="s">
        <v>1262</v>
      </c>
      <c r="B750" s="484" t="s">
        <v>1206</v>
      </c>
      <c r="C750" s="484">
        <v>1</v>
      </c>
      <c r="D750" s="484" t="s">
        <v>411</v>
      </c>
      <c r="E750" s="490" t="s">
        <v>1252</v>
      </c>
      <c r="F750" s="490"/>
      <c r="G750" s="490"/>
      <c r="H750" s="490"/>
      <c r="I750" s="490"/>
      <c r="J750" s="485"/>
      <c r="K750" s="472" t="s">
        <v>1246</v>
      </c>
      <c r="L750" s="486"/>
    </row>
    <row r="751" spans="1:12" s="484" customFormat="1" ht="11.25">
      <c r="A751" s="472" t="s">
        <v>1263</v>
      </c>
      <c r="B751" s="484" t="s">
        <v>1206</v>
      </c>
      <c r="C751" s="484">
        <v>1</v>
      </c>
      <c r="D751" s="484" t="s">
        <v>411</v>
      </c>
      <c r="E751" s="490" t="s">
        <v>1252</v>
      </c>
      <c r="F751" s="490"/>
      <c r="G751" s="490"/>
      <c r="H751" s="490"/>
      <c r="I751" s="490"/>
      <c r="J751" s="485"/>
      <c r="K751" s="472" t="s">
        <v>1246</v>
      </c>
      <c r="L751" s="486"/>
    </row>
    <row r="752" spans="1:12" s="484" customFormat="1" ht="11.25">
      <c r="A752" s="472" t="s">
        <v>1264</v>
      </c>
      <c r="B752" s="484" t="s">
        <v>1206</v>
      </c>
      <c r="C752" s="484">
        <v>1</v>
      </c>
      <c r="D752" s="484" t="s">
        <v>411</v>
      </c>
      <c r="E752" s="490" t="s">
        <v>1252</v>
      </c>
      <c r="F752" s="490"/>
      <c r="G752" s="490"/>
      <c r="H752" s="490"/>
      <c r="I752" s="490"/>
      <c r="J752" s="485"/>
      <c r="K752" s="472" t="s">
        <v>1246</v>
      </c>
      <c r="L752" s="486"/>
    </row>
    <row r="753" spans="1:12" s="481" customFormat="1" ht="11.25">
      <c r="A753" s="477" t="s">
        <v>1265</v>
      </c>
      <c r="B753" s="481" t="s">
        <v>1206</v>
      </c>
      <c r="C753" s="481">
        <v>2</v>
      </c>
      <c r="D753" s="481">
        <v>1</v>
      </c>
      <c r="E753" s="492" t="s">
        <v>1266</v>
      </c>
      <c r="F753" s="492"/>
      <c r="G753" s="492"/>
      <c r="H753" s="492"/>
      <c r="I753" s="492"/>
      <c r="J753" s="482" t="s">
        <v>1267</v>
      </c>
      <c r="K753" s="477" t="s">
        <v>1246</v>
      </c>
      <c r="L753" s="483"/>
    </row>
    <row r="754" spans="1:11" ht="13.5">
      <c r="A754" s="63" t="s">
        <v>1268</v>
      </c>
      <c r="B754" s="63" t="s">
        <v>428</v>
      </c>
      <c r="C754" s="63">
        <v>2</v>
      </c>
      <c r="D754" s="63" t="s">
        <v>411</v>
      </c>
      <c r="E754" s="488" t="s">
        <v>1269</v>
      </c>
      <c r="F754" s="488"/>
      <c r="G754" s="488"/>
      <c r="H754" s="488"/>
      <c r="I754" s="488"/>
      <c r="J754" s="465" t="s">
        <v>1267</v>
      </c>
      <c r="K754" s="400" t="s">
        <v>1246</v>
      </c>
    </row>
    <row r="755" spans="1:11" ht="13.5">
      <c r="A755" s="63" t="s">
        <v>1270</v>
      </c>
      <c r="B755" s="63" t="s">
        <v>1203</v>
      </c>
      <c r="C755" s="63">
        <v>2</v>
      </c>
      <c r="D755" s="63" t="s">
        <v>411</v>
      </c>
      <c r="E755" s="488" t="s">
        <v>1271</v>
      </c>
      <c r="F755" s="488"/>
      <c r="G755" s="488"/>
      <c r="H755" s="488"/>
      <c r="I755" s="488"/>
      <c r="K755" s="400" t="s">
        <v>1246</v>
      </c>
    </row>
    <row r="756" spans="1:11" ht="13.5">
      <c r="A756" s="63" t="s">
        <v>1272</v>
      </c>
      <c r="B756" s="63" t="s">
        <v>1209</v>
      </c>
      <c r="C756" s="63">
        <v>3</v>
      </c>
      <c r="D756" s="63" t="s">
        <v>411</v>
      </c>
      <c r="E756" s="488" t="s">
        <v>1273</v>
      </c>
      <c r="F756" s="488"/>
      <c r="G756" s="488"/>
      <c r="H756" s="488"/>
      <c r="I756" s="488"/>
      <c r="K756" s="400" t="s">
        <v>1237</v>
      </c>
    </row>
    <row r="757" spans="1:12" s="477" customFormat="1" ht="11.25">
      <c r="A757" s="477" t="s">
        <v>1274</v>
      </c>
      <c r="B757" s="477" t="s">
        <v>1206</v>
      </c>
      <c r="C757" s="477">
        <v>3</v>
      </c>
      <c r="D757" s="477">
        <v>1</v>
      </c>
      <c r="E757" s="491" t="s">
        <v>1275</v>
      </c>
      <c r="F757" s="491"/>
      <c r="G757" s="491"/>
      <c r="H757" s="491"/>
      <c r="I757" s="491"/>
      <c r="J757" s="478"/>
      <c r="K757" s="477" t="s">
        <v>1237</v>
      </c>
      <c r="L757" s="479"/>
    </row>
    <row r="758" spans="1:12" s="477" customFormat="1" ht="11.25">
      <c r="A758" s="477" t="s">
        <v>1276</v>
      </c>
      <c r="B758" s="477" t="s">
        <v>1206</v>
      </c>
      <c r="C758" s="477">
        <v>3</v>
      </c>
      <c r="D758" s="477">
        <v>1</v>
      </c>
      <c r="E758" s="491" t="s">
        <v>1275</v>
      </c>
      <c r="F758" s="491"/>
      <c r="G758" s="491"/>
      <c r="H758" s="491"/>
      <c r="I758" s="491"/>
      <c r="J758" s="478"/>
      <c r="K758" s="477" t="s">
        <v>1237</v>
      </c>
      <c r="L758" s="479"/>
    </row>
    <row r="759" spans="1:12" s="477" customFormat="1" ht="11.25">
      <c r="A759" s="477" t="s">
        <v>1277</v>
      </c>
      <c r="B759" s="477" t="s">
        <v>1206</v>
      </c>
      <c r="C759" s="477">
        <v>3</v>
      </c>
      <c r="D759" s="477">
        <v>1</v>
      </c>
      <c r="E759" s="491" t="s">
        <v>1275</v>
      </c>
      <c r="F759" s="491"/>
      <c r="G759" s="491"/>
      <c r="H759" s="491"/>
      <c r="I759" s="491"/>
      <c r="J759" s="478"/>
      <c r="K759" s="477" t="s">
        <v>1237</v>
      </c>
      <c r="L759" s="479"/>
    </row>
    <row r="760" spans="1:12" s="477" customFormat="1" ht="11.25">
      <c r="A760" s="477" t="s">
        <v>1278</v>
      </c>
      <c r="B760" s="477" t="s">
        <v>1206</v>
      </c>
      <c r="C760" s="477">
        <v>3</v>
      </c>
      <c r="D760" s="477" t="s">
        <v>411</v>
      </c>
      <c r="E760" s="491" t="s">
        <v>1279</v>
      </c>
      <c r="F760" s="491"/>
      <c r="G760" s="491"/>
      <c r="H760" s="491"/>
      <c r="I760" s="491"/>
      <c r="J760" s="478"/>
      <c r="K760" s="477" t="s">
        <v>1237</v>
      </c>
      <c r="L760" s="479"/>
    </row>
    <row r="761" spans="1:12" s="477" customFormat="1" ht="11.25">
      <c r="A761" s="477" t="s">
        <v>1280</v>
      </c>
      <c r="B761" s="477" t="s">
        <v>1206</v>
      </c>
      <c r="C761" s="477">
        <v>3</v>
      </c>
      <c r="D761" s="477" t="s">
        <v>411</v>
      </c>
      <c r="E761" s="491" t="s">
        <v>1281</v>
      </c>
      <c r="F761" s="491"/>
      <c r="G761" s="491"/>
      <c r="H761" s="491"/>
      <c r="I761" s="491"/>
      <c r="J761" s="478"/>
      <c r="K761" s="477" t="s">
        <v>1237</v>
      </c>
      <c r="L761" s="479"/>
    </row>
    <row r="762" spans="1:12" s="477" customFormat="1" ht="11.25">
      <c r="A762" s="477" t="s">
        <v>1282</v>
      </c>
      <c r="B762" s="477" t="s">
        <v>1206</v>
      </c>
      <c r="C762" s="477">
        <v>3</v>
      </c>
      <c r="D762" s="477" t="s">
        <v>411</v>
      </c>
      <c r="E762" s="491" t="s">
        <v>1283</v>
      </c>
      <c r="F762" s="491"/>
      <c r="G762" s="491"/>
      <c r="H762" s="491"/>
      <c r="I762" s="491"/>
      <c r="J762" s="478"/>
      <c r="K762" s="477" t="s">
        <v>1237</v>
      </c>
      <c r="L762" s="479"/>
    </row>
    <row r="763" spans="1:12" s="477" customFormat="1" ht="11.25">
      <c r="A763" s="477" t="s">
        <v>1284</v>
      </c>
      <c r="B763" s="477" t="s">
        <v>1206</v>
      </c>
      <c r="C763" s="477">
        <v>3</v>
      </c>
      <c r="D763" s="477" t="s">
        <v>411</v>
      </c>
      <c r="E763" s="491" t="s">
        <v>1285</v>
      </c>
      <c r="F763" s="491"/>
      <c r="G763" s="491"/>
      <c r="H763" s="491"/>
      <c r="I763" s="491"/>
      <c r="J763" s="478"/>
      <c r="K763" s="477" t="s">
        <v>1237</v>
      </c>
      <c r="L763" s="479"/>
    </row>
    <row r="764" spans="1:12" s="477" customFormat="1" ht="11.25">
      <c r="A764" s="477" t="s">
        <v>1286</v>
      </c>
      <c r="B764" s="477" t="s">
        <v>1206</v>
      </c>
      <c r="C764" s="477">
        <v>3</v>
      </c>
      <c r="D764" s="477" t="s">
        <v>411</v>
      </c>
      <c r="E764" s="491" t="s">
        <v>1287</v>
      </c>
      <c r="F764" s="491"/>
      <c r="G764" s="491"/>
      <c r="H764" s="491"/>
      <c r="I764" s="491"/>
      <c r="J764" s="478"/>
      <c r="K764" s="477" t="s">
        <v>1237</v>
      </c>
      <c r="L764" s="479"/>
    </row>
    <row r="765" spans="1:12" s="477" customFormat="1" ht="11.25">
      <c r="A765" s="477" t="s">
        <v>1288</v>
      </c>
      <c r="B765" s="477" t="s">
        <v>1206</v>
      </c>
      <c r="C765" s="477">
        <v>3</v>
      </c>
      <c r="D765" s="477" t="s">
        <v>411</v>
      </c>
      <c r="E765" s="491" t="s">
        <v>1289</v>
      </c>
      <c r="F765" s="491"/>
      <c r="G765" s="491"/>
      <c r="H765" s="491"/>
      <c r="I765" s="491"/>
      <c r="J765" s="478"/>
      <c r="K765" s="477" t="s">
        <v>1237</v>
      </c>
      <c r="L765" s="479"/>
    </row>
    <row r="766" spans="1:11" ht="13.5">
      <c r="A766" s="63" t="s">
        <v>1290</v>
      </c>
      <c r="B766" s="63" t="s">
        <v>1203</v>
      </c>
      <c r="C766" s="63">
        <v>3</v>
      </c>
      <c r="D766" s="63" t="s">
        <v>411</v>
      </c>
      <c r="E766" s="488" t="s">
        <v>1291</v>
      </c>
      <c r="F766" s="488"/>
      <c r="G766" s="488"/>
      <c r="H766" s="488"/>
      <c r="I766" s="488"/>
      <c r="J766" s="465" t="s">
        <v>1292</v>
      </c>
      <c r="K766" s="400" t="s">
        <v>1246</v>
      </c>
    </row>
    <row r="767" spans="1:11" ht="13.5">
      <c r="A767" s="63" t="s">
        <v>1293</v>
      </c>
      <c r="B767" s="63" t="s">
        <v>1206</v>
      </c>
      <c r="C767" s="63">
        <v>3</v>
      </c>
      <c r="D767" s="63" t="s">
        <v>411</v>
      </c>
      <c r="E767" s="488" t="s">
        <v>1294</v>
      </c>
      <c r="F767" s="488"/>
      <c r="G767" s="488"/>
      <c r="H767" s="488"/>
      <c r="I767" s="488"/>
      <c r="K767" s="400" t="s">
        <v>1184</v>
      </c>
    </row>
    <row r="768" spans="1:12" s="484" customFormat="1" ht="11.25">
      <c r="A768" s="484" t="s">
        <v>1295</v>
      </c>
      <c r="B768" s="484" t="s">
        <v>1206</v>
      </c>
      <c r="C768" s="484">
        <v>3</v>
      </c>
      <c r="D768" s="484" t="s">
        <v>411</v>
      </c>
      <c r="E768" s="490" t="s">
        <v>1296</v>
      </c>
      <c r="F768" s="490"/>
      <c r="G768" s="490"/>
      <c r="H768" s="490"/>
      <c r="I768" s="490"/>
      <c r="J768" s="485"/>
      <c r="K768" s="472" t="s">
        <v>1184</v>
      </c>
      <c r="L768" s="486"/>
    </row>
    <row r="769" spans="1:11" ht="13.5">
      <c r="A769" s="63" t="s">
        <v>1297</v>
      </c>
      <c r="B769" s="63" t="s">
        <v>1209</v>
      </c>
      <c r="C769" s="63">
        <v>3</v>
      </c>
      <c r="D769" s="63" t="s">
        <v>411</v>
      </c>
      <c r="E769" s="488" t="s">
        <v>1298</v>
      </c>
      <c r="F769" s="488"/>
      <c r="G769" s="488"/>
      <c r="H769" s="488"/>
      <c r="I769" s="488"/>
      <c r="K769" s="400" t="s">
        <v>1184</v>
      </c>
    </row>
    <row r="770" spans="1:11" ht="13.5">
      <c r="A770" s="63" t="s">
        <v>1299</v>
      </c>
      <c r="B770" s="63" t="s">
        <v>428</v>
      </c>
      <c r="C770" s="63">
        <v>3</v>
      </c>
      <c r="D770" s="63" t="s">
        <v>411</v>
      </c>
      <c r="E770" s="488" t="s">
        <v>1300</v>
      </c>
      <c r="F770" s="488"/>
      <c r="G770" s="488"/>
      <c r="H770" s="488"/>
      <c r="I770" s="488"/>
      <c r="J770" s="465" t="s">
        <v>1301</v>
      </c>
      <c r="K770" s="400" t="s">
        <v>1184</v>
      </c>
    </row>
    <row r="771" spans="1:12" s="484" customFormat="1" ht="11.25">
      <c r="A771" s="484" t="s">
        <v>1302</v>
      </c>
      <c r="B771" s="484" t="s">
        <v>1206</v>
      </c>
      <c r="C771" s="484">
        <v>3</v>
      </c>
      <c r="D771" s="484" t="s">
        <v>411</v>
      </c>
      <c r="E771" s="490" t="s">
        <v>1303</v>
      </c>
      <c r="F771" s="490"/>
      <c r="G771" s="490"/>
      <c r="H771" s="490"/>
      <c r="I771" s="490"/>
      <c r="J771" s="485"/>
      <c r="K771" s="472" t="s">
        <v>1184</v>
      </c>
      <c r="L771" s="486"/>
    </row>
    <row r="772" spans="1:12" s="484" customFormat="1" ht="11.25">
      <c r="A772" s="484" t="s">
        <v>1304</v>
      </c>
      <c r="B772" s="484" t="s">
        <v>428</v>
      </c>
      <c r="C772" s="484">
        <v>4</v>
      </c>
      <c r="D772" s="484" t="s">
        <v>411</v>
      </c>
      <c r="E772" s="490" t="s">
        <v>1305</v>
      </c>
      <c r="F772" s="490"/>
      <c r="G772" s="490"/>
      <c r="H772" s="490"/>
      <c r="I772" s="490"/>
      <c r="J772" s="485"/>
      <c r="K772" s="472" t="s">
        <v>1184</v>
      </c>
      <c r="L772" s="486"/>
    </row>
    <row r="773" spans="1:12" s="477" customFormat="1" ht="11.25">
      <c r="A773" s="477" t="s">
        <v>1306</v>
      </c>
      <c r="B773" s="477" t="s">
        <v>1206</v>
      </c>
      <c r="C773" s="477">
        <v>5</v>
      </c>
      <c r="D773" s="477" t="s">
        <v>411</v>
      </c>
      <c r="E773" s="491" t="s">
        <v>1307</v>
      </c>
      <c r="F773" s="491"/>
      <c r="G773" s="491"/>
      <c r="H773" s="491"/>
      <c r="I773" s="491"/>
      <c r="J773" s="478"/>
      <c r="K773" s="477" t="s">
        <v>1308</v>
      </c>
      <c r="L773" s="479"/>
    </row>
    <row r="774" spans="1:11" ht="13.5">
      <c r="A774" s="63" t="s">
        <v>1309</v>
      </c>
      <c r="B774" s="63" t="s">
        <v>428</v>
      </c>
      <c r="C774" s="63">
        <v>5</v>
      </c>
      <c r="D774" s="63" t="s">
        <v>411</v>
      </c>
      <c r="E774" s="488" t="s">
        <v>1310</v>
      </c>
      <c r="F774" s="488"/>
      <c r="G774" s="488"/>
      <c r="H774" s="488"/>
      <c r="I774" s="488"/>
      <c r="K774" s="400" t="s">
        <v>1308</v>
      </c>
    </row>
    <row r="775" spans="1:11" ht="13.5">
      <c r="A775" s="63" t="s">
        <v>1311</v>
      </c>
      <c r="B775" s="63" t="s">
        <v>1203</v>
      </c>
      <c r="C775" s="63">
        <v>5</v>
      </c>
      <c r="D775" s="63" t="s">
        <v>411</v>
      </c>
      <c r="E775" s="488" t="s">
        <v>1273</v>
      </c>
      <c r="F775" s="488"/>
      <c r="G775" s="488"/>
      <c r="H775" s="488"/>
      <c r="I775" s="488"/>
      <c r="K775" s="400" t="s">
        <v>1308</v>
      </c>
    </row>
    <row r="776" spans="1:12" s="472" customFormat="1" ht="11.25">
      <c r="A776" s="475" t="s">
        <v>1312</v>
      </c>
      <c r="B776" s="472" t="s">
        <v>1206</v>
      </c>
      <c r="C776" s="472">
        <v>5</v>
      </c>
      <c r="D776" s="472" t="s">
        <v>411</v>
      </c>
      <c r="E776" s="489" t="s">
        <v>1313</v>
      </c>
      <c r="F776" s="489"/>
      <c r="G776" s="489"/>
      <c r="H776" s="489"/>
      <c r="I776" s="489"/>
      <c r="J776" s="473"/>
      <c r="K776" s="472" t="s">
        <v>1308</v>
      </c>
      <c r="L776" s="474"/>
    </row>
    <row r="777" spans="1:12" s="472" customFormat="1" ht="11.25">
      <c r="A777" s="475" t="s">
        <v>1314</v>
      </c>
      <c r="B777" s="472" t="s">
        <v>1206</v>
      </c>
      <c r="C777" s="472">
        <v>5</v>
      </c>
      <c r="D777" s="472" t="s">
        <v>411</v>
      </c>
      <c r="E777" s="489" t="s">
        <v>1315</v>
      </c>
      <c r="F777" s="489"/>
      <c r="G777" s="489"/>
      <c r="H777" s="489"/>
      <c r="I777" s="489"/>
      <c r="J777" s="473"/>
      <c r="K777" s="472" t="s">
        <v>1308</v>
      </c>
      <c r="L777" s="474"/>
    </row>
    <row r="778" spans="1:12" s="472" customFormat="1" ht="11.25">
      <c r="A778" s="475" t="s">
        <v>1316</v>
      </c>
      <c r="B778" s="472" t="s">
        <v>1206</v>
      </c>
      <c r="C778" s="472">
        <v>5</v>
      </c>
      <c r="D778" s="472" t="s">
        <v>411</v>
      </c>
      <c r="E778" s="489" t="s">
        <v>1317</v>
      </c>
      <c r="F778" s="489"/>
      <c r="G778" s="489"/>
      <c r="H778" s="489"/>
      <c r="I778" s="489"/>
      <c r="J778" s="473"/>
      <c r="K778" s="472" t="s">
        <v>1308</v>
      </c>
      <c r="L778" s="474"/>
    </row>
    <row r="779" spans="1:12" s="472" customFormat="1" ht="11.25">
      <c r="A779" s="475" t="s">
        <v>1318</v>
      </c>
      <c r="B779" s="472" t="s">
        <v>1206</v>
      </c>
      <c r="C779" s="472">
        <v>5</v>
      </c>
      <c r="D779" s="472" t="s">
        <v>411</v>
      </c>
      <c r="E779" s="489" t="s">
        <v>1319</v>
      </c>
      <c r="F779" s="489"/>
      <c r="G779" s="489"/>
      <c r="H779" s="489"/>
      <c r="I779" s="489"/>
      <c r="J779" s="473"/>
      <c r="K779" s="472" t="s">
        <v>1308</v>
      </c>
      <c r="L779" s="474"/>
    </row>
    <row r="780" spans="1:12" s="472" customFormat="1" ht="11.25">
      <c r="A780" s="475" t="s">
        <v>1320</v>
      </c>
      <c r="B780" s="472" t="s">
        <v>1206</v>
      </c>
      <c r="C780" s="472">
        <v>5</v>
      </c>
      <c r="D780" s="472" t="s">
        <v>411</v>
      </c>
      <c r="E780" s="489" t="s">
        <v>1321</v>
      </c>
      <c r="F780" s="489"/>
      <c r="G780" s="489"/>
      <c r="H780" s="489"/>
      <c r="I780" s="489"/>
      <c r="J780" s="473"/>
      <c r="K780" s="472" t="s">
        <v>1308</v>
      </c>
      <c r="L780" s="474"/>
    </row>
    <row r="781" spans="1:12" s="472" customFormat="1" ht="11.25">
      <c r="A781" s="475" t="s">
        <v>1322</v>
      </c>
      <c r="B781" s="472" t="s">
        <v>1206</v>
      </c>
      <c r="C781" s="472">
        <v>5</v>
      </c>
      <c r="D781" s="472" t="s">
        <v>411</v>
      </c>
      <c r="E781" s="489" t="s">
        <v>1323</v>
      </c>
      <c r="F781" s="489"/>
      <c r="G781" s="489"/>
      <c r="H781" s="489"/>
      <c r="I781" s="489"/>
      <c r="J781" s="473"/>
      <c r="K781" s="472" t="s">
        <v>1308</v>
      </c>
      <c r="L781" s="474"/>
    </row>
    <row r="782" spans="1:12" s="472" customFormat="1" ht="11.25">
      <c r="A782" s="475" t="s">
        <v>1324</v>
      </c>
      <c r="B782" s="472" t="s">
        <v>1206</v>
      </c>
      <c r="C782" s="472">
        <v>5</v>
      </c>
      <c r="D782" s="472" t="s">
        <v>411</v>
      </c>
      <c r="E782" s="489" t="s">
        <v>1325</v>
      </c>
      <c r="F782" s="489"/>
      <c r="G782" s="489"/>
      <c r="H782" s="489"/>
      <c r="I782" s="489"/>
      <c r="J782" s="473"/>
      <c r="K782" s="472" t="s">
        <v>1308</v>
      </c>
      <c r="L782" s="474"/>
    </row>
    <row r="783" spans="1:12" s="477" customFormat="1" ht="11.25">
      <c r="A783" s="477" t="s">
        <v>1326</v>
      </c>
      <c r="B783" s="477" t="s">
        <v>1206</v>
      </c>
      <c r="C783" s="477">
        <v>5</v>
      </c>
      <c r="D783" s="477" t="s">
        <v>411</v>
      </c>
      <c r="E783" s="491" t="s">
        <v>1327</v>
      </c>
      <c r="F783" s="491"/>
      <c r="G783" s="491"/>
      <c r="H783" s="491"/>
      <c r="I783" s="491"/>
      <c r="J783" s="478"/>
      <c r="K783" s="477" t="s">
        <v>1308</v>
      </c>
      <c r="L783" s="479"/>
    </row>
    <row r="784" spans="1:11" ht="13.5">
      <c r="A784" s="63" t="s">
        <v>1328</v>
      </c>
      <c r="B784" s="63" t="s">
        <v>1209</v>
      </c>
      <c r="C784" s="63">
        <v>5</v>
      </c>
      <c r="D784" s="63" t="s">
        <v>411</v>
      </c>
      <c r="E784" s="488" t="s">
        <v>1329</v>
      </c>
      <c r="F784" s="488"/>
      <c r="G784" s="488"/>
      <c r="H784" s="488"/>
      <c r="I784" s="488"/>
      <c r="K784" s="400" t="s">
        <v>1184</v>
      </c>
    </row>
    <row r="785" spans="1:11" ht="13.5">
      <c r="A785" s="63" t="s">
        <v>1330</v>
      </c>
      <c r="B785" s="63" t="s">
        <v>1209</v>
      </c>
      <c r="C785" s="63">
        <v>5</v>
      </c>
      <c r="D785" s="63" t="s">
        <v>411</v>
      </c>
      <c r="E785" s="488" t="s">
        <v>1331</v>
      </c>
      <c r="F785" s="488"/>
      <c r="G785" s="488"/>
      <c r="H785" s="488"/>
      <c r="I785" s="488"/>
      <c r="K785" s="400" t="s">
        <v>1184</v>
      </c>
    </row>
    <row r="786" spans="1:11" ht="13.5">
      <c r="A786" s="63" t="s">
        <v>1332</v>
      </c>
      <c r="B786" s="63" t="s">
        <v>1209</v>
      </c>
      <c r="C786" s="63">
        <v>5</v>
      </c>
      <c r="D786" s="63" t="s">
        <v>411</v>
      </c>
      <c r="E786" s="488" t="s">
        <v>1331</v>
      </c>
      <c r="F786" s="488"/>
      <c r="G786" s="488"/>
      <c r="H786" s="488"/>
      <c r="I786" s="488"/>
      <c r="K786" s="400" t="s">
        <v>1184</v>
      </c>
    </row>
    <row r="787" spans="1:11" ht="13.5">
      <c r="A787" s="63" t="s">
        <v>1333</v>
      </c>
      <c r="B787" s="63" t="s">
        <v>1209</v>
      </c>
      <c r="C787" s="63">
        <v>5</v>
      </c>
      <c r="D787" s="63" t="s">
        <v>411</v>
      </c>
      <c r="E787" s="488" t="s">
        <v>1331</v>
      </c>
      <c r="F787" s="488"/>
      <c r="G787" s="488"/>
      <c r="H787" s="488"/>
      <c r="I787" s="488"/>
      <c r="K787" s="400" t="s">
        <v>1184</v>
      </c>
    </row>
    <row r="788" spans="1:11" ht="13.5">
      <c r="A788" s="63" t="s">
        <v>1334</v>
      </c>
      <c r="B788" s="63" t="s">
        <v>1209</v>
      </c>
      <c r="C788" s="63">
        <v>5</v>
      </c>
      <c r="D788" s="63" t="s">
        <v>411</v>
      </c>
      <c r="E788" s="488" t="s">
        <v>1331</v>
      </c>
      <c r="F788" s="488"/>
      <c r="G788" s="488"/>
      <c r="H788" s="488"/>
      <c r="I788" s="488"/>
      <c r="K788" s="400" t="s">
        <v>1184</v>
      </c>
    </row>
    <row r="789" spans="1:11" ht="13.5">
      <c r="A789" s="63" t="s">
        <v>1335</v>
      </c>
      <c r="B789" s="63" t="s">
        <v>1209</v>
      </c>
      <c r="C789" s="63">
        <v>5</v>
      </c>
      <c r="D789" s="63" t="s">
        <v>411</v>
      </c>
      <c r="E789" s="488" t="s">
        <v>1331</v>
      </c>
      <c r="F789" s="488"/>
      <c r="G789" s="488"/>
      <c r="H789" s="488"/>
      <c r="I789" s="488"/>
      <c r="K789" s="400" t="s">
        <v>1184</v>
      </c>
    </row>
    <row r="790" spans="1:11" ht="13.5">
      <c r="A790" s="63" t="s">
        <v>1336</v>
      </c>
      <c r="B790" s="63" t="s">
        <v>1209</v>
      </c>
      <c r="C790" s="63">
        <v>5</v>
      </c>
      <c r="D790" s="63" t="s">
        <v>411</v>
      </c>
      <c r="E790" s="488" t="s">
        <v>1331</v>
      </c>
      <c r="F790" s="488"/>
      <c r="G790" s="488"/>
      <c r="H790" s="488"/>
      <c r="I790" s="488"/>
      <c r="K790" s="400" t="s">
        <v>1184</v>
      </c>
    </row>
    <row r="791" spans="1:11" ht="13.5">
      <c r="A791" s="63" t="s">
        <v>1337</v>
      </c>
      <c r="B791" s="63" t="s">
        <v>428</v>
      </c>
      <c r="C791" s="63">
        <v>10</v>
      </c>
      <c r="D791" s="63" t="s">
        <v>411</v>
      </c>
      <c r="E791" s="488" t="s">
        <v>1212</v>
      </c>
      <c r="F791" s="488"/>
      <c r="G791" s="488"/>
      <c r="H791" s="488"/>
      <c r="I791" s="488"/>
      <c r="K791" s="400" t="s">
        <v>1308</v>
      </c>
    </row>
    <row r="792" spans="1:11" ht="13.5">
      <c r="A792" s="63" t="s">
        <v>1338</v>
      </c>
      <c r="B792" s="63" t="s">
        <v>428</v>
      </c>
      <c r="C792" s="63">
        <v>10</v>
      </c>
      <c r="D792" s="63">
        <v>1</v>
      </c>
      <c r="E792" s="488" t="s">
        <v>1339</v>
      </c>
      <c r="F792" s="488"/>
      <c r="G792" s="488"/>
      <c r="H792" s="488"/>
      <c r="I792" s="488"/>
      <c r="K792" s="400" t="s">
        <v>1308</v>
      </c>
    </row>
    <row r="793" spans="1:11" ht="13.5">
      <c r="A793" s="63" t="s">
        <v>1340</v>
      </c>
      <c r="B793" s="63" t="s">
        <v>428</v>
      </c>
      <c r="C793" s="63">
        <v>10</v>
      </c>
      <c r="D793" s="63" t="s">
        <v>411</v>
      </c>
      <c r="E793" s="488" t="s">
        <v>1216</v>
      </c>
      <c r="F793" s="488"/>
      <c r="G793" s="488"/>
      <c r="H793" s="488"/>
      <c r="I793" s="488"/>
      <c r="K793" s="400" t="s">
        <v>1308</v>
      </c>
    </row>
    <row r="794" spans="1:11" ht="13.5">
      <c r="A794" s="63" t="s">
        <v>1341</v>
      </c>
      <c r="B794" s="63" t="s">
        <v>428</v>
      </c>
      <c r="C794" s="63">
        <v>10</v>
      </c>
      <c r="D794" s="63" t="s">
        <v>411</v>
      </c>
      <c r="E794" s="488" t="s">
        <v>1342</v>
      </c>
      <c r="F794" s="488"/>
      <c r="G794" s="488"/>
      <c r="H794" s="488"/>
      <c r="I794" s="488"/>
      <c r="K794" s="400" t="s">
        <v>1308</v>
      </c>
    </row>
    <row r="795" spans="1:11" ht="13.5">
      <c r="A795" s="63" t="s">
        <v>1343</v>
      </c>
      <c r="B795" s="63" t="s">
        <v>1209</v>
      </c>
      <c r="C795" s="63">
        <v>15</v>
      </c>
      <c r="D795" s="63" t="s">
        <v>411</v>
      </c>
      <c r="E795" s="488" t="s">
        <v>1344</v>
      </c>
      <c r="F795" s="488"/>
      <c r="G795" s="488"/>
      <c r="H795" s="488"/>
      <c r="I795" s="488"/>
      <c r="K795" s="400" t="s">
        <v>1184</v>
      </c>
    </row>
    <row r="798" spans="1:11" ht="13.5">
      <c r="A798" s="471" t="s">
        <v>1345</v>
      </c>
      <c r="B798" s="493" t="s">
        <v>1346</v>
      </c>
      <c r="C798" s="471"/>
      <c r="D798" s="471"/>
      <c r="E798" s="471"/>
      <c r="F798" s="471"/>
      <c r="G798" s="471"/>
      <c r="H798" s="471"/>
      <c r="I798" s="471"/>
      <c r="J798" s="494"/>
      <c r="K798" s="471"/>
    </row>
    <row r="799" ht="13.5">
      <c r="A799" s="63">
        <v>0</v>
      </c>
    </row>
  </sheetData>
  <autoFilter ref="A2:K795"/>
  <mergeCells count="81">
    <mergeCell ref="A1:K1"/>
    <mergeCell ref="E716:I716"/>
    <mergeCell ref="E717:I717"/>
    <mergeCell ref="E718:I718"/>
    <mergeCell ref="E719:I719"/>
    <mergeCell ref="E720:I720"/>
    <mergeCell ref="E721:I721"/>
    <mergeCell ref="E722:I722"/>
    <mergeCell ref="E723:I723"/>
    <mergeCell ref="E724:I724"/>
    <mergeCell ref="E725:I725"/>
    <mergeCell ref="E726:I726"/>
    <mergeCell ref="E727:I727"/>
    <mergeCell ref="E728:I728"/>
    <mergeCell ref="E729:I729"/>
    <mergeCell ref="E730:I730"/>
    <mergeCell ref="E731:I731"/>
    <mergeCell ref="E732:I732"/>
    <mergeCell ref="E733:I733"/>
    <mergeCell ref="E734:I734"/>
    <mergeCell ref="E735:I735"/>
    <mergeCell ref="E736:I736"/>
    <mergeCell ref="E737:I737"/>
    <mergeCell ref="E738:I738"/>
    <mergeCell ref="E739:I739"/>
    <mergeCell ref="E740:I740"/>
    <mergeCell ref="E741:I741"/>
    <mergeCell ref="E742:I742"/>
    <mergeCell ref="E743:I743"/>
    <mergeCell ref="E744:I744"/>
    <mergeCell ref="E745:I745"/>
    <mergeCell ref="E746:I746"/>
    <mergeCell ref="E747:I747"/>
    <mergeCell ref="E748:I748"/>
    <mergeCell ref="E749:I749"/>
    <mergeCell ref="E750:I750"/>
    <mergeCell ref="E751:I751"/>
    <mergeCell ref="E752:I752"/>
    <mergeCell ref="E753:I753"/>
    <mergeCell ref="E754:I754"/>
    <mergeCell ref="E755:I755"/>
    <mergeCell ref="E756:I756"/>
    <mergeCell ref="E757:I757"/>
    <mergeCell ref="E758:I758"/>
    <mergeCell ref="E759:I759"/>
    <mergeCell ref="E760:I760"/>
    <mergeCell ref="E761:I761"/>
    <mergeCell ref="E762:I762"/>
    <mergeCell ref="E763:I763"/>
    <mergeCell ref="E764:I764"/>
    <mergeCell ref="E765:I765"/>
    <mergeCell ref="E766:I766"/>
    <mergeCell ref="E767:I767"/>
    <mergeCell ref="E768:I768"/>
    <mergeCell ref="E769:I769"/>
    <mergeCell ref="E770:I770"/>
    <mergeCell ref="E771:I771"/>
    <mergeCell ref="E772:I772"/>
    <mergeCell ref="E773:I773"/>
    <mergeCell ref="E774:I774"/>
    <mergeCell ref="E775:I775"/>
    <mergeCell ref="E776:I776"/>
    <mergeCell ref="E777:I777"/>
    <mergeCell ref="E778:I778"/>
    <mergeCell ref="E779:I779"/>
    <mergeCell ref="E780:I780"/>
    <mergeCell ref="E781:I781"/>
    <mergeCell ref="E782:I782"/>
    <mergeCell ref="E783:I783"/>
    <mergeCell ref="E784:I784"/>
    <mergeCell ref="E785:I785"/>
    <mergeCell ref="E786:I786"/>
    <mergeCell ref="E787:I787"/>
    <mergeCell ref="E788:I788"/>
    <mergeCell ref="E789:I789"/>
    <mergeCell ref="E790:I790"/>
    <mergeCell ref="E791:I791"/>
    <mergeCell ref="E792:I792"/>
    <mergeCell ref="E793:I793"/>
    <mergeCell ref="E794:I794"/>
    <mergeCell ref="E795:I795"/>
  </mergeCells>
  <printOptions/>
  <pageMargins left="0.7479166666666667" right="0.7479166666666667" top="0.9840277777777777" bottom="0.9840277777777777" header="0.5118055555555555" footer="0.5118055555555555"/>
  <pageSetup horizontalDpi="300" verticalDpi="300" orientation="portrait" paperSize="9" scale="80"/>
</worksheet>
</file>

<file path=xl/worksheets/sheet9.xml><?xml version="1.0" encoding="utf-8"?>
<worksheet xmlns="http://schemas.openxmlformats.org/spreadsheetml/2006/main" xmlns:r="http://schemas.openxmlformats.org/officeDocument/2006/relationships">
  <sheetPr codeName="Sheet11"/>
  <dimension ref="A1:V594"/>
  <sheetViews>
    <sheetView workbookViewId="0" topLeftCell="A110">
      <selection activeCell="F134" sqref="F134"/>
    </sheetView>
  </sheetViews>
  <sheetFormatPr defaultColWidth="9.00390625" defaultRowHeight="13.5"/>
  <cols>
    <col min="1" max="1" width="14.625" style="400" customWidth="1"/>
    <col min="2" max="2" width="2.875" style="400" customWidth="1"/>
    <col min="3" max="4" width="5.25390625" style="400" customWidth="1"/>
    <col min="5" max="5" width="3.50390625" style="400" customWidth="1"/>
    <col min="6" max="6" width="3.75390625" style="495" customWidth="1"/>
    <col min="7" max="7" width="4.00390625" style="495" customWidth="1"/>
    <col min="8" max="8" width="3.75390625" style="400" customWidth="1"/>
    <col min="9" max="10" width="3.625" style="400" customWidth="1"/>
    <col min="11" max="11" width="3.375" style="400" customWidth="1"/>
    <col min="12" max="12" width="4.00390625" style="496" customWidth="1"/>
    <col min="13" max="13" width="33.125" style="497" customWidth="1"/>
    <col min="14" max="14" width="7.625" style="498" customWidth="1"/>
    <col min="15" max="15" width="5.00390625" style="495" customWidth="1"/>
    <col min="16" max="16" width="6.875" style="400" customWidth="1"/>
    <col min="17" max="17" width="36.75390625" style="497" customWidth="1"/>
    <col min="18" max="16384" width="9.00390625" style="400" customWidth="1"/>
  </cols>
  <sheetData>
    <row r="1" spans="1:22" s="204" customFormat="1" ht="13.5">
      <c r="A1" s="466" t="s">
        <v>1347</v>
      </c>
      <c r="B1" s="466"/>
      <c r="C1" s="466"/>
      <c r="D1" s="466"/>
      <c r="E1" s="466"/>
      <c r="F1" s="466"/>
      <c r="G1" s="466"/>
      <c r="H1" s="466"/>
      <c r="I1" s="466"/>
      <c r="J1" s="466"/>
      <c r="K1" s="466"/>
      <c r="L1" s="466"/>
      <c r="M1" s="466"/>
      <c r="N1" s="466"/>
      <c r="O1" s="466"/>
      <c r="P1" s="466"/>
      <c r="Q1" s="499"/>
      <c r="R1" s="166"/>
      <c r="S1" s="166"/>
      <c r="T1" s="166"/>
      <c r="U1" s="166"/>
      <c r="V1" s="166"/>
    </row>
    <row r="2" spans="1:18" ht="13.5">
      <c r="A2" s="44" t="s">
        <v>1348</v>
      </c>
      <c r="B2" s="500" t="s">
        <v>121</v>
      </c>
      <c r="C2" s="500" t="s">
        <v>241</v>
      </c>
      <c r="D2" s="500" t="s">
        <v>242</v>
      </c>
      <c r="E2" s="500" t="s">
        <v>243</v>
      </c>
      <c r="F2" s="501" t="s">
        <v>166</v>
      </c>
      <c r="G2" s="501" t="s">
        <v>244</v>
      </c>
      <c r="H2" s="500" t="s">
        <v>220</v>
      </c>
      <c r="I2" s="500" t="s">
        <v>245</v>
      </c>
      <c r="J2" s="500" t="s">
        <v>246</v>
      </c>
      <c r="K2" s="500" t="s">
        <v>247</v>
      </c>
      <c r="L2" s="502" t="s">
        <v>248</v>
      </c>
      <c r="M2" s="500" t="s">
        <v>249</v>
      </c>
      <c r="N2" s="503" t="s">
        <v>210</v>
      </c>
      <c r="O2" s="501" t="s">
        <v>1349</v>
      </c>
      <c r="P2" s="504" t="s">
        <v>1350</v>
      </c>
      <c r="Q2" s="420"/>
      <c r="R2" s="420"/>
    </row>
    <row r="3" spans="1:18" ht="13.5">
      <c r="A3" s="44"/>
      <c r="B3" s="500"/>
      <c r="C3" s="500"/>
      <c r="D3" s="500"/>
      <c r="E3" s="500"/>
      <c r="F3" s="501"/>
      <c r="G3" s="501"/>
      <c r="H3" s="500"/>
      <c r="I3" s="500"/>
      <c r="J3" s="500"/>
      <c r="K3" s="500"/>
      <c r="L3" s="502"/>
      <c r="M3" s="500"/>
      <c r="N3" s="503"/>
      <c r="O3" s="501"/>
      <c r="P3" s="504"/>
      <c r="Q3" s="420"/>
      <c r="R3" s="420"/>
    </row>
    <row r="4" spans="1:18" ht="13.5">
      <c r="A4" s="215"/>
      <c r="B4" s="215"/>
      <c r="C4" s="215"/>
      <c r="D4" s="215"/>
      <c r="E4" s="215"/>
      <c r="F4" s="320"/>
      <c r="G4" s="320"/>
      <c r="H4" s="215"/>
      <c r="I4" s="215"/>
      <c r="J4" s="215"/>
      <c r="K4" s="215"/>
      <c r="L4" s="505"/>
      <c r="M4" s="215"/>
      <c r="N4" s="223"/>
      <c r="O4" s="320"/>
      <c r="Q4" s="420"/>
      <c r="R4" s="506"/>
    </row>
    <row r="5" spans="1:16" ht="13.5">
      <c r="A5" s="400" t="s">
        <v>1351</v>
      </c>
      <c r="B5" s="400">
        <v>1</v>
      </c>
      <c r="C5" s="400" t="s">
        <v>251</v>
      </c>
      <c r="D5" s="400" t="s">
        <v>93</v>
      </c>
      <c r="E5" s="400">
        <v>0</v>
      </c>
      <c r="F5" s="495">
        <v>0</v>
      </c>
      <c r="G5" s="495">
        <v>0</v>
      </c>
      <c r="H5" s="400">
        <v>0</v>
      </c>
      <c r="I5" s="400">
        <v>0</v>
      </c>
      <c r="J5" s="400">
        <v>0</v>
      </c>
      <c r="K5" s="400">
        <v>0</v>
      </c>
      <c r="L5" s="496" t="s">
        <v>490</v>
      </c>
      <c r="N5" s="498">
        <v>0</v>
      </c>
      <c r="O5" s="495" t="s">
        <v>93</v>
      </c>
      <c r="P5" s="400" t="s">
        <v>1352</v>
      </c>
    </row>
    <row r="6" spans="1:16" ht="13.5">
      <c r="A6" s="400" t="s">
        <v>1353</v>
      </c>
      <c r="B6" s="400">
        <v>1</v>
      </c>
      <c r="C6" s="400" t="s">
        <v>251</v>
      </c>
      <c r="D6" s="400" t="s">
        <v>1354</v>
      </c>
      <c r="E6" s="400">
        <v>1</v>
      </c>
      <c r="F6" s="495">
        <v>0</v>
      </c>
      <c r="G6" s="495">
        <v>1</v>
      </c>
      <c r="H6" s="400">
        <v>0</v>
      </c>
      <c r="I6" s="400">
        <v>0</v>
      </c>
      <c r="J6" s="400">
        <v>0</v>
      </c>
      <c r="K6" s="400">
        <v>0</v>
      </c>
      <c r="L6" s="496" t="s">
        <v>490</v>
      </c>
      <c r="N6" s="498">
        <v>10</v>
      </c>
      <c r="O6" s="495" t="s">
        <v>93</v>
      </c>
      <c r="P6" s="400" t="s">
        <v>1352</v>
      </c>
    </row>
    <row r="7" spans="1:16" ht="13.5">
      <c r="A7" s="400" t="s">
        <v>1355</v>
      </c>
      <c r="B7" s="400">
        <v>1</v>
      </c>
      <c r="C7" s="400" t="s">
        <v>251</v>
      </c>
      <c r="D7" s="400" t="s">
        <v>1354</v>
      </c>
      <c r="E7" s="400">
        <v>2</v>
      </c>
      <c r="F7" s="495">
        <v>0</v>
      </c>
      <c r="G7" s="495">
        <v>2</v>
      </c>
      <c r="H7" s="400">
        <v>0</v>
      </c>
      <c r="I7" s="400">
        <v>0</v>
      </c>
      <c r="J7" s="400">
        <v>0</v>
      </c>
      <c r="K7" s="400">
        <v>0</v>
      </c>
      <c r="L7" s="496" t="s">
        <v>490</v>
      </c>
      <c r="N7" s="498">
        <v>50</v>
      </c>
      <c r="O7" s="495" t="s">
        <v>93</v>
      </c>
      <c r="P7" s="400" t="s">
        <v>1352</v>
      </c>
    </row>
    <row r="8" spans="1:16" ht="13.5">
      <c r="A8" s="400" t="s">
        <v>1356</v>
      </c>
      <c r="B8" s="400">
        <v>2</v>
      </c>
      <c r="C8" s="400" t="s">
        <v>251</v>
      </c>
      <c r="D8" s="400" t="s">
        <v>1354</v>
      </c>
      <c r="E8" s="400">
        <v>3</v>
      </c>
      <c r="F8" s="495">
        <v>0</v>
      </c>
      <c r="G8" s="495">
        <v>3</v>
      </c>
      <c r="H8" s="400">
        <v>0</v>
      </c>
      <c r="I8" s="400">
        <v>0</v>
      </c>
      <c r="J8" s="400">
        <v>0</v>
      </c>
      <c r="K8" s="400">
        <v>0</v>
      </c>
      <c r="L8" s="496" t="s">
        <v>490</v>
      </c>
      <c r="N8" s="498">
        <v>70</v>
      </c>
      <c r="O8" s="495" t="s">
        <v>93</v>
      </c>
      <c r="P8" s="400" t="s">
        <v>1352</v>
      </c>
    </row>
    <row r="9" spans="1:16" ht="13.5">
      <c r="A9" s="400" t="s">
        <v>1357</v>
      </c>
      <c r="B9" s="400">
        <v>3</v>
      </c>
      <c r="C9" s="400" t="s">
        <v>251</v>
      </c>
      <c r="D9" s="400" t="s">
        <v>1354</v>
      </c>
      <c r="E9" s="400">
        <v>4</v>
      </c>
      <c r="F9" s="495">
        <v>-1</v>
      </c>
      <c r="G9" s="495">
        <v>4</v>
      </c>
      <c r="H9" s="400">
        <v>0</v>
      </c>
      <c r="I9" s="400">
        <v>0</v>
      </c>
      <c r="J9" s="400">
        <v>0</v>
      </c>
      <c r="K9" s="400">
        <v>0</v>
      </c>
      <c r="L9" s="496" t="s">
        <v>490</v>
      </c>
      <c r="N9" s="498">
        <v>100</v>
      </c>
      <c r="O9" s="495" t="s">
        <v>93</v>
      </c>
      <c r="P9" s="400" t="s">
        <v>1352</v>
      </c>
    </row>
    <row r="10" spans="1:17" s="472" customFormat="1" ht="11.25">
      <c r="A10" s="472" t="s">
        <v>1358</v>
      </c>
      <c r="B10" s="472">
        <v>3</v>
      </c>
      <c r="C10" s="472" t="s">
        <v>251</v>
      </c>
      <c r="D10" s="472" t="s">
        <v>1354</v>
      </c>
      <c r="E10" s="472">
        <v>9</v>
      </c>
      <c r="F10" s="507">
        <v>0</v>
      </c>
      <c r="G10" s="507">
        <v>5</v>
      </c>
      <c r="H10" s="472">
        <v>0</v>
      </c>
      <c r="I10" s="472">
        <v>0</v>
      </c>
      <c r="J10" s="472">
        <v>0</v>
      </c>
      <c r="K10" s="472">
        <v>0</v>
      </c>
      <c r="L10" s="508" t="s">
        <v>490</v>
      </c>
      <c r="M10" s="474"/>
      <c r="N10" s="509">
        <v>2200</v>
      </c>
      <c r="O10" s="507">
        <v>10</v>
      </c>
      <c r="P10" s="472" t="s">
        <v>1359</v>
      </c>
      <c r="Q10" s="474"/>
    </row>
    <row r="11" spans="1:17" s="472" customFormat="1" ht="11.25">
      <c r="A11" s="472" t="s">
        <v>1360</v>
      </c>
      <c r="B11" s="472">
        <v>4</v>
      </c>
      <c r="C11" s="472" t="s">
        <v>251</v>
      </c>
      <c r="D11" s="472" t="s">
        <v>1354</v>
      </c>
      <c r="E11" s="472">
        <v>7</v>
      </c>
      <c r="F11" s="507">
        <v>-2</v>
      </c>
      <c r="G11" s="507">
        <v>8</v>
      </c>
      <c r="H11" s="472">
        <v>0</v>
      </c>
      <c r="I11" s="472">
        <v>0</v>
      </c>
      <c r="J11" s="472">
        <v>0</v>
      </c>
      <c r="K11" s="472">
        <v>-2</v>
      </c>
      <c r="L11" s="508" t="s">
        <v>490</v>
      </c>
      <c r="M11" s="474"/>
      <c r="N11" s="509">
        <v>2000</v>
      </c>
      <c r="O11" s="507">
        <v>15</v>
      </c>
      <c r="P11" s="472" t="s">
        <v>1361</v>
      </c>
      <c r="Q11" s="474"/>
    </row>
    <row r="12" spans="1:16" ht="13.5">
      <c r="A12" s="400" t="s">
        <v>1362</v>
      </c>
      <c r="B12" s="400">
        <v>6</v>
      </c>
      <c r="C12" s="400" t="s">
        <v>251</v>
      </c>
      <c r="D12" s="400" t="s">
        <v>1354</v>
      </c>
      <c r="E12" s="400">
        <v>5</v>
      </c>
      <c r="F12" s="495">
        <v>-2</v>
      </c>
      <c r="G12" s="495">
        <v>1</v>
      </c>
      <c r="H12" s="400">
        <v>0</v>
      </c>
      <c r="I12" s="400">
        <v>0</v>
      </c>
      <c r="J12" s="400" t="s">
        <v>93</v>
      </c>
      <c r="K12" s="400">
        <v>0</v>
      </c>
      <c r="L12" s="496" t="s">
        <v>490</v>
      </c>
      <c r="N12" s="498">
        <v>2900</v>
      </c>
      <c r="O12" s="495">
        <v>16</v>
      </c>
      <c r="P12" s="400" t="s">
        <v>1363</v>
      </c>
    </row>
    <row r="13" spans="1:16" ht="13.5">
      <c r="A13" s="400" t="s">
        <v>1364</v>
      </c>
      <c r="B13" s="400">
        <v>7</v>
      </c>
      <c r="C13" s="400" t="s">
        <v>251</v>
      </c>
      <c r="D13" s="400" t="s">
        <v>1354</v>
      </c>
      <c r="E13" s="400">
        <v>5</v>
      </c>
      <c r="F13" s="495">
        <v>-1</v>
      </c>
      <c r="G13" s="495">
        <v>5</v>
      </c>
      <c r="H13" s="400">
        <v>0</v>
      </c>
      <c r="I13" s="400">
        <v>0</v>
      </c>
      <c r="J13" s="400">
        <v>0</v>
      </c>
      <c r="K13" s="400">
        <v>0</v>
      </c>
      <c r="L13" s="496" t="s">
        <v>490</v>
      </c>
      <c r="N13" s="498">
        <v>2000</v>
      </c>
      <c r="O13" s="495" t="s">
        <v>93</v>
      </c>
      <c r="P13" s="400" t="s">
        <v>1365</v>
      </c>
    </row>
    <row r="14" spans="1:16" ht="13.5">
      <c r="A14" s="400" t="s">
        <v>1366</v>
      </c>
      <c r="B14" s="400">
        <v>7</v>
      </c>
      <c r="C14" s="400" t="s">
        <v>251</v>
      </c>
      <c r="D14" s="400" t="s">
        <v>1354</v>
      </c>
      <c r="E14" s="400">
        <v>5</v>
      </c>
      <c r="F14" s="495">
        <v>-1</v>
      </c>
      <c r="G14" s="495">
        <v>5</v>
      </c>
      <c r="H14" s="400">
        <v>0</v>
      </c>
      <c r="I14" s="400">
        <v>0</v>
      </c>
      <c r="J14" s="400">
        <v>0</v>
      </c>
      <c r="K14" s="400">
        <v>0</v>
      </c>
      <c r="L14" s="496" t="s">
        <v>490</v>
      </c>
      <c r="N14" s="498">
        <v>4200</v>
      </c>
      <c r="O14" s="400">
        <v>13</v>
      </c>
      <c r="P14" s="400" t="s">
        <v>1367</v>
      </c>
    </row>
    <row r="15" spans="1:17" s="472" customFormat="1" ht="11.25">
      <c r="A15" s="472" t="s">
        <v>1368</v>
      </c>
      <c r="B15" s="472">
        <v>8</v>
      </c>
      <c r="C15" s="472" t="s">
        <v>251</v>
      </c>
      <c r="D15" s="472" t="s">
        <v>1354</v>
      </c>
      <c r="E15" s="472">
        <v>10</v>
      </c>
      <c r="F15" s="507">
        <v>0</v>
      </c>
      <c r="G15" s="507">
        <v>10</v>
      </c>
      <c r="H15" s="472">
        <v>0</v>
      </c>
      <c r="I15" s="472">
        <v>0</v>
      </c>
      <c r="J15" s="472">
        <v>0</v>
      </c>
      <c r="K15" s="472">
        <v>0</v>
      </c>
      <c r="L15" s="508" t="s">
        <v>490</v>
      </c>
      <c r="M15" s="474"/>
      <c r="N15" s="509">
        <v>8000</v>
      </c>
      <c r="O15" s="507">
        <v>17</v>
      </c>
      <c r="P15" s="472" t="s">
        <v>1369</v>
      </c>
      <c r="Q15" s="474"/>
    </row>
    <row r="16" spans="1:16" ht="13.5">
      <c r="A16" s="400" t="s">
        <v>1370</v>
      </c>
      <c r="B16" s="400">
        <v>9</v>
      </c>
      <c r="C16" s="400" t="s">
        <v>251</v>
      </c>
      <c r="D16" s="400" t="s">
        <v>1354</v>
      </c>
      <c r="E16" s="400">
        <v>13</v>
      </c>
      <c r="F16" s="495">
        <v>-2</v>
      </c>
      <c r="G16" s="495">
        <v>16</v>
      </c>
      <c r="H16" s="400">
        <v>0</v>
      </c>
      <c r="I16" s="400">
        <v>0</v>
      </c>
      <c r="J16" s="400">
        <v>0</v>
      </c>
      <c r="K16" s="400">
        <v>0</v>
      </c>
      <c r="L16" s="496" t="s">
        <v>490</v>
      </c>
      <c r="N16" s="498">
        <v>14000</v>
      </c>
      <c r="O16" s="495">
        <v>19</v>
      </c>
      <c r="P16" s="400" t="s">
        <v>1359</v>
      </c>
    </row>
    <row r="17" spans="1:16" ht="13.5">
      <c r="A17" s="400" t="s">
        <v>1371</v>
      </c>
      <c r="B17" s="400">
        <v>10</v>
      </c>
      <c r="C17" s="400" t="s">
        <v>251</v>
      </c>
      <c r="D17" s="400" t="s">
        <v>1354</v>
      </c>
      <c r="E17" s="400">
        <v>6</v>
      </c>
      <c r="F17" s="495">
        <v>-1</v>
      </c>
      <c r="G17" s="495">
        <v>8</v>
      </c>
      <c r="H17" s="400">
        <v>0</v>
      </c>
      <c r="I17" s="400">
        <v>0</v>
      </c>
      <c r="J17" s="400">
        <v>0</v>
      </c>
      <c r="K17" s="400">
        <v>0</v>
      </c>
      <c r="L17" s="496" t="s">
        <v>490</v>
      </c>
      <c r="N17" s="498">
        <v>6800</v>
      </c>
      <c r="O17" s="400">
        <v>15</v>
      </c>
      <c r="P17" s="400" t="s">
        <v>1367</v>
      </c>
    </row>
    <row r="18" spans="1:16" ht="13.5">
      <c r="A18" s="400" t="s">
        <v>1372</v>
      </c>
      <c r="B18" s="400">
        <v>11</v>
      </c>
      <c r="C18" s="400" t="s">
        <v>251</v>
      </c>
      <c r="D18" s="400" t="s">
        <v>1354</v>
      </c>
      <c r="E18" s="400">
        <v>6</v>
      </c>
      <c r="F18" s="495">
        <v>-2</v>
      </c>
      <c r="G18" s="495">
        <v>6</v>
      </c>
      <c r="H18" s="400">
        <v>0</v>
      </c>
      <c r="I18" s="400">
        <v>0</v>
      </c>
      <c r="J18" s="400">
        <v>0</v>
      </c>
      <c r="K18" s="400">
        <v>0</v>
      </c>
      <c r="L18" s="496" t="s">
        <v>490</v>
      </c>
      <c r="N18" s="498">
        <v>5500</v>
      </c>
      <c r="O18" s="495" t="s">
        <v>93</v>
      </c>
      <c r="P18" s="400" t="s">
        <v>1365</v>
      </c>
    </row>
    <row r="19" spans="1:16" ht="13.5">
      <c r="A19" s="400" t="s">
        <v>1373</v>
      </c>
      <c r="B19" s="400">
        <v>11</v>
      </c>
      <c r="C19" s="400" t="s">
        <v>251</v>
      </c>
      <c r="D19" s="400" t="s">
        <v>1354</v>
      </c>
      <c r="E19" s="400">
        <v>6</v>
      </c>
      <c r="F19" s="495">
        <v>0</v>
      </c>
      <c r="G19" s="495">
        <v>4</v>
      </c>
      <c r="H19" s="400">
        <v>0</v>
      </c>
      <c r="I19" s="400">
        <v>0</v>
      </c>
      <c r="J19" s="400">
        <v>0</v>
      </c>
      <c r="K19" s="400">
        <v>0</v>
      </c>
      <c r="L19" s="496" t="s">
        <v>490</v>
      </c>
      <c r="N19" s="498">
        <v>5900</v>
      </c>
      <c r="O19" s="495" t="s">
        <v>93</v>
      </c>
      <c r="P19" s="400" t="s">
        <v>1365</v>
      </c>
    </row>
    <row r="20" spans="1:16" ht="13.5">
      <c r="A20" s="400" t="s">
        <v>1374</v>
      </c>
      <c r="B20" s="400">
        <v>13</v>
      </c>
      <c r="C20" s="400" t="s">
        <v>251</v>
      </c>
      <c r="D20" s="400" t="s">
        <v>1354</v>
      </c>
      <c r="E20" s="400">
        <v>24</v>
      </c>
      <c r="F20" s="495">
        <v>-5</v>
      </c>
      <c r="G20" s="495">
        <v>0</v>
      </c>
      <c r="H20" s="400">
        <v>0</v>
      </c>
      <c r="I20" s="400">
        <v>0</v>
      </c>
      <c r="J20" s="400">
        <v>0</v>
      </c>
      <c r="K20" s="400">
        <v>-5</v>
      </c>
      <c r="L20" s="496" t="s">
        <v>490</v>
      </c>
      <c r="N20" s="498">
        <v>240000</v>
      </c>
      <c r="O20" s="400">
        <v>25</v>
      </c>
      <c r="P20" s="400" t="s">
        <v>1367</v>
      </c>
    </row>
    <row r="21" spans="1:16" ht="13.5">
      <c r="A21" s="400" t="s">
        <v>1375</v>
      </c>
      <c r="B21" s="400">
        <v>14</v>
      </c>
      <c r="C21" s="400" t="s">
        <v>251</v>
      </c>
      <c r="D21" s="400" t="s">
        <v>1354</v>
      </c>
      <c r="E21" s="400">
        <v>7</v>
      </c>
      <c r="F21" s="495">
        <v>-2</v>
      </c>
      <c r="G21" s="495">
        <v>7</v>
      </c>
      <c r="H21" s="400">
        <v>0</v>
      </c>
      <c r="I21" s="400">
        <v>0</v>
      </c>
      <c r="J21" s="400">
        <v>0</v>
      </c>
      <c r="K21" s="400">
        <v>0</v>
      </c>
      <c r="L21" s="496" t="s">
        <v>490</v>
      </c>
      <c r="N21" s="498">
        <v>12000</v>
      </c>
      <c r="O21" s="495" t="s">
        <v>93</v>
      </c>
      <c r="P21" s="400" t="s">
        <v>1365</v>
      </c>
    </row>
    <row r="22" spans="1:16" ht="13.5">
      <c r="A22" s="400" t="s">
        <v>1376</v>
      </c>
      <c r="B22" s="400">
        <v>17</v>
      </c>
      <c r="C22" s="400" t="s">
        <v>251</v>
      </c>
      <c r="D22" s="400" t="s">
        <v>1354</v>
      </c>
      <c r="E22" s="400">
        <v>12</v>
      </c>
      <c r="F22" s="495">
        <v>-1</v>
      </c>
      <c r="G22" s="495">
        <v>12</v>
      </c>
      <c r="H22" s="400">
        <v>0</v>
      </c>
      <c r="I22" s="400">
        <v>7</v>
      </c>
      <c r="J22" s="400">
        <v>0</v>
      </c>
      <c r="K22" s="400">
        <v>-2</v>
      </c>
      <c r="L22" s="496" t="s">
        <v>490</v>
      </c>
      <c r="N22" s="498">
        <v>84700</v>
      </c>
      <c r="O22" s="400">
        <v>18</v>
      </c>
      <c r="P22" s="400" t="s">
        <v>1367</v>
      </c>
    </row>
    <row r="23" spans="1:16" ht="13.5">
      <c r="A23" s="400" t="s">
        <v>1377</v>
      </c>
      <c r="B23" s="400">
        <v>21</v>
      </c>
      <c r="C23" s="400" t="s">
        <v>251</v>
      </c>
      <c r="D23" s="400" t="s">
        <v>1354</v>
      </c>
      <c r="E23" s="400">
        <v>8</v>
      </c>
      <c r="F23" s="495">
        <v>-2</v>
      </c>
      <c r="G23" s="495">
        <v>8</v>
      </c>
      <c r="H23" s="400">
        <v>0</v>
      </c>
      <c r="I23" s="400">
        <v>0</v>
      </c>
      <c r="J23" s="400">
        <v>0</v>
      </c>
      <c r="K23" s="400">
        <v>0</v>
      </c>
      <c r="L23" s="496" t="s">
        <v>490</v>
      </c>
      <c r="N23" s="498">
        <v>34800</v>
      </c>
      <c r="O23" s="495" t="s">
        <v>93</v>
      </c>
      <c r="P23" s="400" t="s">
        <v>1365</v>
      </c>
    </row>
    <row r="24" spans="1:16" ht="13.5">
      <c r="A24" s="400" t="s">
        <v>1378</v>
      </c>
      <c r="B24" s="400">
        <v>21</v>
      </c>
      <c r="C24" s="400" t="s">
        <v>251</v>
      </c>
      <c r="D24" s="400" t="s">
        <v>1354</v>
      </c>
      <c r="E24" s="400">
        <v>9</v>
      </c>
      <c r="F24" s="495">
        <v>-2</v>
      </c>
      <c r="G24" s="495">
        <v>9</v>
      </c>
      <c r="H24" s="400">
        <v>0</v>
      </c>
      <c r="I24" s="400">
        <v>0</v>
      </c>
      <c r="J24" s="400">
        <v>0</v>
      </c>
      <c r="K24" s="400">
        <v>0</v>
      </c>
      <c r="L24" s="496" t="s">
        <v>490</v>
      </c>
      <c r="N24" s="498">
        <v>39500</v>
      </c>
      <c r="O24" s="495" t="s">
        <v>93</v>
      </c>
      <c r="P24" s="400" t="s">
        <v>1365</v>
      </c>
    </row>
    <row r="25" spans="1:16" ht="13.5">
      <c r="A25" s="400" t="s">
        <v>1379</v>
      </c>
      <c r="B25" s="400">
        <v>24</v>
      </c>
      <c r="C25" s="400" t="s">
        <v>251</v>
      </c>
      <c r="D25" s="400" t="s">
        <v>1354</v>
      </c>
      <c r="E25" s="400">
        <v>10</v>
      </c>
      <c r="F25" s="495">
        <v>-1</v>
      </c>
      <c r="G25" s="495">
        <v>17</v>
      </c>
      <c r="H25" s="400">
        <v>0</v>
      </c>
      <c r="I25" s="400">
        <v>0</v>
      </c>
      <c r="J25" s="400">
        <v>0</v>
      </c>
      <c r="K25" s="400">
        <v>0</v>
      </c>
      <c r="L25" s="496" t="s">
        <v>490</v>
      </c>
      <c r="N25" s="498">
        <v>152700</v>
      </c>
      <c r="O25" s="400">
        <v>21</v>
      </c>
      <c r="P25" s="400" t="s">
        <v>1367</v>
      </c>
    </row>
    <row r="26" spans="1:16" ht="13.5">
      <c r="A26" s="400" t="s">
        <v>1380</v>
      </c>
      <c r="B26" s="400">
        <v>29</v>
      </c>
      <c r="C26" s="400" t="s">
        <v>251</v>
      </c>
      <c r="D26" s="400" t="s">
        <v>1354</v>
      </c>
      <c r="E26" s="400">
        <v>8</v>
      </c>
      <c r="F26" s="495">
        <v>0</v>
      </c>
      <c r="G26" s="495">
        <v>24</v>
      </c>
      <c r="H26" s="400">
        <v>0</v>
      </c>
      <c r="I26" s="400">
        <v>0</v>
      </c>
      <c r="J26" s="400">
        <v>0</v>
      </c>
      <c r="K26" s="400">
        <v>0</v>
      </c>
      <c r="L26" s="496" t="s">
        <v>504</v>
      </c>
      <c r="N26" s="498">
        <v>240000</v>
      </c>
      <c r="O26" s="400">
        <v>24</v>
      </c>
      <c r="P26" s="400" t="s">
        <v>1367</v>
      </c>
    </row>
    <row r="27" spans="1:16" ht="13.5">
      <c r="A27" s="400" t="s">
        <v>1381</v>
      </c>
      <c r="B27" s="400">
        <v>30</v>
      </c>
      <c r="C27" s="400" t="s">
        <v>251</v>
      </c>
      <c r="D27" s="400" t="s">
        <v>1354</v>
      </c>
      <c r="E27" s="400">
        <v>9</v>
      </c>
      <c r="F27" s="495">
        <v>-1</v>
      </c>
      <c r="G27" s="495">
        <v>10</v>
      </c>
      <c r="H27" s="400">
        <v>0</v>
      </c>
      <c r="I27" s="400">
        <v>0</v>
      </c>
      <c r="J27" s="400">
        <v>0</v>
      </c>
      <c r="K27" s="400">
        <v>0</v>
      </c>
      <c r="L27" s="496" t="s">
        <v>490</v>
      </c>
      <c r="N27" s="498">
        <v>126000</v>
      </c>
      <c r="O27" s="495" t="s">
        <v>93</v>
      </c>
      <c r="P27" s="400" t="s">
        <v>1365</v>
      </c>
    </row>
    <row r="28" spans="1:18" ht="13.5">
      <c r="A28" s="215"/>
      <c r="B28" s="215"/>
      <c r="C28" s="215"/>
      <c r="D28" s="215"/>
      <c r="E28" s="215"/>
      <c r="F28" s="320"/>
      <c r="G28" s="320"/>
      <c r="H28" s="215"/>
      <c r="I28" s="215"/>
      <c r="J28" s="215"/>
      <c r="K28" s="215"/>
      <c r="L28" s="505"/>
      <c r="M28" s="215"/>
      <c r="N28" s="223"/>
      <c r="O28" s="320"/>
      <c r="Q28" s="420"/>
      <c r="R28" s="215"/>
    </row>
    <row r="29" spans="1:16" ht="13.5">
      <c r="A29" s="400" t="s">
        <v>1382</v>
      </c>
      <c r="B29" s="400">
        <v>1</v>
      </c>
      <c r="C29" s="400" t="s">
        <v>256</v>
      </c>
      <c r="D29" s="400" t="s">
        <v>1383</v>
      </c>
      <c r="E29" s="400">
        <v>2</v>
      </c>
      <c r="F29" s="495">
        <v>0</v>
      </c>
      <c r="G29" s="495">
        <v>1</v>
      </c>
      <c r="H29" s="400">
        <v>0</v>
      </c>
      <c r="I29" s="400">
        <v>0</v>
      </c>
      <c r="J29" s="400">
        <v>0</v>
      </c>
      <c r="K29" s="400">
        <v>0</v>
      </c>
      <c r="L29" s="496" t="s">
        <v>490</v>
      </c>
      <c r="N29" s="498">
        <v>10</v>
      </c>
      <c r="O29" s="495" t="s">
        <v>93</v>
      </c>
      <c r="P29" s="400" t="s">
        <v>1352</v>
      </c>
    </row>
    <row r="30" spans="1:16" ht="13.5">
      <c r="A30" s="400" t="s">
        <v>1384</v>
      </c>
      <c r="B30" s="400">
        <v>1</v>
      </c>
      <c r="C30" s="400" t="s">
        <v>256</v>
      </c>
      <c r="D30" s="400" t="s">
        <v>1383</v>
      </c>
      <c r="E30" s="400">
        <v>3</v>
      </c>
      <c r="F30" s="495">
        <v>0</v>
      </c>
      <c r="G30" s="495">
        <v>2</v>
      </c>
      <c r="H30" s="400">
        <v>0</v>
      </c>
      <c r="I30" s="400">
        <v>0</v>
      </c>
      <c r="J30" s="400">
        <v>0</v>
      </c>
      <c r="K30" s="400">
        <v>0</v>
      </c>
      <c r="L30" s="496" t="s">
        <v>490</v>
      </c>
      <c r="N30" s="498">
        <v>20</v>
      </c>
      <c r="O30" s="495" t="s">
        <v>93</v>
      </c>
      <c r="P30" s="400" t="s">
        <v>1352</v>
      </c>
    </row>
    <row r="31" spans="1:16" ht="13.5">
      <c r="A31" s="400" t="s">
        <v>1385</v>
      </c>
      <c r="B31" s="400">
        <v>1</v>
      </c>
      <c r="C31" s="400" t="s">
        <v>256</v>
      </c>
      <c r="D31" s="400" t="s">
        <v>1383</v>
      </c>
      <c r="E31" s="400">
        <v>4</v>
      </c>
      <c r="F31" s="495">
        <v>-1</v>
      </c>
      <c r="G31" s="495">
        <v>3</v>
      </c>
      <c r="H31" s="400">
        <v>0</v>
      </c>
      <c r="I31" s="400">
        <v>0</v>
      </c>
      <c r="J31" s="400">
        <v>0</v>
      </c>
      <c r="K31" s="400">
        <v>0</v>
      </c>
      <c r="L31" s="496" t="s">
        <v>490</v>
      </c>
      <c r="N31" s="498">
        <v>50</v>
      </c>
      <c r="O31" s="495" t="s">
        <v>93</v>
      </c>
      <c r="P31" s="400" t="s">
        <v>1352</v>
      </c>
    </row>
    <row r="32" spans="1:16" ht="13.5">
      <c r="A32" s="400" t="s">
        <v>1386</v>
      </c>
      <c r="B32" s="400">
        <v>1</v>
      </c>
      <c r="C32" s="400" t="s">
        <v>256</v>
      </c>
      <c r="D32" s="400" t="s">
        <v>1383</v>
      </c>
      <c r="E32" s="400">
        <v>1</v>
      </c>
      <c r="F32" s="495">
        <v>0</v>
      </c>
      <c r="G32" s="495">
        <v>1</v>
      </c>
      <c r="H32" s="400">
        <v>0</v>
      </c>
      <c r="I32" s="400">
        <v>0</v>
      </c>
      <c r="J32" s="400">
        <v>0</v>
      </c>
      <c r="K32" s="400">
        <v>0</v>
      </c>
      <c r="L32" s="496" t="s">
        <v>490</v>
      </c>
      <c r="N32" s="498">
        <v>90</v>
      </c>
      <c r="O32" s="495" t="s">
        <v>93</v>
      </c>
      <c r="P32" s="400" t="s">
        <v>1365</v>
      </c>
    </row>
    <row r="33" spans="1:16" ht="13.5">
      <c r="A33" s="400" t="s">
        <v>1387</v>
      </c>
      <c r="B33" s="400">
        <v>2</v>
      </c>
      <c r="C33" s="400" t="s">
        <v>256</v>
      </c>
      <c r="D33" s="400" t="s">
        <v>1383</v>
      </c>
      <c r="E33" s="400">
        <v>4</v>
      </c>
      <c r="F33" s="495">
        <v>1</v>
      </c>
      <c r="G33" s="495">
        <v>4</v>
      </c>
      <c r="H33" s="400">
        <v>0</v>
      </c>
      <c r="I33" s="400">
        <v>0</v>
      </c>
      <c r="J33" s="400">
        <v>0</v>
      </c>
      <c r="K33" s="400">
        <v>0</v>
      </c>
      <c r="L33" s="496" t="s">
        <v>490</v>
      </c>
      <c r="N33" s="498">
        <v>1200</v>
      </c>
      <c r="O33" s="495" t="s">
        <v>93</v>
      </c>
      <c r="P33" s="400" t="s">
        <v>1361</v>
      </c>
    </row>
    <row r="34" spans="1:16" ht="13.5">
      <c r="A34" s="400" t="s">
        <v>1388</v>
      </c>
      <c r="B34" s="400">
        <v>2</v>
      </c>
      <c r="C34" s="400" t="s">
        <v>256</v>
      </c>
      <c r="D34" s="400" t="s">
        <v>1383</v>
      </c>
      <c r="E34" s="400">
        <v>4</v>
      </c>
      <c r="F34" s="495">
        <v>1</v>
      </c>
      <c r="G34" s="495">
        <v>6</v>
      </c>
      <c r="H34" s="400">
        <v>0</v>
      </c>
      <c r="I34" s="400">
        <v>0</v>
      </c>
      <c r="J34" s="400">
        <v>0</v>
      </c>
      <c r="K34" s="400">
        <v>0</v>
      </c>
      <c r="L34" s="496" t="s">
        <v>490</v>
      </c>
      <c r="N34" s="498">
        <v>1200</v>
      </c>
      <c r="O34" s="495" t="s">
        <v>93</v>
      </c>
      <c r="P34" s="400" t="s">
        <v>1361</v>
      </c>
    </row>
    <row r="35" spans="1:16" ht="13.5">
      <c r="A35" s="400" t="s">
        <v>1389</v>
      </c>
      <c r="B35" s="400">
        <v>2</v>
      </c>
      <c r="C35" s="400" t="s">
        <v>256</v>
      </c>
      <c r="D35" s="400" t="s">
        <v>1383</v>
      </c>
      <c r="E35" s="400">
        <v>3</v>
      </c>
      <c r="F35" s="495">
        <v>0</v>
      </c>
      <c r="G35" s="495">
        <v>2</v>
      </c>
      <c r="H35" s="400">
        <v>0</v>
      </c>
      <c r="I35" s="400">
        <v>0</v>
      </c>
      <c r="J35" s="400">
        <v>0</v>
      </c>
      <c r="K35" s="400">
        <v>0</v>
      </c>
      <c r="L35" s="496" t="s">
        <v>490</v>
      </c>
      <c r="N35" s="498">
        <v>100</v>
      </c>
      <c r="O35" s="495">
        <v>10</v>
      </c>
      <c r="P35" s="400" t="s">
        <v>1359</v>
      </c>
    </row>
    <row r="36" spans="1:16" ht="13.5">
      <c r="A36" s="400" t="s">
        <v>1390</v>
      </c>
      <c r="B36" s="400">
        <v>4</v>
      </c>
      <c r="C36" s="400" t="s">
        <v>256</v>
      </c>
      <c r="D36" s="400" t="s">
        <v>1383</v>
      </c>
      <c r="E36" s="400">
        <v>5</v>
      </c>
      <c r="F36" s="495">
        <v>-1</v>
      </c>
      <c r="G36" s="495">
        <v>4</v>
      </c>
      <c r="H36" s="400">
        <v>0</v>
      </c>
      <c r="I36" s="400">
        <v>0</v>
      </c>
      <c r="J36" s="400">
        <v>0</v>
      </c>
      <c r="K36" s="400">
        <v>0</v>
      </c>
      <c r="L36" s="496" t="s">
        <v>490</v>
      </c>
      <c r="N36" s="498">
        <v>80</v>
      </c>
      <c r="O36" s="495" t="s">
        <v>93</v>
      </c>
      <c r="P36" s="400" t="s">
        <v>1352</v>
      </c>
    </row>
    <row r="37" spans="1:16" ht="13.5">
      <c r="A37" s="400" t="s">
        <v>1391</v>
      </c>
      <c r="B37" s="400">
        <v>4</v>
      </c>
      <c r="C37" s="400" t="s">
        <v>256</v>
      </c>
      <c r="D37" s="400" t="s">
        <v>1383</v>
      </c>
      <c r="E37" s="400">
        <v>5</v>
      </c>
      <c r="F37" s="495">
        <v>-1</v>
      </c>
      <c r="G37" s="495">
        <v>5</v>
      </c>
      <c r="H37" s="400">
        <v>0</v>
      </c>
      <c r="I37" s="400">
        <v>0</v>
      </c>
      <c r="J37" s="400">
        <v>0</v>
      </c>
      <c r="K37" s="400">
        <v>0</v>
      </c>
      <c r="L37" s="496" t="s">
        <v>490</v>
      </c>
      <c r="N37" s="498">
        <v>200</v>
      </c>
      <c r="O37" s="495" t="s">
        <v>93</v>
      </c>
      <c r="P37" s="400" t="s">
        <v>1365</v>
      </c>
    </row>
    <row r="38" spans="1:16" ht="13.5">
      <c r="A38" s="400" t="s">
        <v>1392</v>
      </c>
      <c r="B38" s="400">
        <v>4</v>
      </c>
      <c r="C38" s="400" t="s">
        <v>256</v>
      </c>
      <c r="D38" s="400" t="s">
        <v>1383</v>
      </c>
      <c r="E38" s="400">
        <v>5</v>
      </c>
      <c r="F38" s="495">
        <v>-2</v>
      </c>
      <c r="G38" s="495">
        <v>2</v>
      </c>
      <c r="H38" s="400">
        <v>0</v>
      </c>
      <c r="I38" s="400">
        <v>0</v>
      </c>
      <c r="J38" s="400" t="s">
        <v>93</v>
      </c>
      <c r="K38" s="400">
        <v>0</v>
      </c>
      <c r="L38" s="496" t="s">
        <v>490</v>
      </c>
      <c r="N38" s="498">
        <v>2000</v>
      </c>
      <c r="O38" s="495">
        <v>16</v>
      </c>
      <c r="P38" s="400" t="s">
        <v>1363</v>
      </c>
    </row>
    <row r="39" spans="1:16" ht="13.5">
      <c r="A39" s="400" t="s">
        <v>1393</v>
      </c>
      <c r="B39" s="400">
        <v>4</v>
      </c>
      <c r="C39" s="400" t="s">
        <v>256</v>
      </c>
      <c r="D39" s="400" t="s">
        <v>1383</v>
      </c>
      <c r="E39" s="400">
        <v>6</v>
      </c>
      <c r="F39" s="495">
        <v>-1</v>
      </c>
      <c r="G39" s="495">
        <v>7</v>
      </c>
      <c r="H39" s="400">
        <v>0</v>
      </c>
      <c r="I39" s="400">
        <v>0</v>
      </c>
      <c r="J39" s="400">
        <v>0</v>
      </c>
      <c r="K39" s="400">
        <v>0</v>
      </c>
      <c r="L39" s="496" t="s">
        <v>490</v>
      </c>
      <c r="N39" s="498">
        <v>2500</v>
      </c>
      <c r="O39" s="495">
        <v>12</v>
      </c>
      <c r="P39" s="400" t="s">
        <v>1359</v>
      </c>
    </row>
    <row r="40" spans="1:16" ht="13.5">
      <c r="A40" s="400" t="s">
        <v>1394</v>
      </c>
      <c r="B40" s="400">
        <v>5</v>
      </c>
      <c r="C40" s="400" t="s">
        <v>256</v>
      </c>
      <c r="D40" s="400" t="s">
        <v>1383</v>
      </c>
      <c r="E40" s="400">
        <v>3</v>
      </c>
      <c r="F40" s="495">
        <v>0</v>
      </c>
      <c r="G40" s="495">
        <v>6</v>
      </c>
      <c r="H40" s="400">
        <v>0</v>
      </c>
      <c r="I40" s="400">
        <v>0</v>
      </c>
      <c r="J40" s="400">
        <v>0</v>
      </c>
      <c r="K40" s="400">
        <v>0</v>
      </c>
      <c r="L40" s="496" t="s">
        <v>490</v>
      </c>
      <c r="N40" s="498">
        <v>900</v>
      </c>
      <c r="O40" s="495" t="s">
        <v>93</v>
      </c>
      <c r="P40" s="400" t="s">
        <v>1365</v>
      </c>
    </row>
    <row r="41" spans="1:16" ht="13.5">
      <c r="A41" s="400" t="s">
        <v>1395</v>
      </c>
      <c r="B41" s="400">
        <v>5</v>
      </c>
      <c r="C41" s="400" t="s">
        <v>256</v>
      </c>
      <c r="D41" s="400" t="s">
        <v>1383</v>
      </c>
      <c r="E41" s="400">
        <v>2</v>
      </c>
      <c r="F41" s="495">
        <v>0</v>
      </c>
      <c r="G41" s="495">
        <v>0</v>
      </c>
      <c r="H41" s="400">
        <v>2</v>
      </c>
      <c r="I41" s="400">
        <v>0</v>
      </c>
      <c r="J41" s="400">
        <v>0</v>
      </c>
      <c r="K41" s="400">
        <v>0</v>
      </c>
      <c r="L41" s="496" t="s">
        <v>490</v>
      </c>
      <c r="N41" s="498">
        <v>2000</v>
      </c>
      <c r="O41" s="495">
        <v>14</v>
      </c>
      <c r="P41" s="400" t="s">
        <v>1359</v>
      </c>
    </row>
    <row r="42" spans="1:16" ht="13.5">
      <c r="A42" s="400" t="s">
        <v>1396</v>
      </c>
      <c r="B42" s="400">
        <v>6</v>
      </c>
      <c r="C42" s="400" t="s">
        <v>256</v>
      </c>
      <c r="D42" s="400" t="s">
        <v>1383</v>
      </c>
      <c r="E42" s="400">
        <v>3</v>
      </c>
      <c r="F42" s="495">
        <v>-1</v>
      </c>
      <c r="G42" s="495">
        <v>4</v>
      </c>
      <c r="H42" s="400">
        <v>0</v>
      </c>
      <c r="I42" s="400">
        <v>0</v>
      </c>
      <c r="J42" s="400" t="s">
        <v>93</v>
      </c>
      <c r="K42" s="400">
        <v>0</v>
      </c>
      <c r="L42" s="496" t="s">
        <v>490</v>
      </c>
      <c r="N42" s="498">
        <v>2500</v>
      </c>
      <c r="O42" s="495">
        <v>16</v>
      </c>
      <c r="P42" s="400" t="s">
        <v>1363</v>
      </c>
    </row>
    <row r="43" spans="1:16" ht="13.5">
      <c r="A43" s="400" t="s">
        <v>1397</v>
      </c>
      <c r="B43" s="400">
        <v>7</v>
      </c>
      <c r="C43" s="400" t="s">
        <v>256</v>
      </c>
      <c r="D43" s="400" t="s">
        <v>1383</v>
      </c>
      <c r="E43" s="400">
        <v>6</v>
      </c>
      <c r="F43" s="495">
        <v>-2</v>
      </c>
      <c r="G43" s="495">
        <v>5</v>
      </c>
      <c r="H43" s="400">
        <v>0</v>
      </c>
      <c r="I43" s="400">
        <v>0</v>
      </c>
      <c r="J43" s="400">
        <v>0</v>
      </c>
      <c r="K43" s="400">
        <v>-1</v>
      </c>
      <c r="L43" s="496" t="s">
        <v>490</v>
      </c>
      <c r="N43" s="498">
        <v>130</v>
      </c>
      <c r="O43" s="495" t="s">
        <v>93</v>
      </c>
      <c r="P43" s="400" t="s">
        <v>1352</v>
      </c>
    </row>
    <row r="44" spans="1:16" ht="13.5">
      <c r="A44" s="400" t="s">
        <v>1398</v>
      </c>
      <c r="B44" s="400">
        <v>8</v>
      </c>
      <c r="C44" s="400" t="s">
        <v>256</v>
      </c>
      <c r="D44" s="400" t="s">
        <v>1383</v>
      </c>
      <c r="E44" s="400">
        <v>5</v>
      </c>
      <c r="F44" s="495">
        <v>1</v>
      </c>
      <c r="G44" s="495">
        <v>6</v>
      </c>
      <c r="H44" s="400">
        <v>0</v>
      </c>
      <c r="I44" s="400">
        <v>0</v>
      </c>
      <c r="J44" s="400">
        <v>0</v>
      </c>
      <c r="K44" s="400">
        <v>0</v>
      </c>
      <c r="L44" s="496" t="s">
        <v>490</v>
      </c>
      <c r="N44" s="498">
        <v>900</v>
      </c>
      <c r="O44" s="495" t="s">
        <v>93</v>
      </c>
      <c r="P44" s="400" t="s">
        <v>1365</v>
      </c>
    </row>
    <row r="45" spans="1:17" s="472" customFormat="1" ht="11.25">
      <c r="A45" s="472" t="s">
        <v>1399</v>
      </c>
      <c r="B45" s="472">
        <v>9</v>
      </c>
      <c r="C45" s="472" t="s">
        <v>256</v>
      </c>
      <c r="D45" s="472" t="s">
        <v>1383</v>
      </c>
      <c r="E45" s="472">
        <v>6</v>
      </c>
      <c r="F45" s="507">
        <v>-1</v>
      </c>
      <c r="G45" s="507">
        <v>8</v>
      </c>
      <c r="H45" s="472">
        <v>0</v>
      </c>
      <c r="I45" s="472">
        <v>0</v>
      </c>
      <c r="J45" s="472">
        <v>0</v>
      </c>
      <c r="K45" s="472">
        <v>0</v>
      </c>
      <c r="L45" s="508" t="s">
        <v>490</v>
      </c>
      <c r="M45" s="474"/>
      <c r="N45" s="509">
        <v>9500</v>
      </c>
      <c r="O45" s="507">
        <v>15</v>
      </c>
      <c r="P45" s="472" t="s">
        <v>1369</v>
      </c>
      <c r="Q45" s="474"/>
    </row>
    <row r="46" spans="1:16" ht="13.5">
      <c r="A46" s="400" t="s">
        <v>1400</v>
      </c>
      <c r="B46" s="400">
        <v>10</v>
      </c>
      <c r="C46" s="400" t="s">
        <v>256</v>
      </c>
      <c r="D46" s="400" t="s">
        <v>1383</v>
      </c>
      <c r="E46" s="400">
        <v>4</v>
      </c>
      <c r="F46" s="495">
        <v>-1</v>
      </c>
      <c r="G46" s="495">
        <v>7</v>
      </c>
      <c r="H46" s="400">
        <v>0</v>
      </c>
      <c r="I46" s="400">
        <v>0</v>
      </c>
      <c r="J46" s="400">
        <v>0</v>
      </c>
      <c r="K46" s="400">
        <v>5</v>
      </c>
      <c r="L46" s="496" t="s">
        <v>490</v>
      </c>
      <c r="N46" s="498">
        <v>12600</v>
      </c>
      <c r="O46" s="400">
        <v>16</v>
      </c>
      <c r="P46" s="400" t="s">
        <v>1367</v>
      </c>
    </row>
    <row r="47" spans="1:16" ht="13.5">
      <c r="A47" s="400" t="s">
        <v>1401</v>
      </c>
      <c r="B47" s="400">
        <v>11</v>
      </c>
      <c r="C47" s="400" t="s">
        <v>256</v>
      </c>
      <c r="D47" s="400" t="s">
        <v>1383</v>
      </c>
      <c r="E47" s="400">
        <v>5</v>
      </c>
      <c r="F47" s="495">
        <v>1</v>
      </c>
      <c r="G47" s="495">
        <v>7</v>
      </c>
      <c r="H47" s="400">
        <v>0</v>
      </c>
      <c r="I47" s="400">
        <v>0</v>
      </c>
      <c r="J47" s="400">
        <v>0</v>
      </c>
      <c r="K47" s="400">
        <v>0</v>
      </c>
      <c r="L47" s="496" t="s">
        <v>490</v>
      </c>
      <c r="N47" s="498">
        <v>5500</v>
      </c>
      <c r="O47" s="495" t="s">
        <v>93</v>
      </c>
      <c r="P47" s="400" t="s">
        <v>1365</v>
      </c>
    </row>
    <row r="48" spans="1:16" ht="13.5">
      <c r="A48" s="400" t="s">
        <v>1402</v>
      </c>
      <c r="B48" s="400">
        <v>12</v>
      </c>
      <c r="C48" s="400" t="s">
        <v>256</v>
      </c>
      <c r="D48" s="400" t="s">
        <v>1383</v>
      </c>
      <c r="E48" s="400">
        <v>3</v>
      </c>
      <c r="F48" s="495">
        <v>1</v>
      </c>
      <c r="G48" s="495">
        <v>7</v>
      </c>
      <c r="H48" s="400">
        <v>0</v>
      </c>
      <c r="I48" s="400">
        <v>0</v>
      </c>
      <c r="J48" s="400">
        <v>0</v>
      </c>
      <c r="K48" s="400">
        <v>0</v>
      </c>
      <c r="L48" s="496" t="s">
        <v>490</v>
      </c>
      <c r="N48" s="498">
        <v>6800</v>
      </c>
      <c r="O48" s="495" t="s">
        <v>93</v>
      </c>
      <c r="P48" s="400" t="s">
        <v>1365</v>
      </c>
    </row>
    <row r="49" spans="1:17" s="472" customFormat="1" ht="11.25">
      <c r="A49" s="472" t="s">
        <v>1403</v>
      </c>
      <c r="B49" s="472">
        <v>14</v>
      </c>
      <c r="C49" s="472" t="s">
        <v>256</v>
      </c>
      <c r="D49" s="472" t="s">
        <v>1383</v>
      </c>
      <c r="E49" s="472">
        <v>7</v>
      </c>
      <c r="F49" s="507">
        <v>0</v>
      </c>
      <c r="G49" s="507">
        <v>9</v>
      </c>
      <c r="H49" s="472">
        <v>0</v>
      </c>
      <c r="I49" s="472">
        <v>0</v>
      </c>
      <c r="J49" s="472">
        <v>0</v>
      </c>
      <c r="K49" s="472">
        <v>0</v>
      </c>
      <c r="L49" s="508" t="s">
        <v>490</v>
      </c>
      <c r="M49" s="474"/>
      <c r="N49" s="509">
        <v>45900</v>
      </c>
      <c r="O49" s="472">
        <v>17</v>
      </c>
      <c r="P49" s="472" t="s">
        <v>1367</v>
      </c>
      <c r="Q49" s="474"/>
    </row>
    <row r="50" spans="1:17" s="472" customFormat="1" ht="11.25">
      <c r="A50" s="472" t="s">
        <v>1404</v>
      </c>
      <c r="B50" s="472">
        <v>17</v>
      </c>
      <c r="C50" s="472" t="s">
        <v>256</v>
      </c>
      <c r="D50" s="472" t="s">
        <v>1383</v>
      </c>
      <c r="E50" s="472">
        <v>5</v>
      </c>
      <c r="F50" s="507">
        <v>1</v>
      </c>
      <c r="G50" s="507">
        <v>8</v>
      </c>
      <c r="H50" s="472">
        <v>0</v>
      </c>
      <c r="I50" s="472">
        <v>0</v>
      </c>
      <c r="J50" s="472">
        <v>0</v>
      </c>
      <c r="K50" s="472">
        <v>0</v>
      </c>
      <c r="L50" s="508" t="s">
        <v>490</v>
      </c>
      <c r="M50" s="474"/>
      <c r="N50" s="509">
        <v>61700</v>
      </c>
      <c r="O50" s="507">
        <v>26</v>
      </c>
      <c r="P50" s="472" t="s">
        <v>1405</v>
      </c>
      <c r="Q50" s="474"/>
    </row>
    <row r="51" spans="1:16" ht="13.5">
      <c r="A51" s="400" t="s">
        <v>1406</v>
      </c>
      <c r="B51" s="400">
        <v>18</v>
      </c>
      <c r="C51" s="400" t="s">
        <v>256</v>
      </c>
      <c r="D51" s="400" t="s">
        <v>1383</v>
      </c>
      <c r="E51" s="400">
        <v>5</v>
      </c>
      <c r="F51" s="495">
        <v>0</v>
      </c>
      <c r="G51" s="495">
        <v>8</v>
      </c>
      <c r="H51" s="400">
        <v>0</v>
      </c>
      <c r="I51" s="400">
        <v>0</v>
      </c>
      <c r="J51" s="400">
        <v>0</v>
      </c>
      <c r="K51" s="400">
        <v>0</v>
      </c>
      <c r="L51" s="496" t="s">
        <v>490</v>
      </c>
      <c r="N51" s="498">
        <v>28000</v>
      </c>
      <c r="O51" s="495" t="s">
        <v>93</v>
      </c>
      <c r="P51" s="400" t="s">
        <v>1365</v>
      </c>
    </row>
    <row r="52" spans="1:16" ht="13.5">
      <c r="A52" s="400" t="s">
        <v>1407</v>
      </c>
      <c r="B52" s="400">
        <v>20</v>
      </c>
      <c r="C52" s="400" t="s">
        <v>256</v>
      </c>
      <c r="D52" s="400" t="s">
        <v>1383</v>
      </c>
      <c r="E52" s="400">
        <v>6</v>
      </c>
      <c r="F52" s="495">
        <v>-2</v>
      </c>
      <c r="G52" s="495">
        <v>9</v>
      </c>
      <c r="H52" s="400">
        <v>0</v>
      </c>
      <c r="I52" s="400">
        <v>0</v>
      </c>
      <c r="J52" s="400">
        <v>0</v>
      </c>
      <c r="K52" s="400">
        <v>0</v>
      </c>
      <c r="L52" s="496" t="s">
        <v>490</v>
      </c>
      <c r="N52" s="498">
        <v>32000</v>
      </c>
      <c r="O52" s="495" t="s">
        <v>93</v>
      </c>
      <c r="P52" s="400" t="s">
        <v>1365</v>
      </c>
    </row>
    <row r="53" spans="1:17" s="472" customFormat="1" ht="11.25">
      <c r="A53" s="472" t="s">
        <v>1408</v>
      </c>
      <c r="B53" s="472">
        <v>22</v>
      </c>
      <c r="C53" s="472" t="s">
        <v>256</v>
      </c>
      <c r="D53" s="472" t="s">
        <v>1383</v>
      </c>
      <c r="E53" s="472">
        <v>9</v>
      </c>
      <c r="F53" s="507">
        <v>0</v>
      </c>
      <c r="G53" s="507">
        <v>11</v>
      </c>
      <c r="H53" s="472">
        <v>0</v>
      </c>
      <c r="I53" s="472">
        <v>0</v>
      </c>
      <c r="J53" s="472">
        <v>0</v>
      </c>
      <c r="K53" s="472">
        <v>0</v>
      </c>
      <c r="L53" s="508" t="s">
        <v>490</v>
      </c>
      <c r="M53" s="474"/>
      <c r="N53" s="509">
        <v>140000</v>
      </c>
      <c r="O53" s="507">
        <v>20</v>
      </c>
      <c r="P53" s="472" t="s">
        <v>1405</v>
      </c>
      <c r="Q53" s="474"/>
    </row>
    <row r="54" spans="1:18" s="472" customFormat="1" ht="11.25">
      <c r="A54" s="472" t="s">
        <v>1409</v>
      </c>
      <c r="B54" s="472">
        <v>22</v>
      </c>
      <c r="C54" s="472" t="s">
        <v>256</v>
      </c>
      <c r="D54" s="472" t="s">
        <v>1383</v>
      </c>
      <c r="E54" s="472">
        <v>9</v>
      </c>
      <c r="F54" s="507">
        <v>0</v>
      </c>
      <c r="G54" s="507">
        <v>11</v>
      </c>
      <c r="H54" s="472">
        <v>0</v>
      </c>
      <c r="I54" s="472">
        <v>0</v>
      </c>
      <c r="J54" s="472">
        <v>0</v>
      </c>
      <c r="K54" s="472">
        <v>0</v>
      </c>
      <c r="L54" s="508" t="s">
        <v>490</v>
      </c>
      <c r="M54" s="474" t="s">
        <v>1410</v>
      </c>
      <c r="N54" s="509">
        <v>140000</v>
      </c>
      <c r="O54" s="507">
        <v>20</v>
      </c>
      <c r="P54" s="472" t="s">
        <v>1405</v>
      </c>
      <c r="Q54" s="474" t="s">
        <v>1411</v>
      </c>
      <c r="R54" s="474"/>
    </row>
    <row r="55" spans="1:18" s="472" customFormat="1" ht="11.25">
      <c r="A55" s="472" t="s">
        <v>1412</v>
      </c>
      <c r="B55" s="472">
        <v>22</v>
      </c>
      <c r="C55" s="472" t="s">
        <v>256</v>
      </c>
      <c r="D55" s="472" t="s">
        <v>1383</v>
      </c>
      <c r="E55" s="472">
        <v>9</v>
      </c>
      <c r="F55" s="507">
        <v>0</v>
      </c>
      <c r="G55" s="507">
        <v>11</v>
      </c>
      <c r="H55" s="472">
        <v>0</v>
      </c>
      <c r="I55" s="472">
        <v>0</v>
      </c>
      <c r="J55" s="472">
        <v>0</v>
      </c>
      <c r="K55" s="472">
        <v>0</v>
      </c>
      <c r="L55" s="508" t="s">
        <v>490</v>
      </c>
      <c r="M55" s="474" t="s">
        <v>1413</v>
      </c>
      <c r="N55" s="509">
        <v>140000</v>
      </c>
      <c r="O55" s="507">
        <v>20</v>
      </c>
      <c r="P55" s="472" t="s">
        <v>1405</v>
      </c>
      <c r="Q55" s="474" t="s">
        <v>1411</v>
      </c>
      <c r="R55" s="474"/>
    </row>
    <row r="56" spans="1:18" s="472" customFormat="1" ht="11.25">
      <c r="A56" s="472" t="s">
        <v>1414</v>
      </c>
      <c r="B56" s="472">
        <v>22</v>
      </c>
      <c r="C56" s="472" t="s">
        <v>256</v>
      </c>
      <c r="D56" s="472" t="s">
        <v>1383</v>
      </c>
      <c r="E56" s="472">
        <v>9</v>
      </c>
      <c r="F56" s="507">
        <v>0</v>
      </c>
      <c r="G56" s="507">
        <v>11</v>
      </c>
      <c r="H56" s="472">
        <v>0</v>
      </c>
      <c r="I56" s="472">
        <v>0</v>
      </c>
      <c r="J56" s="472">
        <v>0</v>
      </c>
      <c r="K56" s="472">
        <v>0</v>
      </c>
      <c r="L56" s="508" t="s">
        <v>490</v>
      </c>
      <c r="M56" s="474" t="s">
        <v>1415</v>
      </c>
      <c r="N56" s="509">
        <v>140000</v>
      </c>
      <c r="O56" s="507">
        <v>20</v>
      </c>
      <c r="P56" s="472" t="s">
        <v>1405</v>
      </c>
      <c r="Q56" s="474" t="s">
        <v>1411</v>
      </c>
      <c r="R56" s="474"/>
    </row>
    <row r="57" spans="1:18" s="472" customFormat="1" ht="11.25">
      <c r="A57" s="472" t="s">
        <v>1416</v>
      </c>
      <c r="B57" s="472">
        <v>22</v>
      </c>
      <c r="C57" s="472" t="s">
        <v>256</v>
      </c>
      <c r="D57" s="472" t="s">
        <v>1383</v>
      </c>
      <c r="E57" s="472">
        <v>9</v>
      </c>
      <c r="F57" s="507">
        <v>0</v>
      </c>
      <c r="G57" s="507">
        <v>11</v>
      </c>
      <c r="H57" s="472">
        <v>0</v>
      </c>
      <c r="I57" s="472">
        <v>0</v>
      </c>
      <c r="J57" s="472">
        <v>0</v>
      </c>
      <c r="K57" s="472">
        <v>0</v>
      </c>
      <c r="L57" s="508" t="s">
        <v>490</v>
      </c>
      <c r="M57" s="474" t="s">
        <v>1417</v>
      </c>
      <c r="N57" s="509">
        <v>140000</v>
      </c>
      <c r="O57" s="507">
        <v>20</v>
      </c>
      <c r="P57" s="472" t="s">
        <v>1405</v>
      </c>
      <c r="Q57" s="474" t="s">
        <v>1411</v>
      </c>
      <c r="R57" s="474"/>
    </row>
    <row r="58" spans="1:18" s="472" customFormat="1" ht="11.25">
      <c r="A58" s="472" t="s">
        <v>1418</v>
      </c>
      <c r="B58" s="472">
        <v>22</v>
      </c>
      <c r="C58" s="472" t="s">
        <v>256</v>
      </c>
      <c r="D58" s="472" t="s">
        <v>1383</v>
      </c>
      <c r="E58" s="472">
        <v>9</v>
      </c>
      <c r="F58" s="507">
        <v>0</v>
      </c>
      <c r="G58" s="507">
        <v>11</v>
      </c>
      <c r="H58" s="472">
        <v>0</v>
      </c>
      <c r="I58" s="472">
        <v>0</v>
      </c>
      <c r="J58" s="472">
        <v>0</v>
      </c>
      <c r="K58" s="472">
        <v>0</v>
      </c>
      <c r="L58" s="508" t="s">
        <v>490</v>
      </c>
      <c r="M58" s="474" t="s">
        <v>1419</v>
      </c>
      <c r="N58" s="509">
        <v>140000</v>
      </c>
      <c r="O58" s="507">
        <v>20</v>
      </c>
      <c r="P58" s="472" t="s">
        <v>1405</v>
      </c>
      <c r="Q58" s="474" t="s">
        <v>1411</v>
      </c>
      <c r="R58" s="474"/>
    </row>
    <row r="59" spans="1:18" s="472" customFormat="1" ht="11.25">
      <c r="A59" s="472" t="s">
        <v>1420</v>
      </c>
      <c r="B59" s="472">
        <v>22</v>
      </c>
      <c r="C59" s="472" t="s">
        <v>256</v>
      </c>
      <c r="D59" s="472" t="s">
        <v>1383</v>
      </c>
      <c r="E59" s="472">
        <v>9</v>
      </c>
      <c r="F59" s="507">
        <v>0</v>
      </c>
      <c r="G59" s="507">
        <v>11</v>
      </c>
      <c r="H59" s="472">
        <v>0</v>
      </c>
      <c r="I59" s="472">
        <v>0</v>
      </c>
      <c r="J59" s="472">
        <v>0</v>
      </c>
      <c r="K59" s="472">
        <v>0</v>
      </c>
      <c r="L59" s="508" t="s">
        <v>490</v>
      </c>
      <c r="M59" s="474" t="s">
        <v>1421</v>
      </c>
      <c r="N59" s="509">
        <v>140000</v>
      </c>
      <c r="O59" s="507">
        <v>20</v>
      </c>
      <c r="P59" s="472" t="s">
        <v>1405</v>
      </c>
      <c r="Q59" s="474" t="s">
        <v>1411</v>
      </c>
      <c r="R59" s="474"/>
    </row>
    <row r="60" spans="1:16" ht="13.5">
      <c r="A60" s="400" t="s">
        <v>1422</v>
      </c>
      <c r="B60" s="400">
        <v>26</v>
      </c>
      <c r="C60" s="400" t="s">
        <v>256</v>
      </c>
      <c r="D60" s="400" t="s">
        <v>1383</v>
      </c>
      <c r="E60" s="400">
        <v>8</v>
      </c>
      <c r="F60" s="495">
        <v>2</v>
      </c>
      <c r="G60" s="495">
        <v>13</v>
      </c>
      <c r="H60" s="400">
        <v>0</v>
      </c>
      <c r="I60" s="400">
        <v>0</v>
      </c>
      <c r="J60" s="400">
        <v>0</v>
      </c>
      <c r="K60" s="400">
        <v>0</v>
      </c>
      <c r="L60" s="496" t="s">
        <v>490</v>
      </c>
      <c r="N60" s="498">
        <v>241400</v>
      </c>
      <c r="O60" s="495">
        <v>21</v>
      </c>
      <c r="P60" s="400" t="s">
        <v>1405</v>
      </c>
    </row>
    <row r="61" spans="1:16" ht="13.5">
      <c r="A61" s="400" t="s">
        <v>1423</v>
      </c>
      <c r="B61" s="400">
        <v>27</v>
      </c>
      <c r="C61" s="400" t="s">
        <v>256</v>
      </c>
      <c r="D61" s="400" t="s">
        <v>1383</v>
      </c>
      <c r="E61" s="400">
        <v>5</v>
      </c>
      <c r="F61" s="495">
        <v>-1</v>
      </c>
      <c r="G61" s="495">
        <v>10</v>
      </c>
      <c r="H61" s="400">
        <v>0</v>
      </c>
      <c r="I61" s="400">
        <v>0</v>
      </c>
      <c r="J61" s="400">
        <v>0</v>
      </c>
      <c r="K61" s="400">
        <v>0</v>
      </c>
      <c r="L61" s="496" t="s">
        <v>490</v>
      </c>
      <c r="N61" s="498">
        <v>86000</v>
      </c>
      <c r="O61" s="495" t="s">
        <v>93</v>
      </c>
      <c r="P61" s="400" t="s">
        <v>1365</v>
      </c>
    </row>
    <row r="62" spans="1:16" ht="13.5">
      <c r="A62" s="400" t="s">
        <v>1424</v>
      </c>
      <c r="B62" s="400">
        <v>29</v>
      </c>
      <c r="C62" s="400" t="s">
        <v>256</v>
      </c>
      <c r="D62" s="400" t="s">
        <v>1383</v>
      </c>
      <c r="E62" s="400">
        <v>12</v>
      </c>
      <c r="F62" s="495">
        <v>-2</v>
      </c>
      <c r="G62" s="495">
        <v>19</v>
      </c>
      <c r="H62" s="400">
        <v>0</v>
      </c>
      <c r="I62" s="400">
        <v>0</v>
      </c>
      <c r="J62" s="400">
        <v>0</v>
      </c>
      <c r="K62" s="400">
        <v>0</v>
      </c>
      <c r="L62" s="496" t="s">
        <v>490</v>
      </c>
      <c r="N62" s="498">
        <v>221000</v>
      </c>
      <c r="O62" s="495">
        <v>25</v>
      </c>
      <c r="P62" s="400" t="s">
        <v>1405</v>
      </c>
    </row>
    <row r="63" spans="1:16" ht="13.5">
      <c r="A63" s="400" t="s">
        <v>1425</v>
      </c>
      <c r="B63" s="400">
        <v>30</v>
      </c>
      <c r="C63" s="400" t="s">
        <v>256</v>
      </c>
      <c r="D63" s="400" t="s">
        <v>1383</v>
      </c>
      <c r="E63" s="400">
        <v>6</v>
      </c>
      <c r="F63" s="495">
        <v>-1</v>
      </c>
      <c r="G63" s="495">
        <v>11</v>
      </c>
      <c r="H63" s="400">
        <v>0</v>
      </c>
      <c r="I63" s="400">
        <v>1</v>
      </c>
      <c r="J63" s="400">
        <v>0</v>
      </c>
      <c r="K63" s="400">
        <v>0</v>
      </c>
      <c r="L63" s="496" t="s">
        <v>490</v>
      </c>
      <c r="N63" s="498">
        <v>130000</v>
      </c>
      <c r="O63" s="495" t="s">
        <v>93</v>
      </c>
      <c r="P63" s="400" t="s">
        <v>1365</v>
      </c>
    </row>
    <row r="64" spans="1:18" ht="13.5">
      <c r="A64" s="215"/>
      <c r="B64" s="215"/>
      <c r="C64" s="215"/>
      <c r="D64" s="215"/>
      <c r="E64" s="215"/>
      <c r="F64" s="320"/>
      <c r="G64" s="320"/>
      <c r="H64" s="215"/>
      <c r="I64" s="215"/>
      <c r="J64" s="215"/>
      <c r="K64" s="215"/>
      <c r="L64" s="505"/>
      <c r="M64" s="215"/>
      <c r="N64" s="223"/>
      <c r="O64" s="320"/>
      <c r="Q64" s="420"/>
      <c r="R64" s="215"/>
    </row>
    <row r="65" spans="1:16" ht="13.5">
      <c r="A65" s="400" t="s">
        <v>1426</v>
      </c>
      <c r="B65" s="400">
        <v>1</v>
      </c>
      <c r="C65" s="400" t="s">
        <v>261</v>
      </c>
      <c r="D65" s="400" t="s">
        <v>1383</v>
      </c>
      <c r="E65" s="400">
        <v>5</v>
      </c>
      <c r="F65" s="495">
        <v>0</v>
      </c>
      <c r="G65" s="495">
        <v>4</v>
      </c>
      <c r="H65" s="400">
        <v>0</v>
      </c>
      <c r="I65" s="400">
        <v>0</v>
      </c>
      <c r="J65" s="400">
        <v>0</v>
      </c>
      <c r="K65" s="400">
        <v>0</v>
      </c>
      <c r="L65" s="496" t="s">
        <v>490</v>
      </c>
      <c r="N65" s="498">
        <v>100</v>
      </c>
      <c r="O65" s="495" t="s">
        <v>93</v>
      </c>
      <c r="P65" s="400" t="s">
        <v>1352</v>
      </c>
    </row>
    <row r="66" spans="1:16" ht="13.5">
      <c r="A66" s="400" t="s">
        <v>1427</v>
      </c>
      <c r="B66" s="400">
        <v>1</v>
      </c>
      <c r="C66" s="400" t="s">
        <v>261</v>
      </c>
      <c r="D66" s="400" t="s">
        <v>1383</v>
      </c>
      <c r="E66" s="400">
        <v>6</v>
      </c>
      <c r="F66" s="495">
        <v>-1</v>
      </c>
      <c r="G66" s="495">
        <v>5</v>
      </c>
      <c r="H66" s="400">
        <v>0</v>
      </c>
      <c r="I66" s="400">
        <v>0</v>
      </c>
      <c r="J66" s="400">
        <v>0</v>
      </c>
      <c r="K66" s="400">
        <v>0</v>
      </c>
      <c r="L66" s="496" t="s">
        <v>490</v>
      </c>
      <c r="N66" s="498">
        <v>120</v>
      </c>
      <c r="O66" s="495" t="s">
        <v>93</v>
      </c>
      <c r="P66" s="400" t="s">
        <v>1352</v>
      </c>
    </row>
    <row r="67" spans="1:16" ht="13.5">
      <c r="A67" s="400" t="s">
        <v>1428</v>
      </c>
      <c r="B67" s="400">
        <v>1</v>
      </c>
      <c r="C67" s="400" t="s">
        <v>261</v>
      </c>
      <c r="D67" s="400" t="s">
        <v>1383</v>
      </c>
      <c r="E67" s="400">
        <v>7</v>
      </c>
      <c r="F67" s="495">
        <v>-1</v>
      </c>
      <c r="G67" s="495">
        <v>6</v>
      </c>
      <c r="H67" s="400">
        <v>0</v>
      </c>
      <c r="I67" s="400">
        <v>0</v>
      </c>
      <c r="J67" s="400">
        <v>0</v>
      </c>
      <c r="K67" s="400">
        <v>0</v>
      </c>
      <c r="L67" s="496" t="s">
        <v>490</v>
      </c>
      <c r="N67" s="498">
        <v>150</v>
      </c>
      <c r="O67" s="495" t="s">
        <v>93</v>
      </c>
      <c r="P67" s="400" t="s">
        <v>1352</v>
      </c>
    </row>
    <row r="68" spans="1:16" ht="13.5">
      <c r="A68" s="400" t="s">
        <v>1429</v>
      </c>
      <c r="B68" s="400">
        <v>1</v>
      </c>
      <c r="C68" s="400" t="s">
        <v>261</v>
      </c>
      <c r="D68" s="400" t="s">
        <v>1383</v>
      </c>
      <c r="E68" s="400">
        <v>8</v>
      </c>
      <c r="F68" s="495">
        <v>-2</v>
      </c>
      <c r="G68" s="495">
        <v>7</v>
      </c>
      <c r="H68" s="400">
        <v>0</v>
      </c>
      <c r="I68" s="400">
        <v>0</v>
      </c>
      <c r="J68" s="400">
        <v>0</v>
      </c>
      <c r="K68" s="400">
        <v>0</v>
      </c>
      <c r="L68" s="496" t="s">
        <v>490</v>
      </c>
      <c r="N68" s="498">
        <v>240</v>
      </c>
      <c r="O68" s="495" t="s">
        <v>93</v>
      </c>
      <c r="P68" s="400" t="s">
        <v>1352</v>
      </c>
    </row>
    <row r="69" spans="1:16" ht="13.5">
      <c r="A69" s="400" t="s">
        <v>1430</v>
      </c>
      <c r="B69" s="400">
        <v>1</v>
      </c>
      <c r="C69" s="400" t="s">
        <v>261</v>
      </c>
      <c r="D69" s="400" t="s">
        <v>1383</v>
      </c>
      <c r="E69" s="400">
        <v>9</v>
      </c>
      <c r="F69" s="495">
        <v>-2</v>
      </c>
      <c r="G69" s="495">
        <v>8</v>
      </c>
      <c r="H69" s="400">
        <v>0</v>
      </c>
      <c r="I69" s="400">
        <v>0</v>
      </c>
      <c r="J69" s="400">
        <v>0</v>
      </c>
      <c r="K69" s="400">
        <v>0</v>
      </c>
      <c r="L69" s="496" t="s">
        <v>490</v>
      </c>
      <c r="N69" s="498">
        <v>260</v>
      </c>
      <c r="O69" s="495" t="s">
        <v>93</v>
      </c>
      <c r="P69" s="400" t="s">
        <v>1352</v>
      </c>
    </row>
    <row r="70" spans="1:17" s="472" customFormat="1" ht="11.25">
      <c r="A70" s="472" t="s">
        <v>1431</v>
      </c>
      <c r="B70" s="472">
        <v>1</v>
      </c>
      <c r="C70" s="472" t="s">
        <v>261</v>
      </c>
      <c r="D70" s="472" t="s">
        <v>1383</v>
      </c>
      <c r="E70" s="472">
        <v>6</v>
      </c>
      <c r="F70" s="507">
        <v>0</v>
      </c>
      <c r="G70" s="507">
        <v>5</v>
      </c>
      <c r="H70" s="472">
        <v>0</v>
      </c>
      <c r="I70" s="472">
        <v>0</v>
      </c>
      <c r="J70" s="472">
        <v>0</v>
      </c>
      <c r="K70" s="472">
        <v>0</v>
      </c>
      <c r="L70" s="508" t="s">
        <v>490</v>
      </c>
      <c r="M70" s="474"/>
      <c r="N70" s="509">
        <v>300</v>
      </c>
      <c r="O70" s="507" t="s">
        <v>93</v>
      </c>
      <c r="P70" s="472" t="s">
        <v>1365</v>
      </c>
      <c r="Q70" s="474"/>
    </row>
    <row r="71" spans="1:17" s="472" customFormat="1" ht="11.25">
      <c r="A71" s="472" t="s">
        <v>1432</v>
      </c>
      <c r="B71" s="472">
        <v>1</v>
      </c>
      <c r="C71" s="472" t="s">
        <v>261</v>
      </c>
      <c r="D71" s="472" t="s">
        <v>1383</v>
      </c>
      <c r="E71" s="472">
        <v>6</v>
      </c>
      <c r="F71" s="507">
        <v>-1</v>
      </c>
      <c r="G71" s="507">
        <v>6</v>
      </c>
      <c r="H71" s="472">
        <v>0</v>
      </c>
      <c r="I71" s="472">
        <v>0</v>
      </c>
      <c r="J71" s="472">
        <v>0</v>
      </c>
      <c r="K71" s="472">
        <v>0</v>
      </c>
      <c r="L71" s="508" t="s">
        <v>490</v>
      </c>
      <c r="M71" s="474"/>
      <c r="N71" s="509">
        <v>1500</v>
      </c>
      <c r="O71" s="507">
        <v>13</v>
      </c>
      <c r="P71" s="472" t="s">
        <v>1433</v>
      </c>
      <c r="Q71" s="474"/>
    </row>
    <row r="72" spans="1:18" s="472" customFormat="1" ht="11.25">
      <c r="A72" s="472" t="s">
        <v>1434</v>
      </c>
      <c r="B72" s="472">
        <v>1</v>
      </c>
      <c r="C72" s="472" t="s">
        <v>261</v>
      </c>
      <c r="D72" s="472" t="s">
        <v>1383</v>
      </c>
      <c r="E72" s="472">
        <v>6</v>
      </c>
      <c r="F72" s="507">
        <v>-1</v>
      </c>
      <c r="G72" s="507">
        <v>6</v>
      </c>
      <c r="H72" s="472">
        <v>0</v>
      </c>
      <c r="I72" s="472">
        <v>0</v>
      </c>
      <c r="J72" s="472">
        <v>0</v>
      </c>
      <c r="K72" s="472">
        <v>0</v>
      </c>
      <c r="L72" s="508" t="s">
        <v>490</v>
      </c>
      <c r="M72" s="474" t="s">
        <v>1435</v>
      </c>
      <c r="N72" s="509">
        <v>1500</v>
      </c>
      <c r="O72" s="507">
        <v>13</v>
      </c>
      <c r="P72" s="472" t="s">
        <v>1433</v>
      </c>
      <c r="Q72" s="474" t="s">
        <v>1436</v>
      </c>
      <c r="R72" s="474"/>
    </row>
    <row r="73" spans="1:17" s="472" customFormat="1" ht="11.25">
      <c r="A73" s="472" t="s">
        <v>1437</v>
      </c>
      <c r="B73" s="472">
        <v>1</v>
      </c>
      <c r="C73" s="472" t="s">
        <v>261</v>
      </c>
      <c r="D73" s="472" t="s">
        <v>1383</v>
      </c>
      <c r="E73" s="472">
        <v>6</v>
      </c>
      <c r="F73" s="507">
        <v>-1</v>
      </c>
      <c r="G73" s="507">
        <v>6</v>
      </c>
      <c r="H73" s="472">
        <v>0</v>
      </c>
      <c r="I73" s="472">
        <v>0</v>
      </c>
      <c r="J73" s="472">
        <v>0</v>
      </c>
      <c r="K73" s="472">
        <v>0</v>
      </c>
      <c r="L73" s="508" t="s">
        <v>490</v>
      </c>
      <c r="M73" s="474" t="s">
        <v>1438</v>
      </c>
      <c r="N73" s="509">
        <v>1500</v>
      </c>
      <c r="O73" s="507">
        <v>13</v>
      </c>
      <c r="P73" s="472" t="s">
        <v>1433</v>
      </c>
      <c r="Q73" s="474" t="s">
        <v>1436</v>
      </c>
    </row>
    <row r="74" spans="1:17" s="472" customFormat="1" ht="11.25">
      <c r="A74" s="472" t="s">
        <v>1439</v>
      </c>
      <c r="B74" s="472">
        <v>1</v>
      </c>
      <c r="C74" s="472" t="s">
        <v>261</v>
      </c>
      <c r="D74" s="472" t="s">
        <v>1383</v>
      </c>
      <c r="E74" s="472">
        <v>6</v>
      </c>
      <c r="F74" s="507">
        <v>-1</v>
      </c>
      <c r="G74" s="507">
        <v>6</v>
      </c>
      <c r="H74" s="472">
        <v>0</v>
      </c>
      <c r="I74" s="472">
        <v>0</v>
      </c>
      <c r="J74" s="472">
        <v>0</v>
      </c>
      <c r="K74" s="472">
        <v>0</v>
      </c>
      <c r="L74" s="508" t="s">
        <v>490</v>
      </c>
      <c r="M74" s="474" t="s">
        <v>1440</v>
      </c>
      <c r="N74" s="509">
        <v>1500</v>
      </c>
      <c r="O74" s="507">
        <v>13</v>
      </c>
      <c r="P74" s="472" t="s">
        <v>1433</v>
      </c>
      <c r="Q74" s="474" t="s">
        <v>1436</v>
      </c>
    </row>
    <row r="75" spans="1:17" s="472" customFormat="1" ht="11.25">
      <c r="A75" s="472" t="s">
        <v>1441</v>
      </c>
      <c r="B75" s="472">
        <v>1</v>
      </c>
      <c r="C75" s="472" t="s">
        <v>261</v>
      </c>
      <c r="D75" s="472" t="s">
        <v>1383</v>
      </c>
      <c r="E75" s="472">
        <v>6</v>
      </c>
      <c r="F75" s="507">
        <v>-1</v>
      </c>
      <c r="G75" s="507">
        <v>6</v>
      </c>
      <c r="H75" s="472">
        <v>0</v>
      </c>
      <c r="I75" s="472">
        <v>0</v>
      </c>
      <c r="J75" s="472">
        <v>0</v>
      </c>
      <c r="K75" s="472">
        <v>0</v>
      </c>
      <c r="L75" s="508" t="s">
        <v>490</v>
      </c>
      <c r="M75" s="474" t="s">
        <v>1442</v>
      </c>
      <c r="N75" s="509">
        <v>1500</v>
      </c>
      <c r="O75" s="507">
        <v>13</v>
      </c>
      <c r="P75" s="472" t="s">
        <v>1433</v>
      </c>
      <c r="Q75" s="474" t="s">
        <v>1436</v>
      </c>
    </row>
    <row r="76" spans="1:17" s="472" customFormat="1" ht="11.25">
      <c r="A76" s="472" t="s">
        <v>1443</v>
      </c>
      <c r="B76" s="472">
        <v>1</v>
      </c>
      <c r="C76" s="472" t="s">
        <v>261</v>
      </c>
      <c r="D76" s="472" t="s">
        <v>1383</v>
      </c>
      <c r="E76" s="472">
        <v>6</v>
      </c>
      <c r="F76" s="507">
        <v>-1</v>
      </c>
      <c r="G76" s="507">
        <v>6</v>
      </c>
      <c r="H76" s="472">
        <v>0</v>
      </c>
      <c r="I76" s="472">
        <v>0</v>
      </c>
      <c r="J76" s="472">
        <v>0</v>
      </c>
      <c r="K76" s="472">
        <v>0</v>
      </c>
      <c r="L76" s="508" t="s">
        <v>490</v>
      </c>
      <c r="M76" s="474" t="s">
        <v>1444</v>
      </c>
      <c r="N76" s="509">
        <v>1500</v>
      </c>
      <c r="O76" s="507">
        <v>13</v>
      </c>
      <c r="P76" s="472" t="s">
        <v>1433</v>
      </c>
      <c r="Q76" s="474" t="s">
        <v>1436</v>
      </c>
    </row>
    <row r="77" spans="1:17" s="472" customFormat="1" ht="11.25">
      <c r="A77" s="472" t="s">
        <v>1445</v>
      </c>
      <c r="B77" s="472">
        <v>1</v>
      </c>
      <c r="C77" s="472" t="s">
        <v>261</v>
      </c>
      <c r="D77" s="472" t="s">
        <v>1383</v>
      </c>
      <c r="E77" s="472">
        <v>5</v>
      </c>
      <c r="F77" s="507">
        <v>0</v>
      </c>
      <c r="G77" s="507">
        <v>5</v>
      </c>
      <c r="H77" s="472">
        <v>0</v>
      </c>
      <c r="I77" s="472">
        <v>0</v>
      </c>
      <c r="J77" s="472">
        <v>0</v>
      </c>
      <c r="K77" s="472">
        <v>0</v>
      </c>
      <c r="L77" s="508" t="s">
        <v>490</v>
      </c>
      <c r="M77" s="474"/>
      <c r="N77" s="509">
        <v>800</v>
      </c>
      <c r="O77" s="507">
        <v>10</v>
      </c>
      <c r="P77" s="472" t="s">
        <v>1361</v>
      </c>
      <c r="Q77" s="474"/>
    </row>
    <row r="78" spans="1:16" ht="13.5">
      <c r="A78" s="400" t="s">
        <v>1446</v>
      </c>
      <c r="B78" s="400">
        <v>3</v>
      </c>
      <c r="C78" s="400" t="s">
        <v>261</v>
      </c>
      <c r="D78" s="400" t="s">
        <v>1383</v>
      </c>
      <c r="E78" s="400">
        <v>7</v>
      </c>
      <c r="F78" s="495">
        <v>1</v>
      </c>
      <c r="G78" s="495">
        <v>10</v>
      </c>
      <c r="H78" s="400">
        <v>0</v>
      </c>
      <c r="I78" s="400">
        <v>0</v>
      </c>
      <c r="J78" s="400" t="s">
        <v>93</v>
      </c>
      <c r="K78" s="400">
        <v>0</v>
      </c>
      <c r="L78" s="496" t="s">
        <v>490</v>
      </c>
      <c r="N78" s="498">
        <v>3200</v>
      </c>
      <c r="O78" s="495">
        <v>15</v>
      </c>
      <c r="P78" s="400" t="s">
        <v>1363</v>
      </c>
    </row>
    <row r="79" spans="1:16" ht="13.5">
      <c r="A79" s="400" t="s">
        <v>1447</v>
      </c>
      <c r="B79" s="400">
        <v>4</v>
      </c>
      <c r="C79" s="400" t="s">
        <v>261</v>
      </c>
      <c r="D79" s="400" t="s">
        <v>1383</v>
      </c>
      <c r="E79" s="400">
        <v>10</v>
      </c>
      <c r="F79" s="495">
        <v>-2</v>
      </c>
      <c r="G79" s="495">
        <v>9</v>
      </c>
      <c r="H79" s="400">
        <v>0</v>
      </c>
      <c r="I79" s="400">
        <v>0</v>
      </c>
      <c r="J79" s="400">
        <v>0</v>
      </c>
      <c r="K79" s="400">
        <v>0</v>
      </c>
      <c r="L79" s="496" t="s">
        <v>490</v>
      </c>
      <c r="N79" s="498">
        <v>300</v>
      </c>
      <c r="O79" s="495" t="s">
        <v>93</v>
      </c>
      <c r="P79" s="400" t="s">
        <v>1352</v>
      </c>
    </row>
    <row r="80" spans="1:16" ht="13.5">
      <c r="A80" s="400" t="s">
        <v>1448</v>
      </c>
      <c r="B80" s="400">
        <v>4</v>
      </c>
      <c r="C80" s="400" t="s">
        <v>261</v>
      </c>
      <c r="D80" s="400" t="s">
        <v>1383</v>
      </c>
      <c r="E80" s="400">
        <v>8</v>
      </c>
      <c r="F80" s="495">
        <v>-1</v>
      </c>
      <c r="G80" s="495">
        <v>8</v>
      </c>
      <c r="H80" s="400">
        <v>0</v>
      </c>
      <c r="I80" s="400">
        <v>0</v>
      </c>
      <c r="J80" s="400">
        <v>0</v>
      </c>
      <c r="K80" s="400">
        <v>0</v>
      </c>
      <c r="L80" s="496" t="s">
        <v>490</v>
      </c>
      <c r="N80" s="498">
        <v>500</v>
      </c>
      <c r="O80" s="495" t="s">
        <v>93</v>
      </c>
      <c r="P80" s="400" t="s">
        <v>1365</v>
      </c>
    </row>
    <row r="81" spans="1:16" ht="13.5">
      <c r="A81" s="400" t="s">
        <v>1449</v>
      </c>
      <c r="B81" s="400">
        <v>4</v>
      </c>
      <c r="C81" s="400" t="s">
        <v>261</v>
      </c>
      <c r="D81" s="400" t="s">
        <v>1383</v>
      </c>
      <c r="E81" s="400">
        <v>6</v>
      </c>
      <c r="F81" s="495">
        <v>0</v>
      </c>
      <c r="G81" s="495">
        <v>7</v>
      </c>
      <c r="H81" s="400">
        <v>0</v>
      </c>
      <c r="I81" s="400">
        <v>0</v>
      </c>
      <c r="J81" s="400">
        <v>0</v>
      </c>
      <c r="K81" s="400">
        <v>0</v>
      </c>
      <c r="L81" s="496" t="s">
        <v>490</v>
      </c>
      <c r="N81" s="498">
        <v>4300</v>
      </c>
      <c r="O81" s="495">
        <v>13</v>
      </c>
      <c r="P81" s="400" t="s">
        <v>1405</v>
      </c>
    </row>
    <row r="82" spans="1:16" ht="13.5">
      <c r="A82" s="400" t="s">
        <v>1450</v>
      </c>
      <c r="B82" s="400">
        <v>5</v>
      </c>
      <c r="C82" s="400" t="s">
        <v>261</v>
      </c>
      <c r="D82" s="400" t="s">
        <v>1383</v>
      </c>
      <c r="E82" s="400">
        <v>12</v>
      </c>
      <c r="F82" s="495">
        <v>-1</v>
      </c>
      <c r="G82" s="495">
        <v>12</v>
      </c>
      <c r="H82" s="400">
        <v>0</v>
      </c>
      <c r="I82" s="400">
        <v>0</v>
      </c>
      <c r="J82" s="400">
        <v>0</v>
      </c>
      <c r="K82" s="400">
        <v>0</v>
      </c>
      <c r="L82" s="496" t="s">
        <v>490</v>
      </c>
      <c r="N82" s="498">
        <v>4200</v>
      </c>
      <c r="O82" s="495">
        <v>15</v>
      </c>
      <c r="P82" s="400" t="s">
        <v>1359</v>
      </c>
    </row>
    <row r="83" spans="1:16" ht="13.5">
      <c r="A83" s="400" t="s">
        <v>1451</v>
      </c>
      <c r="B83" s="400">
        <v>7</v>
      </c>
      <c r="C83" s="400" t="s">
        <v>261</v>
      </c>
      <c r="D83" s="400" t="s">
        <v>1383</v>
      </c>
      <c r="E83" s="400">
        <v>9</v>
      </c>
      <c r="F83" s="495">
        <v>-1</v>
      </c>
      <c r="G83" s="495">
        <v>11</v>
      </c>
      <c r="H83" s="400">
        <v>0</v>
      </c>
      <c r="I83" s="400">
        <v>0</v>
      </c>
      <c r="J83" s="400">
        <v>0</v>
      </c>
      <c r="K83" s="400">
        <v>-1</v>
      </c>
      <c r="L83" s="496" t="s">
        <v>490</v>
      </c>
      <c r="N83" s="498">
        <v>8800</v>
      </c>
      <c r="O83" s="495" t="s">
        <v>93</v>
      </c>
      <c r="P83" s="400" t="s">
        <v>1365</v>
      </c>
    </row>
    <row r="84" spans="1:16" ht="13.5">
      <c r="A84" s="400" t="s">
        <v>1452</v>
      </c>
      <c r="B84" s="400">
        <v>7</v>
      </c>
      <c r="C84" s="400" t="s">
        <v>261</v>
      </c>
      <c r="D84" s="400" t="s">
        <v>1383</v>
      </c>
      <c r="E84" s="400">
        <v>10</v>
      </c>
      <c r="F84" s="495">
        <v>-2</v>
      </c>
      <c r="G84" s="495">
        <v>12</v>
      </c>
      <c r="H84" s="400">
        <v>0</v>
      </c>
      <c r="I84" s="400">
        <v>0</v>
      </c>
      <c r="J84" s="400" t="s">
        <v>93</v>
      </c>
      <c r="K84" s="400">
        <v>-1</v>
      </c>
      <c r="L84" s="496" t="s">
        <v>490</v>
      </c>
      <c r="N84" s="498">
        <v>10000</v>
      </c>
      <c r="O84" s="495">
        <v>18</v>
      </c>
      <c r="P84" s="400" t="s">
        <v>1363</v>
      </c>
    </row>
    <row r="85" spans="1:16" ht="13.5">
      <c r="A85" s="400" t="s">
        <v>1453</v>
      </c>
      <c r="B85" s="400">
        <v>8</v>
      </c>
      <c r="C85" s="400" t="s">
        <v>261</v>
      </c>
      <c r="D85" s="400" t="s">
        <v>1383</v>
      </c>
      <c r="E85" s="400">
        <v>6</v>
      </c>
      <c r="F85" s="495">
        <v>1</v>
      </c>
      <c r="G85" s="495">
        <v>9</v>
      </c>
      <c r="H85" s="400">
        <v>0</v>
      </c>
      <c r="I85" s="400">
        <v>0</v>
      </c>
      <c r="J85" s="400">
        <v>0</v>
      </c>
      <c r="K85" s="400">
        <v>0</v>
      </c>
      <c r="L85" s="496" t="s">
        <v>490</v>
      </c>
      <c r="N85" s="498">
        <v>1200</v>
      </c>
      <c r="O85" s="495" t="s">
        <v>93</v>
      </c>
      <c r="P85" s="400" t="s">
        <v>1365</v>
      </c>
    </row>
    <row r="86" spans="1:16" ht="13.5">
      <c r="A86" s="400" t="s">
        <v>1454</v>
      </c>
      <c r="B86" s="400">
        <v>8</v>
      </c>
      <c r="C86" s="400" t="s">
        <v>261</v>
      </c>
      <c r="D86" s="400" t="s">
        <v>1383</v>
      </c>
      <c r="E86" s="400">
        <v>11</v>
      </c>
      <c r="F86" s="495">
        <v>-3</v>
      </c>
      <c r="G86" s="495">
        <v>14</v>
      </c>
      <c r="H86" s="400">
        <v>0</v>
      </c>
      <c r="I86" s="400">
        <v>0</v>
      </c>
      <c r="J86" s="400">
        <v>0</v>
      </c>
      <c r="K86" s="400">
        <v>-1</v>
      </c>
      <c r="L86" s="496" t="s">
        <v>490</v>
      </c>
      <c r="N86" s="498">
        <v>20000</v>
      </c>
      <c r="O86" s="495">
        <v>16</v>
      </c>
      <c r="P86" s="400" t="s">
        <v>1359</v>
      </c>
    </row>
    <row r="87" spans="1:16" ht="13.5">
      <c r="A87" s="400" t="s">
        <v>1455</v>
      </c>
      <c r="B87" s="400">
        <v>10</v>
      </c>
      <c r="C87" s="400" t="s">
        <v>261</v>
      </c>
      <c r="D87" s="400" t="s">
        <v>1383</v>
      </c>
      <c r="E87" s="400">
        <v>8</v>
      </c>
      <c r="F87" s="495">
        <v>-2</v>
      </c>
      <c r="G87" s="495">
        <v>15</v>
      </c>
      <c r="H87" s="400">
        <v>0</v>
      </c>
      <c r="I87" s="400">
        <v>0</v>
      </c>
      <c r="J87" s="400">
        <v>0</v>
      </c>
      <c r="K87" s="400">
        <v>0</v>
      </c>
      <c r="L87" s="496" t="s">
        <v>490</v>
      </c>
      <c r="N87" s="498">
        <v>45000</v>
      </c>
      <c r="O87" s="495">
        <v>22</v>
      </c>
      <c r="P87" s="400" t="s">
        <v>1369</v>
      </c>
    </row>
    <row r="88" spans="1:16" ht="13.5">
      <c r="A88" s="400" t="s">
        <v>1456</v>
      </c>
      <c r="B88" s="400">
        <v>11</v>
      </c>
      <c r="C88" s="400" t="s">
        <v>261</v>
      </c>
      <c r="D88" s="400" t="s">
        <v>1383</v>
      </c>
      <c r="E88" s="400">
        <v>5</v>
      </c>
      <c r="F88" s="495">
        <v>0</v>
      </c>
      <c r="G88" s="495">
        <v>10</v>
      </c>
      <c r="H88" s="400">
        <v>0</v>
      </c>
      <c r="I88" s="400">
        <v>0</v>
      </c>
      <c r="J88" s="400">
        <v>0</v>
      </c>
      <c r="K88" s="400">
        <v>0</v>
      </c>
      <c r="L88" s="496" t="s">
        <v>490</v>
      </c>
      <c r="N88" s="498">
        <v>6000</v>
      </c>
      <c r="O88" s="495" t="s">
        <v>93</v>
      </c>
      <c r="P88" s="400" t="s">
        <v>1365</v>
      </c>
    </row>
    <row r="89" spans="1:16" ht="13.5">
      <c r="A89" s="400" t="s">
        <v>1457</v>
      </c>
      <c r="B89" s="400">
        <v>12</v>
      </c>
      <c r="C89" s="400" t="s">
        <v>261</v>
      </c>
      <c r="D89" s="400" t="s">
        <v>1383</v>
      </c>
      <c r="E89" s="400">
        <v>7</v>
      </c>
      <c r="F89" s="495">
        <v>0</v>
      </c>
      <c r="G89" s="495">
        <v>11</v>
      </c>
      <c r="H89" s="400">
        <v>0</v>
      </c>
      <c r="I89" s="400">
        <v>0</v>
      </c>
      <c r="J89" s="400">
        <v>0</v>
      </c>
      <c r="K89" s="400">
        <v>0</v>
      </c>
      <c r="L89" s="496" t="s">
        <v>490</v>
      </c>
      <c r="N89" s="498">
        <v>7000</v>
      </c>
      <c r="O89" s="495" t="s">
        <v>93</v>
      </c>
      <c r="P89" s="400" t="s">
        <v>1365</v>
      </c>
    </row>
    <row r="90" spans="1:17" s="472" customFormat="1" ht="11.25">
      <c r="A90" s="472" t="s">
        <v>1458</v>
      </c>
      <c r="B90" s="472">
        <v>14</v>
      </c>
      <c r="C90" s="472" t="s">
        <v>261</v>
      </c>
      <c r="D90" s="472" t="s">
        <v>1383</v>
      </c>
      <c r="E90" s="472">
        <v>10</v>
      </c>
      <c r="F90" s="507">
        <v>-1</v>
      </c>
      <c r="G90" s="507">
        <v>14</v>
      </c>
      <c r="H90" s="472">
        <v>0</v>
      </c>
      <c r="I90" s="472">
        <v>0</v>
      </c>
      <c r="J90" s="472">
        <v>0</v>
      </c>
      <c r="K90" s="472">
        <v>0</v>
      </c>
      <c r="L90" s="508" t="s">
        <v>490</v>
      </c>
      <c r="M90" s="474"/>
      <c r="N90" s="509">
        <v>62000</v>
      </c>
      <c r="O90" s="507">
        <v>19</v>
      </c>
      <c r="P90" s="472" t="s">
        <v>1405</v>
      </c>
      <c r="Q90" s="474"/>
    </row>
    <row r="91" spans="1:16" ht="13.5">
      <c r="A91" s="400" t="s">
        <v>1459</v>
      </c>
      <c r="B91" s="400">
        <v>15</v>
      </c>
      <c r="C91" s="400" t="s">
        <v>261</v>
      </c>
      <c r="D91" s="400" t="s">
        <v>1383</v>
      </c>
      <c r="E91" s="400">
        <v>10</v>
      </c>
      <c r="F91" s="495">
        <v>-1</v>
      </c>
      <c r="G91" s="495">
        <v>13</v>
      </c>
      <c r="H91" s="400">
        <v>0</v>
      </c>
      <c r="I91" s="400">
        <v>0</v>
      </c>
      <c r="J91" s="400">
        <v>0</v>
      </c>
      <c r="K91" s="400">
        <v>-1</v>
      </c>
      <c r="L91" s="496" t="s">
        <v>490</v>
      </c>
      <c r="N91" s="498">
        <v>19000</v>
      </c>
      <c r="O91" s="495" t="s">
        <v>93</v>
      </c>
      <c r="P91" s="400" t="s">
        <v>1365</v>
      </c>
    </row>
    <row r="92" spans="1:16" ht="13.5">
      <c r="A92" s="400" t="s">
        <v>1460</v>
      </c>
      <c r="B92" s="400">
        <v>15</v>
      </c>
      <c r="C92" s="400" t="s">
        <v>261</v>
      </c>
      <c r="D92" s="400" t="s">
        <v>1383</v>
      </c>
      <c r="E92" s="400">
        <v>6</v>
      </c>
      <c r="F92" s="495">
        <v>-2</v>
      </c>
      <c r="G92" s="495">
        <v>16</v>
      </c>
      <c r="H92" s="400">
        <v>0</v>
      </c>
      <c r="I92" s="400">
        <v>0</v>
      </c>
      <c r="J92" s="400">
        <v>0</v>
      </c>
      <c r="K92" s="400">
        <v>-2</v>
      </c>
      <c r="L92" s="496" t="s">
        <v>490</v>
      </c>
      <c r="N92" s="498">
        <v>24000</v>
      </c>
      <c r="O92" s="495" t="s">
        <v>93</v>
      </c>
      <c r="P92" s="400" t="s">
        <v>1365</v>
      </c>
    </row>
    <row r="93" spans="1:16" ht="13.5">
      <c r="A93" s="400" t="s">
        <v>1461</v>
      </c>
      <c r="B93" s="400">
        <v>17</v>
      </c>
      <c r="C93" s="400" t="s">
        <v>261</v>
      </c>
      <c r="D93" s="400" t="s">
        <v>1383</v>
      </c>
      <c r="E93" s="400">
        <v>20</v>
      </c>
      <c r="F93" s="495">
        <v>-2</v>
      </c>
      <c r="G93" s="495">
        <v>16</v>
      </c>
      <c r="H93" s="400">
        <v>0</v>
      </c>
      <c r="I93" s="400">
        <v>5</v>
      </c>
      <c r="J93" s="400">
        <v>5</v>
      </c>
      <c r="K93" s="400">
        <v>0</v>
      </c>
      <c r="L93" s="496" t="s">
        <v>490</v>
      </c>
      <c r="N93" s="498">
        <v>90000</v>
      </c>
      <c r="O93" s="495">
        <v>18</v>
      </c>
      <c r="P93" s="400" t="s">
        <v>1405</v>
      </c>
    </row>
    <row r="94" spans="1:16" ht="13.5">
      <c r="A94" s="400" t="s">
        <v>1462</v>
      </c>
      <c r="B94" s="400">
        <v>18</v>
      </c>
      <c r="C94" s="400" t="s">
        <v>261</v>
      </c>
      <c r="D94" s="400" t="s">
        <v>1383</v>
      </c>
      <c r="E94" s="400">
        <v>11</v>
      </c>
      <c r="F94" s="495">
        <v>-2</v>
      </c>
      <c r="G94" s="495">
        <v>14</v>
      </c>
      <c r="H94" s="400">
        <v>0</v>
      </c>
      <c r="I94" s="400">
        <v>0</v>
      </c>
      <c r="J94" s="400">
        <v>0</v>
      </c>
      <c r="K94" s="400">
        <v>-1</v>
      </c>
      <c r="L94" s="496" t="s">
        <v>490</v>
      </c>
      <c r="N94" s="498">
        <v>31000</v>
      </c>
      <c r="O94" s="495" t="s">
        <v>93</v>
      </c>
      <c r="P94" s="400" t="s">
        <v>1365</v>
      </c>
    </row>
    <row r="95" spans="1:16" ht="13.5">
      <c r="A95" s="400" t="s">
        <v>1463</v>
      </c>
      <c r="B95" s="400">
        <v>20</v>
      </c>
      <c r="C95" s="400" t="s">
        <v>261</v>
      </c>
      <c r="D95" s="400" t="s">
        <v>1383</v>
      </c>
      <c r="E95" s="400">
        <v>9</v>
      </c>
      <c r="F95" s="495">
        <v>-1</v>
      </c>
      <c r="G95" s="495">
        <v>14</v>
      </c>
      <c r="H95" s="400">
        <v>0</v>
      </c>
      <c r="I95" s="400">
        <v>0</v>
      </c>
      <c r="J95" s="400">
        <v>0</v>
      </c>
      <c r="K95" s="400">
        <v>0</v>
      </c>
      <c r="L95" s="496" t="s">
        <v>490</v>
      </c>
      <c r="N95" s="498">
        <v>35000</v>
      </c>
      <c r="O95" s="495" t="s">
        <v>93</v>
      </c>
      <c r="P95" s="400" t="s">
        <v>1365</v>
      </c>
    </row>
    <row r="96" spans="1:17" s="472" customFormat="1" ht="11.25">
      <c r="A96" s="472" t="s">
        <v>1464</v>
      </c>
      <c r="B96" s="472">
        <v>22</v>
      </c>
      <c r="C96" s="472" t="s">
        <v>261</v>
      </c>
      <c r="D96" s="472" t="s">
        <v>1383</v>
      </c>
      <c r="E96" s="472">
        <v>16</v>
      </c>
      <c r="F96" s="507">
        <v>-1</v>
      </c>
      <c r="G96" s="507">
        <v>17</v>
      </c>
      <c r="H96" s="472">
        <v>0</v>
      </c>
      <c r="I96" s="472">
        <v>0</v>
      </c>
      <c r="J96" s="472">
        <v>0</v>
      </c>
      <c r="K96" s="472">
        <v>0</v>
      </c>
      <c r="L96" s="508" t="s">
        <v>490</v>
      </c>
      <c r="M96" s="474"/>
      <c r="N96" s="509">
        <v>166000</v>
      </c>
      <c r="O96" s="507">
        <v>22</v>
      </c>
      <c r="P96" s="472" t="s">
        <v>1405</v>
      </c>
      <c r="Q96" s="474"/>
    </row>
    <row r="97" spans="1:16" ht="13.5">
      <c r="A97" s="400" t="s">
        <v>1465</v>
      </c>
      <c r="B97" s="400">
        <v>24</v>
      </c>
      <c r="C97" s="400" t="s">
        <v>261</v>
      </c>
      <c r="D97" s="400" t="s">
        <v>1383</v>
      </c>
      <c r="E97" s="400">
        <v>9</v>
      </c>
      <c r="F97" s="495">
        <v>-1</v>
      </c>
      <c r="G97" s="495">
        <v>15</v>
      </c>
      <c r="H97" s="400">
        <v>0</v>
      </c>
      <c r="I97" s="400">
        <v>0</v>
      </c>
      <c r="J97" s="400">
        <v>0</v>
      </c>
      <c r="K97" s="400">
        <v>0</v>
      </c>
      <c r="L97" s="496" t="s">
        <v>490</v>
      </c>
      <c r="N97" s="498">
        <v>35000</v>
      </c>
      <c r="O97" s="495" t="s">
        <v>93</v>
      </c>
      <c r="P97" s="400" t="s">
        <v>1365</v>
      </c>
    </row>
    <row r="98" spans="1:16" ht="13.5">
      <c r="A98" s="400" t="s">
        <v>1466</v>
      </c>
      <c r="B98" s="400">
        <v>26</v>
      </c>
      <c r="C98" s="400" t="s">
        <v>261</v>
      </c>
      <c r="D98" s="400" t="s">
        <v>1383</v>
      </c>
      <c r="E98" s="400">
        <v>14</v>
      </c>
      <c r="F98" s="495">
        <v>-1</v>
      </c>
      <c r="G98" s="495">
        <v>21</v>
      </c>
      <c r="H98" s="400">
        <v>0</v>
      </c>
      <c r="I98" s="400">
        <v>0</v>
      </c>
      <c r="J98" s="400">
        <v>0</v>
      </c>
      <c r="K98" s="400">
        <v>0</v>
      </c>
      <c r="L98" s="496" t="s">
        <v>490</v>
      </c>
      <c r="N98" s="498">
        <v>253000</v>
      </c>
      <c r="O98" s="495">
        <v>24</v>
      </c>
      <c r="P98" s="400" t="s">
        <v>1405</v>
      </c>
    </row>
    <row r="99" spans="1:16" ht="13.5">
      <c r="A99" s="400" t="s">
        <v>1467</v>
      </c>
      <c r="B99" s="400">
        <v>27</v>
      </c>
      <c r="C99" s="400" t="s">
        <v>261</v>
      </c>
      <c r="D99" s="400" t="s">
        <v>1383</v>
      </c>
      <c r="E99" s="400">
        <v>11</v>
      </c>
      <c r="F99" s="495">
        <v>-2</v>
      </c>
      <c r="G99" s="495">
        <v>16</v>
      </c>
      <c r="H99" s="400">
        <v>0</v>
      </c>
      <c r="I99" s="400">
        <v>0</v>
      </c>
      <c r="J99" s="400">
        <v>0</v>
      </c>
      <c r="K99" s="400">
        <v>0</v>
      </c>
      <c r="L99" s="496" t="s">
        <v>490</v>
      </c>
      <c r="N99" s="498">
        <v>79500</v>
      </c>
      <c r="O99" s="495" t="s">
        <v>93</v>
      </c>
      <c r="P99" s="400" t="s">
        <v>1365</v>
      </c>
    </row>
    <row r="100" spans="1:16" ht="13.5">
      <c r="A100" s="400" t="s">
        <v>1468</v>
      </c>
      <c r="B100" s="400">
        <v>29</v>
      </c>
      <c r="C100" s="400" t="s">
        <v>261</v>
      </c>
      <c r="D100" s="400" t="s">
        <v>1383</v>
      </c>
      <c r="E100" s="400">
        <v>15</v>
      </c>
      <c r="F100" s="495">
        <v>-2</v>
      </c>
      <c r="G100" s="495">
        <v>28</v>
      </c>
      <c r="H100" s="400">
        <v>0</v>
      </c>
      <c r="I100" s="400">
        <v>0</v>
      </c>
      <c r="J100" s="400">
        <v>0</v>
      </c>
      <c r="K100" s="400">
        <v>0</v>
      </c>
      <c r="L100" s="496" t="s">
        <v>490</v>
      </c>
      <c r="N100" s="498">
        <v>296000</v>
      </c>
      <c r="O100" s="495">
        <v>29</v>
      </c>
      <c r="P100" s="400" t="s">
        <v>1469</v>
      </c>
    </row>
    <row r="101" spans="1:16" ht="13.5">
      <c r="A101" s="400" t="s">
        <v>1470</v>
      </c>
      <c r="B101" s="400">
        <v>30</v>
      </c>
      <c r="C101" s="400" t="s">
        <v>261</v>
      </c>
      <c r="D101" s="400" t="s">
        <v>1383</v>
      </c>
      <c r="E101" s="400">
        <v>13</v>
      </c>
      <c r="F101" s="495">
        <v>-2</v>
      </c>
      <c r="G101" s="495">
        <v>18</v>
      </c>
      <c r="H101" s="400">
        <v>0</v>
      </c>
      <c r="I101" s="400">
        <v>0</v>
      </c>
      <c r="J101" s="400">
        <v>0</v>
      </c>
      <c r="K101" s="400">
        <v>0</v>
      </c>
      <c r="L101" s="496" t="s">
        <v>490</v>
      </c>
      <c r="N101" s="498">
        <v>160000</v>
      </c>
      <c r="O101" s="495" t="s">
        <v>93</v>
      </c>
      <c r="P101" s="400" t="s">
        <v>1365</v>
      </c>
    </row>
    <row r="102" spans="1:16" ht="13.5">
      <c r="A102" s="400" t="s">
        <v>1471</v>
      </c>
      <c r="B102" s="400">
        <v>30</v>
      </c>
      <c r="C102" s="400" t="s">
        <v>261</v>
      </c>
      <c r="D102" s="400" t="s">
        <v>1383</v>
      </c>
      <c r="E102" s="400">
        <v>10</v>
      </c>
      <c r="F102" s="495">
        <v>-1</v>
      </c>
      <c r="G102" s="495">
        <v>42</v>
      </c>
      <c r="H102" s="400">
        <v>0</v>
      </c>
      <c r="I102" s="400">
        <v>0</v>
      </c>
      <c r="J102" s="400">
        <v>0</v>
      </c>
      <c r="K102" s="400">
        <v>0</v>
      </c>
      <c r="L102" s="496" t="s">
        <v>490</v>
      </c>
      <c r="N102" s="498" t="s">
        <v>1472</v>
      </c>
      <c r="O102" s="495">
        <v>30</v>
      </c>
      <c r="P102" s="400" t="s">
        <v>1369</v>
      </c>
    </row>
    <row r="103" spans="1:16" ht="13.5">
      <c r="A103" s="400" t="s">
        <v>1473</v>
      </c>
      <c r="B103" s="400">
        <v>30</v>
      </c>
      <c r="C103" s="400" t="s">
        <v>261</v>
      </c>
      <c r="D103" s="400" t="s">
        <v>1383</v>
      </c>
      <c r="E103" s="400">
        <v>12</v>
      </c>
      <c r="F103" s="495">
        <v>-2</v>
      </c>
      <c r="G103" s="495">
        <v>16</v>
      </c>
      <c r="H103" s="400">
        <v>0</v>
      </c>
      <c r="I103" s="400">
        <v>0</v>
      </c>
      <c r="J103" s="400">
        <v>0</v>
      </c>
      <c r="K103" s="400">
        <v>-1</v>
      </c>
      <c r="L103" s="496" t="s">
        <v>490</v>
      </c>
      <c r="N103" s="498">
        <v>390000</v>
      </c>
      <c r="O103" s="495">
        <v>30</v>
      </c>
      <c r="P103" s="400" t="s">
        <v>1469</v>
      </c>
    </row>
    <row r="104" spans="1:18" ht="13.5">
      <c r="A104" s="215"/>
      <c r="B104" s="215"/>
      <c r="C104" s="215"/>
      <c r="D104" s="215"/>
      <c r="E104" s="215"/>
      <c r="F104" s="320"/>
      <c r="G104" s="320"/>
      <c r="H104" s="215"/>
      <c r="I104" s="215"/>
      <c r="J104" s="215"/>
      <c r="K104" s="215"/>
      <c r="L104" s="505"/>
      <c r="M104" s="215"/>
      <c r="N104" s="223"/>
      <c r="O104" s="320"/>
      <c r="Q104" s="420"/>
      <c r="R104" s="215"/>
    </row>
    <row r="105" spans="1:16" ht="13.5">
      <c r="A105" s="400" t="s">
        <v>1474</v>
      </c>
      <c r="B105" s="400">
        <v>1</v>
      </c>
      <c r="C105" s="400" t="s">
        <v>265</v>
      </c>
      <c r="D105" s="400" t="s">
        <v>1354</v>
      </c>
      <c r="E105" s="400">
        <v>9</v>
      </c>
      <c r="F105" s="495">
        <v>-2</v>
      </c>
      <c r="G105" s="495">
        <v>9</v>
      </c>
      <c r="H105" s="400">
        <v>0</v>
      </c>
      <c r="I105" s="400">
        <v>0</v>
      </c>
      <c r="J105" s="400">
        <v>0</v>
      </c>
      <c r="K105" s="400">
        <v>0</v>
      </c>
      <c r="L105" s="496" t="s">
        <v>490</v>
      </c>
      <c r="N105" s="498">
        <v>260</v>
      </c>
      <c r="O105" s="495" t="s">
        <v>93</v>
      </c>
      <c r="P105" s="400" t="s">
        <v>1352</v>
      </c>
    </row>
    <row r="106" spans="1:16" ht="13.5">
      <c r="A106" s="400" t="s">
        <v>1475</v>
      </c>
      <c r="B106" s="400">
        <v>1</v>
      </c>
      <c r="C106" s="400" t="s">
        <v>265</v>
      </c>
      <c r="D106" s="400" t="s">
        <v>1354</v>
      </c>
      <c r="E106" s="400">
        <v>10</v>
      </c>
      <c r="F106" s="495">
        <v>-2</v>
      </c>
      <c r="G106" s="495">
        <v>10</v>
      </c>
      <c r="H106" s="400">
        <v>0</v>
      </c>
      <c r="I106" s="400">
        <v>0</v>
      </c>
      <c r="J106" s="400">
        <v>0</v>
      </c>
      <c r="K106" s="400">
        <v>-1</v>
      </c>
      <c r="L106" s="496" t="s">
        <v>490</v>
      </c>
      <c r="N106" s="498">
        <v>300</v>
      </c>
      <c r="O106" s="495" t="s">
        <v>93</v>
      </c>
      <c r="P106" s="400" t="s">
        <v>1352</v>
      </c>
    </row>
    <row r="107" spans="1:16" ht="13.5">
      <c r="A107" s="400" t="s">
        <v>1476</v>
      </c>
      <c r="B107" s="400">
        <v>1</v>
      </c>
      <c r="C107" s="400" t="s">
        <v>265</v>
      </c>
      <c r="D107" s="400" t="s">
        <v>1354</v>
      </c>
      <c r="E107" s="400">
        <v>11</v>
      </c>
      <c r="F107" s="495">
        <v>-2</v>
      </c>
      <c r="G107" s="495">
        <v>11</v>
      </c>
      <c r="H107" s="400">
        <v>0</v>
      </c>
      <c r="I107" s="400">
        <v>0</v>
      </c>
      <c r="J107" s="400">
        <v>0</v>
      </c>
      <c r="K107" s="400">
        <v>-1</v>
      </c>
      <c r="L107" s="496" t="s">
        <v>490</v>
      </c>
      <c r="N107" s="498">
        <v>350</v>
      </c>
      <c r="O107" s="495" t="s">
        <v>93</v>
      </c>
      <c r="P107" s="400" t="s">
        <v>1352</v>
      </c>
    </row>
    <row r="108" spans="1:16" ht="13.5">
      <c r="A108" s="400" t="s">
        <v>1477</v>
      </c>
      <c r="B108" s="400">
        <v>1</v>
      </c>
      <c r="C108" s="400" t="s">
        <v>265</v>
      </c>
      <c r="D108" s="400" t="s">
        <v>1354</v>
      </c>
      <c r="E108" s="400">
        <v>12</v>
      </c>
      <c r="F108" s="495">
        <v>0</v>
      </c>
      <c r="G108" s="495">
        <v>40</v>
      </c>
      <c r="H108" s="400">
        <v>0</v>
      </c>
      <c r="I108" s="400">
        <v>0</v>
      </c>
      <c r="J108" s="400">
        <v>0</v>
      </c>
      <c r="K108" s="400">
        <v>0</v>
      </c>
      <c r="L108" s="496" t="s">
        <v>490</v>
      </c>
      <c r="N108" s="498">
        <v>10000</v>
      </c>
      <c r="O108" s="495">
        <v>10</v>
      </c>
      <c r="P108" s="400" t="s">
        <v>1359</v>
      </c>
    </row>
    <row r="109" spans="1:16" ht="13.5">
      <c r="A109" s="400" t="s">
        <v>1478</v>
      </c>
      <c r="B109" s="400">
        <v>4</v>
      </c>
      <c r="C109" s="400" t="s">
        <v>265</v>
      </c>
      <c r="D109" s="400" t="s">
        <v>1354</v>
      </c>
      <c r="E109" s="400">
        <v>12</v>
      </c>
      <c r="F109" s="495">
        <v>-3</v>
      </c>
      <c r="G109" s="495">
        <v>12</v>
      </c>
      <c r="H109" s="400">
        <v>0</v>
      </c>
      <c r="I109" s="400">
        <v>0</v>
      </c>
      <c r="J109" s="400">
        <v>0</v>
      </c>
      <c r="K109" s="400">
        <v>-1</v>
      </c>
      <c r="L109" s="496" t="s">
        <v>490</v>
      </c>
      <c r="N109" s="498">
        <v>500</v>
      </c>
      <c r="O109" s="495" t="s">
        <v>93</v>
      </c>
      <c r="P109" s="400" t="s">
        <v>1352</v>
      </c>
    </row>
    <row r="110" spans="1:16" ht="13.5">
      <c r="A110" s="400" t="s">
        <v>1479</v>
      </c>
      <c r="B110" s="400">
        <v>4</v>
      </c>
      <c r="C110" s="400" t="s">
        <v>265</v>
      </c>
      <c r="D110" s="400" t="s">
        <v>1354</v>
      </c>
      <c r="E110" s="400">
        <v>12</v>
      </c>
      <c r="F110" s="495">
        <v>-3</v>
      </c>
      <c r="G110" s="495">
        <v>13</v>
      </c>
      <c r="H110" s="400">
        <v>0</v>
      </c>
      <c r="I110" s="400">
        <v>3</v>
      </c>
      <c r="J110" s="400">
        <v>2</v>
      </c>
      <c r="K110" s="400">
        <v>-2</v>
      </c>
      <c r="L110" s="496" t="s">
        <v>490</v>
      </c>
      <c r="N110" s="498">
        <v>6000</v>
      </c>
      <c r="O110" s="495">
        <v>19</v>
      </c>
      <c r="P110" s="400" t="s">
        <v>1433</v>
      </c>
    </row>
    <row r="111" spans="1:16" ht="13.5">
      <c r="A111" s="400" t="s">
        <v>1480</v>
      </c>
      <c r="B111" s="400">
        <v>4</v>
      </c>
      <c r="C111" s="400" t="s">
        <v>265</v>
      </c>
      <c r="D111" s="400" t="s">
        <v>1354</v>
      </c>
      <c r="E111" s="400">
        <v>14</v>
      </c>
      <c r="F111" s="495">
        <v>-2</v>
      </c>
      <c r="G111" s="495">
        <v>11</v>
      </c>
      <c r="H111" s="400">
        <v>0</v>
      </c>
      <c r="I111" s="400">
        <v>0</v>
      </c>
      <c r="J111" s="400" t="s">
        <v>93</v>
      </c>
      <c r="K111" s="400">
        <v>-1</v>
      </c>
      <c r="L111" s="496" t="s">
        <v>490</v>
      </c>
      <c r="N111" s="498">
        <v>2000</v>
      </c>
      <c r="O111" s="495">
        <v>17</v>
      </c>
      <c r="P111" s="400" t="s">
        <v>1363</v>
      </c>
    </row>
    <row r="112" spans="1:17" s="472" customFormat="1" ht="11.25">
      <c r="A112" s="472" t="s">
        <v>1481</v>
      </c>
      <c r="B112" s="472">
        <v>5</v>
      </c>
      <c r="C112" s="472" t="s">
        <v>265</v>
      </c>
      <c r="D112" s="472" t="s">
        <v>1354</v>
      </c>
      <c r="E112" s="472">
        <v>12</v>
      </c>
      <c r="F112" s="507">
        <v>-2</v>
      </c>
      <c r="G112" s="507">
        <v>12</v>
      </c>
      <c r="H112" s="472">
        <v>0</v>
      </c>
      <c r="I112" s="472">
        <v>0</v>
      </c>
      <c r="J112" s="472">
        <v>0</v>
      </c>
      <c r="K112" s="472">
        <v>-1</v>
      </c>
      <c r="L112" s="508" t="s">
        <v>490</v>
      </c>
      <c r="M112" s="474"/>
      <c r="N112" s="509">
        <v>2800</v>
      </c>
      <c r="O112" s="507">
        <v>16</v>
      </c>
      <c r="P112" s="472" t="s">
        <v>1361</v>
      </c>
      <c r="Q112" s="474" t="s">
        <v>1482</v>
      </c>
    </row>
    <row r="113" spans="1:16" ht="13.5">
      <c r="A113" s="400" t="s">
        <v>1483</v>
      </c>
      <c r="B113" s="400">
        <v>7</v>
      </c>
      <c r="C113" s="400" t="s">
        <v>265</v>
      </c>
      <c r="D113" s="400" t="s">
        <v>1354</v>
      </c>
      <c r="E113" s="400">
        <v>15</v>
      </c>
      <c r="F113" s="495">
        <v>-3</v>
      </c>
      <c r="G113" s="495">
        <v>15</v>
      </c>
      <c r="H113" s="400">
        <v>0</v>
      </c>
      <c r="I113" s="400">
        <v>0</v>
      </c>
      <c r="J113" s="400">
        <v>0</v>
      </c>
      <c r="K113" s="400">
        <v>-2</v>
      </c>
      <c r="L113" s="496" t="s">
        <v>490</v>
      </c>
      <c r="N113" s="498">
        <v>700</v>
      </c>
      <c r="O113" s="495" t="s">
        <v>93</v>
      </c>
      <c r="P113" s="400" t="s">
        <v>1352</v>
      </c>
    </row>
    <row r="114" spans="1:17" s="472" customFormat="1" ht="11.25">
      <c r="A114" s="472" t="s">
        <v>1484</v>
      </c>
      <c r="B114" s="472">
        <v>8</v>
      </c>
      <c r="C114" s="472" t="s">
        <v>265</v>
      </c>
      <c r="D114" s="472" t="s">
        <v>1354</v>
      </c>
      <c r="E114" s="472">
        <v>16</v>
      </c>
      <c r="F114" s="507">
        <v>-2</v>
      </c>
      <c r="G114" s="507">
        <v>16</v>
      </c>
      <c r="H114" s="472">
        <v>0</v>
      </c>
      <c r="I114" s="472">
        <v>0</v>
      </c>
      <c r="J114" s="472">
        <v>0</v>
      </c>
      <c r="K114" s="472">
        <v>-5</v>
      </c>
      <c r="L114" s="508" t="s">
        <v>490</v>
      </c>
      <c r="M114" s="474"/>
      <c r="N114" s="509">
        <v>12600</v>
      </c>
      <c r="O114" s="507">
        <v>18</v>
      </c>
      <c r="P114" s="472" t="s">
        <v>1485</v>
      </c>
      <c r="Q114" s="474"/>
    </row>
    <row r="115" spans="1:16" ht="13.5">
      <c r="A115" s="400" t="s">
        <v>1486</v>
      </c>
      <c r="B115" s="400">
        <v>9</v>
      </c>
      <c r="C115" s="400" t="s">
        <v>265</v>
      </c>
      <c r="D115" s="400" t="s">
        <v>1354</v>
      </c>
      <c r="E115" s="400">
        <v>18</v>
      </c>
      <c r="F115" s="495">
        <v>-2</v>
      </c>
      <c r="G115" s="495">
        <v>15</v>
      </c>
      <c r="H115" s="400">
        <v>0</v>
      </c>
      <c r="I115" s="400">
        <v>0</v>
      </c>
      <c r="J115" s="400">
        <v>0</v>
      </c>
      <c r="K115" s="400">
        <v>-1</v>
      </c>
      <c r="L115" s="496" t="s">
        <v>490</v>
      </c>
      <c r="N115" s="498">
        <v>15000</v>
      </c>
      <c r="O115" s="495">
        <v>15</v>
      </c>
      <c r="P115" s="400" t="s">
        <v>1469</v>
      </c>
    </row>
    <row r="116" spans="1:16" ht="13.5">
      <c r="A116" s="400" t="s">
        <v>1487</v>
      </c>
      <c r="B116" s="400">
        <v>12</v>
      </c>
      <c r="C116" s="400" t="s">
        <v>265</v>
      </c>
      <c r="D116" s="400" t="s">
        <v>1354</v>
      </c>
      <c r="E116" s="400">
        <v>21</v>
      </c>
      <c r="F116" s="495">
        <v>-3</v>
      </c>
      <c r="G116" s="495">
        <v>19</v>
      </c>
      <c r="H116" s="400">
        <v>0</v>
      </c>
      <c r="I116" s="400">
        <v>0</v>
      </c>
      <c r="J116" s="400">
        <v>0</v>
      </c>
      <c r="K116" s="400">
        <v>-2</v>
      </c>
      <c r="L116" s="496" t="s">
        <v>490</v>
      </c>
      <c r="N116" s="498">
        <v>70000</v>
      </c>
      <c r="O116" s="495">
        <v>20</v>
      </c>
      <c r="P116" s="400" t="s">
        <v>1369</v>
      </c>
    </row>
    <row r="117" spans="1:16" ht="13.5">
      <c r="A117" s="400" t="s">
        <v>1488</v>
      </c>
      <c r="B117" s="400">
        <v>12</v>
      </c>
      <c r="C117" s="400" t="s">
        <v>265</v>
      </c>
      <c r="D117" s="400" t="s">
        <v>1354</v>
      </c>
      <c r="E117" s="400">
        <v>17</v>
      </c>
      <c r="F117" s="495">
        <v>-2</v>
      </c>
      <c r="G117" s="495">
        <v>15</v>
      </c>
      <c r="H117" s="400">
        <v>0</v>
      </c>
      <c r="I117" s="400">
        <v>0</v>
      </c>
      <c r="J117" s="400">
        <v>0</v>
      </c>
      <c r="K117" s="400">
        <v>-2</v>
      </c>
      <c r="L117" s="496" t="s">
        <v>490</v>
      </c>
      <c r="N117" s="498">
        <v>9800</v>
      </c>
      <c r="O117" s="495" t="s">
        <v>93</v>
      </c>
      <c r="P117" s="400" t="s">
        <v>1365</v>
      </c>
    </row>
    <row r="118" spans="1:16" ht="13.5">
      <c r="A118" s="400" t="s">
        <v>1489</v>
      </c>
      <c r="B118" s="400">
        <v>14</v>
      </c>
      <c r="C118" s="400" t="s">
        <v>265</v>
      </c>
      <c r="D118" s="400" t="s">
        <v>1354</v>
      </c>
      <c r="E118" s="400">
        <v>19</v>
      </c>
      <c r="F118" s="495">
        <v>-2</v>
      </c>
      <c r="G118" s="495">
        <v>17</v>
      </c>
      <c r="H118" s="400">
        <v>0</v>
      </c>
      <c r="I118" s="400">
        <v>0</v>
      </c>
      <c r="J118" s="400">
        <v>0</v>
      </c>
      <c r="K118" s="400">
        <v>-2</v>
      </c>
      <c r="L118" s="496" t="s">
        <v>490</v>
      </c>
      <c r="N118" s="498">
        <v>76000</v>
      </c>
      <c r="O118" s="495">
        <v>18</v>
      </c>
      <c r="P118" s="400" t="s">
        <v>1469</v>
      </c>
    </row>
    <row r="119" spans="1:16" ht="13.5">
      <c r="A119" s="400" t="s">
        <v>1490</v>
      </c>
      <c r="B119" s="400">
        <v>15</v>
      </c>
      <c r="C119" s="400" t="s">
        <v>265</v>
      </c>
      <c r="D119" s="400" t="s">
        <v>1354</v>
      </c>
      <c r="E119" s="400">
        <v>18</v>
      </c>
      <c r="F119" s="495">
        <v>-3</v>
      </c>
      <c r="G119" s="495">
        <v>17</v>
      </c>
      <c r="H119" s="400">
        <v>0</v>
      </c>
      <c r="I119" s="400">
        <v>0</v>
      </c>
      <c r="J119" s="400">
        <v>0</v>
      </c>
      <c r="K119" s="400">
        <v>-2</v>
      </c>
      <c r="L119" s="496" t="s">
        <v>490</v>
      </c>
      <c r="N119" s="498">
        <v>18000</v>
      </c>
      <c r="O119" s="495" t="s">
        <v>93</v>
      </c>
      <c r="P119" s="400" t="s">
        <v>1365</v>
      </c>
    </row>
    <row r="120" spans="1:16" ht="13.5">
      <c r="A120" s="400" t="s">
        <v>1491</v>
      </c>
      <c r="B120" s="400">
        <v>17</v>
      </c>
      <c r="C120" s="400" t="s">
        <v>265</v>
      </c>
      <c r="D120" s="400" t="s">
        <v>1354</v>
      </c>
      <c r="E120" s="400">
        <v>20</v>
      </c>
      <c r="F120" s="495">
        <v>1</v>
      </c>
      <c r="G120" s="495">
        <v>15</v>
      </c>
      <c r="H120" s="400">
        <v>0</v>
      </c>
      <c r="I120" s="400">
        <v>0</v>
      </c>
      <c r="J120" s="400">
        <v>0</v>
      </c>
      <c r="K120" s="400">
        <v>0</v>
      </c>
      <c r="L120" s="496" t="s">
        <v>490</v>
      </c>
      <c r="N120" s="498">
        <v>98000</v>
      </c>
      <c r="O120" s="495">
        <v>19</v>
      </c>
      <c r="P120" s="400" t="s">
        <v>1469</v>
      </c>
    </row>
    <row r="121" spans="1:16" ht="13.5">
      <c r="A121" s="400" t="s">
        <v>1492</v>
      </c>
      <c r="B121" s="400">
        <v>18</v>
      </c>
      <c r="C121" s="400" t="s">
        <v>265</v>
      </c>
      <c r="D121" s="400" t="s">
        <v>1354</v>
      </c>
      <c r="E121" s="400">
        <v>19</v>
      </c>
      <c r="F121" s="495">
        <v>-3</v>
      </c>
      <c r="G121" s="495">
        <v>18</v>
      </c>
      <c r="H121" s="400">
        <v>0</v>
      </c>
      <c r="I121" s="400">
        <v>0</v>
      </c>
      <c r="J121" s="400">
        <v>0</v>
      </c>
      <c r="K121" s="400">
        <v>-2</v>
      </c>
      <c r="L121" s="496" t="s">
        <v>490</v>
      </c>
      <c r="N121" s="498">
        <v>35000</v>
      </c>
      <c r="O121" s="495" t="s">
        <v>93</v>
      </c>
      <c r="P121" s="400" t="s">
        <v>1365</v>
      </c>
    </row>
    <row r="122" spans="1:16" ht="13.5">
      <c r="A122" s="400" t="s">
        <v>1493</v>
      </c>
      <c r="B122" s="400">
        <v>18</v>
      </c>
      <c r="C122" s="400" t="s">
        <v>265</v>
      </c>
      <c r="D122" s="400" t="s">
        <v>1354</v>
      </c>
      <c r="E122" s="400">
        <v>17</v>
      </c>
      <c r="F122" s="495">
        <v>-2</v>
      </c>
      <c r="G122" s="495">
        <v>17</v>
      </c>
      <c r="H122" s="400">
        <v>0</v>
      </c>
      <c r="I122" s="400">
        <v>0</v>
      </c>
      <c r="J122" s="400">
        <v>0</v>
      </c>
      <c r="K122" s="400">
        <v>-1</v>
      </c>
      <c r="L122" s="496" t="s">
        <v>490</v>
      </c>
      <c r="N122" s="498">
        <v>34000</v>
      </c>
      <c r="O122" s="495" t="s">
        <v>93</v>
      </c>
      <c r="P122" s="400" t="s">
        <v>1365</v>
      </c>
    </row>
    <row r="123" spans="1:16" ht="13.5">
      <c r="A123" s="400" t="s">
        <v>1494</v>
      </c>
      <c r="B123" s="400">
        <v>18</v>
      </c>
      <c r="C123" s="400" t="s">
        <v>265</v>
      </c>
      <c r="D123" s="400" t="s">
        <v>1354</v>
      </c>
      <c r="E123" s="400">
        <v>11</v>
      </c>
      <c r="F123" s="495">
        <v>-2</v>
      </c>
      <c r="G123" s="495">
        <v>15</v>
      </c>
      <c r="H123" s="400">
        <v>0</v>
      </c>
      <c r="I123" s="400">
        <v>0</v>
      </c>
      <c r="J123" s="400">
        <v>0</v>
      </c>
      <c r="K123" s="400">
        <v>-1</v>
      </c>
      <c r="L123" s="496" t="s">
        <v>490</v>
      </c>
      <c r="N123" s="498">
        <v>31000</v>
      </c>
      <c r="O123" s="495" t="s">
        <v>93</v>
      </c>
      <c r="P123" s="400" t="s">
        <v>1365</v>
      </c>
    </row>
    <row r="124" spans="1:16" ht="13.5">
      <c r="A124" s="400" t="s">
        <v>1495</v>
      </c>
      <c r="B124" s="400">
        <v>20</v>
      </c>
      <c r="C124" s="400" t="s">
        <v>265</v>
      </c>
      <c r="D124" s="400" t="s">
        <v>1354</v>
      </c>
      <c r="E124" s="400">
        <v>16</v>
      </c>
      <c r="F124" s="495">
        <v>-3</v>
      </c>
      <c r="G124" s="495">
        <v>18</v>
      </c>
      <c r="H124" s="400">
        <v>0</v>
      </c>
      <c r="I124" s="400">
        <v>0</v>
      </c>
      <c r="J124" s="400">
        <v>0</v>
      </c>
      <c r="K124" s="400">
        <v>-1</v>
      </c>
      <c r="L124" s="496" t="s">
        <v>490</v>
      </c>
      <c r="N124" s="498">
        <v>41000</v>
      </c>
      <c r="O124" s="495" t="s">
        <v>93</v>
      </c>
      <c r="P124" s="400" t="s">
        <v>1365</v>
      </c>
    </row>
    <row r="125" spans="1:16" ht="13.5">
      <c r="A125" s="400" t="s">
        <v>1496</v>
      </c>
      <c r="B125" s="400">
        <v>23</v>
      </c>
      <c r="C125" s="400" t="s">
        <v>265</v>
      </c>
      <c r="D125" s="400" t="s">
        <v>1354</v>
      </c>
      <c r="E125" s="400">
        <v>22</v>
      </c>
      <c r="F125" s="495">
        <v>0</v>
      </c>
      <c r="G125" s="495">
        <v>21</v>
      </c>
      <c r="H125" s="400">
        <v>0</v>
      </c>
      <c r="I125" s="400">
        <v>0</v>
      </c>
      <c r="J125" s="400">
        <v>0</v>
      </c>
      <c r="K125" s="400">
        <v>-2</v>
      </c>
      <c r="L125" s="496" t="s">
        <v>490</v>
      </c>
      <c r="N125" s="498">
        <v>238500</v>
      </c>
      <c r="O125" s="495">
        <v>21</v>
      </c>
      <c r="P125" s="400" t="s">
        <v>1469</v>
      </c>
    </row>
    <row r="126" spans="1:17" s="472" customFormat="1" ht="11.25">
      <c r="A126" s="472" t="s">
        <v>1497</v>
      </c>
      <c r="B126" s="472">
        <v>24</v>
      </c>
      <c r="C126" s="472" t="s">
        <v>265</v>
      </c>
      <c r="D126" s="472" t="s">
        <v>1354</v>
      </c>
      <c r="E126" s="472">
        <v>17</v>
      </c>
      <c r="F126" s="507">
        <v>-3</v>
      </c>
      <c r="G126" s="507">
        <v>18</v>
      </c>
      <c r="H126" s="472">
        <v>0</v>
      </c>
      <c r="I126" s="472">
        <v>0</v>
      </c>
      <c r="J126" s="472">
        <v>0</v>
      </c>
      <c r="K126" s="472">
        <v>-1</v>
      </c>
      <c r="L126" s="508" t="s">
        <v>490</v>
      </c>
      <c r="M126" s="474"/>
      <c r="N126" s="509">
        <v>78500</v>
      </c>
      <c r="O126" s="507" t="s">
        <v>93</v>
      </c>
      <c r="P126" s="472" t="s">
        <v>1365</v>
      </c>
      <c r="Q126" s="474"/>
    </row>
    <row r="127" spans="1:16" ht="13.5">
      <c r="A127" s="400" t="s">
        <v>1498</v>
      </c>
      <c r="B127" s="400">
        <v>26</v>
      </c>
      <c r="C127" s="400" t="s">
        <v>265</v>
      </c>
      <c r="D127" s="400" t="s">
        <v>1354</v>
      </c>
      <c r="E127" s="400">
        <v>20</v>
      </c>
      <c r="F127" s="495">
        <v>-2</v>
      </c>
      <c r="G127" s="495">
        <v>26</v>
      </c>
      <c r="H127" s="400">
        <v>0</v>
      </c>
      <c r="I127" s="400">
        <v>10</v>
      </c>
      <c r="J127" s="400">
        <v>0</v>
      </c>
      <c r="K127" s="400">
        <v>-3</v>
      </c>
      <c r="L127" s="496" t="s">
        <v>490</v>
      </c>
      <c r="N127" s="498">
        <v>263000</v>
      </c>
      <c r="O127" s="495">
        <v>22</v>
      </c>
      <c r="P127" s="400" t="s">
        <v>1469</v>
      </c>
    </row>
    <row r="128" spans="1:16" ht="13.5">
      <c r="A128" s="400" t="s">
        <v>1499</v>
      </c>
      <c r="B128" s="400">
        <v>27</v>
      </c>
      <c r="C128" s="400" t="s">
        <v>265</v>
      </c>
      <c r="D128" s="400" t="s">
        <v>1354</v>
      </c>
      <c r="E128" s="400">
        <v>20</v>
      </c>
      <c r="F128" s="495">
        <v>-3</v>
      </c>
      <c r="G128" s="495">
        <v>20</v>
      </c>
      <c r="H128" s="400">
        <v>0</v>
      </c>
      <c r="I128" s="400">
        <v>0</v>
      </c>
      <c r="J128" s="400">
        <v>0</v>
      </c>
      <c r="K128" s="400">
        <v>-2</v>
      </c>
      <c r="L128" s="496" t="s">
        <v>490</v>
      </c>
      <c r="N128" s="498">
        <v>101000</v>
      </c>
      <c r="O128" s="495" t="s">
        <v>93</v>
      </c>
      <c r="P128" s="400" t="s">
        <v>1365</v>
      </c>
    </row>
    <row r="129" spans="1:16" ht="13.5">
      <c r="A129" s="400" t="s">
        <v>1500</v>
      </c>
      <c r="B129" s="400">
        <v>30</v>
      </c>
      <c r="C129" s="400" t="s">
        <v>265</v>
      </c>
      <c r="D129" s="400" t="s">
        <v>1354</v>
      </c>
      <c r="E129" s="400">
        <v>25</v>
      </c>
      <c r="F129" s="495">
        <v>-4</v>
      </c>
      <c r="G129" s="495">
        <v>24</v>
      </c>
      <c r="H129" s="400">
        <v>0</v>
      </c>
      <c r="I129" s="400">
        <v>0</v>
      </c>
      <c r="J129" s="400">
        <v>0</v>
      </c>
      <c r="K129" s="400">
        <v>-3</v>
      </c>
      <c r="L129" s="496" t="s">
        <v>490</v>
      </c>
      <c r="N129" s="498">
        <v>190000</v>
      </c>
      <c r="O129" s="495" t="s">
        <v>93</v>
      </c>
      <c r="P129" s="400" t="s">
        <v>1365</v>
      </c>
    </row>
    <row r="130" spans="1:16" ht="13.5">
      <c r="A130" s="400" t="s">
        <v>1501</v>
      </c>
      <c r="B130" s="400">
        <v>30</v>
      </c>
      <c r="C130" s="400" t="s">
        <v>265</v>
      </c>
      <c r="D130" s="400" t="s">
        <v>1354</v>
      </c>
      <c r="E130" s="400">
        <v>24</v>
      </c>
      <c r="F130" s="495">
        <v>-3</v>
      </c>
      <c r="G130" s="495">
        <v>35</v>
      </c>
      <c r="H130" s="400">
        <v>0</v>
      </c>
      <c r="I130" s="400">
        <v>0</v>
      </c>
      <c r="J130" s="400">
        <v>0</v>
      </c>
      <c r="K130" s="400">
        <v>-2</v>
      </c>
      <c r="L130" s="496" t="s">
        <v>490</v>
      </c>
      <c r="N130" s="498">
        <v>390000</v>
      </c>
      <c r="O130" s="495">
        <v>30</v>
      </c>
      <c r="P130" s="400" t="s">
        <v>1469</v>
      </c>
    </row>
    <row r="131" spans="1:18" ht="13.5">
      <c r="A131" s="215"/>
      <c r="B131" s="215"/>
      <c r="C131" s="215"/>
      <c r="D131" s="215"/>
      <c r="E131" s="215"/>
      <c r="F131" s="320"/>
      <c r="G131" s="320"/>
      <c r="H131" s="215"/>
      <c r="I131" s="215"/>
      <c r="J131" s="215"/>
      <c r="K131" s="215"/>
      <c r="L131" s="505"/>
      <c r="M131" s="215"/>
      <c r="N131" s="223"/>
      <c r="O131" s="320"/>
      <c r="Q131" s="420"/>
      <c r="R131" s="215"/>
    </row>
    <row r="132" spans="1:16" ht="13.5">
      <c r="A132" s="400" t="s">
        <v>1502</v>
      </c>
      <c r="B132" s="400">
        <v>1</v>
      </c>
      <c r="C132" s="400" t="s">
        <v>150</v>
      </c>
      <c r="D132" s="400" t="s">
        <v>1383</v>
      </c>
      <c r="E132" s="400">
        <v>7</v>
      </c>
      <c r="F132" s="495">
        <v>-1</v>
      </c>
      <c r="G132" s="495">
        <v>7</v>
      </c>
      <c r="H132" s="400">
        <v>0</v>
      </c>
      <c r="I132" s="400">
        <v>0</v>
      </c>
      <c r="J132" s="400">
        <v>0</v>
      </c>
      <c r="K132" s="400">
        <v>0</v>
      </c>
      <c r="L132" s="496" t="s">
        <v>490</v>
      </c>
      <c r="N132" s="498">
        <v>0</v>
      </c>
      <c r="O132" s="495" t="s">
        <v>93</v>
      </c>
      <c r="P132" s="400" t="s">
        <v>1352</v>
      </c>
    </row>
    <row r="133" spans="1:16" ht="13.5">
      <c r="A133" s="400" t="s">
        <v>254</v>
      </c>
      <c r="B133" s="400">
        <v>4</v>
      </c>
      <c r="C133" s="400" t="s">
        <v>150</v>
      </c>
      <c r="D133" s="400" t="s">
        <v>1383</v>
      </c>
      <c r="E133" s="400">
        <v>8</v>
      </c>
      <c r="F133" s="495">
        <v>-2</v>
      </c>
      <c r="G133" s="495">
        <v>12</v>
      </c>
      <c r="H133" s="400">
        <v>0</v>
      </c>
      <c r="I133" s="400">
        <v>0</v>
      </c>
      <c r="J133" s="400">
        <v>0</v>
      </c>
      <c r="K133" s="400">
        <v>0</v>
      </c>
      <c r="L133" s="496" t="s">
        <v>490</v>
      </c>
      <c r="N133" s="498">
        <v>0</v>
      </c>
      <c r="O133" s="495" t="s">
        <v>93</v>
      </c>
      <c r="P133" s="400" t="s">
        <v>1352</v>
      </c>
    </row>
    <row r="134" spans="1:16" ht="13.5">
      <c r="A134" s="400" t="s">
        <v>1503</v>
      </c>
      <c r="B134" s="400">
        <v>7</v>
      </c>
      <c r="C134" s="400" t="s">
        <v>150</v>
      </c>
      <c r="D134" s="400" t="s">
        <v>1383</v>
      </c>
      <c r="E134" s="400">
        <v>9</v>
      </c>
      <c r="F134" s="495">
        <v>-1</v>
      </c>
      <c r="G134" s="495">
        <v>13</v>
      </c>
      <c r="H134" s="400">
        <v>0</v>
      </c>
      <c r="I134" s="400">
        <v>0</v>
      </c>
      <c r="J134" s="400">
        <v>0</v>
      </c>
      <c r="K134" s="400">
        <v>0</v>
      </c>
      <c r="L134" s="496" t="s">
        <v>490</v>
      </c>
      <c r="N134" s="498">
        <v>0</v>
      </c>
      <c r="O134" s="495" t="s">
        <v>93</v>
      </c>
      <c r="P134" s="400" t="s">
        <v>1352</v>
      </c>
    </row>
    <row r="135" spans="1:16" ht="13.5">
      <c r="A135" s="400" t="s">
        <v>1504</v>
      </c>
      <c r="B135" s="400">
        <v>10</v>
      </c>
      <c r="C135" s="400" t="s">
        <v>150</v>
      </c>
      <c r="D135" s="400" t="s">
        <v>1383</v>
      </c>
      <c r="E135" s="400">
        <v>10</v>
      </c>
      <c r="F135" s="495">
        <v>-1</v>
      </c>
      <c r="G135" s="495">
        <v>16</v>
      </c>
      <c r="H135" s="400">
        <v>0</v>
      </c>
      <c r="I135" s="400">
        <v>0</v>
      </c>
      <c r="J135" s="400">
        <v>0</v>
      </c>
      <c r="K135" s="400">
        <v>0</v>
      </c>
      <c r="L135" s="496" t="s">
        <v>490</v>
      </c>
      <c r="N135" s="498">
        <v>0</v>
      </c>
      <c r="O135" s="495" t="s">
        <v>93</v>
      </c>
      <c r="P135" s="400" t="s">
        <v>1352</v>
      </c>
    </row>
    <row r="136" spans="1:16" ht="13.5">
      <c r="A136" s="400" t="s">
        <v>1505</v>
      </c>
      <c r="B136" s="400">
        <v>13</v>
      </c>
      <c r="C136" s="400" t="s">
        <v>150</v>
      </c>
      <c r="D136" s="400" t="s">
        <v>1383</v>
      </c>
      <c r="E136" s="400">
        <v>11</v>
      </c>
      <c r="F136" s="495">
        <v>-1</v>
      </c>
      <c r="G136" s="495">
        <v>20</v>
      </c>
      <c r="H136" s="400">
        <v>0</v>
      </c>
      <c r="I136" s="400">
        <v>0</v>
      </c>
      <c r="J136" s="400">
        <v>0</v>
      </c>
      <c r="K136" s="400">
        <v>0</v>
      </c>
      <c r="L136" s="496" t="s">
        <v>490</v>
      </c>
      <c r="N136" s="498">
        <v>0</v>
      </c>
      <c r="O136" s="495" t="s">
        <v>93</v>
      </c>
      <c r="P136" s="400" t="s">
        <v>1352</v>
      </c>
    </row>
    <row r="137" spans="1:16" ht="13.5">
      <c r="A137" s="400" t="s">
        <v>1506</v>
      </c>
      <c r="B137" s="400">
        <v>17</v>
      </c>
      <c r="C137" s="400" t="s">
        <v>150</v>
      </c>
      <c r="D137" s="400" t="s">
        <v>1383</v>
      </c>
      <c r="E137" s="400">
        <v>7</v>
      </c>
      <c r="F137" s="495">
        <v>0</v>
      </c>
      <c r="G137" s="495">
        <v>15</v>
      </c>
      <c r="H137" s="400">
        <v>0</v>
      </c>
      <c r="I137" s="400">
        <v>0</v>
      </c>
      <c r="J137" s="400">
        <v>0</v>
      </c>
      <c r="K137" s="400">
        <v>0</v>
      </c>
      <c r="L137" s="496" t="s">
        <v>490</v>
      </c>
      <c r="N137" s="498">
        <v>0</v>
      </c>
      <c r="O137" s="495" t="s">
        <v>93</v>
      </c>
      <c r="P137" s="400" t="s">
        <v>1365</v>
      </c>
    </row>
    <row r="138" spans="1:16" ht="13.5">
      <c r="A138" s="400" t="s">
        <v>1507</v>
      </c>
      <c r="B138" s="400">
        <v>21</v>
      </c>
      <c r="C138" s="400" t="s">
        <v>150</v>
      </c>
      <c r="D138" s="400" t="s">
        <v>1383</v>
      </c>
      <c r="E138" s="400">
        <v>9</v>
      </c>
      <c r="F138" s="495">
        <v>0</v>
      </c>
      <c r="G138" s="495">
        <v>17</v>
      </c>
      <c r="H138" s="400">
        <v>0</v>
      </c>
      <c r="I138" s="400">
        <v>0</v>
      </c>
      <c r="J138" s="400">
        <v>0</v>
      </c>
      <c r="K138" s="400">
        <v>0</v>
      </c>
      <c r="L138" s="496" t="s">
        <v>490</v>
      </c>
      <c r="N138" s="498">
        <v>0</v>
      </c>
      <c r="O138" s="495" t="s">
        <v>93</v>
      </c>
      <c r="P138" s="400" t="s">
        <v>1365</v>
      </c>
    </row>
    <row r="139" spans="1:16" ht="13.5">
      <c r="A139" s="400" t="s">
        <v>1508</v>
      </c>
      <c r="B139" s="400">
        <v>24</v>
      </c>
      <c r="C139" s="400" t="s">
        <v>150</v>
      </c>
      <c r="D139" s="400" t="s">
        <v>1383</v>
      </c>
      <c r="E139" s="400">
        <v>18</v>
      </c>
      <c r="F139" s="495">
        <v>0</v>
      </c>
      <c r="G139" s="495">
        <v>23</v>
      </c>
      <c r="H139" s="400">
        <v>0</v>
      </c>
      <c r="I139" s="400">
        <v>0</v>
      </c>
      <c r="J139" s="400">
        <v>0</v>
      </c>
      <c r="K139" s="400">
        <v>0</v>
      </c>
      <c r="L139" s="496" t="s">
        <v>490</v>
      </c>
      <c r="N139" s="498">
        <v>0</v>
      </c>
      <c r="O139" s="495" t="s">
        <v>93</v>
      </c>
      <c r="P139" s="400" t="s">
        <v>1365</v>
      </c>
    </row>
    <row r="140" spans="1:16" ht="13.5">
      <c r="A140" s="400" t="s">
        <v>1509</v>
      </c>
      <c r="B140" s="400">
        <v>27</v>
      </c>
      <c r="C140" s="400" t="s">
        <v>150</v>
      </c>
      <c r="D140" s="400" t="s">
        <v>1383</v>
      </c>
      <c r="E140" s="400">
        <v>20</v>
      </c>
      <c r="F140" s="495">
        <v>-2</v>
      </c>
      <c r="G140" s="495">
        <v>26</v>
      </c>
      <c r="H140" s="400">
        <v>0</v>
      </c>
      <c r="I140" s="400">
        <v>0</v>
      </c>
      <c r="J140" s="400">
        <v>0</v>
      </c>
      <c r="K140" s="400">
        <v>0</v>
      </c>
      <c r="L140" s="496" t="s">
        <v>490</v>
      </c>
      <c r="N140" s="498">
        <v>0</v>
      </c>
      <c r="O140" s="495" t="s">
        <v>93</v>
      </c>
      <c r="P140" s="400" t="s">
        <v>1365</v>
      </c>
    </row>
    <row r="141" spans="1:16" ht="13.5">
      <c r="A141" s="400" t="s">
        <v>1510</v>
      </c>
      <c r="B141" s="400">
        <v>30</v>
      </c>
      <c r="C141" s="400" t="s">
        <v>150</v>
      </c>
      <c r="D141" s="400" t="s">
        <v>1383</v>
      </c>
      <c r="E141" s="400">
        <v>17</v>
      </c>
      <c r="F141" s="495">
        <v>-2</v>
      </c>
      <c r="G141" s="495">
        <v>30</v>
      </c>
      <c r="H141" s="400">
        <v>0</v>
      </c>
      <c r="I141" s="400">
        <v>0</v>
      </c>
      <c r="J141" s="400">
        <v>0</v>
      </c>
      <c r="K141" s="400">
        <v>0</v>
      </c>
      <c r="L141" s="496" t="s">
        <v>490</v>
      </c>
      <c r="N141" s="498">
        <v>0</v>
      </c>
      <c r="O141" s="495" t="s">
        <v>93</v>
      </c>
      <c r="P141" s="400" t="s">
        <v>1365</v>
      </c>
    </row>
    <row r="142" spans="1:18" ht="13.5">
      <c r="A142" s="215"/>
      <c r="B142" s="215"/>
      <c r="C142" s="215"/>
      <c r="D142" s="215"/>
      <c r="E142" s="215"/>
      <c r="F142" s="320"/>
      <c r="G142" s="320"/>
      <c r="H142" s="215"/>
      <c r="I142" s="215"/>
      <c r="J142" s="215"/>
      <c r="K142" s="215"/>
      <c r="L142" s="505"/>
      <c r="M142" s="215"/>
      <c r="N142" s="223"/>
      <c r="O142" s="320"/>
      <c r="Q142" s="420"/>
      <c r="R142" s="215"/>
    </row>
    <row r="143" spans="1:16" ht="13.5">
      <c r="A143" s="400" t="s">
        <v>1511</v>
      </c>
      <c r="B143" s="400">
        <v>1</v>
      </c>
      <c r="C143" s="400" t="s">
        <v>276</v>
      </c>
      <c r="D143" s="400" t="s">
        <v>1383</v>
      </c>
      <c r="E143" s="400">
        <v>1</v>
      </c>
      <c r="F143" s="495">
        <v>-1</v>
      </c>
      <c r="G143" s="495">
        <v>2</v>
      </c>
      <c r="H143" s="400">
        <v>0</v>
      </c>
      <c r="I143" s="400">
        <v>0</v>
      </c>
      <c r="J143" s="400">
        <v>0</v>
      </c>
      <c r="K143" s="400">
        <v>-1</v>
      </c>
      <c r="L143" s="496" t="s">
        <v>490</v>
      </c>
      <c r="N143" s="498">
        <v>30</v>
      </c>
      <c r="O143" s="495" t="s">
        <v>93</v>
      </c>
      <c r="P143" s="400" t="s">
        <v>1352</v>
      </c>
    </row>
    <row r="144" spans="1:16" ht="13.5">
      <c r="A144" s="400" t="s">
        <v>1512</v>
      </c>
      <c r="B144" s="400">
        <v>1</v>
      </c>
      <c r="C144" s="400" t="s">
        <v>276</v>
      </c>
      <c r="D144" s="400" t="s">
        <v>1383</v>
      </c>
      <c r="E144" s="400">
        <v>3</v>
      </c>
      <c r="F144" s="495">
        <v>-1</v>
      </c>
      <c r="G144" s="495">
        <v>3</v>
      </c>
      <c r="H144" s="400">
        <v>0</v>
      </c>
      <c r="I144" s="400">
        <v>0</v>
      </c>
      <c r="J144" s="400">
        <v>0</v>
      </c>
      <c r="K144" s="400">
        <v>-1</v>
      </c>
      <c r="L144" s="496" t="s">
        <v>490</v>
      </c>
      <c r="N144" s="498">
        <v>60</v>
      </c>
      <c r="O144" s="495" t="s">
        <v>93</v>
      </c>
      <c r="P144" s="400" t="s">
        <v>1352</v>
      </c>
    </row>
    <row r="145" spans="1:16" ht="13.5">
      <c r="A145" s="400" t="s">
        <v>1513</v>
      </c>
      <c r="B145" s="400">
        <v>4</v>
      </c>
      <c r="C145" s="400" t="s">
        <v>276</v>
      </c>
      <c r="D145" s="400" t="s">
        <v>1383</v>
      </c>
      <c r="E145" s="400">
        <v>6</v>
      </c>
      <c r="F145" s="495">
        <v>-1</v>
      </c>
      <c r="G145" s="495">
        <v>7</v>
      </c>
      <c r="H145" s="400">
        <v>0</v>
      </c>
      <c r="I145" s="400">
        <v>0</v>
      </c>
      <c r="J145" s="400">
        <v>0</v>
      </c>
      <c r="K145" s="400">
        <v>0</v>
      </c>
      <c r="L145" s="496" t="s">
        <v>490</v>
      </c>
      <c r="N145" s="498">
        <v>2500</v>
      </c>
      <c r="O145" s="495">
        <v>12</v>
      </c>
      <c r="P145" s="400" t="s">
        <v>1359</v>
      </c>
    </row>
    <row r="146" spans="1:16" ht="13.5">
      <c r="A146" s="400" t="s">
        <v>1514</v>
      </c>
      <c r="B146" s="400">
        <v>7</v>
      </c>
      <c r="C146" s="400" t="s">
        <v>276</v>
      </c>
      <c r="D146" s="400" t="s">
        <v>1383</v>
      </c>
      <c r="E146" s="400">
        <v>6</v>
      </c>
      <c r="F146" s="495">
        <v>-2</v>
      </c>
      <c r="G146" s="495">
        <v>5</v>
      </c>
      <c r="H146" s="400">
        <v>0</v>
      </c>
      <c r="I146" s="400">
        <v>0</v>
      </c>
      <c r="J146" s="400">
        <v>0</v>
      </c>
      <c r="K146" s="400">
        <v>-1</v>
      </c>
      <c r="L146" s="496" t="s">
        <v>490</v>
      </c>
      <c r="N146" s="498">
        <v>130</v>
      </c>
      <c r="O146" s="495" t="s">
        <v>93</v>
      </c>
      <c r="P146" s="400" t="s">
        <v>1352</v>
      </c>
    </row>
    <row r="147" spans="1:17" s="472" customFormat="1" ht="11.25">
      <c r="A147" s="472" t="s">
        <v>1515</v>
      </c>
      <c r="B147" s="472">
        <v>9</v>
      </c>
      <c r="C147" s="472" t="s">
        <v>276</v>
      </c>
      <c r="D147" s="472" t="s">
        <v>1354</v>
      </c>
      <c r="E147" s="472">
        <v>8</v>
      </c>
      <c r="F147" s="507">
        <v>-3</v>
      </c>
      <c r="G147" s="507">
        <v>12</v>
      </c>
      <c r="H147" s="472">
        <v>0</v>
      </c>
      <c r="I147" s="472">
        <v>0</v>
      </c>
      <c r="J147" s="472" t="s">
        <v>93</v>
      </c>
      <c r="K147" s="472">
        <v>-2</v>
      </c>
      <c r="L147" s="508" t="s">
        <v>490</v>
      </c>
      <c r="M147" s="474"/>
      <c r="N147" s="509">
        <v>8300</v>
      </c>
      <c r="O147" s="507">
        <v>16</v>
      </c>
      <c r="P147" s="472" t="s">
        <v>1516</v>
      </c>
      <c r="Q147" s="474"/>
    </row>
    <row r="148" spans="1:16" ht="13.5">
      <c r="A148" s="400" t="s">
        <v>1517</v>
      </c>
      <c r="B148" s="400">
        <v>10</v>
      </c>
      <c r="C148" s="400" t="s">
        <v>276</v>
      </c>
      <c r="D148" s="400" t="s">
        <v>1383</v>
      </c>
      <c r="E148" s="400">
        <v>5</v>
      </c>
      <c r="F148" s="495">
        <v>-2</v>
      </c>
      <c r="G148" s="495">
        <v>10</v>
      </c>
      <c r="H148" s="400">
        <v>0</v>
      </c>
      <c r="I148" s="400">
        <v>0</v>
      </c>
      <c r="J148" s="400">
        <v>0</v>
      </c>
      <c r="K148" s="400">
        <v>-1</v>
      </c>
      <c r="L148" s="496" t="s">
        <v>490</v>
      </c>
      <c r="N148" s="498">
        <v>10600</v>
      </c>
      <c r="O148" s="495">
        <v>15</v>
      </c>
      <c r="P148" s="400" t="s">
        <v>1469</v>
      </c>
    </row>
    <row r="149" spans="1:16" ht="13.5">
      <c r="A149" s="400" t="s">
        <v>1518</v>
      </c>
      <c r="B149" s="400">
        <v>13</v>
      </c>
      <c r="C149" s="400" t="s">
        <v>276</v>
      </c>
      <c r="D149" s="400" t="s">
        <v>1383</v>
      </c>
      <c r="E149" s="400">
        <v>6</v>
      </c>
      <c r="F149" s="495">
        <v>-3</v>
      </c>
      <c r="G149" s="495">
        <v>13</v>
      </c>
      <c r="H149" s="400">
        <v>0</v>
      </c>
      <c r="I149" s="400">
        <v>0</v>
      </c>
      <c r="J149" s="400">
        <v>0</v>
      </c>
      <c r="K149" s="400">
        <v>-1</v>
      </c>
      <c r="L149" s="496" t="s">
        <v>490</v>
      </c>
      <c r="N149" s="498">
        <v>45700</v>
      </c>
      <c r="O149" s="495">
        <v>16</v>
      </c>
      <c r="P149" s="400" t="s">
        <v>1469</v>
      </c>
    </row>
    <row r="150" spans="1:16" ht="13.5">
      <c r="A150" s="400" t="s">
        <v>1519</v>
      </c>
      <c r="B150" s="400">
        <v>15</v>
      </c>
      <c r="C150" s="400" t="s">
        <v>276</v>
      </c>
      <c r="D150" s="400" t="s">
        <v>1383</v>
      </c>
      <c r="E150" s="400">
        <v>6</v>
      </c>
      <c r="F150" s="495">
        <v>-2</v>
      </c>
      <c r="G150" s="495">
        <v>16</v>
      </c>
      <c r="H150" s="400">
        <v>0</v>
      </c>
      <c r="I150" s="400">
        <v>0</v>
      </c>
      <c r="J150" s="400">
        <v>0</v>
      </c>
      <c r="K150" s="400">
        <v>-2</v>
      </c>
      <c r="L150" s="496" t="s">
        <v>490</v>
      </c>
      <c r="N150" s="498">
        <v>24000</v>
      </c>
      <c r="O150" s="495" t="s">
        <v>93</v>
      </c>
      <c r="P150" s="400" t="s">
        <v>1365</v>
      </c>
    </row>
    <row r="151" spans="1:16" ht="13.5">
      <c r="A151" s="400" t="s">
        <v>1520</v>
      </c>
      <c r="B151" s="400">
        <v>20</v>
      </c>
      <c r="C151" s="400" t="s">
        <v>276</v>
      </c>
      <c r="D151" s="400" t="s">
        <v>1354</v>
      </c>
      <c r="E151" s="400">
        <v>7</v>
      </c>
      <c r="F151" s="495">
        <v>-4</v>
      </c>
      <c r="G151" s="495">
        <v>20</v>
      </c>
      <c r="H151" s="400">
        <v>0</v>
      </c>
      <c r="I151" s="400">
        <v>0</v>
      </c>
      <c r="J151" s="400">
        <v>0</v>
      </c>
      <c r="K151" s="400">
        <v>-3</v>
      </c>
      <c r="L151" s="496" t="s">
        <v>490</v>
      </c>
      <c r="N151" s="498">
        <v>141200</v>
      </c>
      <c r="O151" s="495">
        <v>15</v>
      </c>
      <c r="P151" s="400" t="s">
        <v>1521</v>
      </c>
    </row>
    <row r="152" spans="1:17" s="472" customFormat="1" ht="11.25">
      <c r="A152" s="472" t="s">
        <v>1522</v>
      </c>
      <c r="B152" s="472">
        <v>25</v>
      </c>
      <c r="C152" s="472" t="s">
        <v>276</v>
      </c>
      <c r="D152" s="472" t="s">
        <v>1383</v>
      </c>
      <c r="E152" s="472">
        <v>7</v>
      </c>
      <c r="F152" s="507">
        <v>-3</v>
      </c>
      <c r="G152" s="507">
        <v>19</v>
      </c>
      <c r="H152" s="472">
        <v>0</v>
      </c>
      <c r="I152" s="472">
        <v>0</v>
      </c>
      <c r="J152" s="472">
        <v>0</v>
      </c>
      <c r="K152" s="472">
        <v>0</v>
      </c>
      <c r="L152" s="508" t="s">
        <v>490</v>
      </c>
      <c r="M152" s="474"/>
      <c r="N152" s="509">
        <v>249600</v>
      </c>
      <c r="O152" s="507">
        <v>18</v>
      </c>
      <c r="P152" s="472" t="s">
        <v>1521</v>
      </c>
      <c r="Q152" s="474"/>
    </row>
    <row r="153" spans="1:16" ht="13.5">
      <c r="A153" s="400" t="s">
        <v>1523</v>
      </c>
      <c r="B153" s="400">
        <v>28</v>
      </c>
      <c r="C153" s="400" t="s">
        <v>276</v>
      </c>
      <c r="D153" s="400" t="s">
        <v>1383</v>
      </c>
      <c r="E153" s="400">
        <v>8</v>
      </c>
      <c r="F153" s="495">
        <v>-4</v>
      </c>
      <c r="G153" s="495">
        <v>16</v>
      </c>
      <c r="H153" s="400">
        <v>0</v>
      </c>
      <c r="I153" s="400">
        <v>0</v>
      </c>
      <c r="J153" s="400">
        <v>0</v>
      </c>
      <c r="K153" s="400">
        <v>0</v>
      </c>
      <c r="L153" s="496" t="s">
        <v>490</v>
      </c>
      <c r="N153" s="498">
        <v>324800</v>
      </c>
      <c r="O153" s="495">
        <v>27</v>
      </c>
      <c r="P153" s="400" t="s">
        <v>1521</v>
      </c>
    </row>
    <row r="154" spans="1:18" ht="13.5">
      <c r="A154" s="215"/>
      <c r="B154" s="215"/>
      <c r="C154" s="215"/>
      <c r="D154" s="215"/>
      <c r="E154" s="215"/>
      <c r="F154" s="320"/>
      <c r="G154" s="320"/>
      <c r="H154" s="215"/>
      <c r="I154" s="215"/>
      <c r="J154" s="215"/>
      <c r="K154" s="215"/>
      <c r="L154" s="505"/>
      <c r="M154" s="215"/>
      <c r="N154" s="223"/>
      <c r="O154" s="320"/>
      <c r="Q154" s="420"/>
      <c r="R154" s="215"/>
    </row>
    <row r="155" spans="1:16" ht="13.5">
      <c r="A155" s="400" t="s">
        <v>1524</v>
      </c>
      <c r="B155" s="400">
        <v>1</v>
      </c>
      <c r="C155" s="400" t="s">
        <v>282</v>
      </c>
      <c r="D155" s="400" t="s">
        <v>1383</v>
      </c>
      <c r="E155" s="400">
        <v>4</v>
      </c>
      <c r="F155" s="495">
        <v>-1</v>
      </c>
      <c r="G155" s="495">
        <v>4</v>
      </c>
      <c r="H155" s="400">
        <v>0</v>
      </c>
      <c r="I155" s="400">
        <v>0</v>
      </c>
      <c r="J155" s="400">
        <v>0</v>
      </c>
      <c r="K155" s="400">
        <v>0</v>
      </c>
      <c r="L155" s="496" t="s">
        <v>490</v>
      </c>
      <c r="N155" s="498">
        <v>100</v>
      </c>
      <c r="O155" s="495" t="s">
        <v>93</v>
      </c>
      <c r="P155" s="400" t="s">
        <v>1525</v>
      </c>
    </row>
    <row r="156" spans="1:16" ht="13.5">
      <c r="A156" s="400" t="s">
        <v>1526</v>
      </c>
      <c r="B156" s="400">
        <v>1</v>
      </c>
      <c r="C156" s="400" t="s">
        <v>282</v>
      </c>
      <c r="D156" s="400" t="s">
        <v>1383</v>
      </c>
      <c r="E156" s="400">
        <v>7</v>
      </c>
      <c r="F156" s="495">
        <v>-2</v>
      </c>
      <c r="G156" s="495">
        <v>7</v>
      </c>
      <c r="H156" s="400">
        <v>0</v>
      </c>
      <c r="I156" s="400">
        <v>0</v>
      </c>
      <c r="J156" s="400">
        <v>0</v>
      </c>
      <c r="K156" s="400">
        <v>0</v>
      </c>
      <c r="L156" s="496" t="s">
        <v>490</v>
      </c>
      <c r="N156" s="498">
        <v>130</v>
      </c>
      <c r="O156" s="495" t="s">
        <v>93</v>
      </c>
      <c r="P156" s="400" t="s">
        <v>1525</v>
      </c>
    </row>
    <row r="157" spans="1:16" ht="13.5">
      <c r="A157" s="400" t="s">
        <v>1527</v>
      </c>
      <c r="B157" s="400">
        <v>1</v>
      </c>
      <c r="C157" s="400" t="s">
        <v>282</v>
      </c>
      <c r="D157" s="400" t="s">
        <v>1354</v>
      </c>
      <c r="E157" s="400">
        <v>8</v>
      </c>
      <c r="F157" s="495">
        <v>-3</v>
      </c>
      <c r="G157" s="495">
        <v>8</v>
      </c>
      <c r="H157" s="400">
        <v>0</v>
      </c>
      <c r="I157" s="400">
        <v>0</v>
      </c>
      <c r="J157" s="400">
        <v>0</v>
      </c>
      <c r="K157" s="400">
        <v>0</v>
      </c>
      <c r="L157" s="496" t="s">
        <v>490</v>
      </c>
      <c r="N157" s="498">
        <v>160</v>
      </c>
      <c r="O157" s="495" t="s">
        <v>93</v>
      </c>
      <c r="P157" s="400" t="s">
        <v>1525</v>
      </c>
    </row>
    <row r="158" spans="1:16" ht="13.5">
      <c r="A158" s="400" t="s">
        <v>1528</v>
      </c>
      <c r="B158" s="400">
        <v>1</v>
      </c>
      <c r="C158" s="400" t="s">
        <v>282</v>
      </c>
      <c r="D158" s="400" t="s">
        <v>1354</v>
      </c>
      <c r="E158" s="400">
        <v>9</v>
      </c>
      <c r="F158" s="495">
        <v>-2</v>
      </c>
      <c r="G158" s="495">
        <v>8</v>
      </c>
      <c r="H158" s="400">
        <v>0</v>
      </c>
      <c r="I158" s="400">
        <v>0</v>
      </c>
      <c r="J158" s="400">
        <v>0</v>
      </c>
      <c r="K158" s="400">
        <v>-1</v>
      </c>
      <c r="L158" s="496" t="s">
        <v>490</v>
      </c>
      <c r="N158" s="498">
        <v>220</v>
      </c>
      <c r="O158" s="495" t="s">
        <v>93</v>
      </c>
      <c r="P158" s="400" t="s">
        <v>1525</v>
      </c>
    </row>
    <row r="159" spans="1:16" ht="13.5">
      <c r="A159" s="400" t="s">
        <v>1529</v>
      </c>
      <c r="B159" s="400">
        <v>1</v>
      </c>
      <c r="C159" s="400" t="s">
        <v>282</v>
      </c>
      <c r="D159" s="400" t="s">
        <v>1383</v>
      </c>
      <c r="E159" s="400">
        <v>7</v>
      </c>
      <c r="F159" s="495">
        <v>-2</v>
      </c>
      <c r="G159" s="495">
        <v>7</v>
      </c>
      <c r="H159" s="400">
        <v>0</v>
      </c>
      <c r="I159" s="400">
        <v>0</v>
      </c>
      <c r="J159" s="400" t="s">
        <v>93</v>
      </c>
      <c r="K159" s="400">
        <v>0</v>
      </c>
      <c r="L159" s="496" t="s">
        <v>490</v>
      </c>
      <c r="N159" s="498">
        <v>1500</v>
      </c>
      <c r="O159" s="495">
        <v>12</v>
      </c>
      <c r="P159" s="400" t="s">
        <v>1363</v>
      </c>
    </row>
    <row r="160" spans="1:16" ht="13.5">
      <c r="A160" s="400" t="s">
        <v>1530</v>
      </c>
      <c r="B160" s="400">
        <v>3</v>
      </c>
      <c r="C160" s="400" t="s">
        <v>282</v>
      </c>
      <c r="D160" s="400" t="s">
        <v>1383</v>
      </c>
      <c r="E160" s="400">
        <v>6</v>
      </c>
      <c r="F160" s="495">
        <v>-2</v>
      </c>
      <c r="G160" s="495">
        <v>8</v>
      </c>
      <c r="H160" s="400">
        <v>0</v>
      </c>
      <c r="I160" s="400">
        <v>0</v>
      </c>
      <c r="J160" s="400">
        <v>0</v>
      </c>
      <c r="K160" s="400">
        <v>0</v>
      </c>
      <c r="L160" s="496" t="s">
        <v>490</v>
      </c>
      <c r="N160" s="498">
        <v>350</v>
      </c>
      <c r="O160" s="495" t="s">
        <v>93</v>
      </c>
      <c r="P160" s="400" t="s">
        <v>1531</v>
      </c>
    </row>
    <row r="161" spans="1:17" s="472" customFormat="1" ht="11.25">
      <c r="A161" s="472" t="s">
        <v>1532</v>
      </c>
      <c r="B161" s="472">
        <v>3</v>
      </c>
      <c r="C161" s="472" t="s">
        <v>282</v>
      </c>
      <c r="D161" s="472" t="s">
        <v>1383</v>
      </c>
      <c r="E161" s="472">
        <v>6</v>
      </c>
      <c r="F161" s="507">
        <v>-1</v>
      </c>
      <c r="G161" s="507">
        <v>8</v>
      </c>
      <c r="H161" s="472">
        <v>0</v>
      </c>
      <c r="I161" s="472">
        <v>0</v>
      </c>
      <c r="J161" s="472">
        <v>0</v>
      </c>
      <c r="K161" s="472">
        <v>0</v>
      </c>
      <c r="L161" s="508" t="s">
        <v>490</v>
      </c>
      <c r="M161" s="474"/>
      <c r="N161" s="509">
        <v>1700</v>
      </c>
      <c r="O161" s="507">
        <v>11</v>
      </c>
      <c r="P161" s="472" t="s">
        <v>1485</v>
      </c>
      <c r="Q161" s="474"/>
    </row>
    <row r="162" spans="1:16" ht="13.5">
      <c r="A162" s="400" t="s">
        <v>1533</v>
      </c>
      <c r="B162" s="400">
        <v>4</v>
      </c>
      <c r="C162" s="400" t="s">
        <v>282</v>
      </c>
      <c r="D162" s="400" t="s">
        <v>1354</v>
      </c>
      <c r="E162" s="400">
        <v>10</v>
      </c>
      <c r="F162" s="495">
        <v>-2</v>
      </c>
      <c r="G162" s="495">
        <v>9</v>
      </c>
      <c r="H162" s="400">
        <v>0</v>
      </c>
      <c r="I162" s="400">
        <v>0</v>
      </c>
      <c r="J162" s="400">
        <v>0</v>
      </c>
      <c r="K162" s="400">
        <v>-1</v>
      </c>
      <c r="L162" s="496" t="s">
        <v>490</v>
      </c>
      <c r="N162" s="498">
        <v>260</v>
      </c>
      <c r="O162" s="495" t="s">
        <v>93</v>
      </c>
      <c r="P162" s="400" t="s">
        <v>1525</v>
      </c>
    </row>
    <row r="163" spans="1:16" ht="13.5">
      <c r="A163" s="400" t="s">
        <v>1534</v>
      </c>
      <c r="B163" s="400">
        <v>5</v>
      </c>
      <c r="C163" s="400" t="s">
        <v>282</v>
      </c>
      <c r="D163" s="400" t="s">
        <v>1383</v>
      </c>
      <c r="E163" s="400">
        <v>8</v>
      </c>
      <c r="F163" s="495">
        <v>-2</v>
      </c>
      <c r="G163" s="495">
        <v>9</v>
      </c>
      <c r="H163" s="400">
        <v>0</v>
      </c>
      <c r="I163" s="400">
        <v>0</v>
      </c>
      <c r="J163" s="400">
        <v>0</v>
      </c>
      <c r="K163" s="400">
        <v>0</v>
      </c>
      <c r="L163" s="496" t="s">
        <v>490</v>
      </c>
      <c r="N163" s="498">
        <v>400</v>
      </c>
      <c r="O163" s="495" t="s">
        <v>93</v>
      </c>
      <c r="P163" s="400" t="s">
        <v>1531</v>
      </c>
    </row>
    <row r="164" spans="1:16" ht="13.5">
      <c r="A164" s="400" t="s">
        <v>1535</v>
      </c>
      <c r="B164" s="400">
        <v>5</v>
      </c>
      <c r="C164" s="400" t="s">
        <v>282</v>
      </c>
      <c r="D164" s="400" t="s">
        <v>1383</v>
      </c>
      <c r="E164" s="400">
        <v>14</v>
      </c>
      <c r="F164" s="495">
        <v>-3</v>
      </c>
      <c r="G164" s="495">
        <v>18</v>
      </c>
      <c r="H164" s="400">
        <v>0</v>
      </c>
      <c r="I164" s="400">
        <v>0</v>
      </c>
      <c r="J164" s="400">
        <v>0</v>
      </c>
      <c r="K164" s="400">
        <v>-5</v>
      </c>
      <c r="L164" s="496" t="s">
        <v>490</v>
      </c>
      <c r="N164" s="498">
        <v>3000</v>
      </c>
      <c r="O164" s="495">
        <v>13</v>
      </c>
      <c r="P164" s="400" t="s">
        <v>1361</v>
      </c>
    </row>
    <row r="165" spans="1:16" ht="13.5">
      <c r="A165" s="400" t="s">
        <v>1536</v>
      </c>
      <c r="B165" s="400">
        <v>8</v>
      </c>
      <c r="C165" s="400" t="s">
        <v>282</v>
      </c>
      <c r="D165" s="400" t="s">
        <v>1354</v>
      </c>
      <c r="E165" s="400">
        <v>16</v>
      </c>
      <c r="F165" s="495">
        <v>-3</v>
      </c>
      <c r="G165" s="495">
        <v>14</v>
      </c>
      <c r="H165" s="400">
        <v>0</v>
      </c>
      <c r="I165" s="400">
        <v>0</v>
      </c>
      <c r="J165" s="400">
        <v>0</v>
      </c>
      <c r="K165" s="400">
        <v>-2</v>
      </c>
      <c r="L165" s="496" t="s">
        <v>490</v>
      </c>
      <c r="N165" s="498">
        <v>2000</v>
      </c>
      <c r="O165" s="495" t="s">
        <v>93</v>
      </c>
      <c r="P165" s="400" t="s">
        <v>1531</v>
      </c>
    </row>
    <row r="166" spans="1:16" ht="13.5">
      <c r="A166" s="400" t="s">
        <v>1537</v>
      </c>
      <c r="B166" s="400">
        <v>8</v>
      </c>
      <c r="C166" s="400" t="s">
        <v>282</v>
      </c>
      <c r="D166" s="400" t="s">
        <v>1354</v>
      </c>
      <c r="E166" s="400">
        <v>20</v>
      </c>
      <c r="F166" s="495">
        <v>-3</v>
      </c>
      <c r="G166" s="495">
        <v>15</v>
      </c>
      <c r="H166" s="400">
        <v>0</v>
      </c>
      <c r="I166" s="400">
        <v>0</v>
      </c>
      <c r="J166" s="400" t="s">
        <v>93</v>
      </c>
      <c r="K166" s="400">
        <v>-5</v>
      </c>
      <c r="L166" s="496" t="s">
        <v>490</v>
      </c>
      <c r="N166" s="498">
        <v>9500</v>
      </c>
      <c r="O166" s="495">
        <v>18</v>
      </c>
      <c r="P166" s="400" t="s">
        <v>1363</v>
      </c>
    </row>
    <row r="167" spans="1:16" ht="13.5">
      <c r="A167" s="400" t="s">
        <v>1538</v>
      </c>
      <c r="B167" s="400">
        <v>10</v>
      </c>
      <c r="C167" s="400" t="s">
        <v>282</v>
      </c>
      <c r="D167" s="400" t="s">
        <v>1354</v>
      </c>
      <c r="E167" s="400">
        <v>19</v>
      </c>
      <c r="F167" s="495">
        <v>-2</v>
      </c>
      <c r="G167" s="495">
        <v>18</v>
      </c>
      <c r="H167" s="400">
        <v>0</v>
      </c>
      <c r="I167" s="400">
        <v>0</v>
      </c>
      <c r="J167" s="400">
        <v>0</v>
      </c>
      <c r="K167" s="400">
        <v>-2</v>
      </c>
      <c r="L167" s="496" t="s">
        <v>490</v>
      </c>
      <c r="N167" s="498">
        <v>43000</v>
      </c>
      <c r="O167" s="495">
        <v>19</v>
      </c>
      <c r="P167" s="400" t="s">
        <v>1485</v>
      </c>
    </row>
    <row r="168" spans="1:17" s="472" customFormat="1" ht="11.25">
      <c r="A168" s="472" t="s">
        <v>1539</v>
      </c>
      <c r="B168" s="472">
        <v>11</v>
      </c>
      <c r="C168" s="472" t="s">
        <v>282</v>
      </c>
      <c r="D168" s="472" t="s">
        <v>1383</v>
      </c>
      <c r="E168" s="472">
        <v>12</v>
      </c>
      <c r="F168" s="507">
        <v>-2</v>
      </c>
      <c r="G168" s="507">
        <v>14</v>
      </c>
      <c r="H168" s="472">
        <v>0</v>
      </c>
      <c r="I168" s="472">
        <v>0</v>
      </c>
      <c r="J168" s="472">
        <v>0</v>
      </c>
      <c r="K168" s="472">
        <v>-2</v>
      </c>
      <c r="L168" s="508" t="s">
        <v>490</v>
      </c>
      <c r="M168" s="474"/>
      <c r="N168" s="509">
        <v>40800</v>
      </c>
      <c r="O168" s="507">
        <v>15</v>
      </c>
      <c r="P168" s="472" t="s">
        <v>1521</v>
      </c>
      <c r="Q168" s="474"/>
    </row>
    <row r="169" spans="1:16" ht="13.5">
      <c r="A169" s="400" t="s">
        <v>1540</v>
      </c>
      <c r="B169" s="400">
        <v>12</v>
      </c>
      <c r="C169" s="400" t="s">
        <v>282</v>
      </c>
      <c r="D169" s="400" t="s">
        <v>1383</v>
      </c>
      <c r="E169" s="400">
        <v>10</v>
      </c>
      <c r="F169" s="495">
        <v>-3</v>
      </c>
      <c r="G169" s="495">
        <v>14</v>
      </c>
      <c r="H169" s="400">
        <v>0</v>
      </c>
      <c r="I169" s="400">
        <v>0</v>
      </c>
      <c r="J169" s="400">
        <v>0</v>
      </c>
      <c r="K169" s="400">
        <v>-2</v>
      </c>
      <c r="L169" s="496" t="s">
        <v>490</v>
      </c>
      <c r="N169" s="498">
        <v>8500</v>
      </c>
      <c r="O169" s="495" t="s">
        <v>93</v>
      </c>
      <c r="P169" s="400" t="s">
        <v>1531</v>
      </c>
    </row>
    <row r="170" spans="1:16" ht="13.5">
      <c r="A170" s="400" t="s">
        <v>1541</v>
      </c>
      <c r="B170" s="400">
        <v>14</v>
      </c>
      <c r="C170" s="400" t="s">
        <v>282</v>
      </c>
      <c r="D170" s="400" t="s">
        <v>1354</v>
      </c>
      <c r="E170" s="400">
        <v>20</v>
      </c>
      <c r="F170" s="495">
        <v>-2</v>
      </c>
      <c r="G170" s="495">
        <v>18</v>
      </c>
      <c r="H170" s="400">
        <v>0</v>
      </c>
      <c r="I170" s="400">
        <v>0</v>
      </c>
      <c r="J170" s="400">
        <v>0</v>
      </c>
      <c r="K170" s="400">
        <v>-2</v>
      </c>
      <c r="L170" s="496" t="s">
        <v>490</v>
      </c>
      <c r="N170" s="498">
        <v>79100</v>
      </c>
      <c r="O170" s="495">
        <v>18</v>
      </c>
      <c r="P170" s="400" t="s">
        <v>1521</v>
      </c>
    </row>
    <row r="171" spans="1:16" ht="13.5">
      <c r="A171" s="400" t="s">
        <v>1542</v>
      </c>
      <c r="B171" s="400">
        <v>15</v>
      </c>
      <c r="C171" s="400" t="s">
        <v>282</v>
      </c>
      <c r="D171" s="400" t="s">
        <v>1354</v>
      </c>
      <c r="E171" s="400">
        <v>18</v>
      </c>
      <c r="F171" s="495">
        <v>-3</v>
      </c>
      <c r="G171" s="495">
        <v>16</v>
      </c>
      <c r="H171" s="400">
        <v>0</v>
      </c>
      <c r="I171" s="400">
        <v>0</v>
      </c>
      <c r="J171" s="400">
        <v>0</v>
      </c>
      <c r="K171" s="400">
        <v>-2</v>
      </c>
      <c r="L171" s="496" t="s">
        <v>490</v>
      </c>
      <c r="N171" s="498">
        <v>22000</v>
      </c>
      <c r="O171" s="495" t="s">
        <v>93</v>
      </c>
      <c r="P171" s="400" t="s">
        <v>1531</v>
      </c>
    </row>
    <row r="172" spans="1:16" ht="13.5">
      <c r="A172" s="400" t="s">
        <v>1543</v>
      </c>
      <c r="B172" s="400">
        <v>17</v>
      </c>
      <c r="C172" s="400" t="s">
        <v>282</v>
      </c>
      <c r="D172" s="400" t="s">
        <v>1383</v>
      </c>
      <c r="E172" s="400">
        <v>11</v>
      </c>
      <c r="F172" s="495">
        <v>-2</v>
      </c>
      <c r="G172" s="495">
        <v>16</v>
      </c>
      <c r="H172" s="400">
        <v>0</v>
      </c>
      <c r="I172" s="400">
        <v>0</v>
      </c>
      <c r="J172" s="400">
        <v>0</v>
      </c>
      <c r="K172" s="400">
        <v>-1</v>
      </c>
      <c r="L172" s="496" t="s">
        <v>490</v>
      </c>
      <c r="N172" s="498">
        <v>82400</v>
      </c>
      <c r="O172" s="495">
        <v>16</v>
      </c>
      <c r="P172" s="400" t="s">
        <v>1521</v>
      </c>
    </row>
    <row r="173" spans="1:16" ht="13.5">
      <c r="A173" s="400" t="s">
        <v>1544</v>
      </c>
      <c r="B173" s="400">
        <v>18</v>
      </c>
      <c r="C173" s="400" t="s">
        <v>282</v>
      </c>
      <c r="D173" s="400" t="s">
        <v>1383</v>
      </c>
      <c r="E173" s="400">
        <v>10</v>
      </c>
      <c r="F173" s="495">
        <v>-1</v>
      </c>
      <c r="G173" s="495">
        <v>16</v>
      </c>
      <c r="H173" s="400">
        <v>0</v>
      </c>
      <c r="I173" s="400">
        <v>0</v>
      </c>
      <c r="J173" s="400">
        <v>0</v>
      </c>
      <c r="K173" s="400">
        <v>0</v>
      </c>
      <c r="L173" s="496" t="s">
        <v>490</v>
      </c>
      <c r="N173" s="498">
        <v>34000</v>
      </c>
      <c r="O173" s="495" t="s">
        <v>93</v>
      </c>
      <c r="P173" s="400" t="s">
        <v>1531</v>
      </c>
    </row>
    <row r="174" spans="1:16" ht="13.5">
      <c r="A174" s="400" t="s">
        <v>1545</v>
      </c>
      <c r="B174" s="400">
        <v>20</v>
      </c>
      <c r="C174" s="400" t="s">
        <v>282</v>
      </c>
      <c r="D174" s="400" t="s">
        <v>1354</v>
      </c>
      <c r="E174" s="400">
        <v>16</v>
      </c>
      <c r="F174" s="495">
        <v>-3</v>
      </c>
      <c r="G174" s="495">
        <v>18</v>
      </c>
      <c r="H174" s="400">
        <v>0</v>
      </c>
      <c r="I174" s="400">
        <v>0</v>
      </c>
      <c r="J174" s="400">
        <v>0</v>
      </c>
      <c r="K174" s="400">
        <v>-1</v>
      </c>
      <c r="L174" s="496" t="s">
        <v>490</v>
      </c>
      <c r="N174" s="498">
        <v>41000</v>
      </c>
      <c r="O174" s="495" t="s">
        <v>93</v>
      </c>
      <c r="P174" s="400" t="s">
        <v>1531</v>
      </c>
    </row>
    <row r="175" spans="1:17" s="472" customFormat="1" ht="11.25">
      <c r="A175" s="472" t="s">
        <v>1546</v>
      </c>
      <c r="B175" s="472">
        <v>22</v>
      </c>
      <c r="C175" s="472" t="s">
        <v>282</v>
      </c>
      <c r="D175" s="472" t="s">
        <v>1383</v>
      </c>
      <c r="E175" s="472">
        <v>12</v>
      </c>
      <c r="F175" s="507">
        <v>-1</v>
      </c>
      <c r="G175" s="507">
        <v>17</v>
      </c>
      <c r="H175" s="472">
        <v>0</v>
      </c>
      <c r="I175" s="472">
        <v>0</v>
      </c>
      <c r="J175" s="472">
        <v>0</v>
      </c>
      <c r="K175" s="472">
        <v>0</v>
      </c>
      <c r="L175" s="508" t="s">
        <v>490</v>
      </c>
      <c r="M175" s="474"/>
      <c r="N175" s="509">
        <v>139200</v>
      </c>
      <c r="O175" s="507">
        <v>20</v>
      </c>
      <c r="P175" s="472" t="s">
        <v>1521</v>
      </c>
      <c r="Q175" s="474"/>
    </row>
    <row r="176" spans="1:16" ht="13.5">
      <c r="A176" s="400" t="s">
        <v>1547</v>
      </c>
      <c r="B176" s="400">
        <v>24</v>
      </c>
      <c r="C176" s="400" t="s">
        <v>282</v>
      </c>
      <c r="D176" s="400" t="s">
        <v>1354</v>
      </c>
      <c r="E176" s="400">
        <v>27</v>
      </c>
      <c r="F176" s="495">
        <v>-1</v>
      </c>
      <c r="G176" s="495">
        <v>24</v>
      </c>
      <c r="H176" s="400">
        <v>0</v>
      </c>
      <c r="I176" s="400">
        <v>0</v>
      </c>
      <c r="J176" s="400">
        <v>0</v>
      </c>
      <c r="K176" s="400">
        <v>-1</v>
      </c>
      <c r="L176" s="496" t="s">
        <v>490</v>
      </c>
      <c r="N176" s="498">
        <v>223000</v>
      </c>
      <c r="O176" s="495">
        <v>22</v>
      </c>
      <c r="P176" s="400" t="s">
        <v>1521</v>
      </c>
    </row>
    <row r="177" spans="1:16" ht="13.5">
      <c r="A177" s="400" t="s">
        <v>1548</v>
      </c>
      <c r="B177" s="400">
        <v>24</v>
      </c>
      <c r="C177" s="400" t="s">
        <v>282</v>
      </c>
      <c r="D177" s="400" t="s">
        <v>1383</v>
      </c>
      <c r="E177" s="400">
        <v>13</v>
      </c>
      <c r="F177" s="495">
        <v>-1</v>
      </c>
      <c r="G177" s="495">
        <v>18</v>
      </c>
      <c r="H177" s="400">
        <v>0</v>
      </c>
      <c r="I177" s="400">
        <v>0</v>
      </c>
      <c r="J177" s="400">
        <v>0</v>
      </c>
      <c r="K177" s="400">
        <v>0</v>
      </c>
      <c r="L177" s="496" t="s">
        <v>490</v>
      </c>
      <c r="N177" s="498">
        <v>55000</v>
      </c>
      <c r="O177" s="495" t="s">
        <v>93</v>
      </c>
      <c r="P177" s="400" t="s">
        <v>1531</v>
      </c>
    </row>
    <row r="178" spans="1:16" ht="13.5">
      <c r="A178" s="400" t="s">
        <v>1549</v>
      </c>
      <c r="B178" s="400">
        <v>27</v>
      </c>
      <c r="C178" s="400" t="s">
        <v>282</v>
      </c>
      <c r="D178" s="400" t="s">
        <v>1354</v>
      </c>
      <c r="E178" s="400">
        <v>20</v>
      </c>
      <c r="F178" s="495">
        <v>-4</v>
      </c>
      <c r="G178" s="495">
        <v>23</v>
      </c>
      <c r="H178" s="400">
        <v>0</v>
      </c>
      <c r="I178" s="400">
        <v>0</v>
      </c>
      <c r="J178" s="400">
        <v>0</v>
      </c>
      <c r="K178" s="400">
        <v>-3</v>
      </c>
      <c r="L178" s="496" t="s">
        <v>490</v>
      </c>
      <c r="N178" s="498">
        <v>89600</v>
      </c>
      <c r="O178" s="495" t="s">
        <v>93</v>
      </c>
      <c r="P178" s="400" t="s">
        <v>1531</v>
      </c>
    </row>
    <row r="179" spans="1:16" ht="13.5">
      <c r="A179" s="400" t="s">
        <v>1550</v>
      </c>
      <c r="B179" s="400">
        <v>29</v>
      </c>
      <c r="C179" s="400" t="s">
        <v>282</v>
      </c>
      <c r="D179" s="400" t="s">
        <v>1383</v>
      </c>
      <c r="E179" s="400">
        <v>15</v>
      </c>
      <c r="F179" s="495">
        <v>-2</v>
      </c>
      <c r="G179" s="495">
        <v>33</v>
      </c>
      <c r="H179" s="400">
        <v>0</v>
      </c>
      <c r="I179" s="400">
        <v>0</v>
      </c>
      <c r="J179" s="400">
        <v>0</v>
      </c>
      <c r="K179" s="400">
        <v>-1</v>
      </c>
      <c r="L179" s="496" t="s">
        <v>490</v>
      </c>
      <c r="N179" s="498">
        <v>326000</v>
      </c>
      <c r="O179" s="495">
        <v>23</v>
      </c>
      <c r="P179" s="400" t="s">
        <v>1521</v>
      </c>
    </row>
    <row r="180" spans="1:16" ht="13.5">
      <c r="A180" s="400" t="s">
        <v>1551</v>
      </c>
      <c r="B180" s="400">
        <v>30</v>
      </c>
      <c r="C180" s="400" t="s">
        <v>282</v>
      </c>
      <c r="D180" s="400" t="s">
        <v>1354</v>
      </c>
      <c r="E180" s="400">
        <v>22</v>
      </c>
      <c r="F180" s="495">
        <v>-3</v>
      </c>
      <c r="G180" s="495">
        <v>26</v>
      </c>
      <c r="H180" s="400">
        <v>0</v>
      </c>
      <c r="I180" s="400">
        <v>0</v>
      </c>
      <c r="J180" s="400">
        <v>0</v>
      </c>
      <c r="K180" s="400">
        <v>-3</v>
      </c>
      <c r="L180" s="496" t="s">
        <v>490</v>
      </c>
      <c r="N180" s="498">
        <v>185000</v>
      </c>
      <c r="O180" s="495" t="s">
        <v>93</v>
      </c>
      <c r="P180" s="400" t="s">
        <v>1531</v>
      </c>
    </row>
    <row r="181" spans="1:18" ht="13.5">
      <c r="A181" s="215"/>
      <c r="B181" s="215"/>
      <c r="C181" s="215"/>
      <c r="D181" s="215"/>
      <c r="E181" s="215"/>
      <c r="F181" s="320"/>
      <c r="G181" s="320"/>
      <c r="H181" s="215"/>
      <c r="I181" s="215"/>
      <c r="J181" s="215"/>
      <c r="K181" s="215"/>
      <c r="L181" s="505"/>
      <c r="M181" s="215"/>
      <c r="N181" s="223"/>
      <c r="O181" s="320"/>
      <c r="Q181" s="420"/>
      <c r="R181" s="215"/>
    </row>
    <row r="182" spans="1:16" ht="13.5">
      <c r="A182" s="400" t="s">
        <v>1552</v>
      </c>
      <c r="B182" s="400">
        <v>1</v>
      </c>
      <c r="C182" s="400" t="s">
        <v>289</v>
      </c>
      <c r="D182" s="400" t="s">
        <v>1383</v>
      </c>
      <c r="E182" s="400">
        <v>3</v>
      </c>
      <c r="F182" s="495">
        <v>0</v>
      </c>
      <c r="G182" s="495">
        <v>2</v>
      </c>
      <c r="H182" s="400">
        <v>0</v>
      </c>
      <c r="I182" s="400">
        <v>0</v>
      </c>
      <c r="J182" s="400">
        <v>0</v>
      </c>
      <c r="K182" s="400">
        <v>0</v>
      </c>
      <c r="L182" s="496" t="s">
        <v>490</v>
      </c>
      <c r="N182" s="498">
        <v>20</v>
      </c>
      <c r="O182" s="495" t="s">
        <v>93</v>
      </c>
      <c r="P182" s="400" t="s">
        <v>1525</v>
      </c>
    </row>
    <row r="183" spans="1:17" s="472" customFormat="1" ht="11.25">
      <c r="A183" s="472" t="s">
        <v>1553</v>
      </c>
      <c r="B183" s="472">
        <v>1</v>
      </c>
      <c r="C183" s="472" t="s">
        <v>289</v>
      </c>
      <c r="D183" s="472" t="s">
        <v>1383</v>
      </c>
      <c r="E183" s="472">
        <v>4</v>
      </c>
      <c r="F183" s="507">
        <v>-1</v>
      </c>
      <c r="G183" s="507">
        <v>2</v>
      </c>
      <c r="H183" s="472">
        <v>0</v>
      </c>
      <c r="I183" s="472">
        <v>0</v>
      </c>
      <c r="J183" s="472">
        <v>0</v>
      </c>
      <c r="K183" s="472">
        <v>0</v>
      </c>
      <c r="L183" s="508" t="s">
        <v>490</v>
      </c>
      <c r="M183" s="474"/>
      <c r="N183" s="509">
        <v>200</v>
      </c>
      <c r="O183" s="507" t="s">
        <v>93</v>
      </c>
      <c r="P183" s="472" t="s">
        <v>1525</v>
      </c>
      <c r="Q183" s="474"/>
    </row>
    <row r="184" spans="1:16" ht="13.5">
      <c r="A184" s="400" t="s">
        <v>1554</v>
      </c>
      <c r="B184" s="400">
        <v>1</v>
      </c>
      <c r="C184" s="400" t="s">
        <v>289</v>
      </c>
      <c r="D184" s="400" t="s">
        <v>1354</v>
      </c>
      <c r="E184" s="400">
        <v>4</v>
      </c>
      <c r="F184" s="495">
        <v>0</v>
      </c>
      <c r="G184" s="495">
        <v>3</v>
      </c>
      <c r="H184" s="400">
        <v>0</v>
      </c>
      <c r="I184" s="400">
        <v>0</v>
      </c>
      <c r="J184" s="400">
        <v>0</v>
      </c>
      <c r="K184" s="400">
        <v>0</v>
      </c>
      <c r="L184" s="496" t="s">
        <v>490</v>
      </c>
      <c r="N184" s="498">
        <v>40</v>
      </c>
      <c r="O184" s="495" t="s">
        <v>93</v>
      </c>
      <c r="P184" s="400" t="s">
        <v>1525</v>
      </c>
    </row>
    <row r="185" spans="1:16" ht="13.5">
      <c r="A185" s="400" t="s">
        <v>1555</v>
      </c>
      <c r="B185" s="400">
        <v>1</v>
      </c>
      <c r="C185" s="400" t="s">
        <v>289</v>
      </c>
      <c r="D185" s="400" t="s">
        <v>1383</v>
      </c>
      <c r="E185" s="400">
        <v>3</v>
      </c>
      <c r="F185" s="495">
        <v>-1</v>
      </c>
      <c r="G185" s="495">
        <v>4</v>
      </c>
      <c r="H185" s="400">
        <v>0</v>
      </c>
      <c r="I185" s="400">
        <v>0</v>
      </c>
      <c r="J185" s="400">
        <v>0</v>
      </c>
      <c r="K185" s="400">
        <v>0</v>
      </c>
      <c r="L185" s="496" t="s">
        <v>490</v>
      </c>
      <c r="N185" s="498">
        <v>80</v>
      </c>
      <c r="O185" s="495" t="s">
        <v>93</v>
      </c>
      <c r="P185" s="400" t="s">
        <v>1525</v>
      </c>
    </row>
    <row r="186" spans="1:16" ht="13.5">
      <c r="A186" s="400" t="s">
        <v>1556</v>
      </c>
      <c r="B186" s="400">
        <v>1</v>
      </c>
      <c r="C186" s="400" t="s">
        <v>289</v>
      </c>
      <c r="D186" s="400" t="s">
        <v>1383</v>
      </c>
      <c r="E186" s="400">
        <v>5</v>
      </c>
      <c r="F186" s="495">
        <v>-1</v>
      </c>
      <c r="G186" s="495">
        <v>5</v>
      </c>
      <c r="H186" s="400">
        <v>0</v>
      </c>
      <c r="I186" s="400">
        <v>0</v>
      </c>
      <c r="J186" s="400">
        <v>0</v>
      </c>
      <c r="K186" s="400">
        <v>0</v>
      </c>
      <c r="L186" s="496" t="s">
        <v>490</v>
      </c>
      <c r="N186" s="498">
        <v>100</v>
      </c>
      <c r="O186" s="495" t="s">
        <v>93</v>
      </c>
      <c r="P186" s="400" t="s">
        <v>1525</v>
      </c>
    </row>
    <row r="187" spans="1:16" ht="13.5">
      <c r="A187" s="400" t="s">
        <v>1557</v>
      </c>
      <c r="B187" s="400">
        <v>1</v>
      </c>
      <c r="C187" s="400" t="s">
        <v>289</v>
      </c>
      <c r="D187" s="400" t="s">
        <v>1383</v>
      </c>
      <c r="E187" s="400">
        <v>6</v>
      </c>
      <c r="F187" s="495">
        <v>-2</v>
      </c>
      <c r="G187" s="495">
        <v>6</v>
      </c>
      <c r="H187" s="400">
        <v>0</v>
      </c>
      <c r="I187" s="400">
        <v>0</v>
      </c>
      <c r="J187" s="400">
        <v>0</v>
      </c>
      <c r="K187" s="400">
        <v>0</v>
      </c>
      <c r="L187" s="496" t="s">
        <v>490</v>
      </c>
      <c r="N187" s="498">
        <v>140</v>
      </c>
      <c r="O187" s="495" t="s">
        <v>93</v>
      </c>
      <c r="P187" s="400" t="s">
        <v>1525</v>
      </c>
    </row>
    <row r="188" spans="1:16" ht="13.5">
      <c r="A188" s="400" t="s">
        <v>1558</v>
      </c>
      <c r="B188" s="400">
        <v>1</v>
      </c>
      <c r="C188" s="400" t="s">
        <v>289</v>
      </c>
      <c r="D188" s="400" t="s">
        <v>1383</v>
      </c>
      <c r="E188" s="400">
        <v>7</v>
      </c>
      <c r="F188" s="495">
        <v>-2</v>
      </c>
      <c r="G188" s="495">
        <v>7</v>
      </c>
      <c r="H188" s="400">
        <v>0</v>
      </c>
      <c r="I188" s="400">
        <v>0</v>
      </c>
      <c r="J188" s="400">
        <v>0</v>
      </c>
      <c r="K188" s="400">
        <v>0</v>
      </c>
      <c r="L188" s="496" t="s">
        <v>490</v>
      </c>
      <c r="N188" s="498">
        <v>180</v>
      </c>
      <c r="O188" s="495" t="s">
        <v>93</v>
      </c>
      <c r="P188" s="400" t="s">
        <v>1525</v>
      </c>
    </row>
    <row r="189" spans="1:16" ht="13.5">
      <c r="A189" s="400" t="s">
        <v>1559</v>
      </c>
      <c r="B189" s="400">
        <v>1</v>
      </c>
      <c r="C189" s="400" t="s">
        <v>289</v>
      </c>
      <c r="D189" s="400" t="s">
        <v>1383</v>
      </c>
      <c r="E189" s="400">
        <v>5</v>
      </c>
      <c r="F189" s="495">
        <v>-2</v>
      </c>
      <c r="G189" s="495">
        <v>6</v>
      </c>
      <c r="H189" s="400">
        <v>0</v>
      </c>
      <c r="I189" s="400">
        <v>0</v>
      </c>
      <c r="J189" s="400">
        <v>0</v>
      </c>
      <c r="K189" s="400">
        <v>0</v>
      </c>
      <c r="L189" s="496" t="s">
        <v>490</v>
      </c>
      <c r="N189" s="498">
        <v>150</v>
      </c>
      <c r="O189" s="495" t="s">
        <v>93</v>
      </c>
      <c r="P189" s="400" t="s">
        <v>1531</v>
      </c>
    </row>
    <row r="190" spans="1:17" s="472" customFormat="1" ht="11.25">
      <c r="A190" s="472" t="s">
        <v>1560</v>
      </c>
      <c r="B190" s="472">
        <v>3</v>
      </c>
      <c r="C190" s="472" t="s">
        <v>289</v>
      </c>
      <c r="D190" s="472" t="s">
        <v>1383</v>
      </c>
      <c r="E190" s="472">
        <v>9</v>
      </c>
      <c r="F190" s="507">
        <v>-2</v>
      </c>
      <c r="G190" s="507">
        <v>8</v>
      </c>
      <c r="H190" s="472">
        <v>0</v>
      </c>
      <c r="I190" s="472">
        <v>0</v>
      </c>
      <c r="J190" s="472">
        <v>0</v>
      </c>
      <c r="K190" s="472">
        <v>0</v>
      </c>
      <c r="L190" s="508" t="s">
        <v>490</v>
      </c>
      <c r="M190" s="474"/>
      <c r="N190" s="509">
        <v>2000</v>
      </c>
      <c r="O190" s="507">
        <v>15</v>
      </c>
      <c r="P190" s="472" t="s">
        <v>1361</v>
      </c>
      <c r="Q190" s="474"/>
    </row>
    <row r="191" spans="1:16" ht="13.5">
      <c r="A191" s="400" t="s">
        <v>1561</v>
      </c>
      <c r="B191" s="400">
        <v>3</v>
      </c>
      <c r="C191" s="400" t="s">
        <v>289</v>
      </c>
      <c r="D191" s="400" t="s">
        <v>1354</v>
      </c>
      <c r="E191" s="400">
        <v>9</v>
      </c>
      <c r="F191" s="495">
        <v>-1</v>
      </c>
      <c r="G191" s="495">
        <v>9</v>
      </c>
      <c r="H191" s="400">
        <v>0</v>
      </c>
      <c r="I191" s="400">
        <v>0</v>
      </c>
      <c r="J191" s="400" t="s">
        <v>93</v>
      </c>
      <c r="K191" s="400">
        <v>0</v>
      </c>
      <c r="L191" s="496" t="s">
        <v>490</v>
      </c>
      <c r="N191" s="498">
        <v>2000</v>
      </c>
      <c r="O191" s="495">
        <v>14</v>
      </c>
      <c r="P191" s="400" t="s">
        <v>1516</v>
      </c>
    </row>
    <row r="192" spans="1:17" s="472" customFormat="1" ht="11.25">
      <c r="A192" s="472" t="s">
        <v>1562</v>
      </c>
      <c r="B192" s="472">
        <v>4</v>
      </c>
      <c r="C192" s="472" t="s">
        <v>289</v>
      </c>
      <c r="D192" s="472" t="s">
        <v>1383</v>
      </c>
      <c r="E192" s="472">
        <v>5</v>
      </c>
      <c r="F192" s="507">
        <v>-1</v>
      </c>
      <c r="G192" s="507">
        <v>2</v>
      </c>
      <c r="H192" s="472">
        <v>0</v>
      </c>
      <c r="I192" s="472">
        <v>0</v>
      </c>
      <c r="J192" s="472">
        <v>0</v>
      </c>
      <c r="K192" s="472">
        <v>0</v>
      </c>
      <c r="L192" s="508" t="s">
        <v>490</v>
      </c>
      <c r="M192" s="474"/>
      <c r="N192" s="509">
        <v>400</v>
      </c>
      <c r="O192" s="507" t="s">
        <v>93</v>
      </c>
      <c r="P192" s="472" t="s">
        <v>1525</v>
      </c>
      <c r="Q192" s="474"/>
    </row>
    <row r="193" spans="1:17" s="472" customFormat="1" ht="11.25">
      <c r="A193" s="472" t="s">
        <v>1563</v>
      </c>
      <c r="B193" s="472">
        <v>4</v>
      </c>
      <c r="C193" s="472" t="s">
        <v>289</v>
      </c>
      <c r="D193" s="472" t="s">
        <v>1354</v>
      </c>
      <c r="E193" s="472">
        <v>8</v>
      </c>
      <c r="F193" s="507">
        <v>-2</v>
      </c>
      <c r="G193" s="507">
        <v>8</v>
      </c>
      <c r="H193" s="472">
        <v>0</v>
      </c>
      <c r="I193" s="472">
        <v>0</v>
      </c>
      <c r="J193" s="472">
        <v>0</v>
      </c>
      <c r="K193" s="472">
        <v>0</v>
      </c>
      <c r="L193" s="508" t="s">
        <v>490</v>
      </c>
      <c r="M193" s="474"/>
      <c r="N193" s="509">
        <v>300</v>
      </c>
      <c r="O193" s="507" t="s">
        <v>93</v>
      </c>
      <c r="P193" s="472" t="s">
        <v>1525</v>
      </c>
      <c r="Q193" s="474"/>
    </row>
    <row r="194" spans="1:16" ht="13.5">
      <c r="A194" s="400" t="s">
        <v>1564</v>
      </c>
      <c r="B194" s="400">
        <v>4</v>
      </c>
      <c r="C194" s="400" t="s">
        <v>289</v>
      </c>
      <c r="D194" s="400" t="s">
        <v>1354</v>
      </c>
      <c r="E194" s="400">
        <v>9</v>
      </c>
      <c r="F194" s="495">
        <v>-3</v>
      </c>
      <c r="G194" s="495">
        <v>9</v>
      </c>
      <c r="H194" s="400">
        <v>0</v>
      </c>
      <c r="I194" s="400">
        <v>0</v>
      </c>
      <c r="J194" s="400">
        <v>0</v>
      </c>
      <c r="K194" s="400">
        <v>-1</v>
      </c>
      <c r="L194" s="496" t="s">
        <v>490</v>
      </c>
      <c r="N194" s="498">
        <v>200</v>
      </c>
      <c r="O194" s="495" t="s">
        <v>93</v>
      </c>
      <c r="P194" s="400" t="s">
        <v>1525</v>
      </c>
    </row>
    <row r="195" spans="1:16" ht="13.5">
      <c r="A195" s="400" t="s">
        <v>1565</v>
      </c>
      <c r="B195" s="400">
        <v>4</v>
      </c>
      <c r="C195" s="400" t="s">
        <v>289</v>
      </c>
      <c r="D195" s="400" t="s">
        <v>1383</v>
      </c>
      <c r="E195" s="400">
        <v>9</v>
      </c>
      <c r="F195" s="495">
        <v>-2</v>
      </c>
      <c r="G195" s="495">
        <v>8</v>
      </c>
      <c r="H195" s="400">
        <v>0</v>
      </c>
      <c r="I195" s="400">
        <v>0</v>
      </c>
      <c r="J195" s="400">
        <v>0</v>
      </c>
      <c r="K195" s="400">
        <v>0</v>
      </c>
      <c r="L195" s="496" t="s">
        <v>490</v>
      </c>
      <c r="N195" s="498">
        <v>600</v>
      </c>
      <c r="O195" s="495" t="s">
        <v>93</v>
      </c>
      <c r="P195" s="400" t="s">
        <v>1531</v>
      </c>
    </row>
    <row r="196" spans="1:17" s="472" customFormat="1" ht="11.25">
      <c r="A196" s="472" t="s">
        <v>1566</v>
      </c>
      <c r="B196" s="472">
        <v>4</v>
      </c>
      <c r="C196" s="472" t="s">
        <v>289</v>
      </c>
      <c r="D196" s="472" t="s">
        <v>1383</v>
      </c>
      <c r="E196" s="472">
        <v>6</v>
      </c>
      <c r="F196" s="507">
        <v>-1</v>
      </c>
      <c r="G196" s="507">
        <v>4</v>
      </c>
      <c r="H196" s="472">
        <v>0</v>
      </c>
      <c r="I196" s="472">
        <v>0</v>
      </c>
      <c r="J196" s="472">
        <v>0</v>
      </c>
      <c r="K196" s="472">
        <v>0</v>
      </c>
      <c r="L196" s="508" t="s">
        <v>490</v>
      </c>
      <c r="M196" s="474"/>
      <c r="N196" s="509">
        <v>3200</v>
      </c>
      <c r="O196" s="507">
        <v>13</v>
      </c>
      <c r="P196" s="472" t="s">
        <v>1485</v>
      </c>
      <c r="Q196" s="474"/>
    </row>
    <row r="197" spans="1:17" s="472" customFormat="1" ht="11.25">
      <c r="A197" s="472" t="s">
        <v>1567</v>
      </c>
      <c r="B197" s="472">
        <v>5</v>
      </c>
      <c r="C197" s="472" t="s">
        <v>289</v>
      </c>
      <c r="D197" s="472" t="s">
        <v>1383</v>
      </c>
      <c r="E197" s="472">
        <v>3</v>
      </c>
      <c r="F197" s="507">
        <v>-1</v>
      </c>
      <c r="G197" s="507">
        <v>2</v>
      </c>
      <c r="H197" s="472">
        <v>0</v>
      </c>
      <c r="I197" s="472">
        <v>0</v>
      </c>
      <c r="J197" s="472">
        <v>0</v>
      </c>
      <c r="K197" s="472">
        <v>0</v>
      </c>
      <c r="L197" s="508" t="s">
        <v>490</v>
      </c>
      <c r="M197" s="474"/>
      <c r="N197" s="509">
        <v>4000</v>
      </c>
      <c r="O197" s="507">
        <v>17</v>
      </c>
      <c r="P197" s="472" t="s">
        <v>1433</v>
      </c>
      <c r="Q197" s="474"/>
    </row>
    <row r="198" spans="1:18" s="472" customFormat="1" ht="11.25">
      <c r="A198" s="472" t="s">
        <v>1568</v>
      </c>
      <c r="B198" s="472">
        <v>5</v>
      </c>
      <c r="C198" s="472" t="s">
        <v>289</v>
      </c>
      <c r="D198" s="472" t="s">
        <v>1383</v>
      </c>
      <c r="E198" s="472">
        <v>3</v>
      </c>
      <c r="F198" s="507">
        <v>-1</v>
      </c>
      <c r="G198" s="507">
        <v>2</v>
      </c>
      <c r="H198" s="472">
        <v>0</v>
      </c>
      <c r="I198" s="472">
        <v>0</v>
      </c>
      <c r="J198" s="472">
        <v>0</v>
      </c>
      <c r="K198" s="472">
        <v>0</v>
      </c>
      <c r="L198" s="508" t="s">
        <v>490</v>
      </c>
      <c r="M198" s="474" t="s">
        <v>1569</v>
      </c>
      <c r="N198" s="509">
        <v>4000</v>
      </c>
      <c r="O198" s="507">
        <v>17</v>
      </c>
      <c r="P198" s="472" t="s">
        <v>1433</v>
      </c>
      <c r="Q198" s="474" t="s">
        <v>1570</v>
      </c>
      <c r="R198" s="474"/>
    </row>
    <row r="199" spans="1:17" s="472" customFormat="1" ht="11.25">
      <c r="A199" s="472" t="s">
        <v>1571</v>
      </c>
      <c r="B199" s="472">
        <v>5</v>
      </c>
      <c r="C199" s="472" t="s">
        <v>289</v>
      </c>
      <c r="D199" s="472" t="s">
        <v>1383</v>
      </c>
      <c r="E199" s="472">
        <v>3</v>
      </c>
      <c r="F199" s="507">
        <v>-1</v>
      </c>
      <c r="G199" s="507">
        <v>2</v>
      </c>
      <c r="H199" s="472">
        <v>0</v>
      </c>
      <c r="I199" s="472">
        <v>0</v>
      </c>
      <c r="J199" s="472">
        <v>0</v>
      </c>
      <c r="K199" s="472">
        <v>0</v>
      </c>
      <c r="L199" s="508" t="s">
        <v>490</v>
      </c>
      <c r="M199" s="474" t="s">
        <v>1572</v>
      </c>
      <c r="N199" s="509">
        <v>4000</v>
      </c>
      <c r="O199" s="507">
        <v>17</v>
      </c>
      <c r="P199" s="472" t="s">
        <v>1433</v>
      </c>
      <c r="Q199" s="474" t="s">
        <v>1570</v>
      </c>
    </row>
    <row r="200" spans="1:17" s="472" customFormat="1" ht="11.25">
      <c r="A200" s="472" t="s">
        <v>1573</v>
      </c>
      <c r="B200" s="472">
        <v>5</v>
      </c>
      <c r="C200" s="472" t="s">
        <v>289</v>
      </c>
      <c r="D200" s="472" t="s">
        <v>1383</v>
      </c>
      <c r="E200" s="472">
        <v>3</v>
      </c>
      <c r="F200" s="507">
        <v>-1</v>
      </c>
      <c r="G200" s="507">
        <v>2</v>
      </c>
      <c r="H200" s="472">
        <v>0</v>
      </c>
      <c r="I200" s="472">
        <v>0</v>
      </c>
      <c r="J200" s="472">
        <v>0</v>
      </c>
      <c r="K200" s="472">
        <v>0</v>
      </c>
      <c r="L200" s="508" t="s">
        <v>490</v>
      </c>
      <c r="M200" s="474" t="s">
        <v>1574</v>
      </c>
      <c r="N200" s="509">
        <v>4000</v>
      </c>
      <c r="O200" s="507">
        <v>17</v>
      </c>
      <c r="P200" s="472" t="s">
        <v>1433</v>
      </c>
      <c r="Q200" s="474" t="s">
        <v>1570</v>
      </c>
    </row>
    <row r="201" spans="1:17" s="472" customFormat="1" ht="11.25">
      <c r="A201" s="472" t="s">
        <v>1575</v>
      </c>
      <c r="B201" s="472">
        <v>5</v>
      </c>
      <c r="C201" s="472" t="s">
        <v>289</v>
      </c>
      <c r="D201" s="472" t="s">
        <v>1383</v>
      </c>
      <c r="E201" s="472">
        <v>3</v>
      </c>
      <c r="F201" s="507">
        <v>-1</v>
      </c>
      <c r="G201" s="507">
        <v>2</v>
      </c>
      <c r="H201" s="472">
        <v>0</v>
      </c>
      <c r="I201" s="472">
        <v>0</v>
      </c>
      <c r="J201" s="472">
        <v>0</v>
      </c>
      <c r="K201" s="472">
        <v>0</v>
      </c>
      <c r="L201" s="508" t="s">
        <v>490</v>
      </c>
      <c r="M201" s="474" t="s">
        <v>1576</v>
      </c>
      <c r="N201" s="509">
        <v>4000</v>
      </c>
      <c r="O201" s="507">
        <v>17</v>
      </c>
      <c r="P201" s="472" t="s">
        <v>1433</v>
      </c>
      <c r="Q201" s="474" t="s">
        <v>1570</v>
      </c>
    </row>
    <row r="202" spans="1:17" s="472" customFormat="1" ht="11.25">
      <c r="A202" s="472" t="s">
        <v>1577</v>
      </c>
      <c r="B202" s="472">
        <v>5</v>
      </c>
      <c r="C202" s="472" t="s">
        <v>289</v>
      </c>
      <c r="D202" s="472" t="s">
        <v>1383</v>
      </c>
      <c r="E202" s="472">
        <v>3</v>
      </c>
      <c r="F202" s="507">
        <v>-1</v>
      </c>
      <c r="G202" s="507">
        <v>2</v>
      </c>
      <c r="H202" s="472">
        <v>0</v>
      </c>
      <c r="I202" s="472">
        <v>0</v>
      </c>
      <c r="J202" s="472">
        <v>0</v>
      </c>
      <c r="K202" s="472">
        <v>0</v>
      </c>
      <c r="L202" s="508" t="s">
        <v>490</v>
      </c>
      <c r="M202" s="474" t="s">
        <v>1578</v>
      </c>
      <c r="N202" s="509">
        <v>4000</v>
      </c>
      <c r="O202" s="507">
        <v>17</v>
      </c>
      <c r="P202" s="472" t="s">
        <v>1433</v>
      </c>
      <c r="Q202" s="474" t="s">
        <v>1570</v>
      </c>
    </row>
    <row r="203" spans="1:16" ht="13.5">
      <c r="A203" s="400" t="s">
        <v>1579</v>
      </c>
      <c r="B203" s="400">
        <v>5</v>
      </c>
      <c r="C203" s="400" t="s">
        <v>289</v>
      </c>
      <c r="D203" s="400" t="s">
        <v>1383</v>
      </c>
      <c r="E203" s="400">
        <v>6</v>
      </c>
      <c r="F203" s="495">
        <v>-2</v>
      </c>
      <c r="G203" s="495">
        <v>4</v>
      </c>
      <c r="H203" s="400">
        <v>0</v>
      </c>
      <c r="I203" s="400">
        <v>0</v>
      </c>
      <c r="J203" s="400" t="s">
        <v>93</v>
      </c>
      <c r="K203" s="400">
        <v>-1</v>
      </c>
      <c r="L203" s="496" t="s">
        <v>490</v>
      </c>
      <c r="N203" s="498">
        <v>4000</v>
      </c>
      <c r="O203" s="495">
        <v>17</v>
      </c>
      <c r="P203" s="400" t="s">
        <v>1516</v>
      </c>
    </row>
    <row r="204" spans="1:17" s="472" customFormat="1" ht="11.25">
      <c r="A204" s="472" t="s">
        <v>1580</v>
      </c>
      <c r="B204" s="472">
        <v>6</v>
      </c>
      <c r="C204" s="472" t="s">
        <v>289</v>
      </c>
      <c r="D204" s="472" t="s">
        <v>1383</v>
      </c>
      <c r="E204" s="472">
        <v>5</v>
      </c>
      <c r="F204" s="507">
        <v>-1</v>
      </c>
      <c r="G204" s="507">
        <v>3</v>
      </c>
      <c r="H204" s="472">
        <v>0</v>
      </c>
      <c r="I204" s="472">
        <v>0</v>
      </c>
      <c r="J204" s="472">
        <v>0</v>
      </c>
      <c r="K204" s="472">
        <v>-1</v>
      </c>
      <c r="L204" s="508" t="s">
        <v>490</v>
      </c>
      <c r="M204" s="474"/>
      <c r="N204" s="509">
        <v>8200</v>
      </c>
      <c r="O204" s="507">
        <v>15</v>
      </c>
      <c r="P204" s="472" t="s">
        <v>1581</v>
      </c>
      <c r="Q204" s="474"/>
    </row>
    <row r="205" spans="1:16" ht="13.5">
      <c r="A205" s="400" t="s">
        <v>1582</v>
      </c>
      <c r="B205" s="400">
        <v>7</v>
      </c>
      <c r="C205" s="400" t="s">
        <v>289</v>
      </c>
      <c r="D205" s="400" t="s">
        <v>1383</v>
      </c>
      <c r="E205" s="400">
        <v>14</v>
      </c>
      <c r="F205" s="495">
        <v>-2</v>
      </c>
      <c r="G205" s="495">
        <v>10</v>
      </c>
      <c r="H205" s="400">
        <v>0</v>
      </c>
      <c r="I205" s="400">
        <v>0</v>
      </c>
      <c r="J205" s="400">
        <v>0</v>
      </c>
      <c r="K205" s="400">
        <v>-1</v>
      </c>
      <c r="L205" s="496" t="s">
        <v>490</v>
      </c>
      <c r="N205" s="498">
        <v>1800</v>
      </c>
      <c r="O205" s="495" t="s">
        <v>93</v>
      </c>
      <c r="P205" s="400" t="s">
        <v>1531</v>
      </c>
    </row>
    <row r="206" spans="1:17" s="472" customFormat="1" ht="11.25">
      <c r="A206" s="472" t="s">
        <v>1583</v>
      </c>
      <c r="B206" s="472">
        <v>10</v>
      </c>
      <c r="C206" s="472" t="s">
        <v>289</v>
      </c>
      <c r="D206" s="472" t="s">
        <v>1354</v>
      </c>
      <c r="E206" s="472">
        <v>10</v>
      </c>
      <c r="F206" s="507">
        <v>0</v>
      </c>
      <c r="G206" s="507">
        <v>8</v>
      </c>
      <c r="H206" s="472">
        <v>0</v>
      </c>
      <c r="I206" s="472">
        <v>0</v>
      </c>
      <c r="J206" s="472">
        <v>0</v>
      </c>
      <c r="K206" s="472">
        <v>0</v>
      </c>
      <c r="L206" s="508" t="s">
        <v>490</v>
      </c>
      <c r="M206" s="474"/>
      <c r="N206" s="509">
        <v>300000</v>
      </c>
      <c r="O206" s="507">
        <v>25</v>
      </c>
      <c r="P206" s="472" t="s">
        <v>1485</v>
      </c>
      <c r="Q206" s="474"/>
    </row>
    <row r="207" spans="1:16" ht="12" customHeight="1">
      <c r="A207" s="400" t="s">
        <v>1584</v>
      </c>
      <c r="B207" s="400">
        <v>10</v>
      </c>
      <c r="C207" s="400" t="s">
        <v>289</v>
      </c>
      <c r="D207" s="400" t="s">
        <v>1354</v>
      </c>
      <c r="E207" s="400">
        <v>12</v>
      </c>
      <c r="F207" s="495">
        <v>-2</v>
      </c>
      <c r="G207" s="495">
        <v>10</v>
      </c>
      <c r="H207" s="400">
        <v>0</v>
      </c>
      <c r="I207" s="400">
        <v>0</v>
      </c>
      <c r="J207" s="400">
        <v>0</v>
      </c>
      <c r="K207" s="400">
        <v>-1</v>
      </c>
      <c r="L207" s="496" t="s">
        <v>490</v>
      </c>
      <c r="N207" s="498">
        <v>9800</v>
      </c>
      <c r="O207" s="495">
        <v>15</v>
      </c>
      <c r="P207" s="400" t="s">
        <v>1581</v>
      </c>
    </row>
    <row r="208" spans="1:17" s="472" customFormat="1" ht="11.25">
      <c r="A208" s="472" t="s">
        <v>1585</v>
      </c>
      <c r="B208" s="472">
        <v>12</v>
      </c>
      <c r="C208" s="472" t="s">
        <v>289</v>
      </c>
      <c r="D208" s="472" t="s">
        <v>1354</v>
      </c>
      <c r="E208" s="472">
        <v>10</v>
      </c>
      <c r="F208" s="507">
        <v>-2</v>
      </c>
      <c r="G208" s="507">
        <v>4</v>
      </c>
      <c r="H208" s="472">
        <v>0</v>
      </c>
      <c r="I208" s="472">
        <v>0</v>
      </c>
      <c r="J208" s="472">
        <v>0</v>
      </c>
      <c r="K208" s="472">
        <v>-2</v>
      </c>
      <c r="L208" s="508" t="s">
        <v>490</v>
      </c>
      <c r="M208" s="474"/>
      <c r="N208" s="509">
        <v>9000</v>
      </c>
      <c r="O208" s="507" t="s">
        <v>93</v>
      </c>
      <c r="P208" s="472" t="s">
        <v>1531</v>
      </c>
      <c r="Q208" s="474"/>
    </row>
    <row r="209" spans="1:17" s="472" customFormat="1" ht="11.25">
      <c r="A209" s="472" t="s">
        <v>1586</v>
      </c>
      <c r="B209" s="472">
        <v>13</v>
      </c>
      <c r="C209" s="472" t="s">
        <v>289</v>
      </c>
      <c r="D209" s="472" t="s">
        <v>1354</v>
      </c>
      <c r="E209" s="472">
        <v>12</v>
      </c>
      <c r="F209" s="507">
        <v>-2</v>
      </c>
      <c r="G209" s="507">
        <v>12</v>
      </c>
      <c r="H209" s="472">
        <v>0</v>
      </c>
      <c r="I209" s="472">
        <v>0</v>
      </c>
      <c r="J209" s="472">
        <v>0</v>
      </c>
      <c r="K209" s="472">
        <v>-3</v>
      </c>
      <c r="L209" s="508" t="s">
        <v>490</v>
      </c>
      <c r="M209" s="474"/>
      <c r="N209" s="509">
        <v>68200</v>
      </c>
      <c r="O209" s="507">
        <v>16</v>
      </c>
      <c r="P209" s="472" t="s">
        <v>1581</v>
      </c>
      <c r="Q209" s="474"/>
    </row>
    <row r="210" spans="1:16" ht="13.5">
      <c r="A210" s="400" t="s">
        <v>1587</v>
      </c>
      <c r="B210" s="400">
        <v>15</v>
      </c>
      <c r="C210" s="400" t="s">
        <v>289</v>
      </c>
      <c r="D210" s="400" t="s">
        <v>1383</v>
      </c>
      <c r="E210" s="400">
        <v>11</v>
      </c>
      <c r="F210" s="495">
        <v>-3</v>
      </c>
      <c r="G210" s="495">
        <v>12</v>
      </c>
      <c r="H210" s="400">
        <v>0</v>
      </c>
      <c r="I210" s="400">
        <v>0</v>
      </c>
      <c r="J210" s="400">
        <v>0</v>
      </c>
      <c r="K210" s="400">
        <v>-2</v>
      </c>
      <c r="L210" s="496" t="s">
        <v>490</v>
      </c>
      <c r="N210" s="498">
        <v>19000</v>
      </c>
      <c r="O210" s="495" t="s">
        <v>93</v>
      </c>
      <c r="P210" s="400" t="s">
        <v>1531</v>
      </c>
    </row>
    <row r="211" spans="1:17" s="472" customFormat="1" ht="11.25">
      <c r="A211" s="472" t="s">
        <v>1588</v>
      </c>
      <c r="B211" s="472">
        <v>17</v>
      </c>
      <c r="C211" s="472" t="s">
        <v>289</v>
      </c>
      <c r="D211" s="472" t="s">
        <v>1354</v>
      </c>
      <c r="E211" s="472">
        <v>8</v>
      </c>
      <c r="F211" s="507">
        <v>-2</v>
      </c>
      <c r="G211" s="507">
        <v>5</v>
      </c>
      <c r="H211" s="472">
        <v>0</v>
      </c>
      <c r="I211" s="472">
        <v>0</v>
      </c>
      <c r="J211" s="472">
        <v>0</v>
      </c>
      <c r="K211" s="472">
        <v>-1</v>
      </c>
      <c r="L211" s="508" t="s">
        <v>490</v>
      </c>
      <c r="M211" s="474"/>
      <c r="N211" s="509">
        <v>128000</v>
      </c>
      <c r="O211" s="507">
        <v>20</v>
      </c>
      <c r="P211" s="472" t="s">
        <v>1581</v>
      </c>
      <c r="Q211" s="474"/>
    </row>
    <row r="212" spans="1:17" s="472" customFormat="1" ht="11.25">
      <c r="A212" s="472" t="s">
        <v>1589</v>
      </c>
      <c r="B212" s="472">
        <v>17</v>
      </c>
      <c r="C212" s="472" t="s">
        <v>289</v>
      </c>
      <c r="D212" s="472" t="s">
        <v>1354</v>
      </c>
      <c r="E212" s="472">
        <v>8</v>
      </c>
      <c r="F212" s="507">
        <v>-2</v>
      </c>
      <c r="G212" s="507">
        <v>5</v>
      </c>
      <c r="H212" s="472">
        <v>0</v>
      </c>
      <c r="I212" s="472">
        <v>0</v>
      </c>
      <c r="J212" s="472">
        <v>0</v>
      </c>
      <c r="K212" s="472">
        <v>-1</v>
      </c>
      <c r="L212" s="508" t="s">
        <v>490</v>
      </c>
      <c r="M212" s="474" t="s">
        <v>1590</v>
      </c>
      <c r="N212" s="509">
        <v>128000</v>
      </c>
      <c r="O212" s="507">
        <v>20</v>
      </c>
      <c r="P212" s="472" t="s">
        <v>1581</v>
      </c>
      <c r="Q212" s="474" t="s">
        <v>1591</v>
      </c>
    </row>
    <row r="213" spans="1:17" s="472" customFormat="1" ht="11.25">
      <c r="A213" s="472" t="s">
        <v>1592</v>
      </c>
      <c r="B213" s="472">
        <v>17</v>
      </c>
      <c r="C213" s="472" t="s">
        <v>289</v>
      </c>
      <c r="D213" s="472" t="s">
        <v>1354</v>
      </c>
      <c r="E213" s="472">
        <v>8</v>
      </c>
      <c r="F213" s="507">
        <v>-2</v>
      </c>
      <c r="G213" s="507">
        <v>5</v>
      </c>
      <c r="H213" s="472">
        <v>0</v>
      </c>
      <c r="I213" s="472">
        <v>0</v>
      </c>
      <c r="J213" s="472">
        <v>0</v>
      </c>
      <c r="K213" s="472">
        <v>-1</v>
      </c>
      <c r="L213" s="508" t="s">
        <v>490</v>
      </c>
      <c r="M213" s="474" t="s">
        <v>1593</v>
      </c>
      <c r="N213" s="509">
        <v>128000</v>
      </c>
      <c r="O213" s="507">
        <v>20</v>
      </c>
      <c r="P213" s="472" t="s">
        <v>1581</v>
      </c>
      <c r="Q213" s="474" t="s">
        <v>1591</v>
      </c>
    </row>
    <row r="214" spans="1:17" s="472" customFormat="1" ht="11.25">
      <c r="A214" s="472" t="s">
        <v>1594</v>
      </c>
      <c r="B214" s="472">
        <v>17</v>
      </c>
      <c r="C214" s="472" t="s">
        <v>289</v>
      </c>
      <c r="D214" s="472" t="s">
        <v>1354</v>
      </c>
      <c r="E214" s="472">
        <v>8</v>
      </c>
      <c r="F214" s="507">
        <v>-2</v>
      </c>
      <c r="G214" s="507">
        <v>5</v>
      </c>
      <c r="H214" s="472">
        <v>0</v>
      </c>
      <c r="I214" s="472">
        <v>0</v>
      </c>
      <c r="J214" s="472">
        <v>0</v>
      </c>
      <c r="K214" s="472">
        <v>-1</v>
      </c>
      <c r="L214" s="508" t="s">
        <v>490</v>
      </c>
      <c r="M214" s="474" t="s">
        <v>1595</v>
      </c>
      <c r="N214" s="509">
        <v>128000</v>
      </c>
      <c r="O214" s="507">
        <v>20</v>
      </c>
      <c r="P214" s="472" t="s">
        <v>1581</v>
      </c>
      <c r="Q214" s="474" t="s">
        <v>1591</v>
      </c>
    </row>
    <row r="215" spans="1:17" s="472" customFormat="1" ht="11.25">
      <c r="A215" s="472" t="s">
        <v>1596</v>
      </c>
      <c r="B215" s="472">
        <v>17</v>
      </c>
      <c r="C215" s="472" t="s">
        <v>289</v>
      </c>
      <c r="D215" s="472" t="s">
        <v>1354</v>
      </c>
      <c r="E215" s="472">
        <v>8</v>
      </c>
      <c r="F215" s="507">
        <v>-2</v>
      </c>
      <c r="G215" s="507">
        <v>5</v>
      </c>
      <c r="H215" s="472">
        <v>0</v>
      </c>
      <c r="I215" s="472">
        <v>0</v>
      </c>
      <c r="J215" s="472">
        <v>0</v>
      </c>
      <c r="K215" s="472">
        <v>-1</v>
      </c>
      <c r="L215" s="508" t="s">
        <v>490</v>
      </c>
      <c r="M215" s="474" t="s">
        <v>1597</v>
      </c>
      <c r="N215" s="509">
        <v>128000</v>
      </c>
      <c r="O215" s="507">
        <v>20</v>
      </c>
      <c r="P215" s="472" t="s">
        <v>1581</v>
      </c>
      <c r="Q215" s="474" t="s">
        <v>1591</v>
      </c>
    </row>
    <row r="216" spans="1:17" s="472" customFormat="1" ht="11.25">
      <c r="A216" s="472" t="s">
        <v>1598</v>
      </c>
      <c r="B216" s="472">
        <v>17</v>
      </c>
      <c r="C216" s="472" t="s">
        <v>289</v>
      </c>
      <c r="D216" s="472" t="s">
        <v>1354</v>
      </c>
      <c r="E216" s="472">
        <v>8</v>
      </c>
      <c r="F216" s="507">
        <v>-2</v>
      </c>
      <c r="G216" s="507">
        <v>5</v>
      </c>
      <c r="H216" s="472">
        <v>0</v>
      </c>
      <c r="I216" s="472">
        <v>0</v>
      </c>
      <c r="J216" s="472">
        <v>0</v>
      </c>
      <c r="K216" s="472">
        <v>-1</v>
      </c>
      <c r="L216" s="508" t="s">
        <v>490</v>
      </c>
      <c r="M216" s="474" t="s">
        <v>1599</v>
      </c>
      <c r="N216" s="509">
        <v>128000</v>
      </c>
      <c r="O216" s="507">
        <v>20</v>
      </c>
      <c r="P216" s="472" t="s">
        <v>1581</v>
      </c>
      <c r="Q216" s="474" t="s">
        <v>1591</v>
      </c>
    </row>
    <row r="217" spans="1:16" ht="13.5">
      <c r="A217" s="400" t="s">
        <v>1600</v>
      </c>
      <c r="B217" s="400">
        <v>18</v>
      </c>
      <c r="C217" s="400" t="s">
        <v>289</v>
      </c>
      <c r="D217" s="400" t="s">
        <v>1383</v>
      </c>
      <c r="E217" s="400">
        <v>12</v>
      </c>
      <c r="F217" s="495">
        <v>-1</v>
      </c>
      <c r="G217" s="495">
        <v>14</v>
      </c>
      <c r="H217" s="400">
        <v>0</v>
      </c>
      <c r="I217" s="400">
        <v>0</v>
      </c>
      <c r="J217" s="400">
        <v>0</v>
      </c>
      <c r="K217" s="400">
        <v>-2</v>
      </c>
      <c r="L217" s="496" t="s">
        <v>490</v>
      </c>
      <c r="N217" s="498">
        <v>29000</v>
      </c>
      <c r="O217" s="495" t="s">
        <v>93</v>
      </c>
      <c r="P217" s="400" t="s">
        <v>1531</v>
      </c>
    </row>
    <row r="218" spans="1:17" s="472" customFormat="1" ht="11.25">
      <c r="A218" s="472" t="s">
        <v>1601</v>
      </c>
      <c r="B218" s="472">
        <v>20</v>
      </c>
      <c r="C218" s="472" t="s">
        <v>289</v>
      </c>
      <c r="D218" s="472" t="s">
        <v>1383</v>
      </c>
      <c r="E218" s="472">
        <v>10</v>
      </c>
      <c r="F218" s="507">
        <v>-2</v>
      </c>
      <c r="G218" s="507">
        <v>2</v>
      </c>
      <c r="H218" s="472">
        <v>0</v>
      </c>
      <c r="I218" s="472">
        <v>0</v>
      </c>
      <c r="J218" s="472">
        <v>0</v>
      </c>
      <c r="K218" s="472">
        <v>-1</v>
      </c>
      <c r="L218" s="508" t="s">
        <v>490</v>
      </c>
      <c r="M218" s="474"/>
      <c r="N218" s="509">
        <v>42000</v>
      </c>
      <c r="O218" s="507" t="s">
        <v>93</v>
      </c>
      <c r="P218" s="472" t="s">
        <v>1531</v>
      </c>
      <c r="Q218" s="474"/>
    </row>
    <row r="219" spans="1:17" s="472" customFormat="1" ht="11.25">
      <c r="A219" s="472" t="s">
        <v>1602</v>
      </c>
      <c r="B219" s="472">
        <v>20</v>
      </c>
      <c r="C219" s="472" t="s">
        <v>289</v>
      </c>
      <c r="D219" s="472" t="s">
        <v>1354</v>
      </c>
      <c r="E219" s="472">
        <v>10</v>
      </c>
      <c r="F219" s="507">
        <v>-2</v>
      </c>
      <c r="G219" s="507">
        <v>6</v>
      </c>
      <c r="H219" s="472">
        <v>0</v>
      </c>
      <c r="I219" s="472">
        <v>0</v>
      </c>
      <c r="J219" s="472">
        <v>0</v>
      </c>
      <c r="K219" s="472">
        <v>-2</v>
      </c>
      <c r="L219" s="508" t="s">
        <v>490</v>
      </c>
      <c r="M219" s="474"/>
      <c r="N219" s="509">
        <v>42000</v>
      </c>
      <c r="O219" s="507" t="s">
        <v>93</v>
      </c>
      <c r="P219" s="472" t="s">
        <v>1531</v>
      </c>
      <c r="Q219" s="474"/>
    </row>
    <row r="220" spans="1:16" ht="13.5">
      <c r="A220" s="400" t="s">
        <v>1603</v>
      </c>
      <c r="B220" s="400">
        <v>20</v>
      </c>
      <c r="C220" s="400" t="s">
        <v>289</v>
      </c>
      <c r="D220" s="400" t="s">
        <v>1354</v>
      </c>
      <c r="E220" s="400">
        <v>7</v>
      </c>
      <c r="F220" s="495">
        <v>-4</v>
      </c>
      <c r="G220" s="495">
        <v>20</v>
      </c>
      <c r="H220" s="400">
        <v>0</v>
      </c>
      <c r="I220" s="400">
        <v>0</v>
      </c>
      <c r="J220" s="400">
        <v>0</v>
      </c>
      <c r="K220" s="400">
        <v>-3</v>
      </c>
      <c r="L220" s="496" t="s">
        <v>490</v>
      </c>
      <c r="N220" s="498">
        <v>141200</v>
      </c>
      <c r="O220" s="495">
        <v>15</v>
      </c>
      <c r="P220" s="400" t="s">
        <v>1521</v>
      </c>
    </row>
    <row r="221" spans="1:16" ht="13.5">
      <c r="A221" s="400" t="s">
        <v>1604</v>
      </c>
      <c r="B221" s="400">
        <v>21</v>
      </c>
      <c r="C221" s="400" t="s">
        <v>289</v>
      </c>
      <c r="D221" s="400" t="s">
        <v>1383</v>
      </c>
      <c r="E221" s="400">
        <v>13</v>
      </c>
      <c r="F221" s="495">
        <v>-2</v>
      </c>
      <c r="G221" s="495">
        <v>17</v>
      </c>
      <c r="H221" s="400">
        <v>0</v>
      </c>
      <c r="I221" s="400">
        <v>0</v>
      </c>
      <c r="J221" s="400">
        <v>0</v>
      </c>
      <c r="K221" s="400">
        <v>-2</v>
      </c>
      <c r="L221" s="496" t="s">
        <v>490</v>
      </c>
      <c r="N221" s="498">
        <v>122000</v>
      </c>
      <c r="O221" s="495">
        <v>18</v>
      </c>
      <c r="P221" s="400" t="s">
        <v>1581</v>
      </c>
    </row>
    <row r="222" spans="1:16" ht="13.5">
      <c r="A222" s="400" t="s">
        <v>1605</v>
      </c>
      <c r="B222" s="400">
        <v>27</v>
      </c>
      <c r="C222" s="400" t="s">
        <v>289</v>
      </c>
      <c r="D222" s="400" t="s">
        <v>1383</v>
      </c>
      <c r="E222" s="400">
        <v>15</v>
      </c>
      <c r="F222" s="495">
        <v>-3</v>
      </c>
      <c r="G222" s="495">
        <v>20</v>
      </c>
      <c r="H222" s="400">
        <v>0</v>
      </c>
      <c r="I222" s="400">
        <v>0</v>
      </c>
      <c r="J222" s="400">
        <v>0</v>
      </c>
      <c r="K222" s="400">
        <v>-3</v>
      </c>
      <c r="L222" s="496" t="s">
        <v>490</v>
      </c>
      <c r="N222" s="498">
        <v>70000</v>
      </c>
      <c r="O222" s="495" t="s">
        <v>93</v>
      </c>
      <c r="P222" s="400" t="s">
        <v>1531</v>
      </c>
    </row>
    <row r="223" spans="1:16" ht="13.5">
      <c r="A223" s="400" t="s">
        <v>1606</v>
      </c>
      <c r="B223" s="400">
        <v>28</v>
      </c>
      <c r="C223" s="400" t="s">
        <v>289</v>
      </c>
      <c r="D223" s="400" t="s">
        <v>1354</v>
      </c>
      <c r="E223" s="400">
        <v>8</v>
      </c>
      <c r="F223" s="495">
        <v>-2</v>
      </c>
      <c r="G223" s="495">
        <v>10</v>
      </c>
      <c r="H223" s="400">
        <v>0</v>
      </c>
      <c r="I223" s="400">
        <v>0</v>
      </c>
      <c r="J223" s="400">
        <v>0</v>
      </c>
      <c r="K223" s="400">
        <v>0</v>
      </c>
      <c r="L223" s="496" t="s">
        <v>490</v>
      </c>
      <c r="N223" s="498">
        <v>298000</v>
      </c>
      <c r="O223" s="495">
        <v>23</v>
      </c>
      <c r="P223" s="400" t="s">
        <v>1581</v>
      </c>
    </row>
    <row r="224" spans="1:16" ht="13.5">
      <c r="A224" s="400" t="s">
        <v>1607</v>
      </c>
      <c r="B224" s="400">
        <v>30</v>
      </c>
      <c r="C224" s="400" t="s">
        <v>289</v>
      </c>
      <c r="D224" s="400" t="s">
        <v>1383</v>
      </c>
      <c r="E224" s="400">
        <v>17</v>
      </c>
      <c r="F224" s="495">
        <v>-2</v>
      </c>
      <c r="G224" s="495">
        <v>22</v>
      </c>
      <c r="H224" s="400">
        <v>0</v>
      </c>
      <c r="I224" s="400">
        <v>0</v>
      </c>
      <c r="K224" s="400">
        <v>-1</v>
      </c>
      <c r="L224" s="496" t="s">
        <v>490</v>
      </c>
      <c r="N224" s="498">
        <v>155000</v>
      </c>
      <c r="O224" s="495" t="s">
        <v>93</v>
      </c>
      <c r="P224" s="400" t="s">
        <v>1531</v>
      </c>
    </row>
    <row r="225" spans="1:18" ht="13.5">
      <c r="A225" s="215"/>
      <c r="B225" s="215"/>
      <c r="C225" s="215"/>
      <c r="D225" s="215"/>
      <c r="E225" s="215"/>
      <c r="F225" s="320"/>
      <c r="G225" s="320"/>
      <c r="H225" s="215"/>
      <c r="I225" s="215"/>
      <c r="J225" s="215"/>
      <c r="K225" s="215"/>
      <c r="L225" s="505"/>
      <c r="M225" s="215"/>
      <c r="N225" s="223"/>
      <c r="O225" s="320"/>
      <c r="Q225" s="420"/>
      <c r="R225" s="215"/>
    </row>
    <row r="226" spans="1:16" ht="13.5">
      <c r="A226" s="400" t="s">
        <v>1608</v>
      </c>
      <c r="B226" s="400">
        <v>1</v>
      </c>
      <c r="C226" s="400" t="s">
        <v>300</v>
      </c>
      <c r="D226" s="400" t="s">
        <v>1383</v>
      </c>
      <c r="E226" s="400">
        <v>5</v>
      </c>
      <c r="F226" s="495">
        <v>-1</v>
      </c>
      <c r="G226" s="495">
        <v>4</v>
      </c>
      <c r="H226" s="400">
        <v>0</v>
      </c>
      <c r="I226" s="400">
        <v>0</v>
      </c>
      <c r="J226" s="400">
        <v>0</v>
      </c>
      <c r="K226" s="400">
        <v>0</v>
      </c>
      <c r="L226" s="496" t="s">
        <v>490</v>
      </c>
      <c r="N226" s="498">
        <v>110</v>
      </c>
      <c r="O226" s="495" t="s">
        <v>93</v>
      </c>
      <c r="P226" s="400" t="s">
        <v>1525</v>
      </c>
    </row>
    <row r="227" spans="1:16" ht="13.5">
      <c r="A227" s="400" t="s">
        <v>1609</v>
      </c>
      <c r="B227" s="400">
        <v>1</v>
      </c>
      <c r="C227" s="400" t="s">
        <v>300</v>
      </c>
      <c r="D227" s="400" t="s">
        <v>1354</v>
      </c>
      <c r="E227" s="400">
        <v>7</v>
      </c>
      <c r="F227" s="495">
        <v>-2</v>
      </c>
      <c r="G227" s="495">
        <v>8</v>
      </c>
      <c r="H227" s="400">
        <v>0</v>
      </c>
      <c r="I227" s="400">
        <v>0</v>
      </c>
      <c r="J227" s="400">
        <v>0</v>
      </c>
      <c r="K227" s="400">
        <v>-1</v>
      </c>
      <c r="L227" s="496" t="s">
        <v>490</v>
      </c>
      <c r="N227" s="498">
        <v>200</v>
      </c>
      <c r="O227" s="495" t="s">
        <v>93</v>
      </c>
      <c r="P227" s="400" t="s">
        <v>1525</v>
      </c>
    </row>
    <row r="228" spans="1:16" ht="13.5">
      <c r="A228" s="400" t="s">
        <v>1610</v>
      </c>
      <c r="B228" s="400">
        <v>1</v>
      </c>
      <c r="C228" s="400" t="s">
        <v>300</v>
      </c>
      <c r="D228" s="400" t="s">
        <v>1354</v>
      </c>
      <c r="E228" s="400">
        <v>8</v>
      </c>
      <c r="F228" s="495">
        <v>-2</v>
      </c>
      <c r="G228" s="495">
        <v>9</v>
      </c>
      <c r="H228" s="400">
        <v>0</v>
      </c>
      <c r="I228" s="400">
        <v>0</v>
      </c>
      <c r="J228" s="400">
        <v>0</v>
      </c>
      <c r="K228" s="400">
        <v>-1</v>
      </c>
      <c r="L228" s="496" t="s">
        <v>490</v>
      </c>
      <c r="N228" s="498">
        <v>250</v>
      </c>
      <c r="O228" s="495" t="s">
        <v>93</v>
      </c>
      <c r="P228" s="400" t="s">
        <v>1525</v>
      </c>
    </row>
    <row r="229" spans="1:16" ht="13.5">
      <c r="A229" s="400" t="s">
        <v>1611</v>
      </c>
      <c r="B229" s="400">
        <v>3</v>
      </c>
      <c r="C229" s="400" t="s">
        <v>300</v>
      </c>
      <c r="D229" s="400" t="s">
        <v>1354</v>
      </c>
      <c r="E229" s="400">
        <v>8</v>
      </c>
      <c r="F229" s="495">
        <v>-2</v>
      </c>
      <c r="G229" s="495">
        <v>11</v>
      </c>
      <c r="H229" s="400">
        <v>0</v>
      </c>
      <c r="I229" s="400">
        <v>0</v>
      </c>
      <c r="J229" s="400">
        <v>0</v>
      </c>
      <c r="K229" s="400">
        <v>-1</v>
      </c>
      <c r="L229" s="496" t="s">
        <v>490</v>
      </c>
      <c r="N229" s="498">
        <v>1800</v>
      </c>
      <c r="O229" s="495">
        <v>14</v>
      </c>
      <c r="P229" s="400" t="s">
        <v>1361</v>
      </c>
    </row>
    <row r="230" spans="1:16" ht="13.5">
      <c r="A230" s="400" t="s">
        <v>1612</v>
      </c>
      <c r="B230" s="400">
        <v>4</v>
      </c>
      <c r="C230" s="400" t="s">
        <v>300</v>
      </c>
      <c r="D230" s="400" t="s">
        <v>1354</v>
      </c>
      <c r="E230" s="400">
        <v>15</v>
      </c>
      <c r="F230" s="495">
        <v>-4</v>
      </c>
      <c r="G230" s="495">
        <v>15</v>
      </c>
      <c r="H230" s="400">
        <v>0</v>
      </c>
      <c r="I230" s="400">
        <v>0</v>
      </c>
      <c r="J230" s="400">
        <v>0</v>
      </c>
      <c r="K230" s="400">
        <v>-3</v>
      </c>
      <c r="L230" s="496" t="s">
        <v>490</v>
      </c>
      <c r="N230" s="498">
        <v>1000</v>
      </c>
      <c r="O230" s="495" t="s">
        <v>93</v>
      </c>
      <c r="P230" s="400" t="s">
        <v>1525</v>
      </c>
    </row>
    <row r="231" spans="1:16" ht="13.5">
      <c r="A231" s="400" t="s">
        <v>1613</v>
      </c>
      <c r="B231" s="400">
        <v>4</v>
      </c>
      <c r="C231" s="400" t="s">
        <v>300</v>
      </c>
      <c r="D231" s="400" t="s">
        <v>1354</v>
      </c>
      <c r="E231" s="400">
        <v>10</v>
      </c>
      <c r="F231" s="495">
        <v>-3</v>
      </c>
      <c r="G231" s="495">
        <v>7</v>
      </c>
      <c r="H231" s="400">
        <v>0</v>
      </c>
      <c r="I231" s="400">
        <v>0</v>
      </c>
      <c r="J231" s="400">
        <v>0</v>
      </c>
      <c r="K231" s="400">
        <v>-3</v>
      </c>
      <c r="L231" s="496" t="s">
        <v>490</v>
      </c>
      <c r="N231" s="498">
        <v>1200</v>
      </c>
      <c r="O231" s="495" t="s">
        <v>93</v>
      </c>
      <c r="P231" s="400" t="s">
        <v>1531</v>
      </c>
    </row>
    <row r="232" spans="1:16" ht="13.5">
      <c r="A232" s="400" t="s">
        <v>1614</v>
      </c>
      <c r="B232" s="400">
        <v>4</v>
      </c>
      <c r="C232" s="400" t="s">
        <v>300</v>
      </c>
      <c r="D232" s="400" t="s">
        <v>1383</v>
      </c>
      <c r="E232" s="400">
        <v>14</v>
      </c>
      <c r="F232" s="495">
        <v>-1</v>
      </c>
      <c r="G232" s="495">
        <v>12</v>
      </c>
      <c r="H232" s="400">
        <v>0</v>
      </c>
      <c r="I232" s="400">
        <v>0</v>
      </c>
      <c r="J232" s="400">
        <v>0</v>
      </c>
      <c r="K232" s="400">
        <v>-2</v>
      </c>
      <c r="L232" s="496" t="s">
        <v>490</v>
      </c>
      <c r="N232" s="498">
        <v>2400</v>
      </c>
      <c r="O232" s="495">
        <v>14</v>
      </c>
      <c r="P232" s="400" t="s">
        <v>1485</v>
      </c>
    </row>
    <row r="233" spans="1:16" ht="13.5">
      <c r="A233" s="400" t="s">
        <v>1615</v>
      </c>
      <c r="B233" s="400">
        <v>5</v>
      </c>
      <c r="C233" s="400" t="s">
        <v>300</v>
      </c>
      <c r="D233" s="400" t="s">
        <v>1354</v>
      </c>
      <c r="E233" s="400">
        <v>12</v>
      </c>
      <c r="F233" s="495">
        <v>-2</v>
      </c>
      <c r="G233" s="495">
        <v>13</v>
      </c>
      <c r="H233" s="400">
        <v>0</v>
      </c>
      <c r="I233" s="400">
        <v>0</v>
      </c>
      <c r="J233" s="400">
        <v>0</v>
      </c>
      <c r="K233" s="400">
        <v>-2</v>
      </c>
      <c r="L233" s="496" t="s">
        <v>490</v>
      </c>
      <c r="N233" s="498">
        <v>3100</v>
      </c>
      <c r="O233" s="495">
        <v>13</v>
      </c>
      <c r="P233" s="400" t="s">
        <v>1581</v>
      </c>
    </row>
    <row r="234" spans="1:16" ht="13.5">
      <c r="A234" s="400" t="s">
        <v>1616</v>
      </c>
      <c r="B234" s="400">
        <v>6</v>
      </c>
      <c r="C234" s="400" t="s">
        <v>300</v>
      </c>
      <c r="D234" s="400" t="s">
        <v>1354</v>
      </c>
      <c r="E234" s="400">
        <v>15</v>
      </c>
      <c r="F234" s="495">
        <v>-2</v>
      </c>
      <c r="G234" s="495">
        <v>13</v>
      </c>
      <c r="H234" s="400">
        <v>0</v>
      </c>
      <c r="I234" s="400">
        <v>0</v>
      </c>
      <c r="J234" s="400">
        <v>0</v>
      </c>
      <c r="K234" s="400">
        <v>0</v>
      </c>
      <c r="L234" s="496" t="s">
        <v>490</v>
      </c>
      <c r="N234" s="498">
        <v>1000</v>
      </c>
      <c r="O234" s="495" t="s">
        <v>93</v>
      </c>
      <c r="P234" s="400" t="s">
        <v>1531</v>
      </c>
    </row>
    <row r="235" spans="1:16" ht="13.5">
      <c r="A235" s="400" t="s">
        <v>1617</v>
      </c>
      <c r="B235" s="400">
        <v>6</v>
      </c>
      <c r="C235" s="400" t="s">
        <v>300</v>
      </c>
      <c r="D235" s="400" t="s">
        <v>1354</v>
      </c>
      <c r="E235" s="400">
        <v>15</v>
      </c>
      <c r="F235" s="495">
        <v>-2</v>
      </c>
      <c r="G235" s="495">
        <v>6</v>
      </c>
      <c r="H235" s="400">
        <v>0</v>
      </c>
      <c r="I235" s="400">
        <v>0</v>
      </c>
      <c r="J235" s="400">
        <v>0</v>
      </c>
      <c r="K235" s="400">
        <v>-1</v>
      </c>
      <c r="L235" s="496" t="s">
        <v>490</v>
      </c>
      <c r="N235" s="498">
        <v>7000</v>
      </c>
      <c r="O235" s="495">
        <v>18</v>
      </c>
      <c r="P235" s="400" t="s">
        <v>1369</v>
      </c>
    </row>
    <row r="236" spans="1:16" ht="13.5">
      <c r="A236" s="400" t="s">
        <v>1618</v>
      </c>
      <c r="B236" s="400">
        <v>8</v>
      </c>
      <c r="C236" s="400" t="s">
        <v>300</v>
      </c>
      <c r="D236" s="400" t="s">
        <v>1354</v>
      </c>
      <c r="E236" s="400">
        <v>11</v>
      </c>
      <c r="F236" s="495">
        <v>-2</v>
      </c>
      <c r="G236" s="495">
        <v>15</v>
      </c>
      <c r="H236" s="400">
        <v>0</v>
      </c>
      <c r="I236" s="400">
        <v>0</v>
      </c>
      <c r="J236" s="400">
        <v>0</v>
      </c>
      <c r="K236" s="400">
        <v>0</v>
      </c>
      <c r="L236" s="496" t="s">
        <v>490</v>
      </c>
      <c r="N236" s="498">
        <v>11000</v>
      </c>
      <c r="O236" s="495">
        <v>20</v>
      </c>
      <c r="P236" s="400" t="s">
        <v>1485</v>
      </c>
    </row>
    <row r="237" spans="1:16" ht="13.5">
      <c r="A237" s="400" t="s">
        <v>1619</v>
      </c>
      <c r="B237" s="400">
        <v>10</v>
      </c>
      <c r="C237" s="400" t="s">
        <v>300</v>
      </c>
      <c r="D237" s="400" t="s">
        <v>1383</v>
      </c>
      <c r="E237" s="400">
        <v>14</v>
      </c>
      <c r="F237" s="495">
        <v>-3</v>
      </c>
      <c r="G237" s="495">
        <v>15</v>
      </c>
      <c r="H237" s="400">
        <v>0</v>
      </c>
      <c r="I237" s="400">
        <v>0</v>
      </c>
      <c r="J237" s="400">
        <v>0</v>
      </c>
      <c r="K237" s="400">
        <v>0</v>
      </c>
      <c r="L237" s="496" t="s">
        <v>490</v>
      </c>
      <c r="N237" s="498">
        <v>4000</v>
      </c>
      <c r="O237" s="495" t="s">
        <v>93</v>
      </c>
      <c r="P237" s="400" t="s">
        <v>1531</v>
      </c>
    </row>
    <row r="238" spans="1:16" ht="13.5">
      <c r="A238" s="400" t="s">
        <v>1620</v>
      </c>
      <c r="B238" s="400">
        <v>10</v>
      </c>
      <c r="C238" s="400" t="s">
        <v>300</v>
      </c>
      <c r="D238" s="400" t="s">
        <v>1383</v>
      </c>
      <c r="E238" s="400">
        <v>17</v>
      </c>
      <c r="F238" s="495">
        <v>-2</v>
      </c>
      <c r="G238" s="495">
        <v>15</v>
      </c>
      <c r="H238" s="400">
        <v>0</v>
      </c>
      <c r="I238" s="400">
        <v>0</v>
      </c>
      <c r="J238" s="400">
        <v>0</v>
      </c>
      <c r="K238" s="400">
        <v>-1</v>
      </c>
      <c r="L238" s="496" t="s">
        <v>490</v>
      </c>
      <c r="N238" s="498">
        <v>4500</v>
      </c>
      <c r="O238" s="495" t="s">
        <v>93</v>
      </c>
      <c r="P238" s="400" t="s">
        <v>1531</v>
      </c>
    </row>
    <row r="239" spans="1:16" ht="13.5">
      <c r="A239" s="400" t="s">
        <v>1621</v>
      </c>
      <c r="B239" s="400">
        <v>10</v>
      </c>
      <c r="C239" s="400" t="s">
        <v>300</v>
      </c>
      <c r="D239" s="400" t="s">
        <v>1354</v>
      </c>
      <c r="E239" s="400">
        <v>12</v>
      </c>
      <c r="F239" s="495">
        <v>-2</v>
      </c>
      <c r="G239" s="495">
        <v>18</v>
      </c>
      <c r="H239" s="400">
        <v>0</v>
      </c>
      <c r="I239" s="400">
        <v>10</v>
      </c>
      <c r="J239" s="400">
        <v>10</v>
      </c>
      <c r="K239" s="400">
        <v>0</v>
      </c>
      <c r="L239" s="496" t="s">
        <v>490</v>
      </c>
      <c r="N239" s="498">
        <v>150000</v>
      </c>
      <c r="O239" s="495">
        <v>25</v>
      </c>
      <c r="P239" s="400" t="s">
        <v>1516</v>
      </c>
    </row>
    <row r="240" spans="1:16" ht="13.5">
      <c r="A240" s="400" t="s">
        <v>1622</v>
      </c>
      <c r="B240" s="400">
        <v>14</v>
      </c>
      <c r="C240" s="400" t="s">
        <v>300</v>
      </c>
      <c r="D240" s="400" t="s">
        <v>1354</v>
      </c>
      <c r="E240" s="400">
        <v>17</v>
      </c>
      <c r="F240" s="495">
        <v>-2</v>
      </c>
      <c r="G240" s="495">
        <v>15</v>
      </c>
      <c r="H240" s="400">
        <v>0</v>
      </c>
      <c r="I240" s="400">
        <v>0</v>
      </c>
      <c r="J240" s="400">
        <v>0</v>
      </c>
      <c r="K240" s="400">
        <v>-4</v>
      </c>
      <c r="L240" s="496" t="s">
        <v>490</v>
      </c>
      <c r="N240" s="498">
        <v>82300</v>
      </c>
      <c r="O240" s="495">
        <v>16</v>
      </c>
      <c r="P240" s="400" t="s">
        <v>1581</v>
      </c>
    </row>
    <row r="241" spans="1:16" ht="13.5">
      <c r="A241" s="400" t="s">
        <v>1623</v>
      </c>
      <c r="B241" s="400">
        <v>15</v>
      </c>
      <c r="C241" s="400" t="s">
        <v>300</v>
      </c>
      <c r="D241" s="400" t="s">
        <v>1354</v>
      </c>
      <c r="E241" s="400">
        <v>19</v>
      </c>
      <c r="F241" s="495">
        <v>-3</v>
      </c>
      <c r="G241" s="495">
        <v>17</v>
      </c>
      <c r="H241" s="400">
        <v>0</v>
      </c>
      <c r="I241" s="400">
        <v>0</v>
      </c>
      <c r="J241" s="400">
        <v>0</v>
      </c>
      <c r="K241" s="400">
        <v>-5</v>
      </c>
      <c r="L241" s="496" t="s">
        <v>490</v>
      </c>
      <c r="N241" s="498">
        <v>26000</v>
      </c>
      <c r="O241" s="495" t="s">
        <v>93</v>
      </c>
      <c r="P241" s="400" t="s">
        <v>1531</v>
      </c>
    </row>
    <row r="242" spans="1:16" ht="13.5">
      <c r="A242" s="400" t="s">
        <v>1624</v>
      </c>
      <c r="B242" s="400">
        <v>15</v>
      </c>
      <c r="C242" s="400" t="s">
        <v>300</v>
      </c>
      <c r="D242" s="400" t="s">
        <v>1383</v>
      </c>
      <c r="E242" s="400">
        <v>17</v>
      </c>
      <c r="F242" s="495">
        <v>-3</v>
      </c>
      <c r="G242" s="495">
        <v>18</v>
      </c>
      <c r="H242" s="400">
        <v>0</v>
      </c>
      <c r="I242" s="400">
        <v>0</v>
      </c>
      <c r="J242" s="400">
        <v>0</v>
      </c>
      <c r="K242" s="400">
        <v>-2</v>
      </c>
      <c r="L242" s="496" t="s">
        <v>490</v>
      </c>
      <c r="N242" s="498">
        <v>21000</v>
      </c>
      <c r="O242" s="495" t="s">
        <v>93</v>
      </c>
      <c r="P242" s="400" t="s">
        <v>1531</v>
      </c>
    </row>
    <row r="243" spans="1:16" ht="13.5">
      <c r="A243" s="400" t="s">
        <v>1625</v>
      </c>
      <c r="B243" s="400">
        <v>16</v>
      </c>
      <c r="C243" s="400" t="s">
        <v>300</v>
      </c>
      <c r="D243" s="400" t="s">
        <v>1354</v>
      </c>
      <c r="E243" s="400">
        <v>16</v>
      </c>
      <c r="F243" s="495">
        <v>-3</v>
      </c>
      <c r="G243" s="495">
        <v>16</v>
      </c>
      <c r="H243" s="400">
        <v>0</v>
      </c>
      <c r="I243" s="400">
        <v>0</v>
      </c>
      <c r="J243" s="400">
        <v>0</v>
      </c>
      <c r="K243" s="400">
        <v>-3</v>
      </c>
      <c r="L243" s="496">
        <v>5</v>
      </c>
      <c r="N243" s="498">
        <v>76700</v>
      </c>
      <c r="O243" s="495">
        <v>17</v>
      </c>
      <c r="P243" s="400" t="s">
        <v>1581</v>
      </c>
    </row>
    <row r="244" spans="1:16" ht="13.5">
      <c r="A244" s="400" t="s">
        <v>1626</v>
      </c>
      <c r="B244" s="400">
        <v>19</v>
      </c>
      <c r="C244" s="400" t="s">
        <v>300</v>
      </c>
      <c r="D244" s="400" t="s">
        <v>1354</v>
      </c>
      <c r="E244" s="400">
        <v>19</v>
      </c>
      <c r="F244" s="495">
        <v>-2</v>
      </c>
      <c r="G244" s="495">
        <v>20</v>
      </c>
      <c r="H244" s="400">
        <v>0</v>
      </c>
      <c r="I244" s="400">
        <v>0</v>
      </c>
      <c r="J244" s="400">
        <v>0</v>
      </c>
      <c r="K244" s="400">
        <v>-2</v>
      </c>
      <c r="L244" s="496" t="s">
        <v>490</v>
      </c>
      <c r="N244" s="498">
        <v>126500</v>
      </c>
      <c r="O244" s="495">
        <v>18</v>
      </c>
      <c r="P244" s="400" t="s">
        <v>1627</v>
      </c>
    </row>
    <row r="245" spans="1:16" ht="13.5">
      <c r="A245" s="400" t="s">
        <v>1628</v>
      </c>
      <c r="B245" s="400">
        <v>20</v>
      </c>
      <c r="C245" s="400" t="s">
        <v>300</v>
      </c>
      <c r="D245" s="400" t="s">
        <v>1383</v>
      </c>
      <c r="E245" s="400">
        <v>18</v>
      </c>
      <c r="F245" s="495">
        <v>-1</v>
      </c>
      <c r="G245" s="495">
        <v>20</v>
      </c>
      <c r="H245" s="400">
        <v>0</v>
      </c>
      <c r="I245" s="400">
        <v>0</v>
      </c>
      <c r="J245" s="400">
        <v>0</v>
      </c>
      <c r="K245" s="400">
        <v>-1</v>
      </c>
      <c r="L245" s="496" t="s">
        <v>490</v>
      </c>
      <c r="N245" s="498">
        <v>39000</v>
      </c>
      <c r="O245" s="495" t="s">
        <v>93</v>
      </c>
      <c r="P245" s="400" t="s">
        <v>1531</v>
      </c>
    </row>
    <row r="246" spans="1:16" ht="13.5">
      <c r="A246" s="400" t="s">
        <v>1629</v>
      </c>
      <c r="B246" s="400">
        <v>24</v>
      </c>
      <c r="C246" s="400" t="s">
        <v>300</v>
      </c>
      <c r="D246" s="400" t="s">
        <v>1354</v>
      </c>
      <c r="E246" s="400">
        <v>21</v>
      </c>
      <c r="F246" s="495">
        <v>-3</v>
      </c>
      <c r="G246" s="495">
        <v>22</v>
      </c>
      <c r="H246" s="400">
        <v>0</v>
      </c>
      <c r="I246" s="400">
        <v>0</v>
      </c>
      <c r="J246" s="400">
        <v>0</v>
      </c>
      <c r="K246" s="400">
        <v>-2</v>
      </c>
      <c r="L246" s="496" t="s">
        <v>490</v>
      </c>
      <c r="N246" s="498">
        <v>52000</v>
      </c>
      <c r="O246" s="495" t="s">
        <v>93</v>
      </c>
      <c r="P246" s="400" t="s">
        <v>1531</v>
      </c>
    </row>
    <row r="247" spans="1:16" ht="13.5">
      <c r="A247" s="400" t="s">
        <v>1630</v>
      </c>
      <c r="B247" s="400">
        <v>24</v>
      </c>
      <c r="C247" s="400" t="s">
        <v>300</v>
      </c>
      <c r="D247" s="400" t="s">
        <v>1383</v>
      </c>
      <c r="E247" s="400">
        <v>20</v>
      </c>
      <c r="F247" s="495">
        <v>-2</v>
      </c>
      <c r="G247" s="495">
        <v>25</v>
      </c>
      <c r="H247" s="400">
        <v>0</v>
      </c>
      <c r="I247" s="400">
        <v>0</v>
      </c>
      <c r="J247" s="400">
        <v>0</v>
      </c>
      <c r="K247" s="400">
        <v>-1</v>
      </c>
      <c r="L247" s="496" t="s">
        <v>490</v>
      </c>
      <c r="N247" s="498">
        <v>216000</v>
      </c>
      <c r="O247" s="495">
        <v>19</v>
      </c>
      <c r="P247" s="400" t="s">
        <v>1627</v>
      </c>
    </row>
    <row r="248" spans="1:16" ht="13.5">
      <c r="A248" s="400" t="s">
        <v>1631</v>
      </c>
      <c r="B248" s="400">
        <v>27</v>
      </c>
      <c r="C248" s="400" t="s">
        <v>300</v>
      </c>
      <c r="D248" s="400" t="s">
        <v>1383</v>
      </c>
      <c r="E248" s="400">
        <v>19</v>
      </c>
      <c r="F248" s="495">
        <v>-1</v>
      </c>
      <c r="G248" s="495">
        <v>23</v>
      </c>
      <c r="H248" s="400">
        <v>0</v>
      </c>
      <c r="I248" s="400">
        <v>0</v>
      </c>
      <c r="J248" s="400">
        <v>0</v>
      </c>
      <c r="K248" s="400">
        <v>-1</v>
      </c>
      <c r="L248" s="496" t="s">
        <v>490</v>
      </c>
      <c r="N248" s="498">
        <v>85000</v>
      </c>
      <c r="O248" s="495" t="s">
        <v>93</v>
      </c>
      <c r="P248" s="400" t="s">
        <v>1531</v>
      </c>
    </row>
    <row r="249" spans="1:17" s="472" customFormat="1" ht="11.25">
      <c r="A249" s="472" t="s">
        <v>1632</v>
      </c>
      <c r="B249" s="472">
        <v>28</v>
      </c>
      <c r="C249" s="472" t="s">
        <v>300</v>
      </c>
      <c r="D249" s="472" t="s">
        <v>1354</v>
      </c>
      <c r="E249" s="472">
        <v>26</v>
      </c>
      <c r="F249" s="507">
        <v>-3</v>
      </c>
      <c r="G249" s="507">
        <v>28</v>
      </c>
      <c r="H249" s="472">
        <v>0</v>
      </c>
      <c r="I249" s="472">
        <v>0</v>
      </c>
      <c r="J249" s="472">
        <v>0</v>
      </c>
      <c r="K249" s="472">
        <v>-3</v>
      </c>
      <c r="L249" s="508" t="s">
        <v>490</v>
      </c>
      <c r="M249" s="474"/>
      <c r="N249" s="509">
        <v>316600</v>
      </c>
      <c r="O249" s="507">
        <v>20</v>
      </c>
      <c r="P249" s="472" t="s">
        <v>1627</v>
      </c>
      <c r="Q249" s="474"/>
    </row>
    <row r="250" spans="1:16" ht="13.5">
      <c r="A250" s="400" t="s">
        <v>1633</v>
      </c>
      <c r="B250" s="400">
        <v>30</v>
      </c>
      <c r="C250" s="400" t="s">
        <v>300</v>
      </c>
      <c r="D250" s="400" t="s">
        <v>1383</v>
      </c>
      <c r="E250" s="204">
        <v>22</v>
      </c>
      <c r="F250" s="165">
        <v>-3</v>
      </c>
      <c r="G250" s="165">
        <v>27</v>
      </c>
      <c r="H250" s="400">
        <v>0</v>
      </c>
      <c r="I250" s="400">
        <v>0</v>
      </c>
      <c r="J250" s="400">
        <v>0</v>
      </c>
      <c r="K250" s="400">
        <v>-2</v>
      </c>
      <c r="L250" s="496" t="s">
        <v>490</v>
      </c>
      <c r="N250" s="498">
        <v>190000</v>
      </c>
      <c r="O250" s="495" t="s">
        <v>93</v>
      </c>
      <c r="P250" s="400" t="s">
        <v>1531</v>
      </c>
    </row>
    <row r="251" spans="1:18" ht="13.5">
      <c r="A251" s="215"/>
      <c r="B251" s="215"/>
      <c r="C251" s="215"/>
      <c r="D251" s="215"/>
      <c r="E251" s="215"/>
      <c r="F251" s="320"/>
      <c r="G251" s="320"/>
      <c r="H251" s="215"/>
      <c r="I251" s="215"/>
      <c r="J251" s="215"/>
      <c r="K251" s="215"/>
      <c r="L251" s="505"/>
      <c r="M251" s="215"/>
      <c r="N251" s="223"/>
      <c r="O251" s="320"/>
      <c r="Q251" s="420"/>
      <c r="R251" s="215"/>
    </row>
    <row r="252" spans="1:16" ht="13.5">
      <c r="A252" s="400" t="s">
        <v>1634</v>
      </c>
      <c r="B252" s="400">
        <v>1</v>
      </c>
      <c r="C252" s="400" t="s">
        <v>304</v>
      </c>
      <c r="D252" s="400" t="s">
        <v>1354</v>
      </c>
      <c r="E252" s="400">
        <v>3</v>
      </c>
      <c r="F252" s="495">
        <v>-1</v>
      </c>
      <c r="G252" s="495">
        <v>5</v>
      </c>
      <c r="H252" s="400">
        <v>0</v>
      </c>
      <c r="I252" s="400">
        <v>0</v>
      </c>
      <c r="J252" s="400">
        <v>0</v>
      </c>
      <c r="K252" s="400">
        <v>-1</v>
      </c>
      <c r="L252" s="496">
        <v>20</v>
      </c>
      <c r="N252" s="498">
        <v>200</v>
      </c>
      <c r="O252" s="495" t="s">
        <v>93</v>
      </c>
      <c r="P252" s="400" t="s">
        <v>1525</v>
      </c>
    </row>
    <row r="253" spans="1:16" ht="13.5">
      <c r="A253" s="400" t="s">
        <v>1635</v>
      </c>
      <c r="B253" s="400">
        <v>1</v>
      </c>
      <c r="C253" s="400" t="s">
        <v>304</v>
      </c>
      <c r="D253" s="400" t="s">
        <v>1354</v>
      </c>
      <c r="E253" s="400">
        <v>5</v>
      </c>
      <c r="F253" s="495">
        <v>0</v>
      </c>
      <c r="G253" s="495">
        <v>6</v>
      </c>
      <c r="H253" s="400">
        <v>0</v>
      </c>
      <c r="I253" s="400">
        <v>0</v>
      </c>
      <c r="J253" s="400">
        <v>0</v>
      </c>
      <c r="K253" s="400">
        <v>-2</v>
      </c>
      <c r="L253" s="496">
        <v>30</v>
      </c>
      <c r="N253" s="498">
        <v>500</v>
      </c>
      <c r="O253" s="495" t="s">
        <v>93</v>
      </c>
      <c r="P253" s="400" t="s">
        <v>1525</v>
      </c>
    </row>
    <row r="254" spans="1:16" ht="13.5">
      <c r="A254" s="400" t="s">
        <v>1636</v>
      </c>
      <c r="B254" s="400">
        <v>1</v>
      </c>
      <c r="C254" s="400" t="s">
        <v>304</v>
      </c>
      <c r="D254" s="400" t="s">
        <v>1354</v>
      </c>
      <c r="E254" s="400">
        <v>6</v>
      </c>
      <c r="F254" s="495">
        <v>-2</v>
      </c>
      <c r="G254" s="495">
        <v>7</v>
      </c>
      <c r="H254" s="400">
        <v>0</v>
      </c>
      <c r="I254" s="400">
        <v>0</v>
      </c>
      <c r="J254" s="400">
        <v>0</v>
      </c>
      <c r="K254" s="400">
        <v>-3</v>
      </c>
      <c r="L254" s="496">
        <v>40</v>
      </c>
      <c r="N254" s="498">
        <v>300</v>
      </c>
      <c r="O254" s="495" t="s">
        <v>93</v>
      </c>
      <c r="P254" s="400" t="s">
        <v>1525</v>
      </c>
    </row>
    <row r="255" spans="1:16" ht="13.5">
      <c r="A255" s="400" t="s">
        <v>1637</v>
      </c>
      <c r="B255" s="400">
        <v>1</v>
      </c>
      <c r="C255" s="400" t="s">
        <v>304</v>
      </c>
      <c r="D255" s="400" t="s">
        <v>1383</v>
      </c>
      <c r="E255" s="400">
        <v>2</v>
      </c>
      <c r="F255" s="495">
        <v>0</v>
      </c>
      <c r="G255" s="495">
        <v>4</v>
      </c>
      <c r="H255" s="400">
        <v>0</v>
      </c>
      <c r="I255" s="400">
        <v>0</v>
      </c>
      <c r="J255" s="400">
        <v>0</v>
      </c>
      <c r="K255" s="400">
        <v>-1</v>
      </c>
      <c r="L255" s="496" t="s">
        <v>504</v>
      </c>
      <c r="N255" s="498">
        <v>450</v>
      </c>
      <c r="O255" s="495" t="s">
        <v>93</v>
      </c>
      <c r="P255" s="400" t="s">
        <v>1531</v>
      </c>
    </row>
    <row r="256" spans="1:16" ht="13.5">
      <c r="A256" s="400" t="s">
        <v>1638</v>
      </c>
      <c r="B256" s="400">
        <v>3</v>
      </c>
      <c r="C256" s="400" t="s">
        <v>304</v>
      </c>
      <c r="D256" s="400" t="s">
        <v>1354</v>
      </c>
      <c r="E256" s="400">
        <v>7</v>
      </c>
      <c r="F256" s="495">
        <v>-3</v>
      </c>
      <c r="G256" s="495">
        <v>8</v>
      </c>
      <c r="H256" s="400">
        <v>0</v>
      </c>
      <c r="I256" s="400">
        <v>0</v>
      </c>
      <c r="J256" s="400">
        <v>0</v>
      </c>
      <c r="K256" s="400">
        <v>-3</v>
      </c>
      <c r="L256" s="496" t="s">
        <v>1639</v>
      </c>
      <c r="N256" s="498">
        <v>700</v>
      </c>
      <c r="O256" s="495" t="s">
        <v>93</v>
      </c>
      <c r="P256" s="400" t="s">
        <v>1531</v>
      </c>
    </row>
    <row r="257" spans="1:16" ht="13.5">
      <c r="A257" s="400" t="s">
        <v>1640</v>
      </c>
      <c r="B257" s="400">
        <v>3</v>
      </c>
      <c r="C257" s="400" t="s">
        <v>304</v>
      </c>
      <c r="D257" s="400" t="s">
        <v>1354</v>
      </c>
      <c r="E257" s="400">
        <v>6</v>
      </c>
      <c r="F257" s="495">
        <v>-2</v>
      </c>
      <c r="G257" s="495">
        <v>7</v>
      </c>
      <c r="H257" s="400">
        <v>0</v>
      </c>
      <c r="I257" s="400">
        <v>0</v>
      </c>
      <c r="J257" s="400">
        <v>0</v>
      </c>
      <c r="K257" s="400">
        <v>-2</v>
      </c>
      <c r="L257" s="496" t="s">
        <v>1641</v>
      </c>
      <c r="N257" s="498">
        <v>1600</v>
      </c>
      <c r="O257" s="495">
        <v>10</v>
      </c>
      <c r="P257" s="400" t="s">
        <v>1485</v>
      </c>
    </row>
    <row r="258" spans="1:16" ht="13.5">
      <c r="A258" s="400" t="s">
        <v>1642</v>
      </c>
      <c r="B258" s="400">
        <v>4</v>
      </c>
      <c r="C258" s="400" t="s">
        <v>304</v>
      </c>
      <c r="D258" s="400" t="s">
        <v>1354</v>
      </c>
      <c r="E258" s="400">
        <v>7</v>
      </c>
      <c r="F258" s="495">
        <v>-2</v>
      </c>
      <c r="G258" s="495">
        <v>8</v>
      </c>
      <c r="H258" s="400">
        <v>0</v>
      </c>
      <c r="I258" s="400">
        <v>0</v>
      </c>
      <c r="J258" s="400">
        <v>0</v>
      </c>
      <c r="K258" s="400">
        <v>-4</v>
      </c>
      <c r="L258" s="496">
        <v>50</v>
      </c>
      <c r="N258" s="498">
        <v>800</v>
      </c>
      <c r="O258" s="495" t="s">
        <v>93</v>
      </c>
      <c r="P258" s="400" t="s">
        <v>1525</v>
      </c>
    </row>
    <row r="259" spans="1:16" ht="13.5">
      <c r="A259" s="400" t="s">
        <v>1643</v>
      </c>
      <c r="B259" s="400">
        <v>4</v>
      </c>
      <c r="C259" s="400" t="s">
        <v>304</v>
      </c>
      <c r="D259" s="400" t="s">
        <v>1354</v>
      </c>
      <c r="E259" s="400">
        <v>6</v>
      </c>
      <c r="F259" s="495">
        <v>-2</v>
      </c>
      <c r="G259" s="495">
        <v>9</v>
      </c>
      <c r="H259" s="400">
        <v>0</v>
      </c>
      <c r="I259" s="400">
        <v>0</v>
      </c>
      <c r="J259" s="400">
        <v>0</v>
      </c>
      <c r="K259" s="400">
        <v>-3</v>
      </c>
      <c r="L259" s="496" t="s">
        <v>1639</v>
      </c>
      <c r="N259" s="498">
        <v>2100</v>
      </c>
      <c r="O259" s="495">
        <v>16</v>
      </c>
      <c r="P259" s="400" t="s">
        <v>1361</v>
      </c>
    </row>
    <row r="260" spans="1:16" ht="13.5">
      <c r="A260" s="400" t="s">
        <v>1644</v>
      </c>
      <c r="B260" s="400">
        <v>4</v>
      </c>
      <c r="C260" s="400" t="s">
        <v>304</v>
      </c>
      <c r="D260" s="400" t="s">
        <v>1354</v>
      </c>
      <c r="E260" s="400">
        <v>7</v>
      </c>
      <c r="F260" s="495">
        <v>-3</v>
      </c>
      <c r="G260" s="495">
        <v>8</v>
      </c>
      <c r="H260" s="400">
        <v>0</v>
      </c>
      <c r="I260" s="400">
        <v>0</v>
      </c>
      <c r="J260" s="400" t="s">
        <v>93</v>
      </c>
      <c r="K260" s="400">
        <v>-6</v>
      </c>
      <c r="L260" s="496" t="s">
        <v>1645</v>
      </c>
      <c r="N260" s="498">
        <v>3100</v>
      </c>
      <c r="O260" s="495">
        <v>16</v>
      </c>
      <c r="P260" s="400" t="s">
        <v>1516</v>
      </c>
    </row>
    <row r="261" spans="1:16" ht="13.5">
      <c r="A261" s="400" t="s">
        <v>1646</v>
      </c>
      <c r="B261" s="400">
        <v>7</v>
      </c>
      <c r="C261" s="400" t="s">
        <v>304</v>
      </c>
      <c r="D261" s="400" t="s">
        <v>1354</v>
      </c>
      <c r="E261" s="400">
        <v>8</v>
      </c>
      <c r="F261" s="495">
        <v>-2</v>
      </c>
      <c r="G261" s="495">
        <v>10</v>
      </c>
      <c r="H261" s="400">
        <v>0</v>
      </c>
      <c r="I261" s="400">
        <v>0</v>
      </c>
      <c r="J261" s="400">
        <v>0</v>
      </c>
      <c r="K261" s="400">
        <v>-2</v>
      </c>
      <c r="L261" s="496" t="s">
        <v>1647</v>
      </c>
      <c r="N261" s="498">
        <v>1500</v>
      </c>
      <c r="O261" s="495" t="s">
        <v>93</v>
      </c>
      <c r="P261" s="400" t="s">
        <v>1531</v>
      </c>
    </row>
    <row r="262" spans="1:16" ht="13.5">
      <c r="A262" s="400" t="s">
        <v>1648</v>
      </c>
      <c r="B262" s="400">
        <v>7</v>
      </c>
      <c r="C262" s="400" t="s">
        <v>304</v>
      </c>
      <c r="D262" s="400" t="s">
        <v>1354</v>
      </c>
      <c r="E262" s="400">
        <v>7</v>
      </c>
      <c r="F262" s="495">
        <v>0</v>
      </c>
      <c r="G262" s="495">
        <v>10</v>
      </c>
      <c r="H262" s="400">
        <v>0</v>
      </c>
      <c r="I262" s="400">
        <v>0</v>
      </c>
      <c r="J262" s="400">
        <v>0</v>
      </c>
      <c r="K262" s="400">
        <v>-3</v>
      </c>
      <c r="L262" s="496" t="s">
        <v>1641</v>
      </c>
      <c r="N262" s="498">
        <v>3500</v>
      </c>
      <c r="O262" s="495">
        <v>15</v>
      </c>
      <c r="P262" s="400" t="s">
        <v>1485</v>
      </c>
    </row>
    <row r="263" spans="1:16" ht="13.5">
      <c r="A263" s="400" t="s">
        <v>1649</v>
      </c>
      <c r="B263" s="400">
        <v>8</v>
      </c>
      <c r="C263" s="400" t="s">
        <v>304</v>
      </c>
      <c r="D263" s="400" t="s">
        <v>1354</v>
      </c>
      <c r="E263" s="400">
        <v>8</v>
      </c>
      <c r="F263" s="495">
        <v>0</v>
      </c>
      <c r="G263" s="495">
        <v>10</v>
      </c>
      <c r="H263" s="400">
        <v>0</v>
      </c>
      <c r="I263" s="400">
        <v>0</v>
      </c>
      <c r="J263" s="400">
        <v>0</v>
      </c>
      <c r="K263" s="400">
        <v>0</v>
      </c>
      <c r="L263" s="496" t="s">
        <v>1647</v>
      </c>
      <c r="N263" s="498">
        <v>4000</v>
      </c>
      <c r="O263" s="495">
        <v>14</v>
      </c>
      <c r="P263" s="400" t="s">
        <v>1369</v>
      </c>
    </row>
    <row r="264" spans="1:16" ht="13.5">
      <c r="A264" s="400" t="s">
        <v>1650</v>
      </c>
      <c r="B264" s="400">
        <v>9</v>
      </c>
      <c r="C264" s="400" t="s">
        <v>304</v>
      </c>
      <c r="D264" s="400" t="s">
        <v>1354</v>
      </c>
      <c r="E264" s="400">
        <v>10</v>
      </c>
      <c r="F264" s="495">
        <v>-2</v>
      </c>
      <c r="G264" s="495">
        <v>12</v>
      </c>
      <c r="H264" s="400">
        <v>0</v>
      </c>
      <c r="I264" s="400">
        <v>0</v>
      </c>
      <c r="J264" s="400" t="s">
        <v>93</v>
      </c>
      <c r="K264" s="400">
        <v>-5</v>
      </c>
      <c r="L264" s="496" t="s">
        <v>1647</v>
      </c>
      <c r="N264" s="498">
        <v>10000</v>
      </c>
      <c r="O264" s="495">
        <v>18</v>
      </c>
      <c r="P264" s="400" t="s">
        <v>1516</v>
      </c>
    </row>
    <row r="265" spans="1:16" ht="13.5">
      <c r="A265" s="400" t="s">
        <v>1651</v>
      </c>
      <c r="B265" s="400">
        <v>10</v>
      </c>
      <c r="C265" s="400" t="s">
        <v>304</v>
      </c>
      <c r="D265" s="400" t="s">
        <v>1354</v>
      </c>
      <c r="E265" s="400">
        <v>10</v>
      </c>
      <c r="F265" s="495">
        <v>-1</v>
      </c>
      <c r="G265" s="495">
        <v>11</v>
      </c>
      <c r="H265" s="400">
        <v>0</v>
      </c>
      <c r="I265" s="400">
        <v>0</v>
      </c>
      <c r="J265" s="400">
        <v>0</v>
      </c>
      <c r="K265" s="400">
        <v>-2</v>
      </c>
      <c r="L265" s="496" t="s">
        <v>1652</v>
      </c>
      <c r="N265" s="498">
        <v>10100</v>
      </c>
      <c r="O265" s="495">
        <v>15</v>
      </c>
      <c r="P265" s="400" t="s">
        <v>1627</v>
      </c>
    </row>
    <row r="266" spans="1:16" ht="13.5">
      <c r="A266" s="400" t="s">
        <v>1653</v>
      </c>
      <c r="B266" s="400">
        <v>12</v>
      </c>
      <c r="C266" s="400" t="s">
        <v>304</v>
      </c>
      <c r="D266" s="400" t="s">
        <v>1354</v>
      </c>
      <c r="E266" s="400">
        <v>10</v>
      </c>
      <c r="F266" s="495">
        <v>-2</v>
      </c>
      <c r="G266" s="495">
        <v>12</v>
      </c>
      <c r="H266" s="400">
        <v>0</v>
      </c>
      <c r="I266" s="400">
        <v>0</v>
      </c>
      <c r="J266" s="400">
        <v>0</v>
      </c>
      <c r="K266" s="400">
        <v>-3</v>
      </c>
      <c r="L266" s="496" t="s">
        <v>1654</v>
      </c>
      <c r="N266" s="498">
        <v>14000</v>
      </c>
      <c r="O266" s="495" t="s">
        <v>93</v>
      </c>
      <c r="P266" s="400" t="s">
        <v>1531</v>
      </c>
    </row>
    <row r="267" spans="1:16" ht="13.5">
      <c r="A267" s="400" t="s">
        <v>1655</v>
      </c>
      <c r="B267" s="400">
        <v>14</v>
      </c>
      <c r="C267" s="400" t="s">
        <v>304</v>
      </c>
      <c r="D267" s="400" t="s">
        <v>1354</v>
      </c>
      <c r="E267" s="400">
        <v>13</v>
      </c>
      <c r="F267" s="495">
        <v>-2</v>
      </c>
      <c r="G267" s="495">
        <v>13</v>
      </c>
      <c r="H267" s="400">
        <v>0</v>
      </c>
      <c r="I267" s="400">
        <v>0</v>
      </c>
      <c r="J267" s="400">
        <v>0</v>
      </c>
      <c r="K267" s="400">
        <v>-4</v>
      </c>
      <c r="L267" s="496" t="s">
        <v>1656</v>
      </c>
      <c r="N267" s="498">
        <v>85800</v>
      </c>
      <c r="O267" s="495">
        <v>19</v>
      </c>
      <c r="P267" s="400" t="s">
        <v>1627</v>
      </c>
    </row>
    <row r="268" spans="1:16" ht="13.5">
      <c r="A268" s="400" t="s">
        <v>1657</v>
      </c>
      <c r="B268" s="400">
        <v>15</v>
      </c>
      <c r="C268" s="400" t="s">
        <v>304</v>
      </c>
      <c r="D268" s="400" t="s">
        <v>1354</v>
      </c>
      <c r="E268" s="400">
        <v>9</v>
      </c>
      <c r="F268" s="495">
        <v>-2</v>
      </c>
      <c r="G268" s="495">
        <v>13</v>
      </c>
      <c r="H268" s="400">
        <v>0</v>
      </c>
      <c r="I268" s="400">
        <v>0</v>
      </c>
      <c r="J268" s="400">
        <v>0</v>
      </c>
      <c r="K268" s="400">
        <v>-1</v>
      </c>
      <c r="L268" s="496" t="s">
        <v>1639</v>
      </c>
      <c r="N268" s="498">
        <v>20000</v>
      </c>
      <c r="O268" s="495" t="s">
        <v>93</v>
      </c>
      <c r="P268" s="400" t="s">
        <v>1531</v>
      </c>
    </row>
    <row r="269" spans="1:16" ht="13.5">
      <c r="A269" s="400" t="s">
        <v>1658</v>
      </c>
      <c r="B269" s="400">
        <v>16</v>
      </c>
      <c r="C269" s="400" t="s">
        <v>304</v>
      </c>
      <c r="D269" s="400" t="s">
        <v>1354</v>
      </c>
      <c r="E269" s="400">
        <v>12</v>
      </c>
      <c r="F269" s="495">
        <v>-3</v>
      </c>
      <c r="G269" s="495">
        <v>15</v>
      </c>
      <c r="H269" s="400">
        <v>0</v>
      </c>
      <c r="I269" s="400">
        <v>0</v>
      </c>
      <c r="J269" s="400">
        <v>0</v>
      </c>
      <c r="K269" s="400">
        <v>-2</v>
      </c>
      <c r="L269" s="496" t="s">
        <v>1641</v>
      </c>
      <c r="N269" s="498">
        <v>88900</v>
      </c>
      <c r="O269" s="495">
        <v>16</v>
      </c>
      <c r="P269" s="400" t="s">
        <v>1627</v>
      </c>
    </row>
    <row r="270" spans="1:16" ht="13.5">
      <c r="A270" s="400" t="s">
        <v>1659</v>
      </c>
      <c r="B270" s="400">
        <v>18</v>
      </c>
      <c r="C270" s="400" t="s">
        <v>304</v>
      </c>
      <c r="D270" s="400" t="s">
        <v>1354</v>
      </c>
      <c r="E270" s="400">
        <v>11</v>
      </c>
      <c r="F270" s="495">
        <v>-2</v>
      </c>
      <c r="G270" s="495">
        <v>15</v>
      </c>
      <c r="H270" s="400">
        <v>0</v>
      </c>
      <c r="I270" s="400">
        <v>0</v>
      </c>
      <c r="J270" s="400">
        <v>0</v>
      </c>
      <c r="K270" s="400">
        <v>-3</v>
      </c>
      <c r="L270" s="496" t="s">
        <v>1652</v>
      </c>
      <c r="N270" s="498">
        <v>27000</v>
      </c>
      <c r="O270" s="495" t="s">
        <v>93</v>
      </c>
      <c r="P270" s="400" t="s">
        <v>1531</v>
      </c>
    </row>
    <row r="271" spans="1:16" ht="13.5">
      <c r="A271" s="400" t="s">
        <v>1660</v>
      </c>
      <c r="B271" s="400">
        <v>18</v>
      </c>
      <c r="C271" s="400" t="s">
        <v>304</v>
      </c>
      <c r="D271" s="400" t="s">
        <v>1354</v>
      </c>
      <c r="E271" s="400">
        <v>9</v>
      </c>
      <c r="F271" s="495">
        <v>-2</v>
      </c>
      <c r="G271" s="495">
        <v>20</v>
      </c>
      <c r="H271" s="400">
        <v>0</v>
      </c>
      <c r="I271" s="400">
        <v>0</v>
      </c>
      <c r="J271" s="400">
        <v>0</v>
      </c>
      <c r="K271" s="400">
        <v>0</v>
      </c>
      <c r="L271" s="496" t="s">
        <v>1639</v>
      </c>
      <c r="N271" s="498">
        <v>102400</v>
      </c>
      <c r="O271" s="495">
        <v>20</v>
      </c>
      <c r="P271" s="400" t="s">
        <v>1627</v>
      </c>
    </row>
    <row r="272" spans="1:16" ht="13.5">
      <c r="A272" s="400" t="s">
        <v>1661</v>
      </c>
      <c r="B272" s="400">
        <v>20</v>
      </c>
      <c r="C272" s="400" t="s">
        <v>304</v>
      </c>
      <c r="D272" s="400" t="s">
        <v>1354</v>
      </c>
      <c r="E272" s="400">
        <v>12</v>
      </c>
      <c r="F272" s="495">
        <v>-3</v>
      </c>
      <c r="G272" s="495">
        <v>17</v>
      </c>
      <c r="H272" s="400">
        <v>0</v>
      </c>
      <c r="I272" s="400">
        <v>0</v>
      </c>
      <c r="J272" s="400">
        <v>0</v>
      </c>
      <c r="K272" s="400">
        <v>-3</v>
      </c>
      <c r="L272" s="496" t="s">
        <v>1656</v>
      </c>
      <c r="N272" s="498">
        <v>39000</v>
      </c>
      <c r="O272" s="495" t="s">
        <v>93</v>
      </c>
      <c r="P272" s="400" t="s">
        <v>1531</v>
      </c>
    </row>
    <row r="273" spans="1:16" ht="13.5">
      <c r="A273" s="400" t="s">
        <v>1662</v>
      </c>
      <c r="B273" s="400">
        <v>22</v>
      </c>
      <c r="C273" s="400" t="s">
        <v>304</v>
      </c>
      <c r="D273" s="400" t="s">
        <v>1354</v>
      </c>
      <c r="E273" s="400">
        <v>15</v>
      </c>
      <c r="F273" s="495">
        <v>-3</v>
      </c>
      <c r="G273" s="495">
        <v>22</v>
      </c>
      <c r="H273" s="400">
        <v>0</v>
      </c>
      <c r="I273" s="400">
        <v>0</v>
      </c>
      <c r="J273" s="400">
        <v>0</v>
      </c>
      <c r="K273" s="400">
        <v>-3</v>
      </c>
      <c r="L273" s="496" t="s">
        <v>1663</v>
      </c>
      <c r="N273" s="498">
        <v>179600</v>
      </c>
      <c r="O273" s="495">
        <v>19</v>
      </c>
      <c r="P273" s="400" t="s">
        <v>1627</v>
      </c>
    </row>
    <row r="274" spans="1:16" ht="13.5">
      <c r="A274" s="400" t="s">
        <v>1664</v>
      </c>
      <c r="B274" s="400">
        <v>24</v>
      </c>
      <c r="C274" s="400" t="s">
        <v>304</v>
      </c>
      <c r="D274" s="400" t="s">
        <v>1354</v>
      </c>
      <c r="E274" s="400">
        <v>15</v>
      </c>
      <c r="F274" s="495">
        <v>-2</v>
      </c>
      <c r="G274" s="495">
        <v>19</v>
      </c>
      <c r="H274" s="400">
        <v>0</v>
      </c>
      <c r="I274" s="400">
        <v>0</v>
      </c>
      <c r="J274" s="400">
        <v>0</v>
      </c>
      <c r="K274" s="400">
        <v>-4</v>
      </c>
      <c r="L274" s="496" t="s">
        <v>1656</v>
      </c>
      <c r="N274" s="498">
        <v>48000</v>
      </c>
      <c r="O274" s="495" t="s">
        <v>93</v>
      </c>
      <c r="P274" s="400" t="s">
        <v>1531</v>
      </c>
    </row>
    <row r="275" spans="1:16" ht="13.5">
      <c r="A275" s="400" t="s">
        <v>1665</v>
      </c>
      <c r="B275" s="400">
        <v>27</v>
      </c>
      <c r="C275" s="400" t="s">
        <v>304</v>
      </c>
      <c r="D275" s="400" t="s">
        <v>1354</v>
      </c>
      <c r="E275" s="400">
        <v>14</v>
      </c>
      <c r="F275" s="495">
        <v>-3</v>
      </c>
      <c r="G275" s="495">
        <v>21</v>
      </c>
      <c r="H275" s="400">
        <v>0</v>
      </c>
      <c r="I275" s="400">
        <v>0</v>
      </c>
      <c r="J275" s="400">
        <v>0</v>
      </c>
      <c r="K275" s="400">
        <v>-3</v>
      </c>
      <c r="L275" s="496" t="s">
        <v>1656</v>
      </c>
      <c r="N275" s="498">
        <v>98000</v>
      </c>
      <c r="O275" s="495" t="s">
        <v>93</v>
      </c>
      <c r="P275" s="400" t="s">
        <v>1531</v>
      </c>
    </row>
    <row r="276" spans="1:16" ht="13.5">
      <c r="A276" s="400" t="s">
        <v>1666</v>
      </c>
      <c r="B276" s="400">
        <v>29</v>
      </c>
      <c r="C276" s="400" t="s">
        <v>304</v>
      </c>
      <c r="D276" s="400" t="s">
        <v>1354</v>
      </c>
      <c r="E276" s="400">
        <v>20</v>
      </c>
      <c r="F276" s="495">
        <v>-2</v>
      </c>
      <c r="G276" s="495">
        <v>30</v>
      </c>
      <c r="H276" s="400">
        <v>0</v>
      </c>
      <c r="I276" s="400">
        <v>0</v>
      </c>
      <c r="J276" s="400">
        <v>0</v>
      </c>
      <c r="K276" s="400">
        <v>-5</v>
      </c>
      <c r="L276" s="496" t="s">
        <v>1656</v>
      </c>
      <c r="N276" s="498">
        <v>260000</v>
      </c>
      <c r="O276" s="495">
        <v>26</v>
      </c>
      <c r="P276" s="400" t="s">
        <v>1627</v>
      </c>
    </row>
    <row r="277" spans="1:16" ht="13.5">
      <c r="A277" s="400" t="s">
        <v>1667</v>
      </c>
      <c r="B277" s="400">
        <v>30</v>
      </c>
      <c r="C277" s="400" t="s">
        <v>304</v>
      </c>
      <c r="D277" s="400" t="s">
        <v>1354</v>
      </c>
      <c r="E277" s="400">
        <v>22</v>
      </c>
      <c r="F277" s="495">
        <v>-4</v>
      </c>
      <c r="G277" s="495">
        <v>25</v>
      </c>
      <c r="H277" s="400">
        <v>0</v>
      </c>
      <c r="I277" s="400">
        <v>0</v>
      </c>
      <c r="J277" s="400">
        <v>0</v>
      </c>
      <c r="K277" s="400">
        <v>-7</v>
      </c>
      <c r="L277" s="496" t="s">
        <v>1656</v>
      </c>
      <c r="N277" s="498">
        <v>220000</v>
      </c>
      <c r="O277" s="495" t="s">
        <v>93</v>
      </c>
      <c r="P277" s="400" t="s">
        <v>1531</v>
      </c>
    </row>
    <row r="278" spans="1:18" ht="13.5">
      <c r="A278" s="215"/>
      <c r="B278" s="215"/>
      <c r="C278" s="215"/>
      <c r="D278" s="215"/>
      <c r="E278" s="215"/>
      <c r="F278" s="320"/>
      <c r="G278" s="320"/>
      <c r="H278" s="215"/>
      <c r="I278" s="215"/>
      <c r="J278" s="215"/>
      <c r="K278" s="215"/>
      <c r="L278" s="505"/>
      <c r="M278" s="215"/>
      <c r="N278" s="223"/>
      <c r="O278" s="320"/>
      <c r="Q278" s="420"/>
      <c r="R278" s="215"/>
    </row>
    <row r="279" spans="1:16" ht="13.5">
      <c r="A279" s="400" t="s">
        <v>1668</v>
      </c>
      <c r="B279" s="400">
        <v>1</v>
      </c>
      <c r="C279" s="400" t="s">
        <v>308</v>
      </c>
      <c r="D279" s="400" t="s">
        <v>1354</v>
      </c>
      <c r="E279" s="400">
        <v>7</v>
      </c>
      <c r="F279" s="495">
        <v>-1</v>
      </c>
      <c r="G279" s="495">
        <v>7</v>
      </c>
      <c r="H279" s="400">
        <v>0</v>
      </c>
      <c r="I279" s="400">
        <v>0</v>
      </c>
      <c r="J279" s="400">
        <v>0</v>
      </c>
      <c r="K279" s="400">
        <v>-5</v>
      </c>
      <c r="L279" s="496">
        <v>70</v>
      </c>
      <c r="N279" s="498">
        <v>0</v>
      </c>
      <c r="O279" s="495" t="s">
        <v>93</v>
      </c>
      <c r="P279" s="400" t="s">
        <v>1525</v>
      </c>
    </row>
    <row r="280" spans="1:16" ht="13.5">
      <c r="A280" s="400" t="s">
        <v>1669</v>
      </c>
      <c r="B280" s="400">
        <v>4</v>
      </c>
      <c r="C280" s="400" t="s">
        <v>308</v>
      </c>
      <c r="D280" s="400" t="s">
        <v>1354</v>
      </c>
      <c r="E280" s="400">
        <v>8</v>
      </c>
      <c r="F280" s="495">
        <v>-1</v>
      </c>
      <c r="G280" s="495">
        <v>10</v>
      </c>
      <c r="H280" s="400">
        <v>0</v>
      </c>
      <c r="I280" s="400">
        <v>0</v>
      </c>
      <c r="J280" s="400">
        <v>0</v>
      </c>
      <c r="K280" s="400">
        <v>-5</v>
      </c>
      <c r="L280" s="496">
        <v>70</v>
      </c>
      <c r="N280" s="498">
        <v>0</v>
      </c>
      <c r="O280" s="495" t="s">
        <v>93</v>
      </c>
      <c r="P280" s="400" t="s">
        <v>1525</v>
      </c>
    </row>
    <row r="281" spans="1:16" ht="13.5">
      <c r="A281" s="400" t="s">
        <v>1670</v>
      </c>
      <c r="B281" s="400">
        <v>7</v>
      </c>
      <c r="C281" s="400" t="s">
        <v>308</v>
      </c>
      <c r="D281" s="400" t="s">
        <v>1354</v>
      </c>
      <c r="E281" s="400">
        <v>9</v>
      </c>
      <c r="F281" s="495">
        <v>-1</v>
      </c>
      <c r="G281" s="495">
        <v>13</v>
      </c>
      <c r="H281" s="400">
        <v>0</v>
      </c>
      <c r="I281" s="400">
        <v>0</v>
      </c>
      <c r="J281" s="400">
        <v>0</v>
      </c>
      <c r="K281" s="400">
        <v>-5</v>
      </c>
      <c r="L281" s="496">
        <v>70</v>
      </c>
      <c r="N281" s="498">
        <v>0</v>
      </c>
      <c r="O281" s="495" t="s">
        <v>93</v>
      </c>
      <c r="P281" s="400" t="s">
        <v>1525</v>
      </c>
    </row>
    <row r="282" spans="1:16" ht="13.5">
      <c r="A282" s="400" t="s">
        <v>1671</v>
      </c>
      <c r="B282" s="400">
        <v>10</v>
      </c>
      <c r="C282" s="400" t="s">
        <v>308</v>
      </c>
      <c r="D282" s="400" t="s">
        <v>1354</v>
      </c>
      <c r="E282" s="400">
        <v>10</v>
      </c>
      <c r="F282" s="495">
        <v>-1</v>
      </c>
      <c r="G282" s="495">
        <v>16</v>
      </c>
      <c r="H282" s="400">
        <v>0</v>
      </c>
      <c r="I282" s="400">
        <v>0</v>
      </c>
      <c r="J282" s="400">
        <v>0</v>
      </c>
      <c r="K282" s="400">
        <v>-5</v>
      </c>
      <c r="L282" s="496">
        <v>70</v>
      </c>
      <c r="N282" s="498">
        <v>0</v>
      </c>
      <c r="O282" s="495" t="s">
        <v>93</v>
      </c>
      <c r="P282" s="400" t="s">
        <v>1525</v>
      </c>
    </row>
    <row r="283" spans="1:16" ht="13.5">
      <c r="A283" s="400" t="s">
        <v>1672</v>
      </c>
      <c r="B283" s="400">
        <v>13</v>
      </c>
      <c r="C283" s="400" t="s">
        <v>308</v>
      </c>
      <c r="D283" s="400" t="s">
        <v>1354</v>
      </c>
      <c r="E283" s="400">
        <v>15</v>
      </c>
      <c r="F283" s="495">
        <v>-1</v>
      </c>
      <c r="G283" s="495">
        <v>20</v>
      </c>
      <c r="H283" s="400">
        <v>0</v>
      </c>
      <c r="I283" s="400">
        <v>0</v>
      </c>
      <c r="J283" s="400">
        <v>0</v>
      </c>
      <c r="K283" s="400">
        <v>-5</v>
      </c>
      <c r="L283" s="496">
        <v>70</v>
      </c>
      <c r="N283" s="498">
        <v>0</v>
      </c>
      <c r="O283" s="495" t="s">
        <v>93</v>
      </c>
      <c r="P283" s="400" t="s">
        <v>1525</v>
      </c>
    </row>
    <row r="284" spans="1:16" ht="13.5">
      <c r="A284" s="400" t="s">
        <v>1673</v>
      </c>
      <c r="B284" s="400">
        <v>17</v>
      </c>
      <c r="C284" s="400" t="s">
        <v>308</v>
      </c>
      <c r="D284" s="400" t="s">
        <v>1354</v>
      </c>
      <c r="E284" s="400">
        <v>7</v>
      </c>
      <c r="F284" s="495">
        <v>0</v>
      </c>
      <c r="G284" s="495">
        <v>13</v>
      </c>
      <c r="H284" s="400">
        <v>0</v>
      </c>
      <c r="I284" s="400">
        <v>0</v>
      </c>
      <c r="J284" s="400">
        <v>0</v>
      </c>
      <c r="K284" s="400">
        <v>-5</v>
      </c>
      <c r="L284" s="496" t="s">
        <v>1639</v>
      </c>
      <c r="N284" s="498">
        <v>0</v>
      </c>
      <c r="O284" s="495" t="s">
        <v>93</v>
      </c>
      <c r="P284" s="400" t="s">
        <v>1531</v>
      </c>
    </row>
    <row r="285" spans="1:16" ht="13.5">
      <c r="A285" s="400" t="s">
        <v>1674</v>
      </c>
      <c r="B285" s="400">
        <v>21</v>
      </c>
      <c r="C285" s="400" t="s">
        <v>308</v>
      </c>
      <c r="D285" s="400" t="s">
        <v>1354</v>
      </c>
      <c r="E285" s="400">
        <v>10</v>
      </c>
      <c r="F285" s="495">
        <v>1</v>
      </c>
      <c r="G285" s="495">
        <v>15</v>
      </c>
      <c r="H285" s="400">
        <v>0</v>
      </c>
      <c r="I285" s="400">
        <v>0</v>
      </c>
      <c r="J285" s="400">
        <v>0</v>
      </c>
      <c r="K285" s="400">
        <v>-5</v>
      </c>
      <c r="L285" s="496" t="s">
        <v>1001</v>
      </c>
      <c r="N285" s="498">
        <v>0</v>
      </c>
      <c r="O285" s="495" t="s">
        <v>93</v>
      </c>
      <c r="P285" s="400" t="s">
        <v>1531</v>
      </c>
    </row>
    <row r="286" spans="1:16" ht="13.5">
      <c r="A286" s="400" t="s">
        <v>1675</v>
      </c>
      <c r="B286" s="400">
        <v>24</v>
      </c>
      <c r="C286" s="400" t="s">
        <v>308</v>
      </c>
      <c r="D286" s="400" t="s">
        <v>1354</v>
      </c>
      <c r="E286" s="400">
        <v>13</v>
      </c>
      <c r="F286" s="495">
        <v>-2</v>
      </c>
      <c r="G286" s="495">
        <v>17</v>
      </c>
      <c r="H286" s="400">
        <v>0</v>
      </c>
      <c r="I286" s="400">
        <v>0</v>
      </c>
      <c r="J286" s="400">
        <v>0</v>
      </c>
      <c r="K286" s="400">
        <v>-5</v>
      </c>
      <c r="L286" s="496" t="s">
        <v>1647</v>
      </c>
      <c r="N286" s="498">
        <v>0</v>
      </c>
      <c r="O286" s="495" t="s">
        <v>93</v>
      </c>
      <c r="P286" s="400" t="s">
        <v>1531</v>
      </c>
    </row>
    <row r="287" spans="1:16" ht="13.5">
      <c r="A287" s="400" t="s">
        <v>1676</v>
      </c>
      <c r="B287" s="400">
        <v>27</v>
      </c>
      <c r="C287" s="400" t="s">
        <v>308</v>
      </c>
      <c r="D287" s="400" t="s">
        <v>1354</v>
      </c>
      <c r="E287" s="400">
        <v>15</v>
      </c>
      <c r="F287" s="495">
        <v>-2</v>
      </c>
      <c r="G287" s="495">
        <v>21</v>
      </c>
      <c r="H287" s="400">
        <v>0</v>
      </c>
      <c r="I287" s="400">
        <v>0</v>
      </c>
      <c r="J287" s="400">
        <v>0</v>
      </c>
      <c r="K287" s="400">
        <v>-5</v>
      </c>
      <c r="L287" s="496" t="s">
        <v>1677</v>
      </c>
      <c r="N287" s="498">
        <v>0</v>
      </c>
      <c r="O287" s="495" t="s">
        <v>93</v>
      </c>
      <c r="P287" s="400" t="s">
        <v>1531</v>
      </c>
    </row>
    <row r="288" spans="1:16" ht="13.5">
      <c r="A288" s="400" t="s">
        <v>1678</v>
      </c>
      <c r="B288" s="400">
        <v>30</v>
      </c>
      <c r="C288" s="400" t="s">
        <v>308</v>
      </c>
      <c r="D288" s="400" t="s">
        <v>1354</v>
      </c>
      <c r="E288" s="400">
        <v>21</v>
      </c>
      <c r="F288" s="495">
        <v>-3</v>
      </c>
      <c r="G288" s="495">
        <v>25</v>
      </c>
      <c r="H288" s="400">
        <v>0</v>
      </c>
      <c r="I288" s="400">
        <v>0</v>
      </c>
      <c r="J288" s="400">
        <v>0</v>
      </c>
      <c r="K288" s="400">
        <v>-5</v>
      </c>
      <c r="L288" s="496" t="s">
        <v>1654</v>
      </c>
      <c r="N288" s="498">
        <v>0</v>
      </c>
      <c r="O288" s="495" t="s">
        <v>93</v>
      </c>
      <c r="P288" s="400" t="s">
        <v>1531</v>
      </c>
    </row>
    <row r="289" spans="1:18" ht="13.5">
      <c r="A289" s="215"/>
      <c r="B289" s="215"/>
      <c r="C289" s="215"/>
      <c r="D289" s="215"/>
      <c r="E289" s="215"/>
      <c r="F289" s="320"/>
      <c r="G289" s="320"/>
      <c r="H289" s="215"/>
      <c r="I289" s="215"/>
      <c r="J289" s="215"/>
      <c r="K289" s="215"/>
      <c r="L289" s="505"/>
      <c r="M289" s="215"/>
      <c r="N289" s="223"/>
      <c r="O289" s="320"/>
      <c r="Q289" s="420"/>
      <c r="R289" s="215"/>
    </row>
    <row r="290" spans="1:17" ht="13.5">
      <c r="A290" s="400" t="s">
        <v>312</v>
      </c>
      <c r="B290" s="400">
        <v>1</v>
      </c>
      <c r="C290" s="400" t="s">
        <v>312</v>
      </c>
      <c r="D290" s="400" t="s">
        <v>1383</v>
      </c>
      <c r="E290" s="400">
        <v>3</v>
      </c>
      <c r="F290" s="495">
        <v>0</v>
      </c>
      <c r="G290" s="495" t="e">
        <f>リファレンス!#REF!+3</f>
        <v>#REF!</v>
      </c>
      <c r="H290" s="400">
        <v>0</v>
      </c>
      <c r="I290" s="400">
        <v>0</v>
      </c>
      <c r="J290" s="400">
        <v>0</v>
      </c>
      <c r="K290" s="400">
        <v>0</v>
      </c>
      <c r="L290" s="496" t="s">
        <v>504</v>
      </c>
      <c r="N290" s="498">
        <v>0</v>
      </c>
      <c r="O290" s="495" t="s">
        <v>93</v>
      </c>
      <c r="P290" s="400" t="s">
        <v>1679</v>
      </c>
      <c r="Q290" s="497" t="s">
        <v>1680</v>
      </c>
    </row>
    <row r="291" spans="1:17" ht="13.5">
      <c r="A291" s="400" t="s">
        <v>1681</v>
      </c>
      <c r="B291" s="400">
        <v>1</v>
      </c>
      <c r="C291" s="400" t="s">
        <v>312</v>
      </c>
      <c r="D291" s="400" t="s">
        <v>1354</v>
      </c>
      <c r="E291" s="400">
        <v>6</v>
      </c>
      <c r="F291" s="495">
        <v>0</v>
      </c>
      <c r="G291" s="495" t="e">
        <f>リファレンス!#REF!+SUM(IF(ISERROR(VLOOKUP("ガンパード",AR_スキルSL,7,0))=TRUE,"0",VLOOKUP("ガンパード",AR_スキルSL,7,0)),1)*3</f>
        <v>#VALUE!</v>
      </c>
      <c r="H291" s="400">
        <v>0</v>
      </c>
      <c r="I291" s="400">
        <v>0</v>
      </c>
      <c r="J291" s="400">
        <v>0</v>
      </c>
      <c r="K291" s="400">
        <v>0</v>
      </c>
      <c r="L291" s="496" t="s">
        <v>504</v>
      </c>
      <c r="N291" s="498">
        <v>0</v>
      </c>
      <c r="O291" s="495" t="s">
        <v>93</v>
      </c>
      <c r="P291" s="400" t="s">
        <v>1679</v>
      </c>
      <c r="Q291" s="497" t="s">
        <v>1682</v>
      </c>
    </row>
    <row r="292" spans="1:18" ht="13.5">
      <c r="A292" s="215"/>
      <c r="B292" s="215"/>
      <c r="C292" s="215"/>
      <c r="D292" s="215"/>
      <c r="E292" s="215"/>
      <c r="F292" s="320"/>
      <c r="G292" s="320"/>
      <c r="H292" s="215"/>
      <c r="I292" s="215"/>
      <c r="J292" s="215"/>
      <c r="K292" s="215"/>
      <c r="L292" s="505"/>
      <c r="M292" s="215"/>
      <c r="N292" s="223"/>
      <c r="O292" s="320"/>
      <c r="Q292" s="420"/>
      <c r="R292" s="215"/>
    </row>
    <row r="293" spans="1:16" ht="13.5">
      <c r="A293" s="400" t="s">
        <v>1683</v>
      </c>
      <c r="B293" s="400">
        <v>40</v>
      </c>
      <c r="C293" s="400" t="s">
        <v>428</v>
      </c>
      <c r="D293" s="400" t="s">
        <v>1383</v>
      </c>
      <c r="E293" s="400">
        <v>15</v>
      </c>
      <c r="F293" s="495">
        <v>0</v>
      </c>
      <c r="G293" s="495">
        <v>60</v>
      </c>
      <c r="H293" s="400">
        <v>0</v>
      </c>
      <c r="I293" s="400">
        <v>0</v>
      </c>
      <c r="J293" s="400">
        <v>0</v>
      </c>
      <c r="K293" s="400">
        <v>0</v>
      </c>
      <c r="L293" s="496" t="s">
        <v>490</v>
      </c>
      <c r="N293" s="498" t="s">
        <v>1472</v>
      </c>
      <c r="O293" s="495">
        <v>50</v>
      </c>
      <c r="P293" s="400" t="s">
        <v>1369</v>
      </c>
    </row>
    <row r="294" spans="1:18" ht="13.5">
      <c r="A294" s="215"/>
      <c r="B294" s="215"/>
      <c r="C294" s="215"/>
      <c r="D294" s="215"/>
      <c r="E294" s="215"/>
      <c r="F294" s="320"/>
      <c r="G294" s="320"/>
      <c r="H294" s="215"/>
      <c r="I294" s="215"/>
      <c r="J294" s="215"/>
      <c r="K294" s="215"/>
      <c r="L294" s="505"/>
      <c r="M294" s="215"/>
      <c r="N294" s="223"/>
      <c r="O294" s="320"/>
      <c r="Q294" s="420"/>
      <c r="R294" s="215"/>
    </row>
    <row r="295" spans="1:17" s="472" customFormat="1" ht="11.25">
      <c r="A295" s="472" t="s">
        <v>1684</v>
      </c>
      <c r="B295" s="472" t="s">
        <v>93</v>
      </c>
      <c r="C295" s="472" t="s">
        <v>151</v>
      </c>
      <c r="D295" s="472" t="s">
        <v>1383</v>
      </c>
      <c r="E295" s="472">
        <v>0</v>
      </c>
      <c r="F295" s="507">
        <v>0</v>
      </c>
      <c r="G295" s="507">
        <v>0</v>
      </c>
      <c r="H295" s="507">
        <v>0</v>
      </c>
      <c r="I295" s="507">
        <v>0</v>
      </c>
      <c r="J295" s="507">
        <v>0</v>
      </c>
      <c r="K295" s="507">
        <v>0</v>
      </c>
      <c r="L295" s="507">
        <v>0</v>
      </c>
      <c r="M295" s="474"/>
      <c r="N295" s="509">
        <v>25</v>
      </c>
      <c r="O295" s="507" t="s">
        <v>93</v>
      </c>
      <c r="P295" s="472" t="s">
        <v>1685</v>
      </c>
      <c r="Q295" s="474"/>
    </row>
    <row r="296" spans="1:17" s="472" customFormat="1" ht="11.25">
      <c r="A296" s="472" t="s">
        <v>1686</v>
      </c>
      <c r="B296" s="472" t="s">
        <v>93</v>
      </c>
      <c r="C296" s="472" t="s">
        <v>151</v>
      </c>
      <c r="D296" s="472" t="s">
        <v>1383</v>
      </c>
      <c r="E296" s="472">
        <v>3</v>
      </c>
      <c r="F296" s="507">
        <v>0</v>
      </c>
      <c r="G296" s="507">
        <v>0</v>
      </c>
      <c r="H296" s="507">
        <v>0</v>
      </c>
      <c r="I296" s="507">
        <v>0</v>
      </c>
      <c r="J296" s="507">
        <v>0</v>
      </c>
      <c r="K296" s="507">
        <v>0</v>
      </c>
      <c r="L296" s="507">
        <v>0</v>
      </c>
      <c r="M296" s="474"/>
      <c r="N296" s="509">
        <v>5</v>
      </c>
      <c r="O296" s="507" t="s">
        <v>93</v>
      </c>
      <c r="P296" s="472" t="s">
        <v>1685</v>
      </c>
      <c r="Q296" s="474"/>
    </row>
    <row r="297" spans="1:18" ht="13.5">
      <c r="A297" s="44" t="s">
        <v>1687</v>
      </c>
      <c r="B297" s="500" t="s">
        <v>121</v>
      </c>
      <c r="C297" s="500" t="s">
        <v>241</v>
      </c>
      <c r="D297" s="500" t="s">
        <v>242</v>
      </c>
      <c r="E297" s="500" t="s">
        <v>243</v>
      </c>
      <c r="F297" s="501" t="s">
        <v>166</v>
      </c>
      <c r="G297" s="501" t="s">
        <v>244</v>
      </c>
      <c r="H297" s="500" t="s">
        <v>220</v>
      </c>
      <c r="I297" s="500" t="s">
        <v>245</v>
      </c>
      <c r="J297" s="500" t="s">
        <v>246</v>
      </c>
      <c r="K297" s="500" t="s">
        <v>247</v>
      </c>
      <c r="L297" s="502" t="s">
        <v>248</v>
      </c>
      <c r="M297" s="500" t="s">
        <v>249</v>
      </c>
      <c r="N297" s="503" t="s">
        <v>210</v>
      </c>
      <c r="O297" s="501" t="s">
        <v>1349</v>
      </c>
      <c r="P297" s="504" t="s">
        <v>1350</v>
      </c>
      <c r="Q297" s="420"/>
      <c r="R297" s="215"/>
    </row>
    <row r="298" spans="1:18" ht="13.5">
      <c r="A298" s="215"/>
      <c r="B298" s="215"/>
      <c r="C298" s="215"/>
      <c r="D298" s="215"/>
      <c r="E298" s="215"/>
      <c r="F298" s="320"/>
      <c r="G298" s="320"/>
      <c r="H298" s="215"/>
      <c r="I298" s="215"/>
      <c r="J298" s="215"/>
      <c r="K298" s="215"/>
      <c r="L298" s="505"/>
      <c r="M298" s="215"/>
      <c r="N298" s="223"/>
      <c r="O298" s="320"/>
      <c r="Q298" s="420"/>
      <c r="R298" s="215"/>
    </row>
    <row r="299" spans="1:16" ht="13.5">
      <c r="A299" s="400" t="s">
        <v>259</v>
      </c>
      <c r="B299" s="400">
        <v>1</v>
      </c>
      <c r="C299" s="400" t="s">
        <v>1688</v>
      </c>
      <c r="D299" s="400" t="s">
        <v>1689</v>
      </c>
      <c r="E299" s="400">
        <v>2</v>
      </c>
      <c r="F299" s="495">
        <v>0</v>
      </c>
      <c r="G299" s="495">
        <v>0</v>
      </c>
      <c r="H299" s="400">
        <v>0</v>
      </c>
      <c r="I299" s="400">
        <v>1</v>
      </c>
      <c r="J299" s="400">
        <v>0</v>
      </c>
      <c r="K299" s="400">
        <v>0</v>
      </c>
      <c r="L299" s="496" t="s">
        <v>93</v>
      </c>
      <c r="N299" s="498">
        <v>50</v>
      </c>
      <c r="O299" s="495" t="s">
        <v>93</v>
      </c>
      <c r="P299" s="400" t="s">
        <v>1690</v>
      </c>
    </row>
    <row r="300" spans="1:16" ht="13.5">
      <c r="A300" s="400" t="s">
        <v>1691</v>
      </c>
      <c r="B300" s="400">
        <v>1</v>
      </c>
      <c r="C300" s="400" t="s">
        <v>1688</v>
      </c>
      <c r="D300" s="400" t="s">
        <v>1692</v>
      </c>
      <c r="E300" s="400">
        <v>3</v>
      </c>
      <c r="F300" s="495">
        <v>0</v>
      </c>
      <c r="G300" s="495">
        <v>0</v>
      </c>
      <c r="H300" s="400">
        <v>0</v>
      </c>
      <c r="I300" s="400">
        <v>2</v>
      </c>
      <c r="J300" s="400">
        <v>0</v>
      </c>
      <c r="K300" s="400">
        <v>0</v>
      </c>
      <c r="L300" s="496" t="s">
        <v>93</v>
      </c>
      <c r="N300" s="498">
        <v>100</v>
      </c>
      <c r="O300" s="495" t="s">
        <v>93</v>
      </c>
      <c r="P300" s="400" t="s">
        <v>1690</v>
      </c>
    </row>
    <row r="301" spans="1:16" ht="13.5">
      <c r="A301" s="400" t="s">
        <v>1693</v>
      </c>
      <c r="B301" s="400">
        <v>1</v>
      </c>
      <c r="C301" s="400" t="s">
        <v>1688</v>
      </c>
      <c r="D301" s="400" t="s">
        <v>1692</v>
      </c>
      <c r="E301" s="400">
        <v>4</v>
      </c>
      <c r="F301" s="495">
        <v>0</v>
      </c>
      <c r="G301" s="495">
        <v>0</v>
      </c>
      <c r="H301" s="400">
        <v>0</v>
      </c>
      <c r="I301" s="400">
        <v>3</v>
      </c>
      <c r="J301" s="400">
        <v>0</v>
      </c>
      <c r="K301" s="400">
        <v>0</v>
      </c>
      <c r="L301" s="496" t="s">
        <v>93</v>
      </c>
      <c r="N301" s="498">
        <v>150</v>
      </c>
      <c r="O301" s="495" t="s">
        <v>93</v>
      </c>
      <c r="P301" s="400" t="s">
        <v>1690</v>
      </c>
    </row>
    <row r="302" spans="1:17" s="472" customFormat="1" ht="11.25">
      <c r="A302" s="472" t="s">
        <v>1694</v>
      </c>
      <c r="B302" s="472">
        <v>1</v>
      </c>
      <c r="C302" s="472" t="s">
        <v>1688</v>
      </c>
      <c r="D302" s="472" t="s">
        <v>1689</v>
      </c>
      <c r="E302" s="472">
        <v>2</v>
      </c>
      <c r="F302" s="507">
        <v>0</v>
      </c>
      <c r="G302" s="507">
        <v>0</v>
      </c>
      <c r="H302" s="472">
        <v>0</v>
      </c>
      <c r="I302" s="472">
        <v>3</v>
      </c>
      <c r="J302" s="472">
        <v>0</v>
      </c>
      <c r="K302" s="472">
        <v>0</v>
      </c>
      <c r="L302" s="508" t="s">
        <v>93</v>
      </c>
      <c r="M302" s="474"/>
      <c r="N302" s="509">
        <v>100000</v>
      </c>
      <c r="O302" s="507">
        <v>20</v>
      </c>
      <c r="P302" s="472" t="s">
        <v>1695</v>
      </c>
      <c r="Q302" s="474"/>
    </row>
    <row r="303" spans="1:16" ht="13.5">
      <c r="A303" s="400" t="s">
        <v>1696</v>
      </c>
      <c r="B303" s="400">
        <v>2</v>
      </c>
      <c r="C303" s="400" t="s">
        <v>1688</v>
      </c>
      <c r="D303" s="400" t="s">
        <v>1697</v>
      </c>
      <c r="E303" s="400">
        <v>3</v>
      </c>
      <c r="F303" s="495">
        <v>0</v>
      </c>
      <c r="G303" s="495">
        <v>0</v>
      </c>
      <c r="H303" s="400">
        <v>0</v>
      </c>
      <c r="I303" s="400">
        <v>2</v>
      </c>
      <c r="J303" s="400">
        <v>0</v>
      </c>
      <c r="K303" s="400">
        <v>0</v>
      </c>
      <c r="L303" s="400" t="s">
        <v>93</v>
      </c>
      <c r="N303" s="498">
        <v>2000</v>
      </c>
      <c r="O303" s="495">
        <v>12</v>
      </c>
      <c r="P303" s="400" t="s">
        <v>1698</v>
      </c>
    </row>
    <row r="304" spans="1:16" ht="13.5">
      <c r="A304" s="400" t="s">
        <v>1699</v>
      </c>
      <c r="B304" s="400">
        <v>3</v>
      </c>
      <c r="C304" s="400" t="s">
        <v>1688</v>
      </c>
      <c r="D304" s="400" t="s">
        <v>1700</v>
      </c>
      <c r="E304" s="400">
        <v>2</v>
      </c>
      <c r="F304" s="495">
        <v>0</v>
      </c>
      <c r="G304" s="495">
        <v>0</v>
      </c>
      <c r="H304" s="400">
        <v>2</v>
      </c>
      <c r="I304" s="400">
        <v>0</v>
      </c>
      <c r="J304" s="400">
        <v>0</v>
      </c>
      <c r="K304" s="400">
        <v>0</v>
      </c>
      <c r="L304" s="496" t="s">
        <v>93</v>
      </c>
      <c r="N304" s="498">
        <v>4000</v>
      </c>
      <c r="O304" s="495">
        <v>13</v>
      </c>
      <c r="P304" s="400" t="s">
        <v>1695</v>
      </c>
    </row>
    <row r="305" spans="1:16" ht="13.5">
      <c r="A305" s="400" t="s">
        <v>1701</v>
      </c>
      <c r="B305" s="400">
        <v>4</v>
      </c>
      <c r="C305" s="400" t="s">
        <v>1688</v>
      </c>
      <c r="D305" s="400" t="s">
        <v>1692</v>
      </c>
      <c r="E305" s="400">
        <v>5</v>
      </c>
      <c r="F305" s="495">
        <v>0</v>
      </c>
      <c r="G305" s="495">
        <v>0</v>
      </c>
      <c r="H305" s="400">
        <v>0</v>
      </c>
      <c r="I305" s="400">
        <v>4</v>
      </c>
      <c r="J305" s="400">
        <v>0</v>
      </c>
      <c r="K305" s="400">
        <v>0</v>
      </c>
      <c r="L305" s="400" t="s">
        <v>93</v>
      </c>
      <c r="N305" s="498">
        <v>400</v>
      </c>
      <c r="O305" s="495" t="s">
        <v>93</v>
      </c>
      <c r="P305" s="400" t="s">
        <v>1702</v>
      </c>
    </row>
    <row r="306" spans="1:16" ht="13.5">
      <c r="A306" s="400" t="s">
        <v>1703</v>
      </c>
      <c r="B306" s="400">
        <v>4</v>
      </c>
      <c r="C306" s="400" t="s">
        <v>1688</v>
      </c>
      <c r="D306" s="400" t="s">
        <v>1697</v>
      </c>
      <c r="E306" s="400">
        <v>2</v>
      </c>
      <c r="F306" s="495">
        <v>0</v>
      </c>
      <c r="G306" s="495">
        <v>0</v>
      </c>
      <c r="H306" s="400">
        <v>0</v>
      </c>
      <c r="I306" s="400">
        <v>1</v>
      </c>
      <c r="J306" s="400">
        <v>0</v>
      </c>
      <c r="K306" s="400">
        <v>0</v>
      </c>
      <c r="L306" s="496" t="s">
        <v>93</v>
      </c>
      <c r="N306" s="498">
        <v>2000</v>
      </c>
      <c r="O306" s="495">
        <v>11</v>
      </c>
      <c r="P306" s="400" t="s">
        <v>1704</v>
      </c>
    </row>
    <row r="307" spans="1:16" ht="13.5">
      <c r="A307" s="400" t="s">
        <v>1705</v>
      </c>
      <c r="B307" s="400">
        <v>5</v>
      </c>
      <c r="C307" s="400" t="s">
        <v>1688</v>
      </c>
      <c r="D307" s="400" t="s">
        <v>1692</v>
      </c>
      <c r="E307" s="400">
        <v>4</v>
      </c>
      <c r="F307" s="495">
        <v>0</v>
      </c>
      <c r="G307" s="495">
        <v>0</v>
      </c>
      <c r="H307" s="400">
        <v>0</v>
      </c>
      <c r="I307" s="400">
        <v>5</v>
      </c>
      <c r="J307" s="400">
        <v>4</v>
      </c>
      <c r="K307" s="400">
        <v>0</v>
      </c>
      <c r="L307" s="496" t="s">
        <v>93</v>
      </c>
      <c r="N307" s="498">
        <v>2500</v>
      </c>
      <c r="O307" s="495">
        <v>12</v>
      </c>
      <c r="P307" s="400" t="s">
        <v>1706</v>
      </c>
    </row>
    <row r="308" spans="1:16" ht="13.5">
      <c r="A308" s="400" t="s">
        <v>1707</v>
      </c>
      <c r="B308" s="400">
        <v>7</v>
      </c>
      <c r="C308" s="400" t="s">
        <v>1688</v>
      </c>
      <c r="D308" s="400" t="s">
        <v>1689</v>
      </c>
      <c r="E308" s="400">
        <v>6</v>
      </c>
      <c r="F308" s="495">
        <v>0</v>
      </c>
      <c r="G308" s="495">
        <v>0</v>
      </c>
      <c r="H308" s="400">
        <v>0</v>
      </c>
      <c r="I308" s="400">
        <v>4</v>
      </c>
      <c r="J308" s="400">
        <v>0</v>
      </c>
      <c r="K308" s="400">
        <v>0</v>
      </c>
      <c r="L308" s="400" t="s">
        <v>93</v>
      </c>
      <c r="N308" s="498">
        <v>600</v>
      </c>
      <c r="O308" s="495" t="s">
        <v>93</v>
      </c>
      <c r="P308" s="400" t="s">
        <v>1702</v>
      </c>
    </row>
    <row r="309" spans="1:16" ht="13.5">
      <c r="A309" s="400" t="s">
        <v>1708</v>
      </c>
      <c r="B309" s="400">
        <v>7</v>
      </c>
      <c r="C309" s="400" t="s">
        <v>1688</v>
      </c>
      <c r="D309" s="400" t="s">
        <v>1709</v>
      </c>
      <c r="E309" s="400">
        <v>6</v>
      </c>
      <c r="F309" s="495">
        <v>0</v>
      </c>
      <c r="G309" s="495">
        <v>0</v>
      </c>
      <c r="H309" s="400">
        <v>0</v>
      </c>
      <c r="I309" s="400">
        <v>5</v>
      </c>
      <c r="J309" s="400">
        <v>0</v>
      </c>
      <c r="K309" s="400">
        <v>0</v>
      </c>
      <c r="L309" s="400" t="s">
        <v>93</v>
      </c>
      <c r="N309" s="498">
        <v>650</v>
      </c>
      <c r="O309" s="495" t="s">
        <v>93</v>
      </c>
      <c r="P309" s="400" t="s">
        <v>1702</v>
      </c>
    </row>
    <row r="310" spans="1:17" s="472" customFormat="1" ht="11.25">
      <c r="A310" s="472" t="s">
        <v>1710</v>
      </c>
      <c r="B310" s="472">
        <v>8</v>
      </c>
      <c r="C310" s="472" t="s">
        <v>1688</v>
      </c>
      <c r="D310" s="472" t="s">
        <v>1692</v>
      </c>
      <c r="E310" s="472">
        <v>10</v>
      </c>
      <c r="F310" s="507">
        <v>0</v>
      </c>
      <c r="G310" s="507">
        <v>0</v>
      </c>
      <c r="H310" s="472">
        <v>0</v>
      </c>
      <c r="I310" s="472">
        <v>5</v>
      </c>
      <c r="J310" s="472">
        <v>0</v>
      </c>
      <c r="K310" s="472">
        <v>0</v>
      </c>
      <c r="L310" s="472" t="s">
        <v>93</v>
      </c>
      <c r="M310" s="474"/>
      <c r="N310" s="509">
        <v>5000</v>
      </c>
      <c r="O310" s="507">
        <v>18</v>
      </c>
      <c r="P310" s="472" t="s">
        <v>1711</v>
      </c>
      <c r="Q310" s="474"/>
    </row>
    <row r="311" spans="1:16" ht="13.5">
      <c r="A311" s="400" t="s">
        <v>1712</v>
      </c>
      <c r="B311" s="400">
        <v>9</v>
      </c>
      <c r="C311" s="400" t="s">
        <v>1688</v>
      </c>
      <c r="D311" s="400" t="s">
        <v>1692</v>
      </c>
      <c r="E311" s="400">
        <v>4</v>
      </c>
      <c r="F311" s="495">
        <v>0</v>
      </c>
      <c r="G311" s="495">
        <v>0</v>
      </c>
      <c r="H311" s="400">
        <v>0</v>
      </c>
      <c r="I311" s="400">
        <v>7</v>
      </c>
      <c r="J311" s="400">
        <v>0</v>
      </c>
      <c r="K311" s="400">
        <v>0</v>
      </c>
      <c r="L311" s="400" t="s">
        <v>93</v>
      </c>
      <c r="N311" s="498">
        <v>900</v>
      </c>
      <c r="O311" s="495" t="s">
        <v>93</v>
      </c>
      <c r="P311" s="400" t="s">
        <v>1702</v>
      </c>
    </row>
    <row r="312" spans="1:16" ht="13.5">
      <c r="A312" s="400" t="s">
        <v>1713</v>
      </c>
      <c r="B312" s="400">
        <v>9</v>
      </c>
      <c r="C312" s="400" t="s">
        <v>1688</v>
      </c>
      <c r="D312" s="400" t="s">
        <v>1692</v>
      </c>
      <c r="E312" s="400">
        <v>8</v>
      </c>
      <c r="F312" s="495">
        <v>0</v>
      </c>
      <c r="G312" s="495">
        <v>0</v>
      </c>
      <c r="H312" s="400">
        <v>0</v>
      </c>
      <c r="I312" s="400">
        <v>6</v>
      </c>
      <c r="J312" s="400">
        <v>4</v>
      </c>
      <c r="K312" s="400">
        <v>0</v>
      </c>
      <c r="L312" s="496" t="s">
        <v>93</v>
      </c>
      <c r="N312" s="498">
        <v>14000</v>
      </c>
      <c r="O312" s="495">
        <v>15</v>
      </c>
      <c r="P312" s="400" t="s">
        <v>1704</v>
      </c>
    </row>
    <row r="313" spans="1:16" ht="13.5">
      <c r="A313" s="400" t="s">
        <v>1714</v>
      </c>
      <c r="B313" s="400">
        <v>10</v>
      </c>
      <c r="C313" s="400" t="s">
        <v>1688</v>
      </c>
      <c r="D313" s="400" t="s">
        <v>1715</v>
      </c>
      <c r="E313" s="400">
        <v>5</v>
      </c>
      <c r="F313" s="495">
        <v>0</v>
      </c>
      <c r="G313" s="495">
        <v>0</v>
      </c>
      <c r="H313" s="400">
        <v>0</v>
      </c>
      <c r="I313" s="400">
        <v>6</v>
      </c>
      <c r="J313" s="400">
        <v>2</v>
      </c>
      <c r="K313" s="400">
        <v>0</v>
      </c>
      <c r="L313" s="400" t="s">
        <v>93</v>
      </c>
      <c r="N313" s="498">
        <v>1200</v>
      </c>
      <c r="O313" s="495" t="s">
        <v>93</v>
      </c>
      <c r="P313" s="400" t="s">
        <v>1702</v>
      </c>
    </row>
    <row r="314" spans="1:16" ht="13.5">
      <c r="A314" s="400" t="s">
        <v>1716</v>
      </c>
      <c r="B314" s="400">
        <v>10</v>
      </c>
      <c r="C314" s="400" t="s">
        <v>1688</v>
      </c>
      <c r="D314" s="400" t="s">
        <v>1709</v>
      </c>
      <c r="E314" s="400">
        <v>7</v>
      </c>
      <c r="F314" s="495">
        <v>0</v>
      </c>
      <c r="G314" s="495">
        <v>0</v>
      </c>
      <c r="H314" s="400">
        <v>0</v>
      </c>
      <c r="I314" s="400">
        <v>8</v>
      </c>
      <c r="J314" s="400">
        <v>0</v>
      </c>
      <c r="K314" s="400">
        <v>0</v>
      </c>
      <c r="L314" s="400" t="s">
        <v>93</v>
      </c>
      <c r="N314" s="498">
        <v>1200</v>
      </c>
      <c r="O314" s="495" t="s">
        <v>93</v>
      </c>
      <c r="P314" s="400" t="s">
        <v>1702</v>
      </c>
    </row>
    <row r="315" spans="1:16" ht="13.5">
      <c r="A315" s="400" t="s">
        <v>1717</v>
      </c>
      <c r="B315" s="400">
        <v>10</v>
      </c>
      <c r="C315" s="400" t="s">
        <v>1688</v>
      </c>
      <c r="D315" s="400" t="s">
        <v>1709</v>
      </c>
      <c r="E315" s="400">
        <v>10</v>
      </c>
      <c r="F315" s="495">
        <v>0</v>
      </c>
      <c r="G315" s="495">
        <v>0</v>
      </c>
      <c r="H315" s="400">
        <v>0</v>
      </c>
      <c r="I315" s="400">
        <v>7</v>
      </c>
      <c r="J315" s="400">
        <v>0</v>
      </c>
      <c r="K315" s="400">
        <v>0</v>
      </c>
      <c r="L315" s="496" t="s">
        <v>93</v>
      </c>
      <c r="N315" s="498">
        <v>10000</v>
      </c>
      <c r="O315" s="495">
        <v>16</v>
      </c>
      <c r="P315" s="400" t="s">
        <v>1695</v>
      </c>
    </row>
    <row r="316" spans="1:17" s="472" customFormat="1" ht="11.25">
      <c r="A316" s="472" t="s">
        <v>1718</v>
      </c>
      <c r="B316" s="472">
        <v>12</v>
      </c>
      <c r="C316" s="472" t="s">
        <v>1688</v>
      </c>
      <c r="D316" s="472" t="s">
        <v>1700</v>
      </c>
      <c r="E316" s="472">
        <v>6</v>
      </c>
      <c r="F316" s="507">
        <v>0</v>
      </c>
      <c r="G316" s="507">
        <v>0</v>
      </c>
      <c r="H316" s="472">
        <v>0</v>
      </c>
      <c r="I316" s="472">
        <v>6</v>
      </c>
      <c r="J316" s="472">
        <v>0</v>
      </c>
      <c r="K316" s="472">
        <v>0</v>
      </c>
      <c r="L316" s="472" t="s">
        <v>93</v>
      </c>
      <c r="M316" s="474"/>
      <c r="N316" s="509">
        <v>8700</v>
      </c>
      <c r="O316" s="507">
        <v>20</v>
      </c>
      <c r="P316" s="472" t="s">
        <v>1711</v>
      </c>
      <c r="Q316" s="474"/>
    </row>
    <row r="317" spans="1:16" ht="12" customHeight="1">
      <c r="A317" s="400" t="s">
        <v>1719</v>
      </c>
      <c r="B317" s="400">
        <v>14</v>
      </c>
      <c r="C317" s="400" t="s">
        <v>1688</v>
      </c>
      <c r="D317" s="400" t="s">
        <v>1720</v>
      </c>
      <c r="E317" s="400">
        <v>4</v>
      </c>
      <c r="F317" s="495">
        <v>0</v>
      </c>
      <c r="G317" s="495">
        <v>0</v>
      </c>
      <c r="H317" s="400">
        <v>0</v>
      </c>
      <c r="I317" s="400">
        <v>3</v>
      </c>
      <c r="J317" s="400">
        <v>10</v>
      </c>
      <c r="K317" s="400">
        <v>0</v>
      </c>
      <c r="L317" s="400" t="s">
        <v>93</v>
      </c>
      <c r="N317" s="498">
        <v>24000</v>
      </c>
      <c r="O317" s="495">
        <v>18</v>
      </c>
      <c r="P317" s="400" t="s">
        <v>1711</v>
      </c>
    </row>
    <row r="318" spans="1:16" ht="13.5">
      <c r="A318" s="400" t="s">
        <v>1721</v>
      </c>
      <c r="B318" s="400">
        <v>15</v>
      </c>
      <c r="C318" s="400" t="s">
        <v>1688</v>
      </c>
      <c r="D318" s="400" t="s">
        <v>1709</v>
      </c>
      <c r="E318" s="400">
        <v>6</v>
      </c>
      <c r="F318" s="495">
        <v>0</v>
      </c>
      <c r="G318" s="495">
        <v>0</v>
      </c>
      <c r="H318" s="400">
        <v>0</v>
      </c>
      <c r="I318" s="400">
        <v>9</v>
      </c>
      <c r="J318" s="400">
        <v>0</v>
      </c>
      <c r="K318" s="400">
        <v>0</v>
      </c>
      <c r="L318" s="400" t="s">
        <v>93</v>
      </c>
      <c r="N318" s="498">
        <v>1200</v>
      </c>
      <c r="O318" s="495" t="s">
        <v>93</v>
      </c>
      <c r="P318" s="400" t="s">
        <v>1702</v>
      </c>
    </row>
    <row r="319" spans="1:17" s="472" customFormat="1" ht="11.25">
      <c r="A319" s="472" t="s">
        <v>1722</v>
      </c>
      <c r="B319" s="472">
        <v>17</v>
      </c>
      <c r="C319" s="472" t="s">
        <v>1688</v>
      </c>
      <c r="D319" s="472" t="s">
        <v>1709</v>
      </c>
      <c r="E319" s="472">
        <v>8</v>
      </c>
      <c r="F319" s="507">
        <v>0</v>
      </c>
      <c r="G319" s="507">
        <v>0</v>
      </c>
      <c r="H319" s="472">
        <v>0</v>
      </c>
      <c r="I319" s="472">
        <v>10</v>
      </c>
      <c r="J319" s="472">
        <v>10</v>
      </c>
      <c r="K319" s="472">
        <v>0</v>
      </c>
      <c r="L319" s="508" t="s">
        <v>93</v>
      </c>
      <c r="M319" s="474"/>
      <c r="N319" s="509">
        <v>67000</v>
      </c>
      <c r="O319" s="507">
        <v>16</v>
      </c>
      <c r="P319" s="472" t="s">
        <v>1723</v>
      </c>
      <c r="Q319" s="474"/>
    </row>
    <row r="320" spans="1:16" ht="13.5">
      <c r="A320" s="400" t="s">
        <v>1724</v>
      </c>
      <c r="B320" s="400">
        <v>20</v>
      </c>
      <c r="C320" s="400" t="s">
        <v>1688</v>
      </c>
      <c r="D320" s="400" t="s">
        <v>1709</v>
      </c>
      <c r="E320" s="400">
        <v>6</v>
      </c>
      <c r="F320" s="495">
        <v>0</v>
      </c>
      <c r="G320" s="495">
        <v>0</v>
      </c>
      <c r="H320" s="400">
        <v>0</v>
      </c>
      <c r="I320" s="400">
        <v>11</v>
      </c>
      <c r="J320" s="400">
        <v>0</v>
      </c>
      <c r="K320" s="400">
        <v>0</v>
      </c>
      <c r="L320" s="400" t="s">
        <v>93</v>
      </c>
      <c r="N320" s="498">
        <v>28000</v>
      </c>
      <c r="O320" s="495" t="s">
        <v>93</v>
      </c>
      <c r="P320" s="400" t="s">
        <v>1702</v>
      </c>
    </row>
    <row r="321" spans="1:16" ht="13.5">
      <c r="A321" s="400" t="s">
        <v>1725</v>
      </c>
      <c r="B321" s="400">
        <v>22</v>
      </c>
      <c r="C321" s="400" t="s">
        <v>1688</v>
      </c>
      <c r="D321" s="400" t="s">
        <v>1692</v>
      </c>
      <c r="E321" s="400">
        <v>6</v>
      </c>
      <c r="F321" s="495">
        <v>0</v>
      </c>
      <c r="G321" s="495">
        <v>0</v>
      </c>
      <c r="H321" s="400">
        <v>0</v>
      </c>
      <c r="I321" s="400">
        <v>12</v>
      </c>
      <c r="J321" s="400">
        <v>0</v>
      </c>
      <c r="K321" s="400">
        <v>0</v>
      </c>
      <c r="L321" s="496" t="s">
        <v>93</v>
      </c>
      <c r="N321" s="498">
        <v>112000</v>
      </c>
      <c r="O321" s="495">
        <v>21</v>
      </c>
      <c r="P321" s="400" t="s">
        <v>1723</v>
      </c>
    </row>
    <row r="322" spans="1:16" ht="13.5">
      <c r="A322" s="400" t="s">
        <v>1726</v>
      </c>
      <c r="B322" s="400">
        <v>25</v>
      </c>
      <c r="C322" s="400" t="s">
        <v>1688</v>
      </c>
      <c r="D322" s="400" t="s">
        <v>1709</v>
      </c>
      <c r="E322" s="400">
        <v>6</v>
      </c>
      <c r="F322" s="495">
        <v>0</v>
      </c>
      <c r="G322" s="495">
        <v>0</v>
      </c>
      <c r="H322" s="400">
        <v>0</v>
      </c>
      <c r="I322" s="400">
        <v>13</v>
      </c>
      <c r="J322" s="400">
        <v>0</v>
      </c>
      <c r="K322" s="400">
        <v>0</v>
      </c>
      <c r="L322" s="400" t="s">
        <v>93</v>
      </c>
      <c r="N322" s="498">
        <v>72500</v>
      </c>
      <c r="O322" s="495" t="s">
        <v>93</v>
      </c>
      <c r="P322" s="400" t="s">
        <v>1702</v>
      </c>
    </row>
    <row r="323" spans="1:17" s="472" customFormat="1" ht="11.25">
      <c r="A323" s="472" t="s">
        <v>1727</v>
      </c>
      <c r="B323" s="472">
        <v>28</v>
      </c>
      <c r="C323" s="472" t="s">
        <v>1688</v>
      </c>
      <c r="D323" s="472" t="s">
        <v>1709</v>
      </c>
      <c r="E323" s="472">
        <v>18</v>
      </c>
      <c r="F323" s="507">
        <v>0</v>
      </c>
      <c r="G323" s="507">
        <v>0</v>
      </c>
      <c r="H323" s="472">
        <v>0</v>
      </c>
      <c r="I323" s="472">
        <v>10</v>
      </c>
      <c r="J323" s="472">
        <v>0</v>
      </c>
      <c r="K323" s="472">
        <v>0</v>
      </c>
      <c r="L323" s="508" t="s">
        <v>93</v>
      </c>
      <c r="M323" s="474"/>
      <c r="N323" s="509">
        <v>326000</v>
      </c>
      <c r="O323" s="507">
        <v>25</v>
      </c>
      <c r="P323" s="472" t="s">
        <v>1723</v>
      </c>
      <c r="Q323" s="474"/>
    </row>
    <row r="324" spans="1:16" ht="13.5">
      <c r="A324" s="400" t="s">
        <v>1728</v>
      </c>
      <c r="B324" s="400">
        <v>30</v>
      </c>
      <c r="C324" s="400" t="s">
        <v>1688</v>
      </c>
      <c r="D324" s="400" t="s">
        <v>1709</v>
      </c>
      <c r="E324" s="400">
        <v>6</v>
      </c>
      <c r="F324" s="495">
        <v>0</v>
      </c>
      <c r="G324" s="495">
        <v>0</v>
      </c>
      <c r="H324" s="400">
        <v>0</v>
      </c>
      <c r="I324" s="400">
        <v>14</v>
      </c>
      <c r="J324" s="400">
        <v>5</v>
      </c>
      <c r="K324" s="400">
        <v>0</v>
      </c>
      <c r="L324" s="400" t="s">
        <v>93</v>
      </c>
      <c r="N324" s="498">
        <v>286000</v>
      </c>
      <c r="O324" s="495" t="s">
        <v>93</v>
      </c>
      <c r="P324" s="400" t="s">
        <v>1702</v>
      </c>
    </row>
    <row r="325" spans="1:18" ht="13.5">
      <c r="A325" s="44" t="s">
        <v>1729</v>
      </c>
      <c r="B325" s="500" t="s">
        <v>121</v>
      </c>
      <c r="C325" s="500" t="s">
        <v>241</v>
      </c>
      <c r="D325" s="500" t="s">
        <v>242</v>
      </c>
      <c r="E325" s="500" t="s">
        <v>243</v>
      </c>
      <c r="F325" s="501" t="s">
        <v>166</v>
      </c>
      <c r="G325" s="501" t="s">
        <v>244</v>
      </c>
      <c r="H325" s="500" t="s">
        <v>220</v>
      </c>
      <c r="I325" s="500" t="s">
        <v>245</v>
      </c>
      <c r="J325" s="500" t="s">
        <v>246</v>
      </c>
      <c r="K325" s="500" t="s">
        <v>247</v>
      </c>
      <c r="L325" s="502" t="s">
        <v>248</v>
      </c>
      <c r="M325" s="500" t="s">
        <v>249</v>
      </c>
      <c r="N325" s="503" t="s">
        <v>210</v>
      </c>
      <c r="O325" s="501" t="s">
        <v>1349</v>
      </c>
      <c r="P325" s="504" t="s">
        <v>1350</v>
      </c>
      <c r="Q325" s="420"/>
      <c r="R325" s="215"/>
    </row>
    <row r="326" spans="1:18" ht="13.5">
      <c r="A326" s="215"/>
      <c r="B326" s="215"/>
      <c r="C326" s="215"/>
      <c r="D326" s="215"/>
      <c r="E326" s="215"/>
      <c r="F326" s="320"/>
      <c r="G326" s="320"/>
      <c r="H326" s="215"/>
      <c r="I326" s="215"/>
      <c r="J326" s="215"/>
      <c r="K326" s="215"/>
      <c r="L326" s="505"/>
      <c r="M326" s="215"/>
      <c r="N326" s="223"/>
      <c r="O326" s="320"/>
      <c r="Q326" s="420"/>
      <c r="R326" s="215"/>
    </row>
    <row r="327" spans="1:16" ht="13.5">
      <c r="A327" s="400" t="s">
        <v>1730</v>
      </c>
      <c r="B327" s="400" t="s">
        <v>93</v>
      </c>
      <c r="C327" s="400" t="s">
        <v>1731</v>
      </c>
      <c r="D327" s="400" t="s">
        <v>93</v>
      </c>
      <c r="E327" s="400">
        <v>1</v>
      </c>
      <c r="F327" s="495">
        <v>0</v>
      </c>
      <c r="G327" s="495">
        <v>0</v>
      </c>
      <c r="H327" s="495">
        <v>0</v>
      </c>
      <c r="I327" s="495">
        <v>0</v>
      </c>
      <c r="J327" s="495">
        <v>0</v>
      </c>
      <c r="K327" s="495">
        <v>0</v>
      </c>
      <c r="L327" s="495" t="s">
        <v>93</v>
      </c>
      <c r="N327" s="498">
        <v>200</v>
      </c>
      <c r="O327" s="495" t="s">
        <v>93</v>
      </c>
      <c r="P327" s="400" t="s">
        <v>1685</v>
      </c>
    </row>
    <row r="328" spans="1:16" ht="13.5">
      <c r="A328" s="400" t="s">
        <v>1732</v>
      </c>
      <c r="B328" s="400">
        <v>1</v>
      </c>
      <c r="C328" s="400" t="s">
        <v>269</v>
      </c>
      <c r="D328" s="400" t="s">
        <v>1697</v>
      </c>
      <c r="E328" s="400">
        <v>1</v>
      </c>
      <c r="F328" s="495">
        <v>0</v>
      </c>
      <c r="G328" s="495">
        <v>0</v>
      </c>
      <c r="H328" s="400">
        <v>0</v>
      </c>
      <c r="I328" s="400">
        <v>1</v>
      </c>
      <c r="J328" s="400">
        <v>0</v>
      </c>
      <c r="K328" s="400">
        <v>0</v>
      </c>
      <c r="L328" s="496" t="s">
        <v>93</v>
      </c>
      <c r="N328" s="498">
        <v>50</v>
      </c>
      <c r="O328" s="495" t="s">
        <v>93</v>
      </c>
      <c r="P328" s="400" t="s">
        <v>1690</v>
      </c>
    </row>
    <row r="329" spans="1:16" ht="13.5">
      <c r="A329" s="400" t="s">
        <v>1733</v>
      </c>
      <c r="B329" s="400">
        <v>1</v>
      </c>
      <c r="C329" s="400" t="s">
        <v>269</v>
      </c>
      <c r="D329" s="400" t="s">
        <v>1697</v>
      </c>
      <c r="E329" s="400">
        <v>1</v>
      </c>
      <c r="F329" s="495">
        <v>0</v>
      </c>
      <c r="G329" s="495">
        <v>0</v>
      </c>
      <c r="H329" s="400">
        <v>0</v>
      </c>
      <c r="I329" s="400">
        <v>2</v>
      </c>
      <c r="J329" s="400">
        <v>0</v>
      </c>
      <c r="K329" s="400">
        <v>0</v>
      </c>
      <c r="L329" s="496" t="s">
        <v>93</v>
      </c>
      <c r="N329" s="498">
        <v>250</v>
      </c>
      <c r="O329" s="495" t="s">
        <v>93</v>
      </c>
      <c r="P329" s="400" t="s">
        <v>1690</v>
      </c>
    </row>
    <row r="330" spans="1:16" ht="13.5">
      <c r="A330" s="400" t="s">
        <v>1734</v>
      </c>
      <c r="B330" s="400">
        <v>1</v>
      </c>
      <c r="C330" s="400" t="s">
        <v>269</v>
      </c>
      <c r="D330" s="400" t="s">
        <v>1715</v>
      </c>
      <c r="E330" s="400">
        <v>2</v>
      </c>
      <c r="F330" s="495">
        <v>0</v>
      </c>
      <c r="G330" s="495">
        <v>0</v>
      </c>
      <c r="H330" s="400">
        <v>0</v>
      </c>
      <c r="I330" s="400">
        <v>2</v>
      </c>
      <c r="J330" s="400">
        <v>0</v>
      </c>
      <c r="K330" s="400">
        <v>0</v>
      </c>
      <c r="L330" s="496" t="s">
        <v>93</v>
      </c>
      <c r="N330" s="498">
        <v>200</v>
      </c>
      <c r="O330" s="495" t="s">
        <v>93</v>
      </c>
      <c r="P330" s="400" t="s">
        <v>1690</v>
      </c>
    </row>
    <row r="331" spans="1:16" ht="13.5">
      <c r="A331" s="400" t="s">
        <v>1735</v>
      </c>
      <c r="B331" s="400">
        <v>1</v>
      </c>
      <c r="C331" s="400" t="s">
        <v>269</v>
      </c>
      <c r="D331" s="400" t="s">
        <v>1736</v>
      </c>
      <c r="E331" s="400">
        <v>2</v>
      </c>
      <c r="F331" s="495">
        <v>0</v>
      </c>
      <c r="G331" s="495">
        <v>0</v>
      </c>
      <c r="H331" s="400">
        <v>0</v>
      </c>
      <c r="I331" s="400">
        <v>2</v>
      </c>
      <c r="J331" s="400">
        <v>0</v>
      </c>
      <c r="K331" s="400">
        <v>0</v>
      </c>
      <c r="L331" s="496" t="s">
        <v>93</v>
      </c>
      <c r="N331" s="498">
        <v>200</v>
      </c>
      <c r="O331" s="495" t="s">
        <v>93</v>
      </c>
      <c r="P331" s="400" t="s">
        <v>1690</v>
      </c>
    </row>
    <row r="332" spans="1:16" ht="13.5">
      <c r="A332" s="400" t="s">
        <v>1737</v>
      </c>
      <c r="B332" s="400">
        <v>1</v>
      </c>
      <c r="C332" s="400" t="s">
        <v>269</v>
      </c>
      <c r="D332" s="400" t="s">
        <v>1738</v>
      </c>
      <c r="E332" s="400">
        <v>2</v>
      </c>
      <c r="F332" s="495">
        <v>0</v>
      </c>
      <c r="G332" s="495">
        <v>0</v>
      </c>
      <c r="H332" s="400">
        <v>0</v>
      </c>
      <c r="I332" s="400">
        <v>2</v>
      </c>
      <c r="J332" s="400">
        <v>0</v>
      </c>
      <c r="K332" s="400">
        <v>0</v>
      </c>
      <c r="L332" s="496" t="s">
        <v>93</v>
      </c>
      <c r="N332" s="498">
        <v>200</v>
      </c>
      <c r="O332" s="495" t="s">
        <v>93</v>
      </c>
      <c r="P332" s="400" t="s">
        <v>1690</v>
      </c>
    </row>
    <row r="333" spans="1:17" s="472" customFormat="1" ht="11.25">
      <c r="A333" s="472" t="s">
        <v>1739</v>
      </c>
      <c r="B333" s="472">
        <v>1</v>
      </c>
      <c r="C333" s="472" t="s">
        <v>269</v>
      </c>
      <c r="D333" s="472" t="s">
        <v>1697</v>
      </c>
      <c r="E333" s="472">
        <v>1</v>
      </c>
      <c r="F333" s="507">
        <v>0</v>
      </c>
      <c r="G333" s="507">
        <v>0</v>
      </c>
      <c r="H333" s="472">
        <v>0</v>
      </c>
      <c r="I333" s="472">
        <v>0</v>
      </c>
      <c r="J333" s="472">
        <v>0</v>
      </c>
      <c r="K333" s="472">
        <v>0</v>
      </c>
      <c r="L333" s="508" t="s">
        <v>93</v>
      </c>
      <c r="M333" s="474"/>
      <c r="N333" s="509">
        <v>100000</v>
      </c>
      <c r="O333" s="507">
        <v>30</v>
      </c>
      <c r="P333" s="472" t="s">
        <v>1695</v>
      </c>
      <c r="Q333" s="474"/>
    </row>
    <row r="334" spans="1:16" ht="13.5">
      <c r="A334" s="400" t="s">
        <v>1740</v>
      </c>
      <c r="B334" s="400">
        <v>2</v>
      </c>
      <c r="C334" s="400" t="s">
        <v>269</v>
      </c>
      <c r="D334" s="400" t="s">
        <v>1697</v>
      </c>
      <c r="E334" s="400">
        <v>2</v>
      </c>
      <c r="F334" s="495">
        <v>0</v>
      </c>
      <c r="G334" s="495">
        <v>0</v>
      </c>
      <c r="H334" s="400">
        <v>0</v>
      </c>
      <c r="I334" s="400">
        <v>1</v>
      </c>
      <c r="J334" s="400">
        <v>0</v>
      </c>
      <c r="K334" s="400">
        <v>0</v>
      </c>
      <c r="L334" s="496" t="s">
        <v>93</v>
      </c>
      <c r="N334" s="498">
        <v>1400</v>
      </c>
      <c r="O334" s="495">
        <v>9</v>
      </c>
      <c r="P334" s="400" t="s">
        <v>1741</v>
      </c>
    </row>
    <row r="335" spans="1:16" ht="13.5">
      <c r="A335" s="400" t="s">
        <v>1742</v>
      </c>
      <c r="B335" s="400">
        <v>3</v>
      </c>
      <c r="C335" s="400" t="s">
        <v>269</v>
      </c>
      <c r="D335" s="400" t="s">
        <v>1743</v>
      </c>
      <c r="E335" s="400">
        <v>3</v>
      </c>
      <c r="F335" s="495">
        <v>0</v>
      </c>
      <c r="G335" s="495">
        <v>0</v>
      </c>
      <c r="H335" s="400">
        <v>0</v>
      </c>
      <c r="I335" s="400">
        <v>3</v>
      </c>
      <c r="J335" s="400">
        <v>0</v>
      </c>
      <c r="K335" s="400">
        <v>0</v>
      </c>
      <c r="L335" s="496" t="s">
        <v>93</v>
      </c>
      <c r="N335" s="498">
        <v>450</v>
      </c>
      <c r="O335" s="495" t="s">
        <v>93</v>
      </c>
      <c r="P335" s="400" t="s">
        <v>1744</v>
      </c>
    </row>
    <row r="336" spans="1:17" s="472" customFormat="1" ht="11.25">
      <c r="A336" s="472" t="s">
        <v>268</v>
      </c>
      <c r="B336" s="472">
        <v>3</v>
      </c>
      <c r="C336" s="472" t="s">
        <v>269</v>
      </c>
      <c r="D336" s="472" t="s">
        <v>1697</v>
      </c>
      <c r="E336" s="472">
        <v>2</v>
      </c>
      <c r="F336" s="507">
        <v>0</v>
      </c>
      <c r="G336" s="507">
        <v>0</v>
      </c>
      <c r="H336" s="472" t="s">
        <v>93</v>
      </c>
      <c r="I336" s="472">
        <v>3</v>
      </c>
      <c r="J336" s="472">
        <v>0</v>
      </c>
      <c r="K336" s="472">
        <v>0</v>
      </c>
      <c r="L336" s="508" t="s">
        <v>93</v>
      </c>
      <c r="M336" s="474"/>
      <c r="N336" s="509">
        <v>1000</v>
      </c>
      <c r="O336" s="507">
        <v>16</v>
      </c>
      <c r="P336" s="472" t="s">
        <v>1698</v>
      </c>
      <c r="Q336" s="474"/>
    </row>
    <row r="337" spans="1:17" s="472" customFormat="1" ht="11.25">
      <c r="A337" s="472" t="s">
        <v>1745</v>
      </c>
      <c r="B337" s="472">
        <v>3</v>
      </c>
      <c r="C337" s="472" t="s">
        <v>269</v>
      </c>
      <c r="D337" s="472" t="s">
        <v>1697</v>
      </c>
      <c r="E337" s="472">
        <v>2</v>
      </c>
      <c r="F337" s="507">
        <v>0</v>
      </c>
      <c r="G337" s="507">
        <v>0</v>
      </c>
      <c r="H337" s="472">
        <v>0</v>
      </c>
      <c r="I337" s="472">
        <v>3</v>
      </c>
      <c r="J337" s="472">
        <v>0</v>
      </c>
      <c r="K337" s="472">
        <v>0</v>
      </c>
      <c r="L337" s="508" t="s">
        <v>93</v>
      </c>
      <c r="M337" s="474"/>
      <c r="N337" s="509">
        <v>2400</v>
      </c>
      <c r="O337" s="507">
        <v>12</v>
      </c>
      <c r="P337" s="472" t="s">
        <v>1741</v>
      </c>
      <c r="Q337" s="474"/>
    </row>
    <row r="338" spans="1:16" ht="13.5">
      <c r="A338" s="400" t="s">
        <v>1746</v>
      </c>
      <c r="B338" s="400">
        <v>4</v>
      </c>
      <c r="C338" s="400" t="s">
        <v>269</v>
      </c>
      <c r="D338" s="400" t="s">
        <v>1709</v>
      </c>
      <c r="E338" s="400">
        <v>3</v>
      </c>
      <c r="F338" s="495">
        <v>0</v>
      </c>
      <c r="G338" s="495">
        <v>0</v>
      </c>
      <c r="H338" s="400">
        <v>0</v>
      </c>
      <c r="I338" s="400">
        <v>3</v>
      </c>
      <c r="J338" s="400">
        <v>0</v>
      </c>
      <c r="K338" s="400">
        <v>0</v>
      </c>
      <c r="L338" s="496" t="s">
        <v>93</v>
      </c>
      <c r="N338" s="498">
        <v>300</v>
      </c>
      <c r="O338" s="495" t="s">
        <v>93</v>
      </c>
      <c r="P338" s="400" t="s">
        <v>1690</v>
      </c>
    </row>
    <row r="339" spans="1:16" ht="13.5">
      <c r="A339" s="400" t="s">
        <v>1747</v>
      </c>
      <c r="B339" s="400">
        <v>4</v>
      </c>
      <c r="C339" s="400" t="s">
        <v>269</v>
      </c>
      <c r="D339" s="400" t="s">
        <v>1738</v>
      </c>
      <c r="E339" s="400">
        <v>2</v>
      </c>
      <c r="F339" s="495">
        <v>1</v>
      </c>
      <c r="G339" s="495">
        <v>0</v>
      </c>
      <c r="H339" s="400">
        <v>0</v>
      </c>
      <c r="I339" s="400">
        <v>3</v>
      </c>
      <c r="J339" s="400">
        <v>0</v>
      </c>
      <c r="K339" s="400">
        <v>0</v>
      </c>
      <c r="L339" s="496" t="s">
        <v>93</v>
      </c>
      <c r="N339" s="498">
        <v>650</v>
      </c>
      <c r="O339" s="495" t="s">
        <v>93</v>
      </c>
      <c r="P339" s="400" t="s">
        <v>1744</v>
      </c>
    </row>
    <row r="340" spans="1:16" ht="13.5">
      <c r="A340" s="400" t="s">
        <v>1748</v>
      </c>
      <c r="B340" s="400">
        <v>4</v>
      </c>
      <c r="C340" s="400" t="s">
        <v>269</v>
      </c>
      <c r="D340" s="400" t="s">
        <v>1749</v>
      </c>
      <c r="E340" s="400">
        <v>2</v>
      </c>
      <c r="F340" s="495">
        <v>0</v>
      </c>
      <c r="G340" s="495">
        <v>0</v>
      </c>
      <c r="H340" s="400">
        <v>0</v>
      </c>
      <c r="I340" s="400">
        <v>3</v>
      </c>
      <c r="J340" s="400">
        <v>0</v>
      </c>
      <c r="K340" s="400">
        <v>0</v>
      </c>
      <c r="L340" s="496" t="s">
        <v>93</v>
      </c>
      <c r="N340" s="498">
        <v>500</v>
      </c>
      <c r="O340" s="495" t="s">
        <v>93</v>
      </c>
      <c r="P340" s="400" t="s">
        <v>1744</v>
      </c>
    </row>
    <row r="341" spans="1:16" ht="13.5">
      <c r="A341" s="400" t="s">
        <v>1750</v>
      </c>
      <c r="B341" s="400">
        <v>4</v>
      </c>
      <c r="C341" s="400" t="s">
        <v>269</v>
      </c>
      <c r="D341" s="400" t="s">
        <v>1738</v>
      </c>
      <c r="E341" s="400">
        <v>1</v>
      </c>
      <c r="F341" s="495">
        <v>0</v>
      </c>
      <c r="G341" s="495">
        <v>0</v>
      </c>
      <c r="H341" s="400">
        <v>0</v>
      </c>
      <c r="I341" s="400">
        <v>1</v>
      </c>
      <c r="J341" s="400">
        <v>0</v>
      </c>
      <c r="K341" s="400">
        <v>0</v>
      </c>
      <c r="L341" s="496" t="s">
        <v>93</v>
      </c>
      <c r="N341" s="498">
        <v>4000</v>
      </c>
      <c r="O341" s="495">
        <v>30</v>
      </c>
      <c r="P341" s="400" t="s">
        <v>1695</v>
      </c>
    </row>
    <row r="342" spans="1:16" ht="13.5">
      <c r="A342" s="400" t="s">
        <v>1751</v>
      </c>
      <c r="B342" s="400">
        <v>4</v>
      </c>
      <c r="C342" s="400" t="s">
        <v>269</v>
      </c>
      <c r="D342" s="400" t="s">
        <v>1697</v>
      </c>
      <c r="E342" s="400">
        <v>2</v>
      </c>
      <c r="F342" s="495">
        <v>2</v>
      </c>
      <c r="G342" s="495">
        <v>0</v>
      </c>
      <c r="H342" s="400">
        <v>0</v>
      </c>
      <c r="I342" s="400">
        <v>3</v>
      </c>
      <c r="J342" s="400">
        <v>0</v>
      </c>
      <c r="K342" s="400">
        <v>0</v>
      </c>
      <c r="L342" s="496" t="s">
        <v>93</v>
      </c>
      <c r="N342" s="498">
        <v>4600</v>
      </c>
      <c r="O342" s="495">
        <v>12</v>
      </c>
      <c r="P342" s="400" t="s">
        <v>1741</v>
      </c>
    </row>
    <row r="343" spans="1:16" ht="13.5">
      <c r="A343" s="400" t="s">
        <v>1752</v>
      </c>
      <c r="B343" s="400">
        <v>5</v>
      </c>
      <c r="C343" s="400" t="s">
        <v>269</v>
      </c>
      <c r="D343" s="400" t="s">
        <v>1697</v>
      </c>
      <c r="E343" s="400">
        <v>1</v>
      </c>
      <c r="F343" s="495">
        <v>0</v>
      </c>
      <c r="G343" s="495">
        <v>0</v>
      </c>
      <c r="H343" s="400">
        <v>0</v>
      </c>
      <c r="I343" s="400">
        <v>0</v>
      </c>
      <c r="J343" s="400">
        <v>6</v>
      </c>
      <c r="K343" s="400">
        <v>0</v>
      </c>
      <c r="L343" s="496" t="s">
        <v>93</v>
      </c>
      <c r="N343" s="498">
        <v>5300</v>
      </c>
      <c r="O343" s="495">
        <v>12</v>
      </c>
      <c r="P343" s="400" t="s">
        <v>1741</v>
      </c>
    </row>
    <row r="344" spans="1:16" ht="13.5">
      <c r="A344" s="400" t="s">
        <v>1753</v>
      </c>
      <c r="B344" s="400">
        <v>5</v>
      </c>
      <c r="C344" s="400" t="s">
        <v>269</v>
      </c>
      <c r="D344" s="400" t="s">
        <v>1709</v>
      </c>
      <c r="E344" s="400">
        <v>6</v>
      </c>
      <c r="F344" s="495">
        <v>0</v>
      </c>
      <c r="G344" s="495">
        <v>0</v>
      </c>
      <c r="H344" s="400">
        <v>-1</v>
      </c>
      <c r="I344" s="400">
        <v>6</v>
      </c>
      <c r="J344" s="400">
        <v>0</v>
      </c>
      <c r="K344" s="400">
        <v>-1</v>
      </c>
      <c r="L344" s="496" t="s">
        <v>93</v>
      </c>
      <c r="N344" s="498">
        <v>5000</v>
      </c>
      <c r="O344" s="495">
        <v>14</v>
      </c>
      <c r="P344" s="400" t="s">
        <v>1741</v>
      </c>
    </row>
    <row r="345" spans="1:16" ht="13.5">
      <c r="A345" s="400" t="s">
        <v>1754</v>
      </c>
      <c r="B345" s="400">
        <v>6</v>
      </c>
      <c r="C345" s="400" t="s">
        <v>269</v>
      </c>
      <c r="D345" s="400" t="s">
        <v>1692</v>
      </c>
      <c r="E345" s="400">
        <v>8</v>
      </c>
      <c r="F345" s="495">
        <v>0</v>
      </c>
      <c r="G345" s="495">
        <v>0</v>
      </c>
      <c r="H345" s="400">
        <v>-1</v>
      </c>
      <c r="I345" s="400">
        <v>7</v>
      </c>
      <c r="J345" s="400">
        <v>3</v>
      </c>
      <c r="K345" s="400">
        <v>-2</v>
      </c>
      <c r="L345" s="496" t="s">
        <v>93</v>
      </c>
      <c r="N345" s="498">
        <v>5000</v>
      </c>
      <c r="O345" s="495">
        <v>21</v>
      </c>
      <c r="P345" s="400" t="s">
        <v>1695</v>
      </c>
    </row>
    <row r="346" spans="1:16" ht="13.5">
      <c r="A346" s="400" t="s">
        <v>1755</v>
      </c>
      <c r="B346" s="400">
        <v>7</v>
      </c>
      <c r="C346" s="400" t="s">
        <v>269</v>
      </c>
      <c r="D346" s="400" t="s">
        <v>1709</v>
      </c>
      <c r="E346" s="400">
        <v>4</v>
      </c>
      <c r="F346" s="495">
        <v>0</v>
      </c>
      <c r="G346" s="495">
        <v>0</v>
      </c>
      <c r="H346" s="400">
        <v>-1</v>
      </c>
      <c r="I346" s="400">
        <v>4</v>
      </c>
      <c r="J346" s="400">
        <v>0</v>
      </c>
      <c r="K346" s="400">
        <v>-1</v>
      </c>
      <c r="L346" s="496" t="s">
        <v>93</v>
      </c>
      <c r="N346" s="498">
        <v>350</v>
      </c>
      <c r="O346" s="495" t="s">
        <v>93</v>
      </c>
      <c r="P346" s="400" t="s">
        <v>1690</v>
      </c>
    </row>
    <row r="347" spans="1:16" ht="13.5">
      <c r="A347" s="400" t="s">
        <v>1756</v>
      </c>
      <c r="B347" s="400">
        <v>7</v>
      </c>
      <c r="C347" s="400" t="s">
        <v>269</v>
      </c>
      <c r="D347" s="400" t="s">
        <v>1709</v>
      </c>
      <c r="E347" s="400">
        <v>5</v>
      </c>
      <c r="F347" s="495">
        <v>0</v>
      </c>
      <c r="G347" s="495">
        <v>0</v>
      </c>
      <c r="H347" s="400">
        <v>0</v>
      </c>
      <c r="I347" s="400">
        <v>5</v>
      </c>
      <c r="J347" s="400">
        <v>0</v>
      </c>
      <c r="K347" s="400">
        <v>0</v>
      </c>
      <c r="L347" s="496" t="s">
        <v>93</v>
      </c>
      <c r="N347" s="498">
        <v>3800</v>
      </c>
      <c r="O347" s="495">
        <v>13</v>
      </c>
      <c r="P347" s="400" t="s">
        <v>1741</v>
      </c>
    </row>
    <row r="348" spans="1:17" s="472" customFormat="1" ht="11.25">
      <c r="A348" s="472" t="s">
        <v>1757</v>
      </c>
      <c r="B348" s="472">
        <v>7</v>
      </c>
      <c r="C348" s="472" t="s">
        <v>269</v>
      </c>
      <c r="D348" s="472" t="s">
        <v>1758</v>
      </c>
      <c r="E348" s="472">
        <v>3</v>
      </c>
      <c r="F348" s="507">
        <v>0</v>
      </c>
      <c r="G348" s="507">
        <v>0</v>
      </c>
      <c r="H348" s="472">
        <v>0</v>
      </c>
      <c r="I348" s="472">
        <v>3</v>
      </c>
      <c r="J348" s="472">
        <v>0</v>
      </c>
      <c r="K348" s="472">
        <v>0</v>
      </c>
      <c r="L348" s="472" t="s">
        <v>93</v>
      </c>
      <c r="M348" s="474"/>
      <c r="N348" s="509">
        <v>4900</v>
      </c>
      <c r="O348" s="507">
        <v>11</v>
      </c>
      <c r="P348" s="472" t="s">
        <v>1759</v>
      </c>
      <c r="Q348" s="474"/>
    </row>
    <row r="349" spans="1:17" s="472" customFormat="1" ht="11.25">
      <c r="A349" s="472" t="s">
        <v>1760</v>
      </c>
      <c r="B349" s="472">
        <v>9</v>
      </c>
      <c r="C349" s="472" t="s">
        <v>269</v>
      </c>
      <c r="D349" s="472" t="s">
        <v>1697</v>
      </c>
      <c r="E349" s="472">
        <v>2</v>
      </c>
      <c r="F349" s="507">
        <v>0</v>
      </c>
      <c r="G349" s="507">
        <v>0</v>
      </c>
      <c r="H349" s="472">
        <v>0</v>
      </c>
      <c r="I349" s="472">
        <v>1</v>
      </c>
      <c r="J349" s="472">
        <v>0</v>
      </c>
      <c r="K349" s="472">
        <v>0</v>
      </c>
      <c r="L349" s="472" t="s">
        <v>93</v>
      </c>
      <c r="M349" s="474"/>
      <c r="N349" s="509">
        <v>9800</v>
      </c>
      <c r="O349" s="507">
        <v>16</v>
      </c>
      <c r="P349" s="472" t="s">
        <v>1759</v>
      </c>
      <c r="Q349" s="474"/>
    </row>
    <row r="350" spans="1:17" s="472" customFormat="1" ht="11.25">
      <c r="A350" s="472" t="s">
        <v>1761</v>
      </c>
      <c r="B350" s="472">
        <v>10</v>
      </c>
      <c r="C350" s="472" t="s">
        <v>269</v>
      </c>
      <c r="D350" s="472" t="s">
        <v>1709</v>
      </c>
      <c r="E350" s="472">
        <v>5</v>
      </c>
      <c r="F350" s="507">
        <v>0</v>
      </c>
      <c r="G350" s="507">
        <v>0</v>
      </c>
      <c r="H350" s="472">
        <v>0</v>
      </c>
      <c r="I350" s="472">
        <v>8</v>
      </c>
      <c r="J350" s="472">
        <v>0</v>
      </c>
      <c r="K350" s="472">
        <v>-2</v>
      </c>
      <c r="L350" s="472" t="s">
        <v>93</v>
      </c>
      <c r="M350" s="474"/>
      <c r="N350" s="509">
        <v>25900</v>
      </c>
      <c r="O350" s="507">
        <v>16</v>
      </c>
      <c r="P350" s="472" t="s">
        <v>1759</v>
      </c>
      <c r="Q350" s="474"/>
    </row>
    <row r="351" spans="1:16" ht="13.5">
      <c r="A351" s="400" t="s">
        <v>1762</v>
      </c>
      <c r="B351" s="400">
        <v>12</v>
      </c>
      <c r="C351" s="400" t="s">
        <v>269</v>
      </c>
      <c r="D351" s="400" t="s">
        <v>1697</v>
      </c>
      <c r="E351" s="400">
        <v>6</v>
      </c>
      <c r="F351" s="495">
        <v>0</v>
      </c>
      <c r="G351" s="495">
        <v>0</v>
      </c>
      <c r="H351" s="400">
        <v>0</v>
      </c>
      <c r="I351" s="400">
        <v>6</v>
      </c>
      <c r="J351" s="400">
        <v>0</v>
      </c>
      <c r="K351" s="400">
        <v>0</v>
      </c>
      <c r="L351" s="400" t="s">
        <v>93</v>
      </c>
      <c r="N351" s="498">
        <v>20500</v>
      </c>
      <c r="O351" s="495">
        <v>15</v>
      </c>
      <c r="P351" s="400" t="s">
        <v>1759</v>
      </c>
    </row>
    <row r="352" spans="1:17" s="472" customFormat="1" ht="11.25">
      <c r="A352" s="472" t="s">
        <v>1763</v>
      </c>
      <c r="B352" s="472">
        <v>13</v>
      </c>
      <c r="C352" s="472" t="s">
        <v>269</v>
      </c>
      <c r="D352" s="472" t="s">
        <v>1738</v>
      </c>
      <c r="E352" s="472">
        <v>3</v>
      </c>
      <c r="F352" s="507">
        <v>0</v>
      </c>
      <c r="G352" s="507">
        <v>0</v>
      </c>
      <c r="H352" s="472">
        <v>3</v>
      </c>
      <c r="I352" s="472">
        <v>4</v>
      </c>
      <c r="J352" s="472">
        <v>-2</v>
      </c>
      <c r="K352" s="472">
        <v>0</v>
      </c>
      <c r="L352" s="472" t="s">
        <v>93</v>
      </c>
      <c r="M352" s="474"/>
      <c r="N352" s="509">
        <v>34500</v>
      </c>
      <c r="O352" s="507">
        <v>16</v>
      </c>
      <c r="P352" s="472" t="s">
        <v>1759</v>
      </c>
      <c r="Q352" s="474"/>
    </row>
    <row r="353" spans="1:16" ht="13.5">
      <c r="A353" s="400" t="s">
        <v>1764</v>
      </c>
      <c r="B353" s="400">
        <v>15</v>
      </c>
      <c r="C353" s="400" t="s">
        <v>269</v>
      </c>
      <c r="D353" s="400" t="s">
        <v>1700</v>
      </c>
      <c r="E353" s="400">
        <v>3</v>
      </c>
      <c r="F353" s="495">
        <v>0</v>
      </c>
      <c r="G353" s="495">
        <v>0</v>
      </c>
      <c r="H353" s="400">
        <v>0</v>
      </c>
      <c r="I353" s="400">
        <v>6</v>
      </c>
      <c r="J353" s="400">
        <v>0</v>
      </c>
      <c r="K353" s="400">
        <v>0</v>
      </c>
      <c r="L353" s="496" t="s">
        <v>93</v>
      </c>
      <c r="N353" s="498">
        <v>22400</v>
      </c>
      <c r="O353" s="495" t="s">
        <v>93</v>
      </c>
      <c r="P353" s="400" t="s">
        <v>1744</v>
      </c>
    </row>
    <row r="354" spans="1:16" ht="13.5">
      <c r="A354" s="400" t="s">
        <v>1765</v>
      </c>
      <c r="B354" s="400">
        <v>15</v>
      </c>
      <c r="C354" s="400" t="s">
        <v>269</v>
      </c>
      <c r="D354" s="400" t="s">
        <v>1766</v>
      </c>
      <c r="E354" s="400">
        <v>2</v>
      </c>
      <c r="F354" s="495">
        <v>0</v>
      </c>
      <c r="G354" s="495">
        <v>0</v>
      </c>
      <c r="H354" s="400">
        <v>0</v>
      </c>
      <c r="I354" s="400">
        <v>5</v>
      </c>
      <c r="J354" s="400">
        <v>0</v>
      </c>
      <c r="K354" s="400">
        <v>0</v>
      </c>
      <c r="L354" s="496" t="s">
        <v>93</v>
      </c>
      <c r="N354" s="498">
        <v>26800</v>
      </c>
      <c r="O354" s="495" t="s">
        <v>93</v>
      </c>
      <c r="P354" s="400" t="s">
        <v>1744</v>
      </c>
    </row>
    <row r="355" spans="1:17" s="472" customFormat="1" ht="11.25">
      <c r="A355" s="472" t="s">
        <v>1767</v>
      </c>
      <c r="B355" s="472">
        <v>17</v>
      </c>
      <c r="C355" s="472" t="s">
        <v>269</v>
      </c>
      <c r="D355" s="472" t="s">
        <v>1709</v>
      </c>
      <c r="E355" s="472">
        <v>7</v>
      </c>
      <c r="F355" s="507">
        <v>0</v>
      </c>
      <c r="G355" s="507">
        <v>0</v>
      </c>
      <c r="H355" s="472">
        <v>-2</v>
      </c>
      <c r="I355" s="472">
        <v>7</v>
      </c>
      <c r="J355" s="472">
        <v>0</v>
      </c>
      <c r="K355" s="472">
        <v>0</v>
      </c>
      <c r="L355" s="472" t="s">
        <v>93</v>
      </c>
      <c r="M355" s="474"/>
      <c r="N355" s="509">
        <v>55900</v>
      </c>
      <c r="O355" s="507">
        <v>18</v>
      </c>
      <c r="P355" s="472" t="s">
        <v>1759</v>
      </c>
      <c r="Q355" s="474"/>
    </row>
    <row r="356" spans="1:16" ht="13.5">
      <c r="A356" s="400" t="s">
        <v>1768</v>
      </c>
      <c r="B356" s="400">
        <v>18</v>
      </c>
      <c r="C356" s="400" t="s">
        <v>269</v>
      </c>
      <c r="D356" s="400" t="s">
        <v>1766</v>
      </c>
      <c r="E356" s="400">
        <v>4</v>
      </c>
      <c r="F356" s="495">
        <v>0</v>
      </c>
      <c r="G356" s="495">
        <v>0</v>
      </c>
      <c r="H356" s="400">
        <v>0</v>
      </c>
      <c r="I356" s="400">
        <v>5</v>
      </c>
      <c r="J356" s="400">
        <v>0</v>
      </c>
      <c r="K356" s="400">
        <v>2</v>
      </c>
      <c r="L356" s="400" t="s">
        <v>93</v>
      </c>
      <c r="N356" s="498">
        <v>62100</v>
      </c>
      <c r="O356" s="495">
        <v>20</v>
      </c>
      <c r="P356" s="400" t="s">
        <v>1759</v>
      </c>
    </row>
    <row r="357" spans="1:16" ht="13.5">
      <c r="A357" s="400" t="s">
        <v>1769</v>
      </c>
      <c r="B357" s="400">
        <v>20</v>
      </c>
      <c r="C357" s="400" t="s">
        <v>269</v>
      </c>
      <c r="D357" s="400" t="s">
        <v>1700</v>
      </c>
      <c r="E357" s="400">
        <v>4</v>
      </c>
      <c r="F357" s="495">
        <v>0</v>
      </c>
      <c r="G357" s="495">
        <v>0</v>
      </c>
      <c r="H357" s="400">
        <v>0</v>
      </c>
      <c r="I357" s="400">
        <v>8</v>
      </c>
      <c r="J357" s="400">
        <v>0</v>
      </c>
      <c r="K357" s="400">
        <v>0</v>
      </c>
      <c r="L357" s="496" t="s">
        <v>93</v>
      </c>
      <c r="N357" s="498">
        <v>48000</v>
      </c>
      <c r="O357" s="495" t="s">
        <v>93</v>
      </c>
      <c r="P357" s="400" t="s">
        <v>1744</v>
      </c>
    </row>
    <row r="358" spans="1:16" ht="13.5">
      <c r="A358" s="400" t="s">
        <v>1770</v>
      </c>
      <c r="B358" s="400">
        <v>20</v>
      </c>
      <c r="C358" s="400" t="s">
        <v>269</v>
      </c>
      <c r="D358" s="400" t="s">
        <v>1766</v>
      </c>
      <c r="E358" s="400">
        <v>2</v>
      </c>
      <c r="F358" s="495">
        <v>0</v>
      </c>
      <c r="G358" s="495">
        <v>0</v>
      </c>
      <c r="H358" s="400">
        <v>0</v>
      </c>
      <c r="I358" s="400">
        <v>7</v>
      </c>
      <c r="J358" s="400">
        <v>0</v>
      </c>
      <c r="K358" s="400">
        <v>0</v>
      </c>
      <c r="L358" s="496" t="s">
        <v>93</v>
      </c>
      <c r="N358" s="498">
        <v>46000</v>
      </c>
      <c r="O358" s="495" t="s">
        <v>93</v>
      </c>
      <c r="P358" s="400" t="s">
        <v>1744</v>
      </c>
    </row>
    <row r="359" spans="1:16" ht="13.5">
      <c r="A359" s="400" t="s">
        <v>1771</v>
      </c>
      <c r="B359" s="400">
        <v>22</v>
      </c>
      <c r="C359" s="400" t="s">
        <v>269</v>
      </c>
      <c r="D359" s="400" t="s">
        <v>1697</v>
      </c>
      <c r="E359" s="400">
        <v>3</v>
      </c>
      <c r="F359" s="495">
        <v>0</v>
      </c>
      <c r="G359" s="495">
        <v>0</v>
      </c>
      <c r="H359" s="400">
        <v>0</v>
      </c>
      <c r="I359" s="400">
        <v>0</v>
      </c>
      <c r="J359" s="400">
        <v>12</v>
      </c>
      <c r="K359" s="400">
        <v>0</v>
      </c>
      <c r="L359" s="400" t="s">
        <v>93</v>
      </c>
      <c r="N359" s="498">
        <v>101200</v>
      </c>
      <c r="O359" s="495">
        <v>20</v>
      </c>
      <c r="P359" s="400" t="s">
        <v>1759</v>
      </c>
    </row>
    <row r="360" spans="1:16" ht="12" customHeight="1">
      <c r="A360" s="400" t="s">
        <v>1772</v>
      </c>
      <c r="B360" s="400">
        <v>25</v>
      </c>
      <c r="C360" s="400" t="s">
        <v>269</v>
      </c>
      <c r="D360" s="400" t="s">
        <v>1700</v>
      </c>
      <c r="E360" s="400">
        <v>4</v>
      </c>
      <c r="F360" s="495">
        <v>0</v>
      </c>
      <c r="G360" s="495">
        <v>0</v>
      </c>
      <c r="H360" s="400">
        <v>0</v>
      </c>
      <c r="I360" s="400">
        <v>9</v>
      </c>
      <c r="J360" s="400">
        <v>0</v>
      </c>
      <c r="K360" s="400">
        <v>0</v>
      </c>
      <c r="L360" s="496" t="s">
        <v>93</v>
      </c>
      <c r="N360" s="498">
        <v>72500</v>
      </c>
      <c r="O360" s="495" t="s">
        <v>93</v>
      </c>
      <c r="P360" s="400" t="s">
        <v>1744</v>
      </c>
    </row>
    <row r="361" spans="1:17" s="472" customFormat="1" ht="11.25">
      <c r="A361" s="472" t="s">
        <v>1773</v>
      </c>
      <c r="B361" s="472">
        <v>25</v>
      </c>
      <c r="C361" s="472" t="s">
        <v>269</v>
      </c>
      <c r="D361" s="472" t="s">
        <v>1766</v>
      </c>
      <c r="E361" s="472">
        <v>3</v>
      </c>
      <c r="F361" s="507">
        <v>0</v>
      </c>
      <c r="G361" s="507">
        <v>0</v>
      </c>
      <c r="H361" s="472">
        <v>0</v>
      </c>
      <c r="I361" s="472">
        <v>9</v>
      </c>
      <c r="J361" s="472">
        <v>0</v>
      </c>
      <c r="K361" s="472">
        <v>0</v>
      </c>
      <c r="L361" s="508" t="s">
        <v>93</v>
      </c>
      <c r="M361" s="474"/>
      <c r="N361" s="509">
        <v>69400</v>
      </c>
      <c r="O361" s="507" t="s">
        <v>93</v>
      </c>
      <c r="P361" s="472" t="s">
        <v>1744</v>
      </c>
      <c r="Q361" s="474"/>
    </row>
    <row r="362" spans="1:16" ht="13.5">
      <c r="A362" s="400" t="s">
        <v>1774</v>
      </c>
      <c r="B362" s="400">
        <v>28</v>
      </c>
      <c r="C362" s="400" t="s">
        <v>269</v>
      </c>
      <c r="D362" s="400" t="s">
        <v>1709</v>
      </c>
      <c r="E362" s="400">
        <v>10</v>
      </c>
      <c r="F362" s="495">
        <v>0</v>
      </c>
      <c r="G362" s="495">
        <v>0</v>
      </c>
      <c r="H362" s="400">
        <v>-2</v>
      </c>
      <c r="I362" s="400">
        <v>13</v>
      </c>
      <c r="J362" s="400">
        <v>0</v>
      </c>
      <c r="K362" s="400">
        <v>0</v>
      </c>
      <c r="L362" s="400" t="s">
        <v>93</v>
      </c>
      <c r="N362" s="498">
        <v>280000</v>
      </c>
      <c r="O362" s="495">
        <v>25</v>
      </c>
      <c r="P362" s="400" t="s">
        <v>1759</v>
      </c>
    </row>
    <row r="363" spans="1:16" ht="13.5">
      <c r="A363" s="400" t="s">
        <v>1775</v>
      </c>
      <c r="B363" s="400">
        <v>30</v>
      </c>
      <c r="C363" s="400" t="s">
        <v>269</v>
      </c>
      <c r="D363" s="400" t="s">
        <v>1700</v>
      </c>
      <c r="E363" s="400">
        <v>4</v>
      </c>
      <c r="F363" s="495">
        <v>0</v>
      </c>
      <c r="G363" s="495">
        <v>0</v>
      </c>
      <c r="H363" s="400">
        <v>0</v>
      </c>
      <c r="I363" s="400">
        <v>11</v>
      </c>
      <c r="J363" s="400">
        <v>0</v>
      </c>
      <c r="K363" s="400">
        <v>-1</v>
      </c>
      <c r="L363" s="496" t="s">
        <v>93</v>
      </c>
      <c r="N363" s="498">
        <v>250000</v>
      </c>
      <c r="O363" s="495" t="s">
        <v>93</v>
      </c>
      <c r="P363" s="400" t="s">
        <v>1744</v>
      </c>
    </row>
    <row r="364" spans="1:16" ht="13.5">
      <c r="A364" s="400" t="s">
        <v>1776</v>
      </c>
      <c r="B364" s="400">
        <v>30</v>
      </c>
      <c r="C364" s="400" t="s">
        <v>269</v>
      </c>
      <c r="D364" s="400" t="s">
        <v>1766</v>
      </c>
      <c r="E364" s="400">
        <v>2</v>
      </c>
      <c r="F364" s="495">
        <v>0</v>
      </c>
      <c r="G364" s="495">
        <v>0</v>
      </c>
      <c r="H364" s="400">
        <v>0</v>
      </c>
      <c r="I364" s="400">
        <v>9</v>
      </c>
      <c r="J364" s="400">
        <v>3</v>
      </c>
      <c r="K364" s="400">
        <v>0</v>
      </c>
      <c r="L364" s="496" t="s">
        <v>93</v>
      </c>
      <c r="N364" s="498">
        <v>220000</v>
      </c>
      <c r="O364" s="495" t="s">
        <v>93</v>
      </c>
      <c r="P364" s="400" t="s">
        <v>1744</v>
      </c>
    </row>
    <row r="365" spans="1:18" ht="13.5">
      <c r="A365" s="44" t="s">
        <v>1777</v>
      </c>
      <c r="B365" s="500" t="s">
        <v>121</v>
      </c>
      <c r="C365" s="500" t="s">
        <v>241</v>
      </c>
      <c r="D365" s="500" t="s">
        <v>242</v>
      </c>
      <c r="E365" s="500" t="s">
        <v>243</v>
      </c>
      <c r="F365" s="501" t="s">
        <v>166</v>
      </c>
      <c r="G365" s="501" t="s">
        <v>244</v>
      </c>
      <c r="H365" s="500" t="s">
        <v>220</v>
      </c>
      <c r="I365" s="500" t="s">
        <v>245</v>
      </c>
      <c r="J365" s="500" t="s">
        <v>246</v>
      </c>
      <c r="K365" s="500" t="s">
        <v>247</v>
      </c>
      <c r="L365" s="502" t="s">
        <v>248</v>
      </c>
      <c r="M365" s="500" t="s">
        <v>249</v>
      </c>
      <c r="N365" s="503" t="s">
        <v>210</v>
      </c>
      <c r="O365" s="501" t="s">
        <v>1349</v>
      </c>
      <c r="P365" s="504" t="s">
        <v>1350</v>
      </c>
      <c r="Q365" s="420"/>
      <c r="R365" s="215"/>
    </row>
    <row r="366" spans="1:18" ht="13.5">
      <c r="A366" s="215"/>
      <c r="B366" s="215"/>
      <c r="C366" s="215"/>
      <c r="D366" s="215"/>
      <c r="E366" s="215"/>
      <c r="F366" s="320"/>
      <c r="G366" s="320"/>
      <c r="H366" s="215"/>
      <c r="I366" s="215"/>
      <c r="J366" s="215"/>
      <c r="K366" s="215"/>
      <c r="L366" s="505"/>
      <c r="M366" s="215"/>
      <c r="N366" s="223"/>
      <c r="O366" s="320"/>
      <c r="Q366" s="420"/>
      <c r="R366" s="215"/>
    </row>
    <row r="367" spans="1:16" ht="13.5">
      <c r="A367" s="400" t="s">
        <v>1778</v>
      </c>
      <c r="B367" s="400">
        <v>1</v>
      </c>
      <c r="C367" s="400" t="s">
        <v>274</v>
      </c>
      <c r="D367" s="400" t="s">
        <v>1697</v>
      </c>
      <c r="E367" s="400">
        <v>3</v>
      </c>
      <c r="F367" s="495">
        <v>0</v>
      </c>
      <c r="G367" s="495">
        <v>0</v>
      </c>
      <c r="H367" s="400">
        <v>0</v>
      </c>
      <c r="I367" s="400">
        <v>2</v>
      </c>
      <c r="J367" s="400">
        <v>0</v>
      </c>
      <c r="K367" s="400">
        <v>0</v>
      </c>
      <c r="L367" s="400" t="s">
        <v>93</v>
      </c>
      <c r="N367" s="498">
        <v>30</v>
      </c>
      <c r="O367" s="495" t="s">
        <v>93</v>
      </c>
      <c r="P367" s="400" t="s">
        <v>1690</v>
      </c>
    </row>
    <row r="368" spans="1:16" ht="13.5">
      <c r="A368" s="400" t="s">
        <v>1779</v>
      </c>
      <c r="B368" s="400">
        <v>1</v>
      </c>
      <c r="C368" s="400" t="s">
        <v>274</v>
      </c>
      <c r="D368" s="400" t="s">
        <v>1709</v>
      </c>
      <c r="E368" s="400">
        <v>7</v>
      </c>
      <c r="F368" s="495">
        <v>0</v>
      </c>
      <c r="G368" s="495">
        <v>0</v>
      </c>
      <c r="H368" s="400">
        <v>0</v>
      </c>
      <c r="I368" s="400">
        <v>7</v>
      </c>
      <c r="J368" s="400">
        <v>0</v>
      </c>
      <c r="K368" s="400">
        <v>0</v>
      </c>
      <c r="L368" s="496" t="s">
        <v>93</v>
      </c>
      <c r="N368" s="498">
        <v>1500</v>
      </c>
      <c r="O368" s="495">
        <v>14</v>
      </c>
      <c r="P368" s="400" t="s">
        <v>1780</v>
      </c>
    </row>
    <row r="369" spans="1:16" ht="13.5">
      <c r="A369" s="400" t="s">
        <v>1781</v>
      </c>
      <c r="B369" s="400">
        <v>1</v>
      </c>
      <c r="C369" s="400" t="s">
        <v>274</v>
      </c>
      <c r="D369" s="400" t="s">
        <v>1697</v>
      </c>
      <c r="E369" s="400">
        <v>4</v>
      </c>
      <c r="F369" s="495">
        <v>0</v>
      </c>
      <c r="G369" s="495">
        <v>0</v>
      </c>
      <c r="H369" s="400">
        <v>0</v>
      </c>
      <c r="I369" s="400">
        <v>3</v>
      </c>
      <c r="J369" s="400">
        <v>0</v>
      </c>
      <c r="K369" s="400">
        <v>0</v>
      </c>
      <c r="L369" s="400" t="s">
        <v>93</v>
      </c>
      <c r="N369" s="498">
        <v>50</v>
      </c>
      <c r="O369" s="495" t="s">
        <v>93</v>
      </c>
      <c r="P369" s="400" t="s">
        <v>1690</v>
      </c>
    </row>
    <row r="370" spans="1:16" ht="13.5">
      <c r="A370" s="400" t="s">
        <v>1782</v>
      </c>
      <c r="B370" s="400">
        <v>1</v>
      </c>
      <c r="C370" s="400" t="s">
        <v>274</v>
      </c>
      <c r="D370" s="400" t="s">
        <v>1697</v>
      </c>
      <c r="E370" s="400">
        <v>5</v>
      </c>
      <c r="F370" s="495">
        <v>0</v>
      </c>
      <c r="G370" s="495">
        <v>0</v>
      </c>
      <c r="H370" s="400">
        <v>0</v>
      </c>
      <c r="I370" s="400">
        <v>4</v>
      </c>
      <c r="J370" s="400">
        <v>0</v>
      </c>
      <c r="K370" s="400">
        <v>0</v>
      </c>
      <c r="L370" s="400" t="s">
        <v>93</v>
      </c>
      <c r="N370" s="498">
        <v>100</v>
      </c>
      <c r="O370" s="495" t="s">
        <v>93</v>
      </c>
      <c r="P370" s="400" t="s">
        <v>1690</v>
      </c>
    </row>
    <row r="371" spans="1:16" ht="13.5">
      <c r="A371" s="400" t="s">
        <v>1783</v>
      </c>
      <c r="B371" s="400">
        <v>1</v>
      </c>
      <c r="C371" s="400" t="s">
        <v>274</v>
      </c>
      <c r="D371" s="400" t="s">
        <v>1689</v>
      </c>
      <c r="E371" s="400">
        <v>6</v>
      </c>
      <c r="F371" s="495">
        <v>0</v>
      </c>
      <c r="G371" s="495">
        <v>0</v>
      </c>
      <c r="H371" s="400">
        <v>0</v>
      </c>
      <c r="I371" s="400">
        <v>5</v>
      </c>
      <c r="J371" s="400">
        <v>0</v>
      </c>
      <c r="K371" s="400">
        <v>0</v>
      </c>
      <c r="L371" s="400" t="s">
        <v>93</v>
      </c>
      <c r="N371" s="498">
        <v>200</v>
      </c>
      <c r="O371" s="495" t="s">
        <v>93</v>
      </c>
      <c r="P371" s="400" t="s">
        <v>1690</v>
      </c>
    </row>
    <row r="372" spans="1:16" ht="13.5">
      <c r="A372" s="400" t="s">
        <v>1784</v>
      </c>
      <c r="B372" s="400">
        <v>1</v>
      </c>
      <c r="C372" s="400" t="s">
        <v>274</v>
      </c>
      <c r="D372" s="400" t="s">
        <v>1709</v>
      </c>
      <c r="E372" s="400">
        <v>7</v>
      </c>
      <c r="F372" s="495">
        <v>0</v>
      </c>
      <c r="G372" s="495">
        <v>0</v>
      </c>
      <c r="H372" s="400">
        <v>0</v>
      </c>
      <c r="I372" s="400">
        <v>6</v>
      </c>
      <c r="J372" s="400">
        <v>0</v>
      </c>
      <c r="K372" s="400">
        <v>0</v>
      </c>
      <c r="L372" s="400" t="s">
        <v>93</v>
      </c>
      <c r="N372" s="498">
        <v>500</v>
      </c>
      <c r="O372" s="495" t="s">
        <v>93</v>
      </c>
      <c r="P372" s="400" t="s">
        <v>1690</v>
      </c>
    </row>
    <row r="373" spans="1:16" ht="13.5">
      <c r="A373" s="400" t="s">
        <v>1785</v>
      </c>
      <c r="B373" s="400">
        <v>1</v>
      </c>
      <c r="C373" s="400" t="s">
        <v>274</v>
      </c>
      <c r="D373" s="400" t="s">
        <v>1786</v>
      </c>
      <c r="E373" s="400">
        <v>1</v>
      </c>
      <c r="F373" s="495">
        <v>0</v>
      </c>
      <c r="G373" s="495">
        <v>0</v>
      </c>
      <c r="H373" s="400">
        <v>0</v>
      </c>
      <c r="I373" s="400">
        <v>4</v>
      </c>
      <c r="J373" s="400">
        <v>0</v>
      </c>
      <c r="K373" s="400">
        <v>0</v>
      </c>
      <c r="L373" s="400" t="s">
        <v>93</v>
      </c>
      <c r="N373" s="498">
        <v>200</v>
      </c>
      <c r="O373" s="495" t="s">
        <v>93</v>
      </c>
      <c r="P373" s="400" t="s">
        <v>1744</v>
      </c>
    </row>
    <row r="374" spans="1:17" s="472" customFormat="1" ht="11.25">
      <c r="A374" s="472" t="s">
        <v>1787</v>
      </c>
      <c r="B374" s="472">
        <v>1</v>
      </c>
      <c r="C374" s="472" t="s">
        <v>274</v>
      </c>
      <c r="D374" s="472" t="s">
        <v>1766</v>
      </c>
      <c r="E374" s="472">
        <v>2</v>
      </c>
      <c r="F374" s="507">
        <v>0</v>
      </c>
      <c r="G374" s="507">
        <v>0</v>
      </c>
      <c r="H374" s="472">
        <v>0</v>
      </c>
      <c r="I374" s="472">
        <v>2</v>
      </c>
      <c r="J374" s="472">
        <v>-3</v>
      </c>
      <c r="K374" s="472">
        <v>-1</v>
      </c>
      <c r="L374" s="472" t="s">
        <v>93</v>
      </c>
      <c r="M374" s="474"/>
      <c r="N374" s="509">
        <v>2000</v>
      </c>
      <c r="O374" s="507">
        <v>12</v>
      </c>
      <c r="P374" s="472" t="s">
        <v>1516</v>
      </c>
      <c r="Q374" s="474"/>
    </row>
    <row r="375" spans="1:16" ht="13.5">
      <c r="A375" s="400" t="s">
        <v>1788</v>
      </c>
      <c r="B375" s="400">
        <v>2</v>
      </c>
      <c r="C375" s="400" t="s">
        <v>274</v>
      </c>
      <c r="D375" s="400" t="s">
        <v>1709</v>
      </c>
      <c r="E375" s="400">
        <v>3</v>
      </c>
      <c r="F375" s="495">
        <v>0</v>
      </c>
      <c r="G375" s="495">
        <v>0</v>
      </c>
      <c r="H375" s="400">
        <v>0</v>
      </c>
      <c r="I375" s="400">
        <v>4</v>
      </c>
      <c r="J375" s="400">
        <v>0</v>
      </c>
      <c r="K375" s="400">
        <v>0</v>
      </c>
      <c r="L375" s="400" t="s">
        <v>93</v>
      </c>
      <c r="N375" s="498">
        <v>600</v>
      </c>
      <c r="O375" s="495" t="s">
        <v>93</v>
      </c>
      <c r="P375" s="400" t="s">
        <v>1744</v>
      </c>
    </row>
    <row r="376" spans="1:16" ht="13.5">
      <c r="A376" s="400" t="s">
        <v>1789</v>
      </c>
      <c r="B376" s="400">
        <v>2</v>
      </c>
      <c r="C376" s="400" t="s">
        <v>274</v>
      </c>
      <c r="D376" s="400" t="s">
        <v>1736</v>
      </c>
      <c r="E376" s="400">
        <v>2</v>
      </c>
      <c r="F376" s="495">
        <v>0</v>
      </c>
      <c r="G376" s="495">
        <v>0</v>
      </c>
      <c r="H376" s="400">
        <v>0</v>
      </c>
      <c r="I376" s="400">
        <v>3</v>
      </c>
      <c r="J376" s="400">
        <v>0</v>
      </c>
      <c r="K376" s="400">
        <v>0</v>
      </c>
      <c r="L376" s="496" t="s">
        <v>93</v>
      </c>
      <c r="N376" s="498">
        <v>1200</v>
      </c>
      <c r="O376" s="495">
        <v>10</v>
      </c>
      <c r="P376" s="400" t="s">
        <v>1741</v>
      </c>
    </row>
    <row r="377" spans="1:16" ht="13.5">
      <c r="A377" s="400" t="s">
        <v>273</v>
      </c>
      <c r="B377" s="400">
        <v>3</v>
      </c>
      <c r="C377" s="400" t="s">
        <v>274</v>
      </c>
      <c r="D377" s="400" t="s">
        <v>1709</v>
      </c>
      <c r="E377" s="400">
        <v>8</v>
      </c>
      <c r="F377" s="495">
        <v>0</v>
      </c>
      <c r="G377" s="495">
        <v>0</v>
      </c>
      <c r="H377" s="400">
        <v>0</v>
      </c>
      <c r="I377" s="400">
        <v>7</v>
      </c>
      <c r="J377" s="400">
        <v>0</v>
      </c>
      <c r="K377" s="400">
        <v>0</v>
      </c>
      <c r="L377" s="400" t="s">
        <v>93</v>
      </c>
      <c r="N377" s="498">
        <v>700</v>
      </c>
      <c r="O377" s="495" t="s">
        <v>93</v>
      </c>
      <c r="P377" s="400" t="s">
        <v>1744</v>
      </c>
    </row>
    <row r="378" spans="1:17" s="472" customFormat="1" ht="11.25">
      <c r="A378" s="472" t="s">
        <v>1790</v>
      </c>
      <c r="B378" s="472">
        <v>3</v>
      </c>
      <c r="C378" s="472" t="s">
        <v>274</v>
      </c>
      <c r="D378" s="472" t="s">
        <v>1715</v>
      </c>
      <c r="E378" s="472">
        <v>2</v>
      </c>
      <c r="F378" s="507">
        <v>0</v>
      </c>
      <c r="G378" s="507">
        <v>0</v>
      </c>
      <c r="H378" s="472">
        <v>0</v>
      </c>
      <c r="I378" s="472">
        <v>4</v>
      </c>
      <c r="J378" s="472">
        <v>0</v>
      </c>
      <c r="K378" s="472">
        <v>0</v>
      </c>
      <c r="L378" s="508" t="s">
        <v>93</v>
      </c>
      <c r="M378" s="474"/>
      <c r="N378" s="509">
        <v>2100</v>
      </c>
      <c r="O378" s="507">
        <v>11</v>
      </c>
      <c r="P378" s="472" t="s">
        <v>1741</v>
      </c>
      <c r="Q378" s="474"/>
    </row>
    <row r="379" spans="1:16" ht="13.5">
      <c r="A379" s="400" t="s">
        <v>1791</v>
      </c>
      <c r="B379" s="400">
        <v>4</v>
      </c>
      <c r="C379" s="400" t="s">
        <v>274</v>
      </c>
      <c r="D379" s="400" t="s">
        <v>1715</v>
      </c>
      <c r="E379" s="400">
        <v>4</v>
      </c>
      <c r="F379" s="495">
        <v>0</v>
      </c>
      <c r="G379" s="495">
        <v>0</v>
      </c>
      <c r="H379" s="400">
        <v>0</v>
      </c>
      <c r="I379" s="400">
        <v>4</v>
      </c>
      <c r="J379" s="400">
        <v>0</v>
      </c>
      <c r="K379" s="400">
        <v>0</v>
      </c>
      <c r="L379" s="400" t="s">
        <v>93</v>
      </c>
      <c r="N379" s="498">
        <v>150</v>
      </c>
      <c r="O379" s="495" t="s">
        <v>93</v>
      </c>
      <c r="P379" s="400" t="s">
        <v>1690</v>
      </c>
    </row>
    <row r="380" spans="1:16" ht="13.5">
      <c r="A380" s="400" t="s">
        <v>1792</v>
      </c>
      <c r="B380" s="400">
        <v>4</v>
      </c>
      <c r="C380" s="400" t="s">
        <v>274</v>
      </c>
      <c r="D380" s="400" t="s">
        <v>1736</v>
      </c>
      <c r="E380" s="400">
        <v>4</v>
      </c>
      <c r="F380" s="495">
        <v>0</v>
      </c>
      <c r="G380" s="495">
        <v>0</v>
      </c>
      <c r="H380" s="400">
        <v>0</v>
      </c>
      <c r="I380" s="400">
        <v>4</v>
      </c>
      <c r="J380" s="400">
        <v>0</v>
      </c>
      <c r="K380" s="400">
        <v>0</v>
      </c>
      <c r="L380" s="400" t="s">
        <v>93</v>
      </c>
      <c r="N380" s="498">
        <v>150</v>
      </c>
      <c r="O380" s="495" t="s">
        <v>93</v>
      </c>
      <c r="P380" s="400" t="s">
        <v>1690</v>
      </c>
    </row>
    <row r="381" spans="1:16" ht="13.5">
      <c r="A381" s="400" t="s">
        <v>1793</v>
      </c>
      <c r="B381" s="400">
        <v>4</v>
      </c>
      <c r="C381" s="400" t="s">
        <v>274</v>
      </c>
      <c r="D381" s="400" t="s">
        <v>1709</v>
      </c>
      <c r="E381" s="400">
        <v>8</v>
      </c>
      <c r="F381" s="495">
        <v>0</v>
      </c>
      <c r="G381" s="495">
        <v>0</v>
      </c>
      <c r="H381" s="400">
        <v>-1</v>
      </c>
      <c r="I381" s="400">
        <v>6</v>
      </c>
      <c r="J381" s="400">
        <v>0</v>
      </c>
      <c r="K381" s="400">
        <v>-1</v>
      </c>
      <c r="L381" s="400" t="s">
        <v>93</v>
      </c>
      <c r="N381" s="498">
        <v>400</v>
      </c>
      <c r="O381" s="495" t="s">
        <v>93</v>
      </c>
      <c r="P381" s="400" t="s">
        <v>1690</v>
      </c>
    </row>
    <row r="382" spans="1:16" ht="13.5">
      <c r="A382" s="400" t="s">
        <v>1794</v>
      </c>
      <c r="B382" s="400">
        <v>4</v>
      </c>
      <c r="C382" s="400" t="s">
        <v>274</v>
      </c>
      <c r="D382" s="400" t="s">
        <v>1749</v>
      </c>
      <c r="E382" s="400">
        <v>4</v>
      </c>
      <c r="F382" s="495">
        <v>0</v>
      </c>
      <c r="G382" s="495">
        <v>0</v>
      </c>
      <c r="H382" s="400">
        <v>0</v>
      </c>
      <c r="I382" s="400">
        <v>6</v>
      </c>
      <c r="J382" s="400">
        <v>0</v>
      </c>
      <c r="K382" s="400">
        <v>0</v>
      </c>
      <c r="L382" s="400" t="s">
        <v>93</v>
      </c>
      <c r="N382" s="498">
        <v>700</v>
      </c>
      <c r="O382" s="495" t="s">
        <v>93</v>
      </c>
      <c r="P382" s="400" t="s">
        <v>1744</v>
      </c>
    </row>
    <row r="383" spans="1:16" ht="13.5">
      <c r="A383" s="400" t="s">
        <v>1795</v>
      </c>
      <c r="B383" s="400">
        <v>4</v>
      </c>
      <c r="C383" s="400" t="s">
        <v>274</v>
      </c>
      <c r="D383" s="400" t="s">
        <v>1692</v>
      </c>
      <c r="E383" s="400">
        <v>8</v>
      </c>
      <c r="F383" s="495">
        <v>0</v>
      </c>
      <c r="G383" s="495">
        <v>0</v>
      </c>
      <c r="H383" s="400">
        <v>0</v>
      </c>
      <c r="I383" s="400">
        <v>7</v>
      </c>
      <c r="J383" s="400">
        <v>0</v>
      </c>
      <c r="K383" s="400">
        <v>-1</v>
      </c>
      <c r="L383" s="400" t="s">
        <v>93</v>
      </c>
      <c r="N383" s="498">
        <v>800</v>
      </c>
      <c r="O383" s="495" t="s">
        <v>93</v>
      </c>
      <c r="P383" s="400" t="s">
        <v>1744</v>
      </c>
    </row>
    <row r="384" spans="1:16" ht="13.5">
      <c r="A384" s="400" t="s">
        <v>1796</v>
      </c>
      <c r="B384" s="400">
        <v>4</v>
      </c>
      <c r="C384" s="400" t="s">
        <v>274</v>
      </c>
      <c r="D384" s="400" t="s">
        <v>1697</v>
      </c>
      <c r="E384" s="400">
        <v>2</v>
      </c>
      <c r="F384" s="495">
        <v>0</v>
      </c>
      <c r="G384" s="495">
        <v>0</v>
      </c>
      <c r="H384" s="400">
        <v>0</v>
      </c>
      <c r="I384" s="400">
        <v>8</v>
      </c>
      <c r="J384" s="400">
        <v>0</v>
      </c>
      <c r="K384" s="400">
        <v>0</v>
      </c>
      <c r="L384" s="496" t="s">
        <v>93</v>
      </c>
      <c r="N384" s="498">
        <v>2900</v>
      </c>
      <c r="O384" s="495">
        <v>11</v>
      </c>
      <c r="P384" s="400" t="s">
        <v>1741</v>
      </c>
    </row>
    <row r="385" spans="1:16" ht="13.5">
      <c r="A385" s="400" t="s">
        <v>1797</v>
      </c>
      <c r="B385" s="400">
        <v>5</v>
      </c>
      <c r="C385" s="400" t="s">
        <v>274</v>
      </c>
      <c r="D385" s="400" t="s">
        <v>1697</v>
      </c>
      <c r="E385" s="400">
        <v>3</v>
      </c>
      <c r="F385" s="495">
        <v>0</v>
      </c>
      <c r="G385" s="495">
        <v>0</v>
      </c>
      <c r="H385" s="400">
        <v>0</v>
      </c>
      <c r="I385" s="400">
        <v>5</v>
      </c>
      <c r="J385" s="400">
        <v>0</v>
      </c>
      <c r="K385" s="400">
        <v>0</v>
      </c>
      <c r="L385" s="400" t="s">
        <v>93</v>
      </c>
      <c r="N385" s="498">
        <v>700</v>
      </c>
      <c r="O385" s="495" t="s">
        <v>93</v>
      </c>
      <c r="P385" s="400" t="s">
        <v>1744</v>
      </c>
    </row>
    <row r="386" spans="1:16" ht="13.5">
      <c r="A386" s="400" t="s">
        <v>1798</v>
      </c>
      <c r="B386" s="400">
        <v>5</v>
      </c>
      <c r="C386" s="400" t="s">
        <v>274</v>
      </c>
      <c r="D386" s="400" t="s">
        <v>1799</v>
      </c>
      <c r="E386" s="400">
        <v>5</v>
      </c>
      <c r="F386" s="495">
        <v>0</v>
      </c>
      <c r="G386" s="495">
        <v>0</v>
      </c>
      <c r="H386" s="400">
        <v>0</v>
      </c>
      <c r="I386" s="400">
        <v>8</v>
      </c>
      <c r="J386" s="400">
        <v>3</v>
      </c>
      <c r="K386" s="400">
        <v>0</v>
      </c>
      <c r="L386" s="400" t="s">
        <v>93</v>
      </c>
      <c r="N386" s="498">
        <v>4000</v>
      </c>
      <c r="O386" s="495">
        <v>19</v>
      </c>
      <c r="P386" s="400" t="s">
        <v>1698</v>
      </c>
    </row>
    <row r="387" spans="1:16" ht="13.5">
      <c r="A387" s="400" t="s">
        <v>1800</v>
      </c>
      <c r="B387" s="400">
        <v>5</v>
      </c>
      <c r="C387" s="400" t="s">
        <v>274</v>
      </c>
      <c r="D387" s="400" t="s">
        <v>1709</v>
      </c>
      <c r="E387" s="400">
        <v>15</v>
      </c>
      <c r="F387" s="495">
        <v>0</v>
      </c>
      <c r="G387" s="495">
        <v>0</v>
      </c>
      <c r="H387" s="400">
        <v>-1</v>
      </c>
      <c r="I387" s="400">
        <v>10</v>
      </c>
      <c r="J387" s="400" t="s">
        <v>93</v>
      </c>
      <c r="K387" s="400">
        <v>-2</v>
      </c>
      <c r="L387" s="400" t="s">
        <v>93</v>
      </c>
      <c r="N387" s="498">
        <v>6500</v>
      </c>
      <c r="O387" s="495">
        <v>17</v>
      </c>
      <c r="P387" s="400" t="s">
        <v>1516</v>
      </c>
    </row>
    <row r="388" spans="1:16" ht="13.5">
      <c r="A388" s="400" t="s">
        <v>1801</v>
      </c>
      <c r="B388" s="400">
        <v>6</v>
      </c>
      <c r="C388" s="400" t="s">
        <v>274</v>
      </c>
      <c r="D388" s="400" t="s">
        <v>1743</v>
      </c>
      <c r="E388" s="400">
        <v>7</v>
      </c>
      <c r="F388" s="495">
        <v>0</v>
      </c>
      <c r="G388" s="495">
        <v>0</v>
      </c>
      <c r="H388" s="400">
        <v>0</v>
      </c>
      <c r="I388" s="400">
        <v>6</v>
      </c>
      <c r="J388" s="400">
        <v>0</v>
      </c>
      <c r="K388" s="400">
        <v>-1</v>
      </c>
      <c r="L388" s="400" t="s">
        <v>93</v>
      </c>
      <c r="N388" s="498">
        <v>800</v>
      </c>
      <c r="O388" s="495" t="s">
        <v>93</v>
      </c>
      <c r="P388" s="400" t="s">
        <v>1744</v>
      </c>
    </row>
    <row r="389" spans="1:16" ht="13.5">
      <c r="A389" s="400" t="s">
        <v>1802</v>
      </c>
      <c r="B389" s="400">
        <v>6</v>
      </c>
      <c r="C389" s="400" t="s">
        <v>274</v>
      </c>
      <c r="D389" s="400" t="s">
        <v>1697</v>
      </c>
      <c r="E389" s="400">
        <v>7</v>
      </c>
      <c r="F389" s="495">
        <v>0</v>
      </c>
      <c r="G389" s="495">
        <v>0</v>
      </c>
      <c r="H389" s="400">
        <v>0</v>
      </c>
      <c r="I389" s="400">
        <v>6</v>
      </c>
      <c r="J389" s="400">
        <v>0</v>
      </c>
      <c r="K389" s="400">
        <v>-1</v>
      </c>
      <c r="L389" s="400" t="s">
        <v>93</v>
      </c>
      <c r="N389" s="498">
        <v>900</v>
      </c>
      <c r="O389" s="495" t="s">
        <v>93</v>
      </c>
      <c r="P389" s="400" t="s">
        <v>1744</v>
      </c>
    </row>
    <row r="390" spans="1:16" ht="13.5">
      <c r="A390" s="400" t="s">
        <v>1803</v>
      </c>
      <c r="B390" s="400">
        <v>6</v>
      </c>
      <c r="C390" s="400" t="s">
        <v>274</v>
      </c>
      <c r="D390" s="400" t="s">
        <v>1738</v>
      </c>
      <c r="E390" s="400">
        <v>7</v>
      </c>
      <c r="F390" s="495">
        <v>0</v>
      </c>
      <c r="G390" s="495">
        <v>0</v>
      </c>
      <c r="H390" s="400">
        <v>1</v>
      </c>
      <c r="I390" s="400">
        <v>10</v>
      </c>
      <c r="J390" s="400">
        <v>0</v>
      </c>
      <c r="K390" s="400">
        <v>1</v>
      </c>
      <c r="L390" s="496" t="s">
        <v>93</v>
      </c>
      <c r="N390" s="498">
        <v>15000</v>
      </c>
      <c r="O390" s="495">
        <v>13</v>
      </c>
      <c r="P390" s="400" t="s">
        <v>1704</v>
      </c>
    </row>
    <row r="391" spans="1:16" ht="13.5">
      <c r="A391" s="400" t="s">
        <v>1804</v>
      </c>
      <c r="B391" s="400">
        <v>7</v>
      </c>
      <c r="C391" s="400" t="s">
        <v>274</v>
      </c>
      <c r="D391" s="400" t="s">
        <v>1709</v>
      </c>
      <c r="E391" s="400">
        <v>9</v>
      </c>
      <c r="F391" s="495">
        <v>0</v>
      </c>
      <c r="G391" s="495">
        <v>0</v>
      </c>
      <c r="H391" s="400">
        <v>-2</v>
      </c>
      <c r="I391" s="400">
        <v>8</v>
      </c>
      <c r="J391" s="400">
        <v>0</v>
      </c>
      <c r="K391" s="400">
        <v>-2</v>
      </c>
      <c r="L391" s="400" t="s">
        <v>93</v>
      </c>
      <c r="N391" s="498">
        <v>600</v>
      </c>
      <c r="O391" s="495" t="s">
        <v>93</v>
      </c>
      <c r="P391" s="400" t="s">
        <v>1690</v>
      </c>
    </row>
    <row r="392" spans="1:16" ht="13.5">
      <c r="A392" s="400" t="s">
        <v>1805</v>
      </c>
      <c r="B392" s="400">
        <v>7</v>
      </c>
      <c r="C392" s="400" t="s">
        <v>274</v>
      </c>
      <c r="D392" s="400" t="s">
        <v>1689</v>
      </c>
      <c r="E392" s="400">
        <v>7</v>
      </c>
      <c r="F392" s="495">
        <v>0</v>
      </c>
      <c r="G392" s="495">
        <v>0</v>
      </c>
      <c r="H392" s="400">
        <v>0</v>
      </c>
      <c r="I392" s="400">
        <v>7</v>
      </c>
      <c r="J392" s="400">
        <v>0</v>
      </c>
      <c r="K392" s="400">
        <v>-2</v>
      </c>
      <c r="L392" s="400" t="s">
        <v>93</v>
      </c>
      <c r="N392" s="498">
        <v>2500</v>
      </c>
      <c r="O392" s="495" t="s">
        <v>93</v>
      </c>
      <c r="P392" s="400" t="s">
        <v>1744</v>
      </c>
    </row>
    <row r="393" spans="1:16" ht="13.5">
      <c r="A393" s="400" t="s">
        <v>1806</v>
      </c>
      <c r="B393" s="400">
        <v>7</v>
      </c>
      <c r="C393" s="400" t="s">
        <v>274</v>
      </c>
      <c r="D393" s="400" t="s">
        <v>1743</v>
      </c>
      <c r="E393" s="400">
        <v>7</v>
      </c>
      <c r="F393" s="495">
        <v>0</v>
      </c>
      <c r="G393" s="495">
        <v>0</v>
      </c>
      <c r="H393" s="400">
        <v>0</v>
      </c>
      <c r="I393" s="400">
        <v>6</v>
      </c>
      <c r="J393" s="400">
        <v>0</v>
      </c>
      <c r="K393" s="400">
        <v>0</v>
      </c>
      <c r="L393" s="400" t="s">
        <v>93</v>
      </c>
      <c r="N393" s="498">
        <v>1700</v>
      </c>
      <c r="O393" s="495" t="s">
        <v>93</v>
      </c>
      <c r="P393" s="400" t="s">
        <v>1744</v>
      </c>
    </row>
    <row r="394" spans="1:16" ht="13.5">
      <c r="A394" s="400" t="s">
        <v>1807</v>
      </c>
      <c r="B394" s="400">
        <v>7</v>
      </c>
      <c r="C394" s="400" t="s">
        <v>274</v>
      </c>
      <c r="D394" s="400" t="s">
        <v>1766</v>
      </c>
      <c r="E394" s="400">
        <v>5</v>
      </c>
      <c r="F394" s="495">
        <v>0</v>
      </c>
      <c r="G394" s="495">
        <v>0</v>
      </c>
      <c r="H394" s="400">
        <v>0</v>
      </c>
      <c r="I394" s="400">
        <v>8</v>
      </c>
      <c r="J394" s="400">
        <v>7</v>
      </c>
      <c r="K394" s="400">
        <v>1</v>
      </c>
      <c r="L394" s="496" t="s">
        <v>93</v>
      </c>
      <c r="N394" s="498">
        <v>8500</v>
      </c>
      <c r="O394" s="495">
        <v>12</v>
      </c>
      <c r="P394" s="400" t="s">
        <v>1704</v>
      </c>
    </row>
    <row r="395" spans="1:16" ht="13.5">
      <c r="A395" s="400" t="s">
        <v>1808</v>
      </c>
      <c r="B395" s="400">
        <v>8</v>
      </c>
      <c r="C395" s="400" t="s">
        <v>274</v>
      </c>
      <c r="D395" s="400" t="s">
        <v>1689</v>
      </c>
      <c r="E395" s="400">
        <v>8</v>
      </c>
      <c r="F395" s="495">
        <v>0</v>
      </c>
      <c r="G395" s="495">
        <v>0</v>
      </c>
      <c r="H395" s="400">
        <v>0</v>
      </c>
      <c r="I395" s="400">
        <v>10</v>
      </c>
      <c r="J395" s="400">
        <v>0</v>
      </c>
      <c r="K395" s="400">
        <v>-2</v>
      </c>
      <c r="L395" s="496" t="s">
        <v>93</v>
      </c>
      <c r="N395" s="498">
        <v>12000</v>
      </c>
      <c r="O395" s="495">
        <v>13</v>
      </c>
      <c r="P395" s="400" t="s">
        <v>1704</v>
      </c>
    </row>
    <row r="396" spans="1:16" ht="13.5">
      <c r="A396" s="400" t="s">
        <v>1809</v>
      </c>
      <c r="B396" s="400">
        <v>9</v>
      </c>
      <c r="C396" s="400" t="s">
        <v>274</v>
      </c>
      <c r="D396" s="400" t="s">
        <v>1709</v>
      </c>
      <c r="E396" s="400">
        <v>9</v>
      </c>
      <c r="F396" s="495">
        <v>0</v>
      </c>
      <c r="G396" s="495">
        <v>0</v>
      </c>
      <c r="H396" s="400">
        <v>-2</v>
      </c>
      <c r="I396" s="400">
        <v>8</v>
      </c>
      <c r="J396" s="400">
        <v>0</v>
      </c>
      <c r="K396" s="400">
        <v>-1</v>
      </c>
      <c r="L396" s="400" t="s">
        <v>93</v>
      </c>
      <c r="N396" s="498">
        <v>2100</v>
      </c>
      <c r="O396" s="495" t="s">
        <v>93</v>
      </c>
      <c r="P396" s="400" t="s">
        <v>1744</v>
      </c>
    </row>
    <row r="397" spans="1:17" s="472" customFormat="1" ht="11.25">
      <c r="A397" s="472" t="s">
        <v>1810</v>
      </c>
      <c r="B397" s="472">
        <v>9</v>
      </c>
      <c r="C397" s="472" t="s">
        <v>274</v>
      </c>
      <c r="D397" s="472" t="s">
        <v>1766</v>
      </c>
      <c r="E397" s="472">
        <v>5</v>
      </c>
      <c r="F397" s="507">
        <v>0</v>
      </c>
      <c r="G397" s="507">
        <v>0</v>
      </c>
      <c r="H397" s="472">
        <v>-1</v>
      </c>
      <c r="I397" s="472">
        <v>5</v>
      </c>
      <c r="J397" s="472">
        <v>-5</v>
      </c>
      <c r="K397" s="472">
        <v>0</v>
      </c>
      <c r="L397" s="508" t="s">
        <v>93</v>
      </c>
      <c r="M397" s="474"/>
      <c r="N397" s="509">
        <v>24000</v>
      </c>
      <c r="O397" s="507">
        <v>16</v>
      </c>
      <c r="P397" s="472" t="s">
        <v>1704</v>
      </c>
      <c r="Q397" s="474"/>
    </row>
    <row r="398" spans="1:16" ht="13.5">
      <c r="A398" s="400" t="s">
        <v>1811</v>
      </c>
      <c r="B398" s="400">
        <v>10</v>
      </c>
      <c r="C398" s="400" t="s">
        <v>274</v>
      </c>
      <c r="D398" s="400" t="s">
        <v>1709</v>
      </c>
      <c r="E398" s="400">
        <v>10</v>
      </c>
      <c r="F398" s="495">
        <v>0</v>
      </c>
      <c r="G398" s="495">
        <v>0</v>
      </c>
      <c r="H398" s="400">
        <v>-2</v>
      </c>
      <c r="I398" s="400">
        <v>10</v>
      </c>
      <c r="J398" s="400">
        <v>0</v>
      </c>
      <c r="K398" s="400">
        <v>-3</v>
      </c>
      <c r="L398" s="400" t="s">
        <v>93</v>
      </c>
      <c r="N398" s="498">
        <v>1000</v>
      </c>
      <c r="O398" s="495" t="s">
        <v>93</v>
      </c>
      <c r="P398" s="400" t="s">
        <v>1690</v>
      </c>
    </row>
    <row r="399" spans="1:16" ht="13.5">
      <c r="A399" s="400" t="s">
        <v>1812</v>
      </c>
      <c r="B399" s="400">
        <v>10</v>
      </c>
      <c r="C399" s="400" t="s">
        <v>274</v>
      </c>
      <c r="D399" s="400" t="s">
        <v>1715</v>
      </c>
      <c r="E399" s="400">
        <v>6</v>
      </c>
      <c r="F399" s="495">
        <v>0</v>
      </c>
      <c r="G399" s="495">
        <v>0</v>
      </c>
      <c r="H399" s="400">
        <v>0</v>
      </c>
      <c r="I399" s="400">
        <v>7</v>
      </c>
      <c r="J399" s="400">
        <v>0</v>
      </c>
      <c r="K399" s="400">
        <v>-1</v>
      </c>
      <c r="L399" s="400" t="s">
        <v>93</v>
      </c>
      <c r="N399" s="498">
        <v>2500</v>
      </c>
      <c r="O399" s="495" t="s">
        <v>93</v>
      </c>
      <c r="P399" s="400" t="s">
        <v>1744</v>
      </c>
    </row>
    <row r="400" spans="1:16" ht="13.5">
      <c r="A400" s="400" t="s">
        <v>1813</v>
      </c>
      <c r="B400" s="400">
        <v>10</v>
      </c>
      <c r="C400" s="400" t="s">
        <v>274</v>
      </c>
      <c r="D400" s="400" t="s">
        <v>1814</v>
      </c>
      <c r="E400" s="400">
        <v>4</v>
      </c>
      <c r="F400" s="495">
        <v>0</v>
      </c>
      <c r="G400" s="495">
        <v>0</v>
      </c>
      <c r="H400" s="400">
        <v>0</v>
      </c>
      <c r="I400" s="400">
        <v>6</v>
      </c>
      <c r="J400" s="400">
        <v>0</v>
      </c>
      <c r="K400" s="400">
        <v>0</v>
      </c>
      <c r="L400" s="400" t="s">
        <v>93</v>
      </c>
      <c r="N400" s="498">
        <v>3000</v>
      </c>
      <c r="O400" s="495" t="s">
        <v>93</v>
      </c>
      <c r="P400" s="400" t="s">
        <v>1744</v>
      </c>
    </row>
    <row r="401" spans="1:16" ht="13.5">
      <c r="A401" s="400" t="s">
        <v>1815</v>
      </c>
      <c r="B401" s="400">
        <v>10</v>
      </c>
      <c r="C401" s="400" t="s">
        <v>274</v>
      </c>
      <c r="D401" s="400" t="s">
        <v>1816</v>
      </c>
      <c r="E401" s="400">
        <v>4</v>
      </c>
      <c r="F401" s="495">
        <v>0</v>
      </c>
      <c r="G401" s="495">
        <v>0</v>
      </c>
      <c r="H401" s="400">
        <v>0</v>
      </c>
      <c r="I401" s="400">
        <v>5</v>
      </c>
      <c r="J401" s="400">
        <v>0</v>
      </c>
      <c r="K401" s="400">
        <v>1</v>
      </c>
      <c r="L401" s="400" t="s">
        <v>93</v>
      </c>
      <c r="N401" s="498">
        <v>3500</v>
      </c>
      <c r="O401" s="495" t="s">
        <v>93</v>
      </c>
      <c r="P401" s="400" t="s">
        <v>1744</v>
      </c>
    </row>
    <row r="402" spans="1:16" ht="13.5">
      <c r="A402" s="400" t="s">
        <v>1817</v>
      </c>
      <c r="B402" s="400">
        <v>10</v>
      </c>
      <c r="C402" s="400" t="s">
        <v>274</v>
      </c>
      <c r="D402" s="400" t="s">
        <v>1818</v>
      </c>
      <c r="E402" s="400">
        <v>4</v>
      </c>
      <c r="F402" s="495">
        <v>0</v>
      </c>
      <c r="G402" s="495">
        <v>0</v>
      </c>
      <c r="H402" s="400">
        <v>1</v>
      </c>
      <c r="I402" s="400">
        <v>5</v>
      </c>
      <c r="J402" s="400">
        <v>0</v>
      </c>
      <c r="K402" s="400">
        <v>0</v>
      </c>
      <c r="L402" s="400" t="s">
        <v>93</v>
      </c>
      <c r="N402" s="498">
        <v>3500</v>
      </c>
      <c r="O402" s="495" t="s">
        <v>93</v>
      </c>
      <c r="P402" s="400" t="s">
        <v>1744</v>
      </c>
    </row>
    <row r="403" spans="1:16" ht="13.5">
      <c r="A403" s="400" t="s">
        <v>1819</v>
      </c>
      <c r="B403" s="400">
        <v>10</v>
      </c>
      <c r="C403" s="400" t="s">
        <v>274</v>
      </c>
      <c r="D403" s="400" t="s">
        <v>1692</v>
      </c>
      <c r="E403" s="400">
        <v>12</v>
      </c>
      <c r="F403" s="495">
        <v>0</v>
      </c>
      <c r="G403" s="495">
        <v>0</v>
      </c>
      <c r="H403" s="400">
        <v>-2</v>
      </c>
      <c r="I403" s="400">
        <v>12</v>
      </c>
      <c r="J403" s="400" t="s">
        <v>93</v>
      </c>
      <c r="K403" s="400">
        <v>-2</v>
      </c>
      <c r="L403" s="400" t="s">
        <v>93</v>
      </c>
      <c r="N403" s="498">
        <v>9000</v>
      </c>
      <c r="O403" s="495">
        <v>20</v>
      </c>
      <c r="P403" s="400" t="s">
        <v>1516</v>
      </c>
    </row>
    <row r="404" spans="1:16" ht="13.5">
      <c r="A404" s="400" t="s">
        <v>1820</v>
      </c>
      <c r="B404" s="400">
        <v>11</v>
      </c>
      <c r="C404" s="400" t="s">
        <v>274</v>
      </c>
      <c r="D404" s="400" t="s">
        <v>1692</v>
      </c>
      <c r="E404" s="400">
        <v>10</v>
      </c>
      <c r="F404" s="495">
        <v>0</v>
      </c>
      <c r="G404" s="495">
        <v>0</v>
      </c>
      <c r="H404" s="400">
        <v>-2</v>
      </c>
      <c r="I404" s="400">
        <v>12</v>
      </c>
      <c r="J404" s="400">
        <v>5</v>
      </c>
      <c r="K404" s="400">
        <v>-2</v>
      </c>
      <c r="L404" s="400" t="s">
        <v>93</v>
      </c>
      <c r="N404" s="498">
        <v>14800</v>
      </c>
      <c r="O404" s="495">
        <v>18</v>
      </c>
      <c r="P404" s="400" t="s">
        <v>1711</v>
      </c>
    </row>
    <row r="405" spans="1:16" ht="13.5">
      <c r="A405" s="400" t="s">
        <v>1821</v>
      </c>
      <c r="B405" s="400">
        <v>12</v>
      </c>
      <c r="C405" s="400" t="s">
        <v>274</v>
      </c>
      <c r="D405" s="400" t="s">
        <v>1738</v>
      </c>
      <c r="E405" s="400">
        <v>6</v>
      </c>
      <c r="F405" s="495">
        <v>0</v>
      </c>
      <c r="G405" s="495">
        <v>0</v>
      </c>
      <c r="H405" s="400">
        <v>2</v>
      </c>
      <c r="I405" s="400">
        <v>6</v>
      </c>
      <c r="J405" s="400">
        <v>0</v>
      </c>
      <c r="K405" s="400">
        <v>1</v>
      </c>
      <c r="L405" s="400" t="s">
        <v>93</v>
      </c>
      <c r="N405" s="498">
        <v>8300</v>
      </c>
      <c r="O405" s="495" t="s">
        <v>93</v>
      </c>
      <c r="P405" s="400" t="s">
        <v>1744</v>
      </c>
    </row>
    <row r="406" spans="1:16" ht="12" customHeight="1">
      <c r="A406" s="400" t="s">
        <v>1822</v>
      </c>
      <c r="B406" s="400">
        <v>13</v>
      </c>
      <c r="C406" s="400" t="s">
        <v>274</v>
      </c>
      <c r="D406" s="400" t="s">
        <v>1709</v>
      </c>
      <c r="E406" s="400">
        <v>11</v>
      </c>
      <c r="F406" s="495">
        <v>0</v>
      </c>
      <c r="G406" s="495">
        <v>0</v>
      </c>
      <c r="H406" s="400">
        <v>-3</v>
      </c>
      <c r="I406" s="400">
        <v>14</v>
      </c>
      <c r="J406" s="400">
        <v>0</v>
      </c>
      <c r="K406" s="400">
        <v>-3</v>
      </c>
      <c r="L406" s="400" t="s">
        <v>93</v>
      </c>
      <c r="N406" s="498">
        <v>23200</v>
      </c>
      <c r="O406" s="495" t="s">
        <v>93</v>
      </c>
      <c r="P406" s="400" t="s">
        <v>1744</v>
      </c>
    </row>
    <row r="407" spans="1:17" s="472" customFormat="1" ht="11.25">
      <c r="A407" s="472" t="s">
        <v>1823</v>
      </c>
      <c r="B407" s="472">
        <v>13</v>
      </c>
      <c r="C407" s="472" t="s">
        <v>274</v>
      </c>
      <c r="D407" s="472" t="s">
        <v>1709</v>
      </c>
      <c r="E407" s="472">
        <v>15</v>
      </c>
      <c r="F407" s="507">
        <v>0</v>
      </c>
      <c r="G407" s="507">
        <v>0</v>
      </c>
      <c r="H407" s="472">
        <v>-3</v>
      </c>
      <c r="I407" s="472">
        <v>15</v>
      </c>
      <c r="J407" s="472">
        <v>10</v>
      </c>
      <c r="K407" s="472">
        <v>-3</v>
      </c>
      <c r="L407" s="472" t="s">
        <v>93</v>
      </c>
      <c r="M407" s="474"/>
      <c r="N407" s="509">
        <v>45000</v>
      </c>
      <c r="O407" s="507">
        <v>16</v>
      </c>
      <c r="P407" s="472" t="s">
        <v>1706</v>
      </c>
      <c r="Q407" s="474"/>
    </row>
    <row r="408" spans="1:17" s="472" customFormat="1" ht="11.25">
      <c r="A408" s="472" t="s">
        <v>1824</v>
      </c>
      <c r="B408" s="472">
        <v>14</v>
      </c>
      <c r="C408" s="472" t="s">
        <v>274</v>
      </c>
      <c r="D408" s="472" t="s">
        <v>428</v>
      </c>
      <c r="E408" s="472">
        <v>5</v>
      </c>
      <c r="F408" s="507">
        <v>0</v>
      </c>
      <c r="G408" s="507">
        <v>0</v>
      </c>
      <c r="H408" s="472">
        <v>0</v>
      </c>
      <c r="I408" s="472">
        <v>6</v>
      </c>
      <c r="J408" s="472">
        <v>0</v>
      </c>
      <c r="K408" s="472">
        <v>0</v>
      </c>
      <c r="L408" s="472" t="s">
        <v>93</v>
      </c>
      <c r="M408" s="474"/>
      <c r="N408" s="509">
        <v>28000</v>
      </c>
      <c r="O408" s="507">
        <v>16</v>
      </c>
      <c r="P408" s="472" t="s">
        <v>1711</v>
      </c>
      <c r="Q408" s="474"/>
    </row>
    <row r="409" spans="1:16" ht="13.5">
      <c r="A409" s="400" t="s">
        <v>1825</v>
      </c>
      <c r="B409" s="400">
        <v>15</v>
      </c>
      <c r="C409" s="400" t="s">
        <v>274</v>
      </c>
      <c r="D409" s="400" t="s">
        <v>1709</v>
      </c>
      <c r="E409" s="400">
        <v>13</v>
      </c>
      <c r="F409" s="495">
        <v>0</v>
      </c>
      <c r="G409" s="495">
        <v>0</v>
      </c>
      <c r="H409" s="400">
        <v>-4</v>
      </c>
      <c r="I409" s="400">
        <v>14</v>
      </c>
      <c r="J409" s="400">
        <v>0</v>
      </c>
      <c r="K409" s="400">
        <v>-2</v>
      </c>
      <c r="L409" s="400" t="s">
        <v>93</v>
      </c>
      <c r="N409" s="498">
        <v>39500</v>
      </c>
      <c r="O409" s="495" t="s">
        <v>93</v>
      </c>
      <c r="P409" s="400" t="s">
        <v>1744</v>
      </c>
    </row>
    <row r="410" spans="1:16" ht="13.5">
      <c r="A410" s="400" t="s">
        <v>1826</v>
      </c>
      <c r="B410" s="400">
        <v>15</v>
      </c>
      <c r="C410" s="400" t="s">
        <v>274</v>
      </c>
      <c r="D410" s="400" t="s">
        <v>1715</v>
      </c>
      <c r="E410" s="400">
        <v>15</v>
      </c>
      <c r="F410" s="495">
        <v>0</v>
      </c>
      <c r="G410" s="495">
        <v>0</v>
      </c>
      <c r="H410" s="400">
        <v>-3</v>
      </c>
      <c r="I410" s="400">
        <v>15</v>
      </c>
      <c r="J410" s="400">
        <v>0</v>
      </c>
      <c r="K410" s="400">
        <v>-3</v>
      </c>
      <c r="L410" s="400" t="s">
        <v>93</v>
      </c>
      <c r="N410" s="498">
        <v>36400</v>
      </c>
      <c r="O410" s="495" t="s">
        <v>93</v>
      </c>
      <c r="P410" s="400" t="s">
        <v>1744</v>
      </c>
    </row>
    <row r="411" spans="1:16" ht="13.5">
      <c r="A411" s="400" t="s">
        <v>1827</v>
      </c>
      <c r="B411" s="400">
        <v>17</v>
      </c>
      <c r="C411" s="400" t="s">
        <v>274</v>
      </c>
      <c r="D411" s="400" t="s">
        <v>1709</v>
      </c>
      <c r="E411" s="400">
        <v>16</v>
      </c>
      <c r="F411" s="495">
        <v>0</v>
      </c>
      <c r="G411" s="495">
        <v>0</v>
      </c>
      <c r="H411" s="400">
        <v>-3</v>
      </c>
      <c r="I411" s="400">
        <v>17</v>
      </c>
      <c r="J411" s="400">
        <v>0</v>
      </c>
      <c r="K411" s="400">
        <v>-4</v>
      </c>
      <c r="L411" s="400" t="s">
        <v>93</v>
      </c>
      <c r="N411" s="498">
        <v>47100</v>
      </c>
      <c r="O411" s="495" t="s">
        <v>93</v>
      </c>
      <c r="P411" s="400" t="s">
        <v>1744</v>
      </c>
    </row>
    <row r="412" spans="1:16" ht="13.5">
      <c r="A412" s="400" t="s">
        <v>1828</v>
      </c>
      <c r="B412" s="400">
        <v>18</v>
      </c>
      <c r="C412" s="400" t="s">
        <v>274</v>
      </c>
      <c r="D412" s="400" t="s">
        <v>1709</v>
      </c>
      <c r="E412" s="400">
        <v>15</v>
      </c>
      <c r="F412" s="495">
        <v>0</v>
      </c>
      <c r="G412" s="495">
        <v>0</v>
      </c>
      <c r="H412" s="400">
        <v>-2</v>
      </c>
      <c r="I412" s="400">
        <v>22</v>
      </c>
      <c r="J412" s="400">
        <v>0</v>
      </c>
      <c r="K412" s="400">
        <v>0</v>
      </c>
      <c r="L412" s="400" t="s">
        <v>93</v>
      </c>
      <c r="N412" s="498">
        <v>92000</v>
      </c>
      <c r="O412" s="495">
        <v>20</v>
      </c>
      <c r="P412" s="400" t="s">
        <v>1711</v>
      </c>
    </row>
    <row r="413" spans="1:16" ht="13.5">
      <c r="A413" s="400" t="s">
        <v>1829</v>
      </c>
      <c r="B413" s="400">
        <v>20</v>
      </c>
      <c r="C413" s="400" t="s">
        <v>274</v>
      </c>
      <c r="D413" s="400" t="s">
        <v>1738</v>
      </c>
      <c r="E413" s="400">
        <v>8</v>
      </c>
      <c r="F413" s="495">
        <v>0</v>
      </c>
      <c r="G413" s="495">
        <v>0</v>
      </c>
      <c r="H413" s="400">
        <v>3</v>
      </c>
      <c r="I413" s="400">
        <v>8</v>
      </c>
      <c r="J413" s="400">
        <v>0</v>
      </c>
      <c r="K413" s="400">
        <v>0</v>
      </c>
      <c r="L413" s="400" t="s">
        <v>93</v>
      </c>
      <c r="N413" s="498">
        <v>65000</v>
      </c>
      <c r="O413" s="495" t="s">
        <v>93</v>
      </c>
      <c r="P413" s="400" t="s">
        <v>1744</v>
      </c>
    </row>
    <row r="414" spans="1:17" s="472" customFormat="1" ht="11.25">
      <c r="A414" s="472" t="s">
        <v>1830</v>
      </c>
      <c r="B414" s="472">
        <v>20</v>
      </c>
      <c r="C414" s="472" t="s">
        <v>274</v>
      </c>
      <c r="D414" s="472" t="s">
        <v>1715</v>
      </c>
      <c r="E414" s="472">
        <v>6</v>
      </c>
      <c r="F414" s="507">
        <v>0</v>
      </c>
      <c r="G414" s="507">
        <v>0</v>
      </c>
      <c r="H414" s="472">
        <v>0</v>
      </c>
      <c r="I414" s="472">
        <v>7</v>
      </c>
      <c r="J414" s="472">
        <v>0</v>
      </c>
      <c r="K414" s="472">
        <v>0</v>
      </c>
      <c r="L414" s="472" t="s">
        <v>93</v>
      </c>
      <c r="M414" s="474"/>
      <c r="N414" s="509">
        <v>61000</v>
      </c>
      <c r="O414" s="507" t="s">
        <v>93</v>
      </c>
      <c r="P414" s="472" t="s">
        <v>1744</v>
      </c>
      <c r="Q414" s="474"/>
    </row>
    <row r="415" spans="1:17" s="472" customFormat="1" ht="11.25">
      <c r="A415" s="472" t="s">
        <v>1831</v>
      </c>
      <c r="B415" s="472">
        <v>20</v>
      </c>
      <c r="C415" s="472" t="s">
        <v>274</v>
      </c>
      <c r="D415" s="472" t="s">
        <v>1736</v>
      </c>
      <c r="E415" s="472">
        <v>6</v>
      </c>
      <c r="F415" s="507">
        <v>0</v>
      </c>
      <c r="G415" s="507">
        <v>0</v>
      </c>
      <c r="H415" s="472">
        <v>0</v>
      </c>
      <c r="I415" s="472">
        <v>7</v>
      </c>
      <c r="J415" s="472">
        <v>0</v>
      </c>
      <c r="K415" s="472">
        <v>0</v>
      </c>
      <c r="L415" s="472" t="s">
        <v>93</v>
      </c>
      <c r="M415" s="474"/>
      <c r="N415" s="509">
        <v>61000</v>
      </c>
      <c r="O415" s="507" t="s">
        <v>93</v>
      </c>
      <c r="P415" s="472" t="s">
        <v>1744</v>
      </c>
      <c r="Q415" s="474"/>
    </row>
    <row r="416" spans="1:16" ht="13.5">
      <c r="A416" s="400" t="s">
        <v>1832</v>
      </c>
      <c r="B416" s="400">
        <v>20</v>
      </c>
      <c r="C416" s="400" t="s">
        <v>274</v>
      </c>
      <c r="D416" s="400" t="s">
        <v>1709</v>
      </c>
      <c r="E416" s="400">
        <v>15</v>
      </c>
      <c r="F416" s="495">
        <v>0</v>
      </c>
      <c r="G416" s="495">
        <v>0</v>
      </c>
      <c r="H416" s="400">
        <v>-3</v>
      </c>
      <c r="I416" s="400">
        <v>19</v>
      </c>
      <c r="J416" s="400">
        <v>0</v>
      </c>
      <c r="K416" s="400">
        <v>-3</v>
      </c>
      <c r="L416" s="400" t="s">
        <v>93</v>
      </c>
      <c r="N416" s="498">
        <v>71000</v>
      </c>
      <c r="O416" s="495" t="s">
        <v>93</v>
      </c>
      <c r="P416" s="400" t="s">
        <v>1744</v>
      </c>
    </row>
    <row r="417" spans="1:17" s="472" customFormat="1" ht="11.25">
      <c r="A417" s="472" t="s">
        <v>1833</v>
      </c>
      <c r="B417" s="472">
        <v>22</v>
      </c>
      <c r="C417" s="472" t="s">
        <v>274</v>
      </c>
      <c r="D417" s="472" t="s">
        <v>1738</v>
      </c>
      <c r="E417" s="472">
        <v>7</v>
      </c>
      <c r="F417" s="507">
        <v>0</v>
      </c>
      <c r="G417" s="507">
        <v>0</v>
      </c>
      <c r="H417" s="472">
        <v>5</v>
      </c>
      <c r="I417" s="472">
        <v>0</v>
      </c>
      <c r="J417" s="472">
        <v>0</v>
      </c>
      <c r="K417" s="472">
        <v>5</v>
      </c>
      <c r="L417" s="472" t="s">
        <v>93</v>
      </c>
      <c r="M417" s="474"/>
      <c r="N417" s="509">
        <v>130000</v>
      </c>
      <c r="O417" s="507">
        <v>17</v>
      </c>
      <c r="P417" s="472" t="s">
        <v>1711</v>
      </c>
      <c r="Q417" s="474"/>
    </row>
    <row r="418" spans="1:16" ht="13.5">
      <c r="A418" s="400" t="s">
        <v>1834</v>
      </c>
      <c r="B418" s="400">
        <v>25</v>
      </c>
      <c r="C418" s="400" t="s">
        <v>274</v>
      </c>
      <c r="D418" s="400" t="s">
        <v>1738</v>
      </c>
      <c r="E418" s="400">
        <v>6</v>
      </c>
      <c r="F418" s="495">
        <v>0</v>
      </c>
      <c r="G418" s="495">
        <v>0</v>
      </c>
      <c r="H418" s="400">
        <v>3</v>
      </c>
      <c r="I418" s="400">
        <v>10</v>
      </c>
      <c r="J418" s="400">
        <v>0</v>
      </c>
      <c r="K418" s="400">
        <v>2</v>
      </c>
      <c r="L418" s="400" t="s">
        <v>93</v>
      </c>
      <c r="N418" s="498">
        <v>90000</v>
      </c>
      <c r="O418" s="495" t="s">
        <v>93</v>
      </c>
      <c r="P418" s="400" t="s">
        <v>1744</v>
      </c>
    </row>
    <row r="419" spans="1:17" s="472" customFormat="1" ht="11.25">
      <c r="A419" s="472" t="s">
        <v>1835</v>
      </c>
      <c r="B419" s="472">
        <v>25</v>
      </c>
      <c r="C419" s="472" t="s">
        <v>274</v>
      </c>
      <c r="D419" s="472" t="s">
        <v>1766</v>
      </c>
      <c r="E419" s="472">
        <v>6</v>
      </c>
      <c r="F419" s="507">
        <v>0</v>
      </c>
      <c r="G419" s="507">
        <v>0</v>
      </c>
      <c r="H419" s="472">
        <v>0</v>
      </c>
      <c r="I419" s="472">
        <v>8</v>
      </c>
      <c r="J419" s="472">
        <v>0</v>
      </c>
      <c r="K419" s="472">
        <v>0</v>
      </c>
      <c r="L419" s="472" t="s">
        <v>93</v>
      </c>
      <c r="M419" s="474"/>
      <c r="N419" s="509">
        <v>88000</v>
      </c>
      <c r="O419" s="507" t="s">
        <v>93</v>
      </c>
      <c r="P419" s="472" t="s">
        <v>1744</v>
      </c>
      <c r="Q419" s="474"/>
    </row>
    <row r="420" spans="1:16" ht="13.5">
      <c r="A420" s="400" t="s">
        <v>1836</v>
      </c>
      <c r="B420" s="400">
        <v>25</v>
      </c>
      <c r="C420" s="400" t="s">
        <v>274</v>
      </c>
      <c r="D420" s="400" t="s">
        <v>1709</v>
      </c>
      <c r="E420" s="400">
        <v>16</v>
      </c>
      <c r="F420" s="495">
        <v>0</v>
      </c>
      <c r="G420" s="495">
        <v>0</v>
      </c>
      <c r="H420" s="400">
        <v>-3</v>
      </c>
      <c r="I420" s="400">
        <v>21</v>
      </c>
      <c r="J420" s="400">
        <v>0</v>
      </c>
      <c r="K420" s="400">
        <v>-3</v>
      </c>
      <c r="L420" s="400" t="s">
        <v>93</v>
      </c>
      <c r="N420" s="498">
        <v>94500</v>
      </c>
      <c r="O420" s="495" t="s">
        <v>93</v>
      </c>
      <c r="P420" s="400" t="s">
        <v>1744</v>
      </c>
    </row>
    <row r="421" spans="1:16" ht="13.5">
      <c r="A421" s="400" t="s">
        <v>1837</v>
      </c>
      <c r="B421" s="400">
        <v>27</v>
      </c>
      <c r="C421" s="400" t="s">
        <v>274</v>
      </c>
      <c r="D421" s="400" t="s">
        <v>1838</v>
      </c>
      <c r="E421" s="400">
        <v>15</v>
      </c>
      <c r="F421" s="495">
        <v>0</v>
      </c>
      <c r="G421" s="495">
        <v>0</v>
      </c>
      <c r="H421" s="400">
        <v>-2</v>
      </c>
      <c r="I421" s="400">
        <v>27</v>
      </c>
      <c r="J421" s="400">
        <v>13</v>
      </c>
      <c r="K421" s="400">
        <v>0</v>
      </c>
      <c r="L421" s="400" t="s">
        <v>93</v>
      </c>
      <c r="N421" s="498">
        <v>428000</v>
      </c>
      <c r="O421" s="495">
        <v>25</v>
      </c>
      <c r="P421" s="400" t="s">
        <v>1711</v>
      </c>
    </row>
    <row r="422" spans="1:16" ht="13.5">
      <c r="A422" s="400" t="s">
        <v>1839</v>
      </c>
      <c r="B422" s="400">
        <v>30</v>
      </c>
      <c r="C422" s="400" t="s">
        <v>274</v>
      </c>
      <c r="D422" s="400" t="s">
        <v>1766</v>
      </c>
      <c r="E422" s="400">
        <v>6</v>
      </c>
      <c r="F422" s="495">
        <v>0</v>
      </c>
      <c r="G422" s="495">
        <v>0</v>
      </c>
      <c r="H422" s="400">
        <v>0</v>
      </c>
      <c r="I422" s="400">
        <v>9</v>
      </c>
      <c r="J422" s="400">
        <v>15</v>
      </c>
      <c r="K422" s="400">
        <v>0</v>
      </c>
      <c r="L422" s="400" t="s">
        <v>93</v>
      </c>
      <c r="N422" s="498">
        <v>450000</v>
      </c>
      <c r="O422" s="495" t="s">
        <v>93</v>
      </c>
      <c r="P422" s="400" t="s">
        <v>1744</v>
      </c>
    </row>
    <row r="423" spans="1:16" ht="13.5">
      <c r="A423" s="400" t="s">
        <v>1840</v>
      </c>
      <c r="B423" s="400">
        <v>30</v>
      </c>
      <c r="C423" s="400" t="s">
        <v>274</v>
      </c>
      <c r="D423" s="400" t="s">
        <v>1700</v>
      </c>
      <c r="E423" s="400">
        <v>15</v>
      </c>
      <c r="F423" s="495">
        <v>0</v>
      </c>
      <c r="G423" s="495">
        <v>0</v>
      </c>
      <c r="H423" s="400">
        <v>-2</v>
      </c>
      <c r="I423" s="400">
        <v>23</v>
      </c>
      <c r="J423" s="400">
        <v>5</v>
      </c>
      <c r="K423" s="400">
        <v>-2</v>
      </c>
      <c r="L423" s="400" t="s">
        <v>93</v>
      </c>
      <c r="N423" s="498">
        <v>450000</v>
      </c>
      <c r="O423" s="495" t="s">
        <v>93</v>
      </c>
      <c r="P423" s="400" t="s">
        <v>1744</v>
      </c>
    </row>
    <row r="424" spans="1:16" ht="13.5">
      <c r="A424" s="400" t="s">
        <v>1841</v>
      </c>
      <c r="B424" s="400">
        <v>30</v>
      </c>
      <c r="C424" s="400" t="s">
        <v>274</v>
      </c>
      <c r="D424" s="400" t="s">
        <v>1697</v>
      </c>
      <c r="E424" s="400">
        <v>40</v>
      </c>
      <c r="F424" s="495">
        <v>0</v>
      </c>
      <c r="G424" s="495">
        <v>0</v>
      </c>
      <c r="H424" s="400">
        <v>-6</v>
      </c>
      <c r="I424" s="400">
        <v>45</v>
      </c>
      <c r="K424" s="400">
        <v>-10</v>
      </c>
      <c r="L424" s="496" t="s">
        <v>93</v>
      </c>
      <c r="N424" s="498">
        <v>50000</v>
      </c>
      <c r="O424" s="495">
        <v>19</v>
      </c>
      <c r="P424" s="400" t="s">
        <v>1706</v>
      </c>
    </row>
    <row r="425" spans="1:17" s="472" customFormat="1" ht="11.25">
      <c r="A425" s="472" t="s">
        <v>1842</v>
      </c>
      <c r="B425" s="472">
        <v>30</v>
      </c>
      <c r="C425" s="472" t="s">
        <v>274</v>
      </c>
      <c r="D425" s="472" t="s">
        <v>1709</v>
      </c>
      <c r="E425" s="472">
        <v>25</v>
      </c>
      <c r="F425" s="507">
        <v>0</v>
      </c>
      <c r="G425" s="507">
        <v>0</v>
      </c>
      <c r="H425" s="472">
        <v>-2</v>
      </c>
      <c r="I425" s="472">
        <v>31</v>
      </c>
      <c r="J425" s="472">
        <v>0</v>
      </c>
      <c r="K425" s="472">
        <v>-3</v>
      </c>
      <c r="L425" s="472" t="s">
        <v>93</v>
      </c>
      <c r="M425" s="474"/>
      <c r="N425" s="509">
        <v>497000</v>
      </c>
      <c r="O425" s="507">
        <v>22</v>
      </c>
      <c r="P425" s="472" t="s">
        <v>1711</v>
      </c>
      <c r="Q425" s="474"/>
    </row>
    <row r="426" spans="1:18" ht="13.5">
      <c r="A426" s="44" t="s">
        <v>1843</v>
      </c>
      <c r="B426" s="500" t="s">
        <v>121</v>
      </c>
      <c r="C426" s="500" t="s">
        <v>241</v>
      </c>
      <c r="D426" s="500" t="s">
        <v>242</v>
      </c>
      <c r="E426" s="500" t="s">
        <v>243</v>
      </c>
      <c r="F426" s="501" t="s">
        <v>166</v>
      </c>
      <c r="G426" s="501" t="s">
        <v>244</v>
      </c>
      <c r="H426" s="500" t="s">
        <v>220</v>
      </c>
      <c r="I426" s="500" t="s">
        <v>245</v>
      </c>
      <c r="J426" s="500" t="s">
        <v>246</v>
      </c>
      <c r="K426" s="500" t="s">
        <v>247</v>
      </c>
      <c r="L426" s="502" t="s">
        <v>248</v>
      </c>
      <c r="M426" s="500" t="s">
        <v>249</v>
      </c>
      <c r="N426" s="503" t="s">
        <v>210</v>
      </c>
      <c r="O426" s="501" t="s">
        <v>1349</v>
      </c>
      <c r="P426" s="504" t="s">
        <v>1350</v>
      </c>
      <c r="Q426" s="420"/>
      <c r="R426" s="215"/>
    </row>
    <row r="427" spans="1:18" ht="13.5">
      <c r="A427" s="215"/>
      <c r="B427" s="215"/>
      <c r="C427" s="215"/>
      <c r="D427" s="215"/>
      <c r="E427" s="215"/>
      <c r="F427" s="320"/>
      <c r="G427" s="320"/>
      <c r="H427" s="215"/>
      <c r="I427" s="215"/>
      <c r="J427" s="215"/>
      <c r="K427" s="215"/>
      <c r="L427" s="505"/>
      <c r="M427" s="215"/>
      <c r="N427" s="223"/>
      <c r="O427" s="320"/>
      <c r="Q427" s="420"/>
      <c r="R427" s="215"/>
    </row>
    <row r="428" spans="1:17" s="472" customFormat="1" ht="11.25">
      <c r="A428" s="472" t="s">
        <v>1844</v>
      </c>
      <c r="B428" s="472" t="s">
        <v>93</v>
      </c>
      <c r="C428" s="472" t="s">
        <v>280</v>
      </c>
      <c r="D428" s="472" t="s">
        <v>1715</v>
      </c>
      <c r="E428" s="472">
        <v>1</v>
      </c>
      <c r="F428" s="507">
        <v>0</v>
      </c>
      <c r="G428" s="507">
        <v>0</v>
      </c>
      <c r="H428" s="472">
        <v>0</v>
      </c>
      <c r="I428" s="472">
        <v>0</v>
      </c>
      <c r="J428" s="472">
        <v>0</v>
      </c>
      <c r="K428" s="472">
        <v>0</v>
      </c>
      <c r="L428" s="472" t="s">
        <v>93</v>
      </c>
      <c r="M428" s="474"/>
      <c r="N428" s="509">
        <v>30</v>
      </c>
      <c r="O428" s="507" t="s">
        <v>93</v>
      </c>
      <c r="P428" s="472" t="s">
        <v>1845</v>
      </c>
      <c r="Q428" s="474"/>
    </row>
    <row r="429" spans="1:17" s="472" customFormat="1" ht="11.25">
      <c r="A429" s="472" t="s">
        <v>1846</v>
      </c>
      <c r="B429" s="472" t="s">
        <v>93</v>
      </c>
      <c r="C429" s="472" t="s">
        <v>280</v>
      </c>
      <c r="D429" s="472" t="s">
        <v>1736</v>
      </c>
      <c r="E429" s="472">
        <v>1</v>
      </c>
      <c r="F429" s="507">
        <v>0</v>
      </c>
      <c r="G429" s="507">
        <v>0</v>
      </c>
      <c r="H429" s="472">
        <v>0</v>
      </c>
      <c r="I429" s="472">
        <v>0</v>
      </c>
      <c r="J429" s="472">
        <v>0</v>
      </c>
      <c r="K429" s="472">
        <v>0</v>
      </c>
      <c r="L429" s="472" t="s">
        <v>93</v>
      </c>
      <c r="M429" s="474"/>
      <c r="N429" s="509">
        <v>100</v>
      </c>
      <c r="O429" s="507" t="s">
        <v>93</v>
      </c>
      <c r="P429" s="472" t="s">
        <v>1845</v>
      </c>
      <c r="Q429" s="474"/>
    </row>
    <row r="430" spans="1:17" s="472" customFormat="1" ht="11.25">
      <c r="A430" s="472" t="s">
        <v>1847</v>
      </c>
      <c r="B430" s="472" t="s">
        <v>93</v>
      </c>
      <c r="C430" s="472" t="s">
        <v>280</v>
      </c>
      <c r="D430" s="472" t="s">
        <v>1738</v>
      </c>
      <c r="E430" s="472">
        <v>1</v>
      </c>
      <c r="F430" s="507">
        <v>0</v>
      </c>
      <c r="G430" s="507">
        <v>0</v>
      </c>
      <c r="H430" s="472">
        <v>0</v>
      </c>
      <c r="I430" s="472">
        <v>0</v>
      </c>
      <c r="J430" s="472">
        <v>0</v>
      </c>
      <c r="K430" s="472">
        <v>0</v>
      </c>
      <c r="L430" s="472" t="s">
        <v>93</v>
      </c>
      <c r="M430" s="474"/>
      <c r="N430" s="509">
        <v>50</v>
      </c>
      <c r="O430" s="507" t="s">
        <v>93</v>
      </c>
      <c r="P430" s="472" t="s">
        <v>1845</v>
      </c>
      <c r="Q430" s="474"/>
    </row>
    <row r="431" spans="1:17" s="472" customFormat="1" ht="11.25">
      <c r="A431" s="472" t="s">
        <v>1848</v>
      </c>
      <c r="B431" s="472" t="s">
        <v>93</v>
      </c>
      <c r="C431" s="472" t="s">
        <v>280</v>
      </c>
      <c r="D431" s="472" t="s">
        <v>1849</v>
      </c>
      <c r="E431" s="472">
        <v>1</v>
      </c>
      <c r="F431" s="507">
        <v>0</v>
      </c>
      <c r="G431" s="507">
        <v>0</v>
      </c>
      <c r="H431" s="472">
        <v>0</v>
      </c>
      <c r="I431" s="472">
        <v>0</v>
      </c>
      <c r="J431" s="472">
        <v>0</v>
      </c>
      <c r="K431" s="472">
        <v>0</v>
      </c>
      <c r="L431" s="472" t="s">
        <v>93</v>
      </c>
      <c r="M431" s="474"/>
      <c r="N431" s="509">
        <v>100</v>
      </c>
      <c r="O431" s="507" t="s">
        <v>93</v>
      </c>
      <c r="P431" s="472" t="s">
        <v>1845</v>
      </c>
      <c r="Q431" s="474"/>
    </row>
    <row r="432" spans="1:17" s="472" customFormat="1" ht="11.25">
      <c r="A432" s="472" t="s">
        <v>1850</v>
      </c>
      <c r="B432" s="472" t="s">
        <v>93</v>
      </c>
      <c r="C432" s="472" t="s">
        <v>280</v>
      </c>
      <c r="D432" s="472" t="s">
        <v>1851</v>
      </c>
      <c r="E432" s="472">
        <v>1</v>
      </c>
      <c r="F432" s="507">
        <v>0</v>
      </c>
      <c r="G432" s="507">
        <v>0</v>
      </c>
      <c r="H432" s="472">
        <v>0</v>
      </c>
      <c r="I432" s="472">
        <v>0</v>
      </c>
      <c r="J432" s="472">
        <v>0</v>
      </c>
      <c r="K432" s="472">
        <v>0</v>
      </c>
      <c r="L432" s="472" t="s">
        <v>93</v>
      </c>
      <c r="M432" s="474"/>
      <c r="N432" s="509">
        <v>50</v>
      </c>
      <c r="O432" s="507" t="s">
        <v>93</v>
      </c>
      <c r="P432" s="472" t="s">
        <v>1702</v>
      </c>
      <c r="Q432" s="474"/>
    </row>
    <row r="433" spans="1:17" s="472" customFormat="1" ht="11.25">
      <c r="A433" s="472" t="s">
        <v>1852</v>
      </c>
      <c r="B433" s="472" t="s">
        <v>93</v>
      </c>
      <c r="C433" s="472" t="s">
        <v>280</v>
      </c>
      <c r="D433" s="472" t="s">
        <v>1736</v>
      </c>
      <c r="E433" s="472">
        <v>1</v>
      </c>
      <c r="F433" s="507">
        <v>0</v>
      </c>
      <c r="G433" s="507">
        <v>0</v>
      </c>
      <c r="H433" s="472">
        <v>0</v>
      </c>
      <c r="I433" s="472">
        <v>0</v>
      </c>
      <c r="J433" s="472">
        <v>0</v>
      </c>
      <c r="K433" s="472">
        <v>0</v>
      </c>
      <c r="L433" s="472" t="s">
        <v>93</v>
      </c>
      <c r="M433" s="474"/>
      <c r="N433" s="509">
        <v>1000</v>
      </c>
      <c r="O433" s="507" t="s">
        <v>93</v>
      </c>
      <c r="P433" s="472" t="s">
        <v>1702</v>
      </c>
      <c r="Q433" s="474"/>
    </row>
    <row r="434" spans="1:17" s="472" customFormat="1" ht="11.25">
      <c r="A434" s="472" t="s">
        <v>1853</v>
      </c>
      <c r="B434" s="472" t="s">
        <v>93</v>
      </c>
      <c r="C434" s="472" t="s">
        <v>280</v>
      </c>
      <c r="D434" s="472" t="s">
        <v>1715</v>
      </c>
      <c r="E434" s="472">
        <v>1</v>
      </c>
      <c r="F434" s="507">
        <v>0</v>
      </c>
      <c r="G434" s="507">
        <v>0</v>
      </c>
      <c r="H434" s="472">
        <v>0</v>
      </c>
      <c r="I434" s="472">
        <v>0</v>
      </c>
      <c r="J434" s="472">
        <v>0</v>
      </c>
      <c r="K434" s="472">
        <v>0</v>
      </c>
      <c r="L434" s="472" t="s">
        <v>93</v>
      </c>
      <c r="M434" s="474"/>
      <c r="N434" s="509">
        <v>700</v>
      </c>
      <c r="O434" s="507" t="s">
        <v>93</v>
      </c>
      <c r="P434" s="472" t="s">
        <v>1702</v>
      </c>
      <c r="Q434" s="474"/>
    </row>
    <row r="435" spans="1:17" s="472" customFormat="1" ht="11.25">
      <c r="A435" s="472" t="s">
        <v>1854</v>
      </c>
      <c r="B435" s="472" t="s">
        <v>93</v>
      </c>
      <c r="C435" s="472" t="s">
        <v>280</v>
      </c>
      <c r="D435" s="472" t="s">
        <v>1738</v>
      </c>
      <c r="E435" s="472">
        <v>1</v>
      </c>
      <c r="F435" s="507">
        <v>0</v>
      </c>
      <c r="G435" s="507">
        <v>0</v>
      </c>
      <c r="H435" s="472">
        <v>0</v>
      </c>
      <c r="I435" s="472">
        <v>0</v>
      </c>
      <c r="J435" s="472">
        <v>0</v>
      </c>
      <c r="K435" s="472">
        <v>0</v>
      </c>
      <c r="L435" s="472" t="s">
        <v>93</v>
      </c>
      <c r="M435" s="474"/>
      <c r="N435" s="509">
        <v>800</v>
      </c>
      <c r="O435" s="507" t="s">
        <v>93</v>
      </c>
      <c r="P435" s="472" t="s">
        <v>1702</v>
      </c>
      <c r="Q435" s="474"/>
    </row>
    <row r="436" spans="1:16" ht="13.5">
      <c r="A436" s="400" t="s">
        <v>1855</v>
      </c>
      <c r="B436" s="400" t="s">
        <v>93</v>
      </c>
      <c r="C436" s="400" t="s">
        <v>280</v>
      </c>
      <c r="D436" s="400" t="s">
        <v>93</v>
      </c>
      <c r="E436" s="400">
        <v>1</v>
      </c>
      <c r="F436" s="495">
        <v>0</v>
      </c>
      <c r="G436" s="495">
        <v>0</v>
      </c>
      <c r="H436" s="495">
        <v>0</v>
      </c>
      <c r="I436" s="495">
        <v>0</v>
      </c>
      <c r="J436" s="495">
        <v>0</v>
      </c>
      <c r="K436" s="495">
        <v>0</v>
      </c>
      <c r="L436" s="495" t="s">
        <v>93</v>
      </c>
      <c r="N436" s="498">
        <v>500</v>
      </c>
      <c r="O436" s="495" t="s">
        <v>93</v>
      </c>
      <c r="P436" s="400" t="s">
        <v>1685</v>
      </c>
    </row>
    <row r="437" spans="1:17" s="472" customFormat="1" ht="11.25">
      <c r="A437" s="472" t="s">
        <v>1856</v>
      </c>
      <c r="B437" s="472" t="s">
        <v>93</v>
      </c>
      <c r="C437" s="472" t="s">
        <v>280</v>
      </c>
      <c r="D437" s="472" t="s">
        <v>1857</v>
      </c>
      <c r="E437" s="472">
        <v>1</v>
      </c>
      <c r="F437" s="507">
        <v>0</v>
      </c>
      <c r="G437" s="507">
        <v>2</v>
      </c>
      <c r="H437" s="507">
        <v>0</v>
      </c>
      <c r="I437" s="507">
        <v>0</v>
      </c>
      <c r="J437" s="507">
        <v>0</v>
      </c>
      <c r="K437" s="507">
        <v>0</v>
      </c>
      <c r="L437" s="507" t="s">
        <v>93</v>
      </c>
      <c r="M437" s="474"/>
      <c r="N437" s="509">
        <v>100</v>
      </c>
      <c r="O437" s="507" t="s">
        <v>93</v>
      </c>
      <c r="P437" s="472" t="s">
        <v>1685</v>
      </c>
      <c r="Q437" s="474"/>
    </row>
    <row r="438" spans="1:17" s="472" customFormat="1" ht="11.25">
      <c r="A438" s="472" t="s">
        <v>1858</v>
      </c>
      <c r="B438" s="472" t="s">
        <v>93</v>
      </c>
      <c r="C438" s="472" t="s">
        <v>280</v>
      </c>
      <c r="D438" s="472" t="s">
        <v>1697</v>
      </c>
      <c r="E438" s="472">
        <v>1</v>
      </c>
      <c r="F438" s="507">
        <v>0</v>
      </c>
      <c r="G438" s="507">
        <v>0</v>
      </c>
      <c r="H438" s="507">
        <v>0</v>
      </c>
      <c r="I438" s="507">
        <v>0</v>
      </c>
      <c r="J438" s="507">
        <v>0</v>
      </c>
      <c r="K438" s="507">
        <v>0</v>
      </c>
      <c r="L438" s="507" t="s">
        <v>93</v>
      </c>
      <c r="M438" s="474"/>
      <c r="N438" s="509">
        <v>100</v>
      </c>
      <c r="O438" s="507" t="s">
        <v>93</v>
      </c>
      <c r="P438" s="472" t="s">
        <v>1685</v>
      </c>
      <c r="Q438" s="474" t="s">
        <v>1859</v>
      </c>
    </row>
    <row r="439" spans="1:17" s="472" customFormat="1" ht="11.25">
      <c r="A439" s="472" t="s">
        <v>1860</v>
      </c>
      <c r="B439" s="472" t="s">
        <v>93</v>
      </c>
      <c r="C439" s="472" t="s">
        <v>280</v>
      </c>
      <c r="D439" s="472" t="s">
        <v>1861</v>
      </c>
      <c r="E439" s="472">
        <v>1</v>
      </c>
      <c r="F439" s="507">
        <v>0</v>
      </c>
      <c r="G439" s="507">
        <v>0</v>
      </c>
      <c r="H439" s="507">
        <v>0</v>
      </c>
      <c r="I439" s="507">
        <v>0</v>
      </c>
      <c r="J439" s="507">
        <v>0</v>
      </c>
      <c r="K439" s="507">
        <v>0</v>
      </c>
      <c r="L439" s="507" t="s">
        <v>93</v>
      </c>
      <c r="M439" s="474"/>
      <c r="N439" s="509">
        <v>100</v>
      </c>
      <c r="O439" s="507" t="s">
        <v>93</v>
      </c>
      <c r="P439" s="472" t="s">
        <v>1685</v>
      </c>
      <c r="Q439" s="474"/>
    </row>
    <row r="440" spans="1:16" ht="13.5">
      <c r="A440" s="400" t="s">
        <v>1862</v>
      </c>
      <c r="B440" s="400">
        <v>1</v>
      </c>
      <c r="C440" s="400" t="s">
        <v>280</v>
      </c>
      <c r="D440" s="400" t="s">
        <v>1697</v>
      </c>
      <c r="E440" s="400">
        <v>1</v>
      </c>
      <c r="F440" s="495">
        <v>0</v>
      </c>
      <c r="G440" s="495">
        <v>0</v>
      </c>
      <c r="H440" s="400">
        <v>0</v>
      </c>
      <c r="I440" s="400">
        <v>1</v>
      </c>
      <c r="J440" s="400">
        <v>0</v>
      </c>
      <c r="K440" s="400">
        <v>0</v>
      </c>
      <c r="L440" s="400" t="s">
        <v>93</v>
      </c>
      <c r="N440" s="498">
        <v>100</v>
      </c>
      <c r="O440" s="495" t="s">
        <v>93</v>
      </c>
      <c r="P440" s="400" t="s">
        <v>1690</v>
      </c>
    </row>
    <row r="441" spans="1:16" ht="13.5">
      <c r="A441" s="400" t="s">
        <v>1863</v>
      </c>
      <c r="B441" s="400">
        <v>1</v>
      </c>
      <c r="C441" s="400" t="s">
        <v>280</v>
      </c>
      <c r="D441" s="400" t="s">
        <v>1689</v>
      </c>
      <c r="E441" s="400">
        <v>2</v>
      </c>
      <c r="F441" s="495">
        <v>0</v>
      </c>
      <c r="G441" s="495">
        <v>0</v>
      </c>
      <c r="H441" s="400">
        <v>0</v>
      </c>
      <c r="I441" s="400">
        <v>2</v>
      </c>
      <c r="J441" s="400">
        <v>0</v>
      </c>
      <c r="K441" s="400">
        <v>-1</v>
      </c>
      <c r="L441" s="400" t="s">
        <v>93</v>
      </c>
      <c r="N441" s="498">
        <v>200</v>
      </c>
      <c r="O441" s="495" t="s">
        <v>93</v>
      </c>
      <c r="P441" s="400" t="s">
        <v>1690</v>
      </c>
    </row>
    <row r="442" spans="1:17" s="472" customFormat="1" ht="11.25">
      <c r="A442" s="472" t="s">
        <v>1864</v>
      </c>
      <c r="B442" s="472">
        <v>1</v>
      </c>
      <c r="C442" s="472" t="s">
        <v>280</v>
      </c>
      <c r="D442" s="472" t="s">
        <v>1697</v>
      </c>
      <c r="E442" s="472">
        <v>1</v>
      </c>
      <c r="F442" s="507">
        <v>0</v>
      </c>
      <c r="G442" s="507">
        <v>0</v>
      </c>
      <c r="H442" s="472">
        <v>0</v>
      </c>
      <c r="I442" s="472">
        <v>2</v>
      </c>
      <c r="J442" s="472">
        <v>0</v>
      </c>
      <c r="K442" s="472">
        <v>0</v>
      </c>
      <c r="L442" s="508" t="s">
        <v>93</v>
      </c>
      <c r="M442" s="474"/>
      <c r="N442" s="509">
        <v>2000</v>
      </c>
      <c r="O442" s="507">
        <v>14</v>
      </c>
      <c r="P442" s="472" t="s">
        <v>1780</v>
      </c>
      <c r="Q442" s="474"/>
    </row>
    <row r="443" spans="1:18" s="472" customFormat="1" ht="11.25">
      <c r="A443" s="472" t="s">
        <v>1865</v>
      </c>
      <c r="B443" s="472">
        <v>1</v>
      </c>
      <c r="C443" s="472" t="s">
        <v>280</v>
      </c>
      <c r="D443" s="472" t="s">
        <v>1697</v>
      </c>
      <c r="E443" s="472">
        <v>1</v>
      </c>
      <c r="F443" s="507">
        <v>0</v>
      </c>
      <c r="G443" s="507">
        <v>0</v>
      </c>
      <c r="H443" s="472">
        <v>0</v>
      </c>
      <c r="I443" s="472">
        <v>2</v>
      </c>
      <c r="J443" s="472">
        <v>0</v>
      </c>
      <c r="K443" s="472">
        <v>0</v>
      </c>
      <c r="L443" s="508" t="s">
        <v>93</v>
      </c>
      <c r="M443" s="474" t="s">
        <v>1866</v>
      </c>
      <c r="N443" s="509">
        <v>2000</v>
      </c>
      <c r="O443" s="507">
        <v>14</v>
      </c>
      <c r="P443" s="472" t="s">
        <v>1780</v>
      </c>
      <c r="Q443" s="474" t="s">
        <v>1867</v>
      </c>
      <c r="R443" s="474"/>
    </row>
    <row r="444" spans="1:18" s="472" customFormat="1" ht="11.25">
      <c r="A444" s="472" t="s">
        <v>1868</v>
      </c>
      <c r="B444" s="472">
        <v>1</v>
      </c>
      <c r="C444" s="472" t="s">
        <v>280</v>
      </c>
      <c r="D444" s="472" t="s">
        <v>1697</v>
      </c>
      <c r="E444" s="472">
        <v>1</v>
      </c>
      <c r="F444" s="507">
        <v>0</v>
      </c>
      <c r="G444" s="507">
        <v>0</v>
      </c>
      <c r="H444" s="472">
        <v>0</v>
      </c>
      <c r="I444" s="472">
        <v>2</v>
      </c>
      <c r="J444" s="472">
        <v>0</v>
      </c>
      <c r="K444" s="472">
        <v>0</v>
      </c>
      <c r="L444" s="508" t="s">
        <v>93</v>
      </c>
      <c r="M444" s="474" t="s">
        <v>1869</v>
      </c>
      <c r="N444" s="509">
        <v>2000</v>
      </c>
      <c r="O444" s="507">
        <v>14</v>
      </c>
      <c r="P444" s="472" t="s">
        <v>1780</v>
      </c>
      <c r="Q444" s="474" t="s">
        <v>1867</v>
      </c>
      <c r="R444" s="474"/>
    </row>
    <row r="445" spans="1:18" s="472" customFormat="1" ht="11.25">
      <c r="A445" s="472" t="s">
        <v>1870</v>
      </c>
      <c r="B445" s="472">
        <v>1</v>
      </c>
      <c r="C445" s="472" t="s">
        <v>280</v>
      </c>
      <c r="D445" s="472" t="s">
        <v>1697</v>
      </c>
      <c r="E445" s="472">
        <v>1</v>
      </c>
      <c r="F445" s="507">
        <v>0</v>
      </c>
      <c r="G445" s="507">
        <v>0</v>
      </c>
      <c r="H445" s="472">
        <v>0</v>
      </c>
      <c r="I445" s="472">
        <v>2</v>
      </c>
      <c r="J445" s="472">
        <v>0</v>
      </c>
      <c r="K445" s="472">
        <v>0</v>
      </c>
      <c r="L445" s="508" t="s">
        <v>93</v>
      </c>
      <c r="M445" s="474" t="s">
        <v>1871</v>
      </c>
      <c r="N445" s="509">
        <v>2000</v>
      </c>
      <c r="O445" s="507">
        <v>14</v>
      </c>
      <c r="P445" s="472" t="s">
        <v>1780</v>
      </c>
      <c r="Q445" s="474" t="s">
        <v>1867</v>
      </c>
      <c r="R445" s="474"/>
    </row>
    <row r="446" spans="1:18" s="472" customFormat="1" ht="11.25">
      <c r="A446" s="472" t="s">
        <v>1872</v>
      </c>
      <c r="B446" s="472">
        <v>1</v>
      </c>
      <c r="C446" s="472" t="s">
        <v>280</v>
      </c>
      <c r="D446" s="472" t="s">
        <v>1697</v>
      </c>
      <c r="E446" s="472">
        <v>1</v>
      </c>
      <c r="F446" s="507">
        <v>0</v>
      </c>
      <c r="G446" s="507">
        <v>0</v>
      </c>
      <c r="H446" s="472">
        <v>0</v>
      </c>
      <c r="I446" s="472">
        <v>2</v>
      </c>
      <c r="J446" s="472">
        <v>0</v>
      </c>
      <c r="K446" s="472">
        <v>0</v>
      </c>
      <c r="L446" s="508" t="s">
        <v>93</v>
      </c>
      <c r="M446" s="474" t="s">
        <v>1873</v>
      </c>
      <c r="N446" s="509">
        <v>2000</v>
      </c>
      <c r="O446" s="507">
        <v>14</v>
      </c>
      <c r="P446" s="472" t="s">
        <v>1780</v>
      </c>
      <c r="Q446" s="474" t="s">
        <v>1867</v>
      </c>
      <c r="R446" s="474"/>
    </row>
    <row r="447" spans="1:18" s="472" customFormat="1" ht="11.25">
      <c r="A447" s="472" t="s">
        <v>1874</v>
      </c>
      <c r="B447" s="472">
        <v>1</v>
      </c>
      <c r="C447" s="472" t="s">
        <v>280</v>
      </c>
      <c r="D447" s="472" t="s">
        <v>1697</v>
      </c>
      <c r="E447" s="472">
        <v>1</v>
      </c>
      <c r="F447" s="507">
        <v>0</v>
      </c>
      <c r="G447" s="507">
        <v>0</v>
      </c>
      <c r="H447" s="472">
        <v>0</v>
      </c>
      <c r="I447" s="472">
        <v>2</v>
      </c>
      <c r="J447" s="472">
        <v>0</v>
      </c>
      <c r="K447" s="472">
        <v>0</v>
      </c>
      <c r="L447" s="508" t="s">
        <v>93</v>
      </c>
      <c r="M447" s="474" t="s">
        <v>1875</v>
      </c>
      <c r="N447" s="509">
        <v>2000</v>
      </c>
      <c r="O447" s="507">
        <v>14</v>
      </c>
      <c r="P447" s="472" t="s">
        <v>1780</v>
      </c>
      <c r="Q447" s="474" t="s">
        <v>1867</v>
      </c>
      <c r="R447" s="474"/>
    </row>
    <row r="448" spans="1:16" ht="13.5">
      <c r="A448" s="400" t="s">
        <v>1876</v>
      </c>
      <c r="B448" s="400">
        <v>1</v>
      </c>
      <c r="C448" s="400" t="s">
        <v>280</v>
      </c>
      <c r="D448" s="400" t="s">
        <v>1697</v>
      </c>
      <c r="E448" s="400">
        <v>1</v>
      </c>
      <c r="F448" s="495">
        <v>0</v>
      </c>
      <c r="G448" s="495">
        <v>0</v>
      </c>
      <c r="H448" s="400">
        <v>1</v>
      </c>
      <c r="I448" s="400">
        <v>3</v>
      </c>
      <c r="J448" s="400">
        <v>0</v>
      </c>
      <c r="K448" s="400">
        <v>0</v>
      </c>
      <c r="L448" s="496" t="s">
        <v>93</v>
      </c>
      <c r="N448" s="498">
        <v>2500</v>
      </c>
      <c r="O448" s="495">
        <v>16</v>
      </c>
      <c r="P448" s="400" t="s">
        <v>1780</v>
      </c>
    </row>
    <row r="449" spans="1:16" ht="13.5">
      <c r="A449" s="400" t="s">
        <v>1877</v>
      </c>
      <c r="B449" s="400">
        <v>1</v>
      </c>
      <c r="C449" s="400" t="s">
        <v>280</v>
      </c>
      <c r="D449" s="400" t="s">
        <v>1697</v>
      </c>
      <c r="E449" s="400">
        <v>1</v>
      </c>
      <c r="F449" s="495">
        <v>0</v>
      </c>
      <c r="G449" s="495">
        <v>0</v>
      </c>
      <c r="H449" s="400">
        <v>0</v>
      </c>
      <c r="I449" s="400">
        <v>0</v>
      </c>
      <c r="J449" s="400">
        <v>0</v>
      </c>
      <c r="K449" s="400">
        <v>0</v>
      </c>
      <c r="L449" s="496" t="s">
        <v>93</v>
      </c>
      <c r="N449" s="498">
        <v>5000</v>
      </c>
      <c r="O449" s="495">
        <v>18</v>
      </c>
      <c r="P449" s="400" t="s">
        <v>1878</v>
      </c>
    </row>
    <row r="450" spans="1:16" ht="13.5">
      <c r="A450" s="400" t="s">
        <v>1879</v>
      </c>
      <c r="B450" s="400">
        <v>1</v>
      </c>
      <c r="C450" s="400" t="s">
        <v>280</v>
      </c>
      <c r="D450" s="400" t="s">
        <v>1697</v>
      </c>
      <c r="E450" s="400">
        <v>1</v>
      </c>
      <c r="F450" s="495">
        <v>0</v>
      </c>
      <c r="G450" s="495">
        <v>0</v>
      </c>
      <c r="H450" s="400">
        <v>0</v>
      </c>
      <c r="I450" s="400">
        <v>0</v>
      </c>
      <c r="J450" s="400">
        <v>0</v>
      </c>
      <c r="K450" s="400">
        <v>0</v>
      </c>
      <c r="L450" s="496" t="s">
        <v>93</v>
      </c>
      <c r="N450" s="498">
        <v>1000</v>
      </c>
      <c r="O450" s="495">
        <v>12</v>
      </c>
      <c r="P450" s="400" t="s">
        <v>1878</v>
      </c>
    </row>
    <row r="451" spans="1:17" ht="13.5">
      <c r="A451" s="400" t="s">
        <v>1880</v>
      </c>
      <c r="B451" s="400">
        <v>1</v>
      </c>
      <c r="C451" s="400" t="s">
        <v>280</v>
      </c>
      <c r="D451" s="400" t="s">
        <v>1697</v>
      </c>
      <c r="E451" s="400">
        <v>1</v>
      </c>
      <c r="F451" s="495">
        <v>0</v>
      </c>
      <c r="G451" s="495">
        <v>0</v>
      </c>
      <c r="H451" s="400">
        <v>0</v>
      </c>
      <c r="I451" s="400">
        <v>0</v>
      </c>
      <c r="J451" s="400">
        <v>0</v>
      </c>
      <c r="K451" s="400">
        <v>0</v>
      </c>
      <c r="L451" s="496" t="s">
        <v>93</v>
      </c>
      <c r="M451" s="497" t="s">
        <v>1881</v>
      </c>
      <c r="N451" s="498">
        <v>1000</v>
      </c>
      <c r="O451" s="495">
        <v>12</v>
      </c>
      <c r="P451" s="400" t="s">
        <v>1878</v>
      </c>
      <c r="Q451" s="497" t="s">
        <v>1882</v>
      </c>
    </row>
    <row r="452" spans="1:17" ht="13.5">
      <c r="A452" s="400" t="s">
        <v>1883</v>
      </c>
      <c r="B452" s="400">
        <v>1</v>
      </c>
      <c r="C452" s="400" t="s">
        <v>280</v>
      </c>
      <c r="D452" s="400" t="s">
        <v>1697</v>
      </c>
      <c r="E452" s="400">
        <v>1</v>
      </c>
      <c r="F452" s="495">
        <v>0</v>
      </c>
      <c r="G452" s="495">
        <v>0</v>
      </c>
      <c r="H452" s="400">
        <v>0</v>
      </c>
      <c r="I452" s="400">
        <v>0</v>
      </c>
      <c r="J452" s="400">
        <v>0</v>
      </c>
      <c r="K452" s="400">
        <v>0</v>
      </c>
      <c r="L452" s="496" t="s">
        <v>93</v>
      </c>
      <c r="M452" s="497" t="s">
        <v>1884</v>
      </c>
      <c r="N452" s="498">
        <v>1000</v>
      </c>
      <c r="O452" s="495">
        <v>12</v>
      </c>
      <c r="P452" s="400" t="s">
        <v>1878</v>
      </c>
      <c r="Q452" s="497" t="s">
        <v>1882</v>
      </c>
    </row>
    <row r="453" spans="1:17" ht="13.5">
      <c r="A453" s="400" t="s">
        <v>1885</v>
      </c>
      <c r="B453" s="400">
        <v>1</v>
      </c>
      <c r="C453" s="400" t="s">
        <v>280</v>
      </c>
      <c r="D453" s="400" t="s">
        <v>1697</v>
      </c>
      <c r="E453" s="400">
        <v>1</v>
      </c>
      <c r="F453" s="495">
        <v>0</v>
      </c>
      <c r="G453" s="495">
        <v>0</v>
      </c>
      <c r="H453" s="400">
        <v>0</v>
      </c>
      <c r="I453" s="400">
        <v>0</v>
      </c>
      <c r="J453" s="400">
        <v>0</v>
      </c>
      <c r="K453" s="400">
        <v>0</v>
      </c>
      <c r="L453" s="496" t="s">
        <v>93</v>
      </c>
      <c r="M453" s="497" t="s">
        <v>1886</v>
      </c>
      <c r="N453" s="498">
        <v>1000</v>
      </c>
      <c r="O453" s="495">
        <v>12</v>
      </c>
      <c r="P453" s="400" t="s">
        <v>1878</v>
      </c>
      <c r="Q453" s="497" t="s">
        <v>1882</v>
      </c>
    </row>
    <row r="454" spans="1:17" ht="13.5">
      <c r="A454" s="400" t="s">
        <v>1887</v>
      </c>
      <c r="B454" s="400">
        <v>1</v>
      </c>
      <c r="C454" s="400" t="s">
        <v>280</v>
      </c>
      <c r="D454" s="400" t="s">
        <v>1697</v>
      </c>
      <c r="E454" s="400">
        <v>1</v>
      </c>
      <c r="F454" s="495">
        <v>0</v>
      </c>
      <c r="G454" s="495">
        <v>0</v>
      </c>
      <c r="H454" s="400">
        <v>0</v>
      </c>
      <c r="I454" s="400">
        <v>0</v>
      </c>
      <c r="J454" s="400">
        <v>0</v>
      </c>
      <c r="K454" s="400">
        <v>0</v>
      </c>
      <c r="L454" s="496" t="s">
        <v>93</v>
      </c>
      <c r="M454" s="497" t="s">
        <v>1888</v>
      </c>
      <c r="N454" s="498">
        <v>1000</v>
      </c>
      <c r="O454" s="495">
        <v>12</v>
      </c>
      <c r="P454" s="400" t="s">
        <v>1878</v>
      </c>
      <c r="Q454" s="497" t="s">
        <v>1882</v>
      </c>
    </row>
    <row r="455" spans="1:17" ht="13.5">
      <c r="A455" s="400" t="s">
        <v>1889</v>
      </c>
      <c r="B455" s="400">
        <v>1</v>
      </c>
      <c r="C455" s="400" t="s">
        <v>280</v>
      </c>
      <c r="D455" s="400" t="s">
        <v>1697</v>
      </c>
      <c r="E455" s="400">
        <v>1</v>
      </c>
      <c r="F455" s="495">
        <v>0</v>
      </c>
      <c r="G455" s="495">
        <v>0</v>
      </c>
      <c r="H455" s="400">
        <v>0</v>
      </c>
      <c r="I455" s="400">
        <v>0</v>
      </c>
      <c r="J455" s="400">
        <v>0</v>
      </c>
      <c r="K455" s="400">
        <v>0</v>
      </c>
      <c r="L455" s="496" t="s">
        <v>93</v>
      </c>
      <c r="M455" s="497" t="s">
        <v>1890</v>
      </c>
      <c r="N455" s="498">
        <v>1000</v>
      </c>
      <c r="O455" s="495">
        <v>12</v>
      </c>
      <c r="P455" s="400" t="s">
        <v>1878</v>
      </c>
      <c r="Q455" s="497" t="s">
        <v>1882</v>
      </c>
    </row>
    <row r="456" spans="1:16" ht="13.5">
      <c r="A456" s="400" t="s">
        <v>1891</v>
      </c>
      <c r="B456" s="400">
        <v>1</v>
      </c>
      <c r="C456" s="400" t="s">
        <v>280</v>
      </c>
      <c r="D456" s="400" t="s">
        <v>1697</v>
      </c>
      <c r="E456" s="400">
        <v>1</v>
      </c>
      <c r="F456" s="495">
        <v>0</v>
      </c>
      <c r="G456" s="495">
        <v>0</v>
      </c>
      <c r="H456" s="400">
        <v>0</v>
      </c>
      <c r="I456" s="400">
        <v>0</v>
      </c>
      <c r="J456" s="400">
        <v>0</v>
      </c>
      <c r="K456" s="400">
        <v>0</v>
      </c>
      <c r="L456" s="496" t="s">
        <v>93</v>
      </c>
      <c r="N456" s="498">
        <v>700</v>
      </c>
      <c r="O456" s="495">
        <v>10</v>
      </c>
      <c r="P456" s="400" t="s">
        <v>1698</v>
      </c>
    </row>
    <row r="457" spans="1:17" s="472" customFormat="1" ht="11.25">
      <c r="A457" s="472" t="s">
        <v>1892</v>
      </c>
      <c r="B457" s="472">
        <v>1</v>
      </c>
      <c r="C457" s="472" t="s">
        <v>280</v>
      </c>
      <c r="D457" s="472" t="s">
        <v>1857</v>
      </c>
      <c r="E457" s="472">
        <v>1</v>
      </c>
      <c r="F457" s="507">
        <v>0</v>
      </c>
      <c r="G457" s="507">
        <v>0</v>
      </c>
      <c r="H457" s="472">
        <v>0</v>
      </c>
      <c r="I457" s="472">
        <v>0</v>
      </c>
      <c r="J457" s="472">
        <v>0</v>
      </c>
      <c r="K457" s="472">
        <v>-1</v>
      </c>
      <c r="L457" s="508" t="s">
        <v>93</v>
      </c>
      <c r="M457" s="474"/>
      <c r="N457" s="509">
        <v>500</v>
      </c>
      <c r="O457" s="507">
        <v>10</v>
      </c>
      <c r="P457" s="472" t="s">
        <v>1695</v>
      </c>
      <c r="Q457" s="474"/>
    </row>
    <row r="458" spans="1:17" s="472" customFormat="1" ht="11.25">
      <c r="A458" s="472" t="s">
        <v>1893</v>
      </c>
      <c r="B458" s="472">
        <v>1</v>
      </c>
      <c r="C458" s="472" t="s">
        <v>280</v>
      </c>
      <c r="D458" s="472" t="s">
        <v>1697</v>
      </c>
      <c r="E458" s="472">
        <v>1</v>
      </c>
      <c r="F458" s="507">
        <v>1</v>
      </c>
      <c r="G458" s="507">
        <v>0</v>
      </c>
      <c r="H458" s="472">
        <v>0</v>
      </c>
      <c r="I458" s="472">
        <v>0</v>
      </c>
      <c r="J458" s="472">
        <v>0</v>
      </c>
      <c r="K458" s="472">
        <v>-1</v>
      </c>
      <c r="L458" s="508" t="s">
        <v>93</v>
      </c>
      <c r="M458" s="474"/>
      <c r="N458" s="509">
        <v>1000</v>
      </c>
      <c r="O458" s="507">
        <v>12</v>
      </c>
      <c r="P458" s="472" t="s">
        <v>1695</v>
      </c>
      <c r="Q458" s="474"/>
    </row>
    <row r="459" spans="1:16" ht="13.5">
      <c r="A459" s="400" t="s">
        <v>1894</v>
      </c>
      <c r="B459" s="400">
        <v>1</v>
      </c>
      <c r="C459" s="400" t="s">
        <v>280</v>
      </c>
      <c r="D459" s="400" t="s">
        <v>1697</v>
      </c>
      <c r="E459" s="400">
        <v>1</v>
      </c>
      <c r="F459" s="495">
        <v>0</v>
      </c>
      <c r="G459" s="495">
        <v>0</v>
      </c>
      <c r="H459" s="400">
        <v>0</v>
      </c>
      <c r="I459" s="400">
        <v>0</v>
      </c>
      <c r="J459" s="400">
        <v>0</v>
      </c>
      <c r="K459" s="400">
        <v>-1</v>
      </c>
      <c r="L459" s="496" t="s">
        <v>93</v>
      </c>
      <c r="N459" s="498">
        <v>100000</v>
      </c>
      <c r="O459" s="495">
        <v>20</v>
      </c>
      <c r="P459" s="400" t="s">
        <v>1695</v>
      </c>
    </row>
    <row r="460" spans="1:17" s="472" customFormat="1" ht="11.25">
      <c r="A460" s="472" t="s">
        <v>1895</v>
      </c>
      <c r="B460" s="472">
        <v>1</v>
      </c>
      <c r="C460" s="472" t="s">
        <v>280</v>
      </c>
      <c r="D460" s="472" t="s">
        <v>1697</v>
      </c>
      <c r="E460" s="472">
        <v>1</v>
      </c>
      <c r="F460" s="507">
        <v>0</v>
      </c>
      <c r="G460" s="507">
        <v>0</v>
      </c>
      <c r="H460" s="472">
        <v>0</v>
      </c>
      <c r="I460" s="472">
        <v>0</v>
      </c>
      <c r="J460" s="472">
        <v>2</v>
      </c>
      <c r="K460" s="472">
        <v>0</v>
      </c>
      <c r="L460" s="508" t="s">
        <v>93</v>
      </c>
      <c r="M460" s="474"/>
      <c r="N460" s="509">
        <v>1000</v>
      </c>
      <c r="O460" s="507">
        <v>12</v>
      </c>
      <c r="P460" s="472" t="s">
        <v>1704</v>
      </c>
      <c r="Q460" s="474"/>
    </row>
    <row r="461" spans="1:16" ht="13.5">
      <c r="A461" s="400" t="s">
        <v>1896</v>
      </c>
      <c r="B461" s="400">
        <v>1</v>
      </c>
      <c r="C461" s="400" t="s">
        <v>280</v>
      </c>
      <c r="D461" s="400" t="s">
        <v>1697</v>
      </c>
      <c r="E461" s="400">
        <v>1</v>
      </c>
      <c r="F461" s="495">
        <v>0</v>
      </c>
      <c r="G461" s="495">
        <v>0</v>
      </c>
      <c r="H461" s="400">
        <v>0</v>
      </c>
      <c r="I461" s="400">
        <v>0</v>
      </c>
      <c r="J461" s="400">
        <v>0</v>
      </c>
      <c r="K461" s="400">
        <v>0</v>
      </c>
      <c r="L461" s="496" t="s">
        <v>93</v>
      </c>
      <c r="N461" s="498">
        <v>2500</v>
      </c>
      <c r="O461" s="495">
        <v>15</v>
      </c>
      <c r="P461" s="400" t="s">
        <v>1704</v>
      </c>
    </row>
    <row r="462" spans="1:16" ht="13.5">
      <c r="A462" s="400" t="s">
        <v>1897</v>
      </c>
      <c r="B462" s="400">
        <v>3</v>
      </c>
      <c r="C462" s="400" t="s">
        <v>280</v>
      </c>
      <c r="D462" s="400" t="s">
        <v>1697</v>
      </c>
      <c r="E462" s="400">
        <v>1</v>
      </c>
      <c r="F462" s="495">
        <v>0</v>
      </c>
      <c r="G462" s="495">
        <v>0</v>
      </c>
      <c r="H462" s="400">
        <v>0</v>
      </c>
      <c r="I462" s="400">
        <v>0</v>
      </c>
      <c r="J462" s="400">
        <v>0</v>
      </c>
      <c r="K462" s="400">
        <v>0</v>
      </c>
      <c r="L462" s="496" t="s">
        <v>93</v>
      </c>
      <c r="N462" s="498">
        <v>2000</v>
      </c>
      <c r="O462" s="495">
        <v>15</v>
      </c>
      <c r="P462" s="400" t="s">
        <v>1698</v>
      </c>
    </row>
    <row r="463" spans="1:17" s="472" customFormat="1" ht="11.25">
      <c r="A463" s="472" t="s">
        <v>1898</v>
      </c>
      <c r="B463" s="472">
        <v>3</v>
      </c>
      <c r="C463" s="472" t="s">
        <v>280</v>
      </c>
      <c r="D463" s="472" t="s">
        <v>1697</v>
      </c>
      <c r="E463" s="472">
        <v>3</v>
      </c>
      <c r="F463" s="507">
        <v>0</v>
      </c>
      <c r="G463" s="507">
        <v>0</v>
      </c>
      <c r="H463" s="472">
        <v>0</v>
      </c>
      <c r="I463" s="472">
        <v>2</v>
      </c>
      <c r="J463" s="472">
        <v>0</v>
      </c>
      <c r="K463" s="472">
        <v>0</v>
      </c>
      <c r="L463" s="508" t="s">
        <v>93</v>
      </c>
      <c r="M463" s="474"/>
      <c r="N463" s="509">
        <v>1800</v>
      </c>
      <c r="O463" s="507">
        <v>12</v>
      </c>
      <c r="P463" s="472" t="s">
        <v>1899</v>
      </c>
      <c r="Q463" s="474"/>
    </row>
    <row r="464" spans="1:16" ht="13.5">
      <c r="A464" s="400" t="s">
        <v>1900</v>
      </c>
      <c r="B464" s="400">
        <v>3</v>
      </c>
      <c r="C464" s="400" t="s">
        <v>280</v>
      </c>
      <c r="D464" s="400" t="s">
        <v>1697</v>
      </c>
      <c r="E464" s="400">
        <v>1</v>
      </c>
      <c r="F464" s="495">
        <v>0</v>
      </c>
      <c r="G464" s="495">
        <v>0</v>
      </c>
      <c r="H464" s="400">
        <v>0</v>
      </c>
      <c r="I464" s="400">
        <v>0</v>
      </c>
      <c r="J464" s="400">
        <v>0</v>
      </c>
      <c r="K464" s="400">
        <v>0</v>
      </c>
      <c r="L464" s="496" t="s">
        <v>93</v>
      </c>
      <c r="N464" s="498">
        <v>2000</v>
      </c>
      <c r="O464" s="495">
        <v>15</v>
      </c>
      <c r="P464" s="400" t="s">
        <v>1899</v>
      </c>
    </row>
    <row r="465" spans="1:17" s="472" customFormat="1" ht="11.25">
      <c r="A465" s="472" t="s">
        <v>1901</v>
      </c>
      <c r="B465" s="472">
        <v>2</v>
      </c>
      <c r="C465" s="472" t="s">
        <v>280</v>
      </c>
      <c r="D465" s="472" t="s">
        <v>1697</v>
      </c>
      <c r="E465" s="472">
        <v>1</v>
      </c>
      <c r="F465" s="507">
        <v>0</v>
      </c>
      <c r="G465" s="507">
        <v>0</v>
      </c>
      <c r="H465" s="472">
        <v>0</v>
      </c>
      <c r="I465" s="472">
        <v>0</v>
      </c>
      <c r="J465" s="472">
        <v>0</v>
      </c>
      <c r="K465" s="472">
        <v>0</v>
      </c>
      <c r="L465" s="472" t="s">
        <v>93</v>
      </c>
      <c r="M465" s="474"/>
      <c r="N465" s="509">
        <v>400</v>
      </c>
      <c r="O465" s="507" t="s">
        <v>93</v>
      </c>
      <c r="P465" s="472" t="s">
        <v>1690</v>
      </c>
      <c r="Q465" s="474"/>
    </row>
    <row r="466" spans="1:17" s="472" customFormat="1" ht="11.25">
      <c r="A466" s="472" t="s">
        <v>1902</v>
      </c>
      <c r="B466" s="472">
        <v>2</v>
      </c>
      <c r="C466" s="472" t="s">
        <v>280</v>
      </c>
      <c r="D466" s="472" t="s">
        <v>1697</v>
      </c>
      <c r="E466" s="472">
        <v>1</v>
      </c>
      <c r="F466" s="507">
        <v>0</v>
      </c>
      <c r="G466" s="507">
        <v>0</v>
      </c>
      <c r="H466" s="472">
        <v>0</v>
      </c>
      <c r="I466" s="472">
        <v>0</v>
      </c>
      <c r="J466" s="472">
        <v>0</v>
      </c>
      <c r="K466" s="472">
        <v>0</v>
      </c>
      <c r="L466" s="472" t="s">
        <v>93</v>
      </c>
      <c r="M466" s="474"/>
      <c r="N466" s="509">
        <v>400</v>
      </c>
      <c r="O466" s="507" t="s">
        <v>93</v>
      </c>
      <c r="P466" s="472" t="s">
        <v>1690</v>
      </c>
      <c r="Q466" s="474"/>
    </row>
    <row r="467" spans="1:17" s="472" customFormat="1" ht="11.25">
      <c r="A467" s="472" t="s">
        <v>1903</v>
      </c>
      <c r="B467" s="472">
        <v>2</v>
      </c>
      <c r="C467" s="472" t="s">
        <v>280</v>
      </c>
      <c r="D467" s="472" t="s">
        <v>1697</v>
      </c>
      <c r="E467" s="472">
        <v>1</v>
      </c>
      <c r="F467" s="507">
        <v>0</v>
      </c>
      <c r="G467" s="507">
        <v>0</v>
      </c>
      <c r="H467" s="472">
        <v>0</v>
      </c>
      <c r="I467" s="472">
        <v>0</v>
      </c>
      <c r="J467" s="472">
        <v>0</v>
      </c>
      <c r="K467" s="472">
        <v>0</v>
      </c>
      <c r="L467" s="472" t="s">
        <v>93</v>
      </c>
      <c r="M467" s="474"/>
      <c r="N467" s="509">
        <v>400</v>
      </c>
      <c r="O467" s="507" t="s">
        <v>93</v>
      </c>
      <c r="P467" s="472" t="s">
        <v>1690</v>
      </c>
      <c r="Q467" s="474"/>
    </row>
    <row r="468" spans="1:17" s="472" customFormat="1" ht="11.25">
      <c r="A468" s="472" t="s">
        <v>1904</v>
      </c>
      <c r="B468" s="472">
        <v>2</v>
      </c>
      <c r="C468" s="472" t="s">
        <v>280</v>
      </c>
      <c r="D468" s="472" t="s">
        <v>1697</v>
      </c>
      <c r="E468" s="472">
        <v>1</v>
      </c>
      <c r="F468" s="507">
        <v>0</v>
      </c>
      <c r="G468" s="507">
        <v>0</v>
      </c>
      <c r="H468" s="472">
        <v>0</v>
      </c>
      <c r="I468" s="472">
        <v>0</v>
      </c>
      <c r="J468" s="472">
        <v>0</v>
      </c>
      <c r="K468" s="472">
        <v>0</v>
      </c>
      <c r="L468" s="472" t="s">
        <v>93</v>
      </c>
      <c r="M468" s="474"/>
      <c r="N468" s="509">
        <v>400</v>
      </c>
      <c r="O468" s="507" t="s">
        <v>93</v>
      </c>
      <c r="P468" s="472" t="s">
        <v>1690</v>
      </c>
      <c r="Q468" s="474"/>
    </row>
    <row r="469" spans="1:17" s="472" customFormat="1" ht="11.25">
      <c r="A469" s="472" t="s">
        <v>1905</v>
      </c>
      <c r="B469" s="472">
        <v>2</v>
      </c>
      <c r="C469" s="472" t="s">
        <v>280</v>
      </c>
      <c r="D469" s="472" t="s">
        <v>1697</v>
      </c>
      <c r="E469" s="472">
        <v>1</v>
      </c>
      <c r="F469" s="507">
        <v>0</v>
      </c>
      <c r="G469" s="507">
        <v>0</v>
      </c>
      <c r="H469" s="472">
        <v>0</v>
      </c>
      <c r="I469" s="472">
        <v>0</v>
      </c>
      <c r="J469" s="472">
        <v>0</v>
      </c>
      <c r="K469" s="472">
        <v>0</v>
      </c>
      <c r="L469" s="472" t="s">
        <v>93</v>
      </c>
      <c r="M469" s="474" t="s">
        <v>1906</v>
      </c>
      <c r="N469" s="509">
        <v>400</v>
      </c>
      <c r="O469" s="507" t="s">
        <v>93</v>
      </c>
      <c r="P469" s="472" t="s">
        <v>1690</v>
      </c>
      <c r="Q469" s="474" t="s">
        <v>1907</v>
      </c>
    </row>
    <row r="470" spans="1:17" s="472" customFormat="1" ht="11.25">
      <c r="A470" s="472" t="s">
        <v>1908</v>
      </c>
      <c r="B470" s="472">
        <v>2</v>
      </c>
      <c r="C470" s="472" t="s">
        <v>280</v>
      </c>
      <c r="D470" s="472" t="s">
        <v>1697</v>
      </c>
      <c r="E470" s="472">
        <v>1</v>
      </c>
      <c r="F470" s="507">
        <v>0</v>
      </c>
      <c r="G470" s="507">
        <v>0</v>
      </c>
      <c r="H470" s="472">
        <v>0</v>
      </c>
      <c r="I470" s="472">
        <v>0</v>
      </c>
      <c r="J470" s="472">
        <v>0</v>
      </c>
      <c r="K470" s="472">
        <v>0</v>
      </c>
      <c r="L470" s="472" t="s">
        <v>93</v>
      </c>
      <c r="M470" s="474" t="s">
        <v>1909</v>
      </c>
      <c r="N470" s="509">
        <v>400</v>
      </c>
      <c r="O470" s="507" t="s">
        <v>93</v>
      </c>
      <c r="P470" s="472" t="s">
        <v>1690</v>
      </c>
      <c r="Q470" s="474" t="s">
        <v>1907</v>
      </c>
    </row>
    <row r="471" spans="1:16" ht="13.5">
      <c r="A471" s="400" t="s">
        <v>1910</v>
      </c>
      <c r="B471" s="400">
        <v>2</v>
      </c>
      <c r="C471" s="400" t="s">
        <v>280</v>
      </c>
      <c r="D471" s="400" t="s">
        <v>1697</v>
      </c>
      <c r="E471" s="400">
        <v>2</v>
      </c>
      <c r="F471" s="495">
        <v>0</v>
      </c>
      <c r="G471" s="495">
        <v>0</v>
      </c>
      <c r="H471" s="400">
        <v>0</v>
      </c>
      <c r="I471" s="400">
        <v>0</v>
      </c>
      <c r="J471" s="400">
        <v>0</v>
      </c>
      <c r="K471" s="400">
        <v>0</v>
      </c>
      <c r="L471" s="496" t="s">
        <v>93</v>
      </c>
      <c r="N471" s="498">
        <v>1000</v>
      </c>
      <c r="O471" s="495">
        <v>13</v>
      </c>
      <c r="P471" s="400" t="s">
        <v>1704</v>
      </c>
    </row>
    <row r="472" spans="1:16" ht="13.5">
      <c r="A472" s="400" t="s">
        <v>1911</v>
      </c>
      <c r="B472" s="400">
        <v>2</v>
      </c>
      <c r="C472" s="400" t="s">
        <v>280</v>
      </c>
      <c r="D472" s="400" t="s">
        <v>1697</v>
      </c>
      <c r="E472" s="400">
        <v>1</v>
      </c>
      <c r="F472" s="495">
        <v>0</v>
      </c>
      <c r="G472" s="495">
        <v>0</v>
      </c>
      <c r="H472" s="400">
        <v>0</v>
      </c>
      <c r="I472" s="400">
        <v>0</v>
      </c>
      <c r="J472" s="400">
        <v>0</v>
      </c>
      <c r="K472" s="400">
        <v>0</v>
      </c>
      <c r="L472" s="496" t="s">
        <v>93</v>
      </c>
      <c r="N472" s="498">
        <v>1500</v>
      </c>
      <c r="O472" s="495">
        <v>13</v>
      </c>
      <c r="P472" s="400" t="s">
        <v>1899</v>
      </c>
    </row>
    <row r="473" spans="1:16" ht="13.5">
      <c r="A473" s="400" t="s">
        <v>1912</v>
      </c>
      <c r="B473" s="400">
        <v>3</v>
      </c>
      <c r="C473" s="400" t="s">
        <v>280</v>
      </c>
      <c r="D473" s="400" t="s">
        <v>1738</v>
      </c>
      <c r="E473" s="400">
        <v>1</v>
      </c>
      <c r="F473" s="495">
        <v>0</v>
      </c>
      <c r="G473" s="495">
        <v>0</v>
      </c>
      <c r="H473" s="400">
        <v>1</v>
      </c>
      <c r="I473" s="400">
        <v>1</v>
      </c>
      <c r="J473" s="400">
        <v>0</v>
      </c>
      <c r="K473" s="400">
        <v>1</v>
      </c>
      <c r="L473" s="496" t="s">
        <v>93</v>
      </c>
      <c r="N473" s="498">
        <v>1500</v>
      </c>
      <c r="O473" s="495">
        <v>15</v>
      </c>
      <c r="P473" s="400" t="s">
        <v>1780</v>
      </c>
    </row>
    <row r="474" spans="1:17" s="472" customFormat="1" ht="11.25">
      <c r="A474" s="472" t="s">
        <v>1913</v>
      </c>
      <c r="B474" s="472">
        <v>3</v>
      </c>
      <c r="C474" s="472" t="s">
        <v>280</v>
      </c>
      <c r="D474" s="472" t="s">
        <v>1743</v>
      </c>
      <c r="E474" s="472">
        <v>2</v>
      </c>
      <c r="F474" s="507">
        <v>1</v>
      </c>
      <c r="G474" s="507">
        <v>0</v>
      </c>
      <c r="H474" s="472">
        <v>0</v>
      </c>
      <c r="I474" s="472">
        <v>1</v>
      </c>
      <c r="J474" s="472">
        <v>0</v>
      </c>
      <c r="K474" s="472">
        <v>0</v>
      </c>
      <c r="L474" s="508" t="s">
        <v>93</v>
      </c>
      <c r="M474" s="474"/>
      <c r="N474" s="509">
        <v>1500</v>
      </c>
      <c r="O474" s="507">
        <v>11</v>
      </c>
      <c r="P474" s="472" t="s">
        <v>1706</v>
      </c>
      <c r="Q474" s="474"/>
    </row>
    <row r="475" spans="1:16" ht="13.5">
      <c r="A475" s="400" t="s">
        <v>279</v>
      </c>
      <c r="B475" s="400">
        <v>3</v>
      </c>
      <c r="C475" s="400" t="s">
        <v>280</v>
      </c>
      <c r="D475" s="400" t="s">
        <v>1743</v>
      </c>
      <c r="E475" s="400">
        <v>2</v>
      </c>
      <c r="F475" s="495">
        <v>0</v>
      </c>
      <c r="G475" s="495">
        <v>0</v>
      </c>
      <c r="H475" s="400">
        <v>0</v>
      </c>
      <c r="I475" s="400">
        <v>2</v>
      </c>
      <c r="J475" s="400">
        <v>2</v>
      </c>
      <c r="K475" s="400">
        <v>0</v>
      </c>
      <c r="L475" s="496" t="s">
        <v>93</v>
      </c>
      <c r="N475" s="498">
        <v>2500</v>
      </c>
      <c r="O475" s="495">
        <v>14</v>
      </c>
      <c r="P475" s="400" t="s">
        <v>1914</v>
      </c>
    </row>
    <row r="476" spans="1:17" s="472" customFormat="1" ht="11.25">
      <c r="A476" s="472" t="s">
        <v>1915</v>
      </c>
      <c r="B476" s="472">
        <v>4</v>
      </c>
      <c r="C476" s="472" t="s">
        <v>280</v>
      </c>
      <c r="D476" s="472" t="s">
        <v>1697</v>
      </c>
      <c r="E476" s="472">
        <v>4</v>
      </c>
      <c r="F476" s="507">
        <v>0</v>
      </c>
      <c r="G476" s="507">
        <v>0</v>
      </c>
      <c r="H476" s="472">
        <v>0</v>
      </c>
      <c r="I476" s="472">
        <v>0</v>
      </c>
      <c r="J476" s="472">
        <v>0</v>
      </c>
      <c r="K476" s="472">
        <v>0</v>
      </c>
      <c r="L476" s="472" t="s">
        <v>93</v>
      </c>
      <c r="M476" s="474"/>
      <c r="N476" s="509">
        <v>2300</v>
      </c>
      <c r="O476" s="507">
        <v>15</v>
      </c>
      <c r="P476" s="472" t="s">
        <v>1698</v>
      </c>
      <c r="Q476" s="474"/>
    </row>
    <row r="477" spans="1:16" ht="13.5">
      <c r="A477" s="400" t="s">
        <v>1916</v>
      </c>
      <c r="B477" s="400">
        <v>4</v>
      </c>
      <c r="C477" s="400" t="s">
        <v>280</v>
      </c>
      <c r="D477" s="400" t="s">
        <v>1861</v>
      </c>
      <c r="E477" s="400">
        <v>2</v>
      </c>
      <c r="F477" s="495">
        <v>0</v>
      </c>
      <c r="G477" s="495">
        <v>0</v>
      </c>
      <c r="H477" s="400">
        <v>0</v>
      </c>
      <c r="I477" s="400">
        <v>0</v>
      </c>
      <c r="J477" s="400">
        <v>0</v>
      </c>
      <c r="K477" s="400">
        <v>-1</v>
      </c>
      <c r="L477" s="496" t="s">
        <v>93</v>
      </c>
      <c r="N477" s="498">
        <v>2000</v>
      </c>
      <c r="O477" s="495">
        <v>12</v>
      </c>
      <c r="P477" s="400" t="s">
        <v>1899</v>
      </c>
    </row>
    <row r="478" spans="1:16" ht="13.5">
      <c r="A478" s="400" t="s">
        <v>1917</v>
      </c>
      <c r="B478" s="400">
        <v>5</v>
      </c>
      <c r="C478" s="400" t="s">
        <v>280</v>
      </c>
      <c r="D478" s="400" t="s">
        <v>1743</v>
      </c>
      <c r="E478" s="400">
        <v>2</v>
      </c>
      <c r="F478" s="495">
        <v>0</v>
      </c>
      <c r="G478" s="495">
        <v>4</v>
      </c>
      <c r="H478" s="400">
        <v>0</v>
      </c>
      <c r="I478" s="400">
        <v>0</v>
      </c>
      <c r="J478" s="400">
        <v>0</v>
      </c>
      <c r="K478" s="400">
        <v>0</v>
      </c>
      <c r="L478" s="496" t="s">
        <v>93</v>
      </c>
      <c r="N478" s="498">
        <v>5000</v>
      </c>
      <c r="O478" s="495">
        <v>14</v>
      </c>
      <c r="P478" s="400" t="s">
        <v>1914</v>
      </c>
    </row>
    <row r="479" spans="1:16" ht="13.5">
      <c r="A479" s="400" t="s">
        <v>1918</v>
      </c>
      <c r="B479" s="400">
        <v>6</v>
      </c>
      <c r="C479" s="400" t="s">
        <v>280</v>
      </c>
      <c r="D479" s="400" t="s">
        <v>1766</v>
      </c>
      <c r="E479" s="400">
        <v>1</v>
      </c>
      <c r="F479" s="495">
        <v>0</v>
      </c>
      <c r="G479" s="495">
        <v>0</v>
      </c>
      <c r="H479" s="400">
        <v>0</v>
      </c>
      <c r="I479" s="400">
        <v>0</v>
      </c>
      <c r="J479" s="400">
        <v>0</v>
      </c>
      <c r="K479" s="400">
        <v>0</v>
      </c>
      <c r="L479" s="496" t="s">
        <v>93</v>
      </c>
      <c r="N479" s="498">
        <v>2500</v>
      </c>
      <c r="O479" s="495">
        <v>16</v>
      </c>
      <c r="P479" s="400" t="s">
        <v>1914</v>
      </c>
    </row>
    <row r="480" spans="1:17" s="472" customFormat="1" ht="11.25">
      <c r="A480" s="472" t="s">
        <v>1919</v>
      </c>
      <c r="B480" s="472">
        <v>6</v>
      </c>
      <c r="C480" s="472" t="s">
        <v>280</v>
      </c>
      <c r="D480" s="472" t="s">
        <v>1738</v>
      </c>
      <c r="E480" s="472">
        <v>2</v>
      </c>
      <c r="F480" s="507">
        <v>0</v>
      </c>
      <c r="G480" s="507">
        <v>0</v>
      </c>
      <c r="H480" s="472">
        <v>0</v>
      </c>
      <c r="I480" s="472">
        <v>0</v>
      </c>
      <c r="J480" s="472">
        <v>0</v>
      </c>
      <c r="K480" s="472">
        <v>0</v>
      </c>
      <c r="L480" s="508" t="s">
        <v>93</v>
      </c>
      <c r="M480" s="474"/>
      <c r="N480" s="509">
        <v>2500</v>
      </c>
      <c r="O480" s="507">
        <v>10</v>
      </c>
      <c r="P480" s="472" t="s">
        <v>1899</v>
      </c>
      <c r="Q480" s="474"/>
    </row>
    <row r="481" spans="1:16" ht="13.5">
      <c r="A481" s="400" t="s">
        <v>1920</v>
      </c>
      <c r="B481" s="400">
        <v>7</v>
      </c>
      <c r="C481" s="400" t="s">
        <v>280</v>
      </c>
      <c r="D481" s="400" t="s">
        <v>1689</v>
      </c>
      <c r="E481" s="400">
        <v>3</v>
      </c>
      <c r="F481" s="495">
        <v>0</v>
      </c>
      <c r="G481" s="495">
        <v>0</v>
      </c>
      <c r="H481" s="400">
        <v>0</v>
      </c>
      <c r="I481" s="400">
        <v>4</v>
      </c>
      <c r="J481" s="400">
        <v>0</v>
      </c>
      <c r="K481" s="400">
        <v>-2</v>
      </c>
      <c r="L481" s="400" t="s">
        <v>93</v>
      </c>
      <c r="N481" s="498">
        <v>2000</v>
      </c>
      <c r="O481" s="495" t="s">
        <v>93</v>
      </c>
      <c r="P481" s="400" t="s">
        <v>1744</v>
      </c>
    </row>
    <row r="482" spans="1:17" s="472" customFormat="1" ht="11.25">
      <c r="A482" s="472" t="s">
        <v>1921</v>
      </c>
      <c r="B482" s="472">
        <v>7</v>
      </c>
      <c r="C482" s="472" t="s">
        <v>280</v>
      </c>
      <c r="D482" s="472" t="s">
        <v>1715</v>
      </c>
      <c r="E482" s="472">
        <v>1</v>
      </c>
      <c r="F482" s="507">
        <v>0</v>
      </c>
      <c r="G482" s="507">
        <v>0</v>
      </c>
      <c r="H482" s="472">
        <v>0</v>
      </c>
      <c r="I482" s="472">
        <v>0</v>
      </c>
      <c r="J482" s="472">
        <v>0</v>
      </c>
      <c r="K482" s="472">
        <v>0</v>
      </c>
      <c r="L482" s="508" t="s">
        <v>93</v>
      </c>
      <c r="M482" s="474"/>
      <c r="N482" s="509">
        <v>2500</v>
      </c>
      <c r="O482" s="507">
        <v>16</v>
      </c>
      <c r="P482" s="472" t="s">
        <v>1878</v>
      </c>
      <c r="Q482" s="474"/>
    </row>
    <row r="483" spans="1:17" s="472" customFormat="1" ht="11.25">
      <c r="A483" s="472" t="s">
        <v>1922</v>
      </c>
      <c r="B483" s="472">
        <v>7</v>
      </c>
      <c r="C483" s="472" t="s">
        <v>280</v>
      </c>
      <c r="D483" s="472" t="s">
        <v>1697</v>
      </c>
      <c r="E483" s="472">
        <v>1</v>
      </c>
      <c r="F483" s="507">
        <v>0</v>
      </c>
      <c r="G483" s="507">
        <v>0</v>
      </c>
      <c r="H483" s="472">
        <v>0</v>
      </c>
      <c r="I483" s="472">
        <v>0</v>
      </c>
      <c r="J483" s="472">
        <v>0</v>
      </c>
      <c r="K483" s="472">
        <v>0</v>
      </c>
      <c r="L483" s="508" t="s">
        <v>93</v>
      </c>
      <c r="M483" s="474"/>
      <c r="N483" s="509">
        <v>4800</v>
      </c>
      <c r="O483" s="507">
        <v>18</v>
      </c>
      <c r="P483" s="472" t="s">
        <v>1706</v>
      </c>
      <c r="Q483" s="474"/>
    </row>
    <row r="484" spans="1:16" ht="13.5">
      <c r="A484" s="400" t="s">
        <v>1923</v>
      </c>
      <c r="B484" s="400">
        <v>8</v>
      </c>
      <c r="C484" s="400" t="s">
        <v>280</v>
      </c>
      <c r="D484" s="400" t="s">
        <v>1749</v>
      </c>
      <c r="E484" s="400">
        <v>2</v>
      </c>
      <c r="F484" s="495">
        <v>0</v>
      </c>
      <c r="G484" s="495">
        <v>0</v>
      </c>
      <c r="H484" s="400">
        <v>0</v>
      </c>
      <c r="I484" s="400">
        <v>0</v>
      </c>
      <c r="J484" s="400">
        <v>0</v>
      </c>
      <c r="K484" s="400">
        <v>0</v>
      </c>
      <c r="L484" s="496" t="s">
        <v>93</v>
      </c>
      <c r="N484" s="498">
        <v>3600</v>
      </c>
      <c r="O484" s="495">
        <v>10</v>
      </c>
      <c r="P484" s="400" t="s">
        <v>1723</v>
      </c>
    </row>
    <row r="485" spans="1:16" ht="13.5">
      <c r="A485" s="400" t="s">
        <v>1924</v>
      </c>
      <c r="B485" s="400">
        <v>9</v>
      </c>
      <c r="C485" s="400" t="s">
        <v>280</v>
      </c>
      <c r="D485" s="400" t="s">
        <v>1851</v>
      </c>
      <c r="E485" s="400">
        <v>1</v>
      </c>
      <c r="F485" s="495">
        <v>0</v>
      </c>
      <c r="G485" s="495">
        <v>0</v>
      </c>
      <c r="H485" s="400">
        <v>0</v>
      </c>
      <c r="I485" s="400">
        <v>0</v>
      </c>
      <c r="J485" s="400">
        <v>0</v>
      </c>
      <c r="K485" s="400">
        <v>0</v>
      </c>
      <c r="L485" s="496" t="s">
        <v>93</v>
      </c>
      <c r="N485" s="498">
        <v>8300</v>
      </c>
      <c r="O485" s="495">
        <v>18</v>
      </c>
      <c r="P485" s="400" t="s">
        <v>1723</v>
      </c>
    </row>
    <row r="486" spans="1:16" ht="13.5">
      <c r="A486" s="400" t="s">
        <v>1925</v>
      </c>
      <c r="B486" s="400">
        <v>10</v>
      </c>
      <c r="C486" s="400" t="s">
        <v>280</v>
      </c>
      <c r="D486" s="400" t="s">
        <v>1838</v>
      </c>
      <c r="E486" s="400">
        <v>2</v>
      </c>
      <c r="F486" s="495">
        <v>0</v>
      </c>
      <c r="G486" s="495">
        <v>0</v>
      </c>
      <c r="H486" s="400">
        <v>0</v>
      </c>
      <c r="I486" s="400">
        <v>5</v>
      </c>
      <c r="J486" s="400">
        <v>0</v>
      </c>
      <c r="K486" s="400">
        <v>0</v>
      </c>
      <c r="L486" s="400" t="s">
        <v>93</v>
      </c>
      <c r="N486" s="498">
        <v>5000</v>
      </c>
      <c r="O486" s="495" t="s">
        <v>93</v>
      </c>
      <c r="P486" s="400" t="s">
        <v>1744</v>
      </c>
    </row>
    <row r="487" spans="1:16" ht="13.5">
      <c r="A487" s="400" t="s">
        <v>1926</v>
      </c>
      <c r="B487" s="400">
        <v>10</v>
      </c>
      <c r="C487" s="400" t="s">
        <v>280</v>
      </c>
      <c r="D487" s="400" t="s">
        <v>1738</v>
      </c>
      <c r="E487" s="400">
        <v>3</v>
      </c>
      <c r="F487" s="495">
        <v>0</v>
      </c>
      <c r="G487" s="495">
        <v>0</v>
      </c>
      <c r="H487" s="400">
        <v>2</v>
      </c>
      <c r="I487" s="400">
        <v>0</v>
      </c>
      <c r="J487" s="400">
        <v>0</v>
      </c>
      <c r="K487" s="400">
        <v>0</v>
      </c>
      <c r="L487" s="400" t="s">
        <v>93</v>
      </c>
      <c r="N487" s="498">
        <v>4300</v>
      </c>
      <c r="O487" s="495" t="s">
        <v>93</v>
      </c>
      <c r="P487" s="400" t="s">
        <v>1744</v>
      </c>
    </row>
    <row r="488" spans="1:16" ht="13.5">
      <c r="A488" s="400" t="s">
        <v>1927</v>
      </c>
      <c r="B488" s="400">
        <v>10</v>
      </c>
      <c r="C488" s="400" t="s">
        <v>280</v>
      </c>
      <c r="D488" s="400" t="s">
        <v>1700</v>
      </c>
      <c r="E488" s="400">
        <v>2</v>
      </c>
      <c r="F488" s="495">
        <v>0</v>
      </c>
      <c r="G488" s="495">
        <v>0</v>
      </c>
      <c r="H488" s="400">
        <v>0</v>
      </c>
      <c r="I488" s="400">
        <v>0</v>
      </c>
      <c r="J488" s="400">
        <v>0</v>
      </c>
      <c r="K488" s="400">
        <v>3</v>
      </c>
      <c r="L488" s="400" t="s">
        <v>93</v>
      </c>
      <c r="N488" s="498">
        <v>3300</v>
      </c>
      <c r="O488" s="495" t="s">
        <v>93</v>
      </c>
      <c r="P488" s="400" t="s">
        <v>1744</v>
      </c>
    </row>
    <row r="489" spans="1:16" ht="13.5">
      <c r="A489" s="400" t="s">
        <v>1928</v>
      </c>
      <c r="B489" s="400">
        <v>10</v>
      </c>
      <c r="C489" s="400" t="s">
        <v>280</v>
      </c>
      <c r="D489" s="400" t="s">
        <v>1697</v>
      </c>
      <c r="E489" s="400">
        <v>1</v>
      </c>
      <c r="F489" s="495">
        <v>0</v>
      </c>
      <c r="G489" s="495">
        <v>0</v>
      </c>
      <c r="H489" s="400">
        <v>0</v>
      </c>
      <c r="I489" s="400">
        <v>0</v>
      </c>
      <c r="J489" s="400">
        <v>0</v>
      </c>
      <c r="K489" s="400">
        <v>0</v>
      </c>
      <c r="L489" s="496" t="s">
        <v>93</v>
      </c>
      <c r="N489" s="498">
        <v>12000</v>
      </c>
      <c r="O489" s="495">
        <v>20</v>
      </c>
      <c r="P489" s="400" t="s">
        <v>1706</v>
      </c>
    </row>
    <row r="490" spans="1:17" s="472" customFormat="1" ht="11.25">
      <c r="A490" s="472" t="s">
        <v>1929</v>
      </c>
      <c r="B490" s="472">
        <v>10</v>
      </c>
      <c r="C490" s="472" t="s">
        <v>280</v>
      </c>
      <c r="D490" s="472" t="s">
        <v>1697</v>
      </c>
      <c r="E490" s="472">
        <v>1</v>
      </c>
      <c r="F490" s="507">
        <v>0</v>
      </c>
      <c r="G490" s="507">
        <v>0</v>
      </c>
      <c r="H490" s="472">
        <v>0</v>
      </c>
      <c r="I490" s="472">
        <v>0</v>
      </c>
      <c r="J490" s="472">
        <v>0</v>
      </c>
      <c r="K490" s="472">
        <v>0</v>
      </c>
      <c r="L490" s="508" t="s">
        <v>93</v>
      </c>
      <c r="M490" s="474"/>
      <c r="N490" s="509">
        <v>10800</v>
      </c>
      <c r="O490" s="507">
        <v>18</v>
      </c>
      <c r="P490" s="472" t="s">
        <v>1723</v>
      </c>
      <c r="Q490" s="474"/>
    </row>
    <row r="491" spans="1:17" s="472" customFormat="1" ht="11.25">
      <c r="A491" s="472" t="s">
        <v>1930</v>
      </c>
      <c r="B491" s="472">
        <v>11</v>
      </c>
      <c r="C491" s="472" t="s">
        <v>280</v>
      </c>
      <c r="D491" s="472" t="s">
        <v>1931</v>
      </c>
      <c r="E491" s="472">
        <v>2</v>
      </c>
      <c r="F491" s="507">
        <v>0</v>
      </c>
      <c r="G491" s="507">
        <v>0</v>
      </c>
      <c r="H491" s="472">
        <v>0</v>
      </c>
      <c r="I491" s="472">
        <v>0</v>
      </c>
      <c r="J491" s="472">
        <v>0</v>
      </c>
      <c r="K491" s="472">
        <v>0</v>
      </c>
      <c r="L491" s="508" t="s">
        <v>93</v>
      </c>
      <c r="M491" s="474"/>
      <c r="N491" s="509">
        <v>9800</v>
      </c>
      <c r="O491" s="507">
        <v>16</v>
      </c>
      <c r="P491" s="472" t="s">
        <v>1723</v>
      </c>
      <c r="Q491" s="474"/>
    </row>
    <row r="492" spans="1:17" s="472" customFormat="1" ht="11.25">
      <c r="A492" s="472" t="s">
        <v>1932</v>
      </c>
      <c r="B492" s="472">
        <v>11</v>
      </c>
      <c r="C492" s="472" t="s">
        <v>280</v>
      </c>
      <c r="D492" s="472" t="s">
        <v>1931</v>
      </c>
      <c r="E492" s="472">
        <v>2</v>
      </c>
      <c r="F492" s="507">
        <v>0</v>
      </c>
      <c r="G492" s="507">
        <v>0</v>
      </c>
      <c r="H492" s="472">
        <v>0</v>
      </c>
      <c r="I492" s="472">
        <v>0</v>
      </c>
      <c r="J492" s="472">
        <v>0</v>
      </c>
      <c r="K492" s="472">
        <v>0</v>
      </c>
      <c r="L492" s="508" t="s">
        <v>93</v>
      </c>
      <c r="M492" s="474"/>
      <c r="N492" s="509">
        <v>9800</v>
      </c>
      <c r="O492" s="507">
        <v>16</v>
      </c>
      <c r="P492" s="472" t="s">
        <v>1723</v>
      </c>
      <c r="Q492" s="474"/>
    </row>
    <row r="493" spans="1:17" s="472" customFormat="1" ht="11.25">
      <c r="A493" s="472" t="s">
        <v>1933</v>
      </c>
      <c r="B493" s="472">
        <v>11</v>
      </c>
      <c r="C493" s="472" t="s">
        <v>280</v>
      </c>
      <c r="D493" s="472" t="s">
        <v>1931</v>
      </c>
      <c r="E493" s="472">
        <v>2</v>
      </c>
      <c r="F493" s="507">
        <v>0</v>
      </c>
      <c r="G493" s="507">
        <v>0</v>
      </c>
      <c r="H493" s="472">
        <v>0</v>
      </c>
      <c r="I493" s="472">
        <v>0</v>
      </c>
      <c r="J493" s="472">
        <v>0</v>
      </c>
      <c r="K493" s="472">
        <v>0</v>
      </c>
      <c r="L493" s="508" t="s">
        <v>93</v>
      </c>
      <c r="M493" s="474"/>
      <c r="N493" s="509">
        <v>9800</v>
      </c>
      <c r="O493" s="507">
        <v>16</v>
      </c>
      <c r="P493" s="472" t="s">
        <v>1723</v>
      </c>
      <c r="Q493" s="474"/>
    </row>
    <row r="494" spans="1:17" s="472" customFormat="1" ht="11.25">
      <c r="A494" s="472" t="s">
        <v>1934</v>
      </c>
      <c r="B494" s="472">
        <v>11</v>
      </c>
      <c r="C494" s="472" t="s">
        <v>280</v>
      </c>
      <c r="D494" s="472" t="s">
        <v>1931</v>
      </c>
      <c r="E494" s="472">
        <v>2</v>
      </c>
      <c r="F494" s="507">
        <v>0</v>
      </c>
      <c r="G494" s="507">
        <v>0</v>
      </c>
      <c r="H494" s="472">
        <v>0</v>
      </c>
      <c r="I494" s="472">
        <v>0</v>
      </c>
      <c r="J494" s="472">
        <v>0</v>
      </c>
      <c r="K494" s="472">
        <v>0</v>
      </c>
      <c r="L494" s="508" t="s">
        <v>93</v>
      </c>
      <c r="M494" s="474"/>
      <c r="N494" s="509">
        <v>9800</v>
      </c>
      <c r="O494" s="507">
        <v>16</v>
      </c>
      <c r="P494" s="472" t="s">
        <v>1723</v>
      </c>
      <c r="Q494" s="474"/>
    </row>
    <row r="495" spans="1:17" s="472" customFormat="1" ht="11.25">
      <c r="A495" s="472" t="s">
        <v>1935</v>
      </c>
      <c r="B495" s="472">
        <v>11</v>
      </c>
      <c r="C495" s="472" t="s">
        <v>280</v>
      </c>
      <c r="D495" s="472" t="s">
        <v>1931</v>
      </c>
      <c r="E495" s="472">
        <v>2</v>
      </c>
      <c r="F495" s="507">
        <v>0</v>
      </c>
      <c r="G495" s="507">
        <v>0</v>
      </c>
      <c r="H495" s="472">
        <v>0</v>
      </c>
      <c r="I495" s="472">
        <v>0</v>
      </c>
      <c r="J495" s="472">
        <v>0</v>
      </c>
      <c r="K495" s="472">
        <v>0</v>
      </c>
      <c r="L495" s="508" t="s">
        <v>93</v>
      </c>
      <c r="M495" s="474"/>
      <c r="N495" s="509">
        <v>9800</v>
      </c>
      <c r="O495" s="507">
        <v>16</v>
      </c>
      <c r="P495" s="472" t="s">
        <v>1723</v>
      </c>
      <c r="Q495" s="474"/>
    </row>
    <row r="496" spans="1:17" s="472" customFormat="1" ht="11.25">
      <c r="A496" s="472" t="s">
        <v>1936</v>
      </c>
      <c r="B496" s="472">
        <v>11</v>
      </c>
      <c r="C496" s="472" t="s">
        <v>280</v>
      </c>
      <c r="D496" s="472" t="s">
        <v>1931</v>
      </c>
      <c r="E496" s="472">
        <v>2</v>
      </c>
      <c r="F496" s="507">
        <v>0</v>
      </c>
      <c r="G496" s="507">
        <v>0</v>
      </c>
      <c r="H496" s="472">
        <v>0</v>
      </c>
      <c r="I496" s="472">
        <v>0</v>
      </c>
      <c r="J496" s="472">
        <v>0</v>
      </c>
      <c r="K496" s="472">
        <v>0</v>
      </c>
      <c r="L496" s="508" t="s">
        <v>93</v>
      </c>
      <c r="M496" s="474"/>
      <c r="N496" s="509">
        <v>9800</v>
      </c>
      <c r="O496" s="507">
        <v>16</v>
      </c>
      <c r="P496" s="472" t="s">
        <v>1723</v>
      </c>
      <c r="Q496" s="474"/>
    </row>
    <row r="497" spans="1:16" ht="13.5">
      <c r="A497" s="400" t="s">
        <v>1937</v>
      </c>
      <c r="B497" s="400">
        <v>12</v>
      </c>
      <c r="C497" s="400" t="s">
        <v>280</v>
      </c>
      <c r="D497" s="400" t="s">
        <v>1938</v>
      </c>
      <c r="E497" s="400">
        <v>1</v>
      </c>
      <c r="F497" s="495">
        <v>0</v>
      </c>
      <c r="G497" s="495">
        <v>0</v>
      </c>
      <c r="H497" s="400">
        <v>0</v>
      </c>
      <c r="I497" s="400">
        <v>0</v>
      </c>
      <c r="J497" s="400">
        <v>0</v>
      </c>
      <c r="K497" s="400">
        <v>0</v>
      </c>
      <c r="L497" s="496" t="s">
        <v>93</v>
      </c>
      <c r="N497" s="498">
        <v>16600</v>
      </c>
      <c r="O497" s="495">
        <v>15</v>
      </c>
      <c r="P497" s="400" t="s">
        <v>1723</v>
      </c>
    </row>
    <row r="498" spans="1:16" ht="13.5">
      <c r="A498" s="400" t="s">
        <v>1939</v>
      </c>
      <c r="B498" s="400">
        <v>14</v>
      </c>
      <c r="C498" s="400" t="s">
        <v>280</v>
      </c>
      <c r="D498" s="400" t="s">
        <v>1940</v>
      </c>
      <c r="E498" s="400">
        <v>1</v>
      </c>
      <c r="F498" s="495">
        <v>0</v>
      </c>
      <c r="G498" s="495">
        <v>0</v>
      </c>
      <c r="H498" s="400">
        <v>0</v>
      </c>
      <c r="I498" s="400">
        <v>4</v>
      </c>
      <c r="J498" s="400">
        <v>0</v>
      </c>
      <c r="K498" s="400">
        <v>0</v>
      </c>
      <c r="L498" s="496" t="s">
        <v>93</v>
      </c>
      <c r="N498" s="498">
        <v>12000</v>
      </c>
      <c r="O498" s="495">
        <v>18</v>
      </c>
      <c r="P498" s="400" t="s">
        <v>1723</v>
      </c>
    </row>
    <row r="499" spans="1:16" ht="13.5">
      <c r="A499" s="400" t="s">
        <v>1941</v>
      </c>
      <c r="B499" s="400">
        <v>15</v>
      </c>
      <c r="C499" s="400" t="s">
        <v>280</v>
      </c>
      <c r="D499" s="400" t="s">
        <v>1697</v>
      </c>
      <c r="E499" s="400">
        <v>1</v>
      </c>
      <c r="F499" s="495">
        <v>0</v>
      </c>
      <c r="G499" s="495">
        <v>0</v>
      </c>
      <c r="H499" s="400">
        <v>0</v>
      </c>
      <c r="I499" s="400">
        <v>0</v>
      </c>
      <c r="J499" s="400">
        <v>4</v>
      </c>
      <c r="K499" s="400">
        <v>0</v>
      </c>
      <c r="L499" s="400" t="s">
        <v>93</v>
      </c>
      <c r="N499" s="498">
        <v>21000</v>
      </c>
      <c r="O499" s="495" t="s">
        <v>93</v>
      </c>
      <c r="P499" s="400" t="s">
        <v>1744</v>
      </c>
    </row>
    <row r="500" spans="1:16" ht="13.5">
      <c r="A500" s="400" t="s">
        <v>1942</v>
      </c>
      <c r="B500" s="400">
        <v>15</v>
      </c>
      <c r="C500" s="400" t="s">
        <v>280</v>
      </c>
      <c r="D500" s="400" t="s">
        <v>1697</v>
      </c>
      <c r="E500" s="400">
        <v>1</v>
      </c>
      <c r="F500" s="495">
        <v>0</v>
      </c>
      <c r="G500" s="495">
        <v>0</v>
      </c>
      <c r="H500" s="400">
        <v>0</v>
      </c>
      <c r="I500" s="400">
        <v>0</v>
      </c>
      <c r="J500" s="400">
        <v>0</v>
      </c>
      <c r="K500" s="400">
        <v>0</v>
      </c>
      <c r="L500" s="496" t="s">
        <v>93</v>
      </c>
      <c r="N500" s="498">
        <v>13200</v>
      </c>
      <c r="O500" s="495">
        <v>20</v>
      </c>
      <c r="P500" s="400" t="s">
        <v>1943</v>
      </c>
    </row>
    <row r="501" spans="1:16" ht="13.5">
      <c r="A501" s="400" t="s">
        <v>1944</v>
      </c>
      <c r="B501" s="400">
        <v>18</v>
      </c>
      <c r="C501" s="400" t="s">
        <v>280</v>
      </c>
      <c r="D501" s="400" t="s">
        <v>1697</v>
      </c>
      <c r="E501" s="400">
        <v>2</v>
      </c>
      <c r="F501" s="495">
        <v>0</v>
      </c>
      <c r="G501" s="495">
        <v>0</v>
      </c>
      <c r="H501" s="400">
        <v>0</v>
      </c>
      <c r="I501" s="400">
        <v>2</v>
      </c>
      <c r="J501" s="400">
        <v>0</v>
      </c>
      <c r="K501" s="400">
        <v>0</v>
      </c>
      <c r="L501" s="496" t="s">
        <v>93</v>
      </c>
      <c r="N501" s="498">
        <v>78000</v>
      </c>
      <c r="O501" s="495">
        <v>21</v>
      </c>
      <c r="P501" s="400" t="s">
        <v>1943</v>
      </c>
    </row>
    <row r="502" spans="1:16" ht="13.5">
      <c r="A502" s="400" t="s">
        <v>1945</v>
      </c>
      <c r="B502" s="400">
        <v>20</v>
      </c>
      <c r="C502" s="400" t="s">
        <v>280</v>
      </c>
      <c r="D502" s="400" t="s">
        <v>1689</v>
      </c>
      <c r="E502" s="400">
        <v>3</v>
      </c>
      <c r="F502" s="495">
        <v>0</v>
      </c>
      <c r="G502" s="495">
        <v>0</v>
      </c>
      <c r="H502" s="400">
        <v>0</v>
      </c>
      <c r="I502" s="400">
        <v>6</v>
      </c>
      <c r="J502" s="400">
        <v>0</v>
      </c>
      <c r="K502" s="400">
        <v>-2</v>
      </c>
      <c r="L502" s="400" t="s">
        <v>93</v>
      </c>
      <c r="N502" s="498">
        <v>41200</v>
      </c>
      <c r="O502" s="495" t="s">
        <v>93</v>
      </c>
      <c r="P502" s="400" t="s">
        <v>1744</v>
      </c>
    </row>
    <row r="503" spans="1:16" ht="13.5">
      <c r="A503" s="400" t="s">
        <v>1946</v>
      </c>
      <c r="B503" s="400">
        <v>20</v>
      </c>
      <c r="C503" s="400" t="s">
        <v>280</v>
      </c>
      <c r="D503" s="400" t="s">
        <v>1743</v>
      </c>
      <c r="E503" s="400">
        <v>2</v>
      </c>
      <c r="F503" s="495">
        <v>0</v>
      </c>
      <c r="G503" s="495">
        <v>0</v>
      </c>
      <c r="H503" s="400">
        <v>0</v>
      </c>
      <c r="I503" s="400">
        <v>0</v>
      </c>
      <c r="J503" s="400">
        <v>0</v>
      </c>
      <c r="K503" s="400">
        <v>1</v>
      </c>
      <c r="L503" s="496" t="s">
        <v>93</v>
      </c>
      <c r="N503" s="498">
        <v>109200</v>
      </c>
      <c r="O503" s="495">
        <v>17</v>
      </c>
      <c r="P503" s="400" t="s">
        <v>1943</v>
      </c>
    </row>
    <row r="504" spans="1:16" ht="13.5">
      <c r="A504" s="400" t="s">
        <v>1947</v>
      </c>
      <c r="B504" s="400">
        <v>24</v>
      </c>
      <c r="C504" s="400" t="s">
        <v>280</v>
      </c>
      <c r="D504" s="400" t="s">
        <v>1814</v>
      </c>
      <c r="E504" s="400">
        <v>5</v>
      </c>
      <c r="F504" s="495">
        <v>0</v>
      </c>
      <c r="G504" s="495">
        <v>0</v>
      </c>
      <c r="H504" s="400">
        <v>0</v>
      </c>
      <c r="I504" s="400">
        <v>0</v>
      </c>
      <c r="J504" s="400">
        <v>0</v>
      </c>
      <c r="K504" s="400">
        <v>0</v>
      </c>
      <c r="L504" s="496" t="s">
        <v>93</v>
      </c>
      <c r="N504" s="498">
        <v>212300</v>
      </c>
      <c r="O504" s="495">
        <v>21</v>
      </c>
      <c r="P504" s="400" t="s">
        <v>1943</v>
      </c>
    </row>
    <row r="505" spans="1:16" ht="13.5">
      <c r="A505" s="400" t="s">
        <v>1948</v>
      </c>
      <c r="B505" s="400">
        <v>25</v>
      </c>
      <c r="C505" s="400" t="s">
        <v>280</v>
      </c>
      <c r="D505" s="400" t="s">
        <v>1697</v>
      </c>
      <c r="E505" s="400">
        <v>2</v>
      </c>
      <c r="F505" s="495">
        <v>0</v>
      </c>
      <c r="G505" s="495">
        <v>0</v>
      </c>
      <c r="H505" s="400">
        <v>1</v>
      </c>
      <c r="I505" s="400">
        <v>0</v>
      </c>
      <c r="J505" s="400">
        <v>0</v>
      </c>
      <c r="K505" s="400">
        <v>3</v>
      </c>
      <c r="L505" s="400" t="s">
        <v>93</v>
      </c>
      <c r="N505" s="498">
        <v>69800</v>
      </c>
      <c r="O505" s="495" t="s">
        <v>93</v>
      </c>
      <c r="P505" s="400" t="s">
        <v>1744</v>
      </c>
    </row>
    <row r="506" spans="1:16" ht="13.5">
      <c r="A506" s="400" t="s">
        <v>1949</v>
      </c>
      <c r="B506" s="400">
        <v>25</v>
      </c>
      <c r="C506" s="400" t="s">
        <v>280</v>
      </c>
      <c r="D506" s="400" t="s">
        <v>1689</v>
      </c>
      <c r="E506" s="400">
        <v>3</v>
      </c>
      <c r="F506" s="495">
        <v>0</v>
      </c>
      <c r="G506" s="495">
        <v>0</v>
      </c>
      <c r="H506" s="400">
        <v>0</v>
      </c>
      <c r="I506" s="400">
        <v>8</v>
      </c>
      <c r="J506" s="400">
        <v>0</v>
      </c>
      <c r="K506" s="400">
        <v>-2</v>
      </c>
      <c r="L506" s="400" t="s">
        <v>93</v>
      </c>
      <c r="N506" s="498">
        <v>72000</v>
      </c>
      <c r="O506" s="495" t="s">
        <v>93</v>
      </c>
      <c r="P506" s="400" t="s">
        <v>1744</v>
      </c>
    </row>
    <row r="507" spans="1:16" ht="13.5">
      <c r="A507" s="400" t="s">
        <v>1950</v>
      </c>
      <c r="B507" s="400">
        <v>26</v>
      </c>
      <c r="C507" s="400" t="s">
        <v>280</v>
      </c>
      <c r="D507" s="400" t="s">
        <v>1816</v>
      </c>
      <c r="E507" s="400">
        <v>1</v>
      </c>
      <c r="F507" s="495">
        <v>0</v>
      </c>
      <c r="G507" s="495">
        <v>0</v>
      </c>
      <c r="H507" s="400">
        <v>0</v>
      </c>
      <c r="I507" s="400">
        <v>0</v>
      </c>
      <c r="J507" s="400">
        <v>0</v>
      </c>
      <c r="K507" s="400">
        <v>0</v>
      </c>
      <c r="L507" s="496" t="s">
        <v>93</v>
      </c>
      <c r="N507" s="498">
        <v>800000</v>
      </c>
      <c r="O507" s="495">
        <v>30</v>
      </c>
      <c r="P507" s="400" t="s">
        <v>1943</v>
      </c>
    </row>
    <row r="508" spans="1:16" ht="13.5">
      <c r="A508" s="400" t="s">
        <v>1951</v>
      </c>
      <c r="B508" s="400">
        <v>30</v>
      </c>
      <c r="C508" s="400" t="s">
        <v>280</v>
      </c>
      <c r="D508" s="400" t="s">
        <v>1697</v>
      </c>
      <c r="E508" s="400">
        <v>1</v>
      </c>
      <c r="F508" s="495">
        <v>0</v>
      </c>
      <c r="G508" s="495">
        <v>0</v>
      </c>
      <c r="H508" s="400">
        <v>0</v>
      </c>
      <c r="I508" s="400">
        <v>0</v>
      </c>
      <c r="J508" s="400">
        <v>6</v>
      </c>
      <c r="K508" s="400">
        <v>0</v>
      </c>
      <c r="L508" s="400" t="s">
        <v>93</v>
      </c>
      <c r="N508" s="498">
        <v>240000</v>
      </c>
      <c r="O508" s="495" t="s">
        <v>93</v>
      </c>
      <c r="P508" s="400" t="s">
        <v>1744</v>
      </c>
    </row>
    <row r="509" spans="1:16" ht="13.5">
      <c r="A509" s="400" t="s">
        <v>1952</v>
      </c>
      <c r="B509" s="400">
        <v>30</v>
      </c>
      <c r="C509" s="400" t="s">
        <v>280</v>
      </c>
      <c r="D509" s="400" t="s">
        <v>1697</v>
      </c>
      <c r="E509" s="400">
        <v>1</v>
      </c>
      <c r="F509" s="495">
        <v>0</v>
      </c>
      <c r="G509" s="495">
        <v>0</v>
      </c>
      <c r="H509" s="400">
        <v>0</v>
      </c>
      <c r="I509" s="400">
        <v>0</v>
      </c>
      <c r="J509" s="400">
        <v>0</v>
      </c>
      <c r="K509" s="400">
        <v>0</v>
      </c>
      <c r="L509" s="496" t="s">
        <v>93</v>
      </c>
      <c r="N509" s="498" t="s">
        <v>1472</v>
      </c>
      <c r="O509" s="495">
        <v>15</v>
      </c>
      <c r="P509" s="400" t="s">
        <v>1706</v>
      </c>
    </row>
    <row r="510" spans="1:17" s="472" customFormat="1" ht="11.25">
      <c r="A510" s="472" t="s">
        <v>1953</v>
      </c>
      <c r="B510" s="472">
        <v>30</v>
      </c>
      <c r="C510" s="472" t="s">
        <v>280</v>
      </c>
      <c r="D510" s="472" t="s">
        <v>1697</v>
      </c>
      <c r="E510" s="472">
        <v>2</v>
      </c>
      <c r="F510" s="507">
        <v>0</v>
      </c>
      <c r="G510" s="507">
        <v>0</v>
      </c>
      <c r="H510" s="472">
        <v>0</v>
      </c>
      <c r="I510" s="472">
        <v>5</v>
      </c>
      <c r="J510" s="472">
        <v>0</v>
      </c>
      <c r="K510" s="472">
        <v>0</v>
      </c>
      <c r="L510" s="508" t="s">
        <v>93</v>
      </c>
      <c r="M510" s="474"/>
      <c r="N510" s="509">
        <v>1000000</v>
      </c>
      <c r="O510" s="507">
        <v>35</v>
      </c>
      <c r="P510" s="472" t="s">
        <v>1943</v>
      </c>
      <c r="Q510" s="474"/>
    </row>
    <row r="511" spans="1:18" ht="13.5">
      <c r="A511" s="44" t="s">
        <v>237</v>
      </c>
      <c r="B511" s="500" t="s">
        <v>121</v>
      </c>
      <c r="C511" s="500" t="s">
        <v>241</v>
      </c>
      <c r="D511" s="500" t="s">
        <v>242</v>
      </c>
      <c r="E511" s="500" t="s">
        <v>243</v>
      </c>
      <c r="F511" s="501" t="s">
        <v>166</v>
      </c>
      <c r="G511" s="501" t="s">
        <v>244</v>
      </c>
      <c r="H511" s="500" t="s">
        <v>220</v>
      </c>
      <c r="I511" s="500" t="s">
        <v>245</v>
      </c>
      <c r="J511" s="500" t="s">
        <v>246</v>
      </c>
      <c r="K511" s="500" t="s">
        <v>247</v>
      </c>
      <c r="L511" s="502" t="s">
        <v>248</v>
      </c>
      <c r="M511" s="500" t="s">
        <v>249</v>
      </c>
      <c r="N511" s="503" t="s">
        <v>210</v>
      </c>
      <c r="O511" s="501" t="s">
        <v>1349</v>
      </c>
      <c r="P511" s="504" t="s">
        <v>1350</v>
      </c>
      <c r="Q511" s="420"/>
      <c r="R511" s="215"/>
    </row>
    <row r="512" spans="1:18" ht="13.5">
      <c r="A512" s="215"/>
      <c r="B512" s="215"/>
      <c r="C512" s="215"/>
      <c r="D512" s="215"/>
      <c r="E512" s="215"/>
      <c r="F512" s="320"/>
      <c r="G512" s="320"/>
      <c r="H512" s="215"/>
      <c r="I512" s="215"/>
      <c r="J512" s="215"/>
      <c r="K512" s="215"/>
      <c r="L512" s="505"/>
      <c r="M512" s="215"/>
      <c r="N512" s="223"/>
      <c r="O512" s="320"/>
      <c r="Q512" s="420"/>
      <c r="R512" s="215"/>
    </row>
    <row r="513" spans="1:16" ht="13.5">
      <c r="A513" s="400" t="s">
        <v>307</v>
      </c>
      <c r="B513" s="400" t="s">
        <v>93</v>
      </c>
      <c r="C513" s="400" t="s">
        <v>1731</v>
      </c>
      <c r="D513" s="400" t="s">
        <v>93</v>
      </c>
      <c r="E513" s="400">
        <v>5</v>
      </c>
      <c r="F513" s="495">
        <v>0</v>
      </c>
      <c r="G513" s="495">
        <v>0</v>
      </c>
      <c r="H513" s="400">
        <v>0</v>
      </c>
      <c r="I513" s="400">
        <v>0</v>
      </c>
      <c r="J513" s="400">
        <v>0</v>
      </c>
      <c r="K513" s="400">
        <v>0</v>
      </c>
      <c r="L513" s="400" t="s">
        <v>93</v>
      </c>
      <c r="N513" s="498">
        <v>10</v>
      </c>
      <c r="O513" s="495" t="s">
        <v>93</v>
      </c>
      <c r="P513" s="400" t="s">
        <v>1845</v>
      </c>
    </row>
    <row r="514" spans="1:16" ht="13.5">
      <c r="A514" s="400" t="s">
        <v>1954</v>
      </c>
      <c r="B514" s="400" t="s">
        <v>93</v>
      </c>
      <c r="C514" s="400" t="s">
        <v>1731</v>
      </c>
      <c r="D514" s="400" t="s">
        <v>93</v>
      </c>
      <c r="E514" s="400">
        <v>2</v>
      </c>
      <c r="F514" s="495">
        <v>0</v>
      </c>
      <c r="G514" s="495">
        <v>0</v>
      </c>
      <c r="H514" s="400">
        <v>0</v>
      </c>
      <c r="I514" s="400">
        <v>0</v>
      </c>
      <c r="J514" s="400">
        <v>0</v>
      </c>
      <c r="K514" s="400">
        <v>0</v>
      </c>
      <c r="L514" s="400" t="s">
        <v>93</v>
      </c>
      <c r="N514" s="498">
        <v>3</v>
      </c>
      <c r="O514" s="495" t="s">
        <v>93</v>
      </c>
      <c r="P514" s="400" t="s">
        <v>1845</v>
      </c>
    </row>
    <row r="515" spans="1:16" ht="13.5">
      <c r="A515" s="400" t="s">
        <v>1955</v>
      </c>
      <c r="B515" s="400" t="s">
        <v>93</v>
      </c>
      <c r="C515" s="400" t="s">
        <v>1731</v>
      </c>
      <c r="D515" s="400" t="s">
        <v>93</v>
      </c>
      <c r="E515" s="400">
        <v>1</v>
      </c>
      <c r="F515" s="495">
        <v>0</v>
      </c>
      <c r="G515" s="495">
        <v>0</v>
      </c>
      <c r="H515" s="400">
        <v>0</v>
      </c>
      <c r="I515" s="400">
        <v>0</v>
      </c>
      <c r="J515" s="400">
        <v>0</v>
      </c>
      <c r="K515" s="400">
        <v>0</v>
      </c>
      <c r="L515" s="400" t="s">
        <v>93</v>
      </c>
      <c r="N515" s="498">
        <v>3</v>
      </c>
      <c r="O515" s="495" t="s">
        <v>93</v>
      </c>
      <c r="P515" s="400" t="s">
        <v>1845</v>
      </c>
    </row>
    <row r="516" spans="1:16" ht="13.5">
      <c r="A516" s="400" t="s">
        <v>1956</v>
      </c>
      <c r="B516" s="400" t="s">
        <v>93</v>
      </c>
      <c r="C516" s="400" t="s">
        <v>1731</v>
      </c>
      <c r="D516" s="400" t="s">
        <v>93</v>
      </c>
      <c r="E516" s="400">
        <v>1</v>
      </c>
      <c r="F516" s="495">
        <v>0</v>
      </c>
      <c r="G516" s="495">
        <v>0</v>
      </c>
      <c r="H516" s="400">
        <v>0</v>
      </c>
      <c r="I516" s="400">
        <v>0</v>
      </c>
      <c r="J516" s="400">
        <v>0</v>
      </c>
      <c r="K516" s="400">
        <v>0</v>
      </c>
      <c r="L516" s="400" t="s">
        <v>93</v>
      </c>
      <c r="N516" s="498">
        <v>5</v>
      </c>
      <c r="O516" s="495" t="s">
        <v>93</v>
      </c>
      <c r="P516" s="400" t="s">
        <v>1845</v>
      </c>
    </row>
    <row r="517" spans="1:16" ht="13.5">
      <c r="A517" s="400" t="s">
        <v>1957</v>
      </c>
      <c r="B517" s="400" t="s">
        <v>93</v>
      </c>
      <c r="C517" s="400" t="s">
        <v>1731</v>
      </c>
      <c r="D517" s="400" t="s">
        <v>93</v>
      </c>
      <c r="E517" s="400">
        <v>1</v>
      </c>
      <c r="F517" s="495">
        <v>0</v>
      </c>
      <c r="G517" s="495">
        <v>0</v>
      </c>
      <c r="H517" s="400">
        <v>0</v>
      </c>
      <c r="I517" s="400">
        <v>0</v>
      </c>
      <c r="J517" s="400">
        <v>0</v>
      </c>
      <c r="K517" s="400">
        <v>0</v>
      </c>
      <c r="L517" s="400" t="s">
        <v>93</v>
      </c>
      <c r="N517" s="498">
        <v>1</v>
      </c>
      <c r="O517" s="495" t="s">
        <v>93</v>
      </c>
      <c r="P517" s="400" t="s">
        <v>1845</v>
      </c>
    </row>
    <row r="518" spans="1:17" s="472" customFormat="1" ht="11.25">
      <c r="A518" s="472" t="s">
        <v>311</v>
      </c>
      <c r="B518" s="472" t="s">
        <v>93</v>
      </c>
      <c r="C518" s="472" t="s">
        <v>1731</v>
      </c>
      <c r="D518" s="472" t="s">
        <v>93</v>
      </c>
      <c r="E518" s="472">
        <v>0</v>
      </c>
      <c r="F518" s="507">
        <v>0</v>
      </c>
      <c r="G518" s="507">
        <v>0</v>
      </c>
      <c r="H518" s="472">
        <v>0</v>
      </c>
      <c r="I518" s="472">
        <v>0</v>
      </c>
      <c r="J518" s="472">
        <v>0</v>
      </c>
      <c r="K518" s="472">
        <v>0</v>
      </c>
      <c r="L518" s="472" t="s">
        <v>93</v>
      </c>
      <c r="M518" s="474"/>
      <c r="N518" s="509">
        <v>15</v>
      </c>
      <c r="O518" s="507" t="s">
        <v>93</v>
      </c>
      <c r="P518" s="472" t="s">
        <v>1845</v>
      </c>
      <c r="Q518" s="474"/>
    </row>
    <row r="519" spans="1:17" s="472" customFormat="1" ht="11.25">
      <c r="A519" s="472" t="s">
        <v>1958</v>
      </c>
      <c r="B519" s="472" t="s">
        <v>93</v>
      </c>
      <c r="C519" s="472" t="s">
        <v>1731</v>
      </c>
      <c r="D519" s="472" t="s">
        <v>93</v>
      </c>
      <c r="E519" s="472">
        <v>0</v>
      </c>
      <c r="F519" s="507">
        <v>0</v>
      </c>
      <c r="G519" s="507">
        <v>0</v>
      </c>
      <c r="H519" s="472">
        <v>0</v>
      </c>
      <c r="I519" s="472">
        <v>0</v>
      </c>
      <c r="J519" s="472">
        <v>0</v>
      </c>
      <c r="K519" s="472">
        <v>0</v>
      </c>
      <c r="L519" s="472" t="s">
        <v>93</v>
      </c>
      <c r="M519" s="474"/>
      <c r="N519" s="509">
        <v>30</v>
      </c>
      <c r="O519" s="507" t="s">
        <v>93</v>
      </c>
      <c r="P519" s="472" t="s">
        <v>1845</v>
      </c>
      <c r="Q519" s="474"/>
    </row>
    <row r="520" spans="1:16" ht="13.5">
      <c r="A520" s="400" t="s">
        <v>1959</v>
      </c>
      <c r="B520" s="400" t="s">
        <v>93</v>
      </c>
      <c r="C520" s="400" t="s">
        <v>1731</v>
      </c>
      <c r="D520" s="400" t="s">
        <v>93</v>
      </c>
      <c r="E520" s="400">
        <v>1</v>
      </c>
      <c r="F520" s="495">
        <v>0</v>
      </c>
      <c r="G520" s="495">
        <v>0</v>
      </c>
      <c r="H520" s="400">
        <v>0</v>
      </c>
      <c r="I520" s="400">
        <v>0</v>
      </c>
      <c r="J520" s="400">
        <v>0</v>
      </c>
      <c r="K520" s="400">
        <v>0</v>
      </c>
      <c r="L520" s="400" t="s">
        <v>93</v>
      </c>
      <c r="N520" s="498">
        <v>750</v>
      </c>
      <c r="O520" s="495" t="s">
        <v>93</v>
      </c>
      <c r="P520" s="400" t="s">
        <v>1702</v>
      </c>
    </row>
    <row r="521" spans="1:16" ht="13.5">
      <c r="A521" s="400" t="s">
        <v>1960</v>
      </c>
      <c r="B521" s="400" t="s">
        <v>93</v>
      </c>
      <c r="C521" s="400" t="s">
        <v>1731</v>
      </c>
      <c r="D521" s="400" t="s">
        <v>93</v>
      </c>
      <c r="E521" s="400">
        <v>1</v>
      </c>
      <c r="F521" s="495">
        <v>0</v>
      </c>
      <c r="G521" s="495">
        <v>0</v>
      </c>
      <c r="H521" s="400">
        <v>0</v>
      </c>
      <c r="I521" s="400">
        <v>0</v>
      </c>
      <c r="J521" s="400">
        <v>0</v>
      </c>
      <c r="K521" s="400">
        <v>0</v>
      </c>
      <c r="L521" s="400" t="s">
        <v>510</v>
      </c>
      <c r="N521" s="498">
        <v>1000</v>
      </c>
      <c r="O521" s="495" t="s">
        <v>93</v>
      </c>
      <c r="P521" s="400" t="s">
        <v>1702</v>
      </c>
    </row>
    <row r="522" spans="1:16" ht="13.5">
      <c r="A522" s="400" t="s">
        <v>1961</v>
      </c>
      <c r="B522" s="400" t="s">
        <v>93</v>
      </c>
      <c r="C522" s="400" t="s">
        <v>1731</v>
      </c>
      <c r="D522" s="400" t="s">
        <v>93</v>
      </c>
      <c r="E522" s="400">
        <v>1</v>
      </c>
      <c r="F522" s="495">
        <v>0</v>
      </c>
      <c r="G522" s="495">
        <v>0</v>
      </c>
      <c r="H522" s="400">
        <v>0</v>
      </c>
      <c r="I522" s="400">
        <v>0</v>
      </c>
      <c r="J522" s="400">
        <v>0</v>
      </c>
      <c r="K522" s="400">
        <v>0</v>
      </c>
      <c r="L522" s="400" t="s">
        <v>93</v>
      </c>
      <c r="N522" s="498">
        <v>100</v>
      </c>
      <c r="O522" s="495" t="s">
        <v>93</v>
      </c>
      <c r="P522" s="400" t="s">
        <v>1702</v>
      </c>
    </row>
    <row r="523" spans="1:16" ht="13.5">
      <c r="A523" s="400" t="s">
        <v>1962</v>
      </c>
      <c r="B523" s="400" t="s">
        <v>93</v>
      </c>
      <c r="C523" s="400" t="s">
        <v>1731</v>
      </c>
      <c r="D523" s="400" t="s">
        <v>93</v>
      </c>
      <c r="E523" s="400">
        <v>1</v>
      </c>
      <c r="F523" s="495">
        <v>0</v>
      </c>
      <c r="G523" s="495">
        <v>0</v>
      </c>
      <c r="H523" s="400">
        <v>0</v>
      </c>
      <c r="I523" s="400">
        <v>0</v>
      </c>
      <c r="J523" s="400">
        <v>0</v>
      </c>
      <c r="K523" s="400">
        <v>0</v>
      </c>
      <c r="L523" s="400" t="s">
        <v>93</v>
      </c>
      <c r="N523" s="498">
        <v>1500</v>
      </c>
      <c r="O523" s="495" t="s">
        <v>93</v>
      </c>
      <c r="P523" s="400" t="s">
        <v>1702</v>
      </c>
    </row>
    <row r="524" spans="1:16" ht="13.5">
      <c r="A524" s="400" t="s">
        <v>1963</v>
      </c>
      <c r="B524" s="400" t="s">
        <v>93</v>
      </c>
      <c r="C524" s="400" t="s">
        <v>1731</v>
      </c>
      <c r="D524" s="400" t="s">
        <v>93</v>
      </c>
      <c r="E524" s="400">
        <v>1</v>
      </c>
      <c r="F524" s="495">
        <v>0</v>
      </c>
      <c r="G524" s="495">
        <v>0</v>
      </c>
      <c r="H524" s="400">
        <v>0</v>
      </c>
      <c r="I524" s="400">
        <v>0</v>
      </c>
      <c r="J524" s="400">
        <v>0</v>
      </c>
      <c r="K524" s="400">
        <v>0</v>
      </c>
      <c r="L524" s="400" t="s">
        <v>93</v>
      </c>
      <c r="N524" s="498">
        <v>800</v>
      </c>
      <c r="O524" s="495" t="s">
        <v>93</v>
      </c>
      <c r="P524" s="400" t="s">
        <v>1702</v>
      </c>
    </row>
    <row r="525" spans="1:16" ht="13.5">
      <c r="A525" s="400" t="s">
        <v>1964</v>
      </c>
      <c r="B525" s="400" t="s">
        <v>93</v>
      </c>
      <c r="C525" s="400" t="s">
        <v>1731</v>
      </c>
      <c r="D525" s="400" t="s">
        <v>93</v>
      </c>
      <c r="E525" s="400">
        <v>1</v>
      </c>
      <c r="F525" s="495">
        <v>0</v>
      </c>
      <c r="G525" s="495">
        <v>0</v>
      </c>
      <c r="H525" s="400">
        <v>0</v>
      </c>
      <c r="I525" s="400">
        <v>0</v>
      </c>
      <c r="J525" s="400">
        <v>0</v>
      </c>
      <c r="K525" s="400">
        <v>0</v>
      </c>
      <c r="L525" s="400" t="s">
        <v>93</v>
      </c>
      <c r="N525" s="498">
        <v>400</v>
      </c>
      <c r="O525" s="495" t="s">
        <v>93</v>
      </c>
      <c r="P525" s="400" t="s">
        <v>1702</v>
      </c>
    </row>
    <row r="526" spans="1:16" ht="13.5">
      <c r="A526" s="400" t="s">
        <v>1965</v>
      </c>
      <c r="B526" s="400" t="s">
        <v>93</v>
      </c>
      <c r="C526" s="400" t="s">
        <v>1731</v>
      </c>
      <c r="D526" s="400" t="s">
        <v>93</v>
      </c>
      <c r="E526" s="400">
        <v>1</v>
      </c>
      <c r="F526" s="495">
        <v>0</v>
      </c>
      <c r="G526" s="495">
        <v>0</v>
      </c>
      <c r="H526" s="400">
        <v>0</v>
      </c>
      <c r="I526" s="400">
        <v>0</v>
      </c>
      <c r="J526" s="400">
        <v>0</v>
      </c>
      <c r="K526" s="400">
        <v>0</v>
      </c>
      <c r="L526" s="400" t="s">
        <v>93</v>
      </c>
      <c r="N526" s="498">
        <v>500</v>
      </c>
      <c r="O526" s="495" t="s">
        <v>93</v>
      </c>
      <c r="P526" s="400" t="s">
        <v>1702</v>
      </c>
    </row>
    <row r="527" spans="1:17" s="472" customFormat="1" ht="11.25">
      <c r="A527" s="472" t="s">
        <v>1966</v>
      </c>
      <c r="B527" s="472" t="s">
        <v>93</v>
      </c>
      <c r="C527" s="472" t="s">
        <v>1731</v>
      </c>
      <c r="D527" s="472" t="s">
        <v>93</v>
      </c>
      <c r="E527" s="472">
        <v>0</v>
      </c>
      <c r="F527" s="507">
        <v>0</v>
      </c>
      <c r="G527" s="507">
        <v>0</v>
      </c>
      <c r="H527" s="472">
        <v>0</v>
      </c>
      <c r="I527" s="472">
        <v>0</v>
      </c>
      <c r="J527" s="472">
        <v>0</v>
      </c>
      <c r="K527" s="472">
        <v>0</v>
      </c>
      <c r="L527" s="508" t="s">
        <v>93</v>
      </c>
      <c r="M527" s="474"/>
      <c r="N527" s="509">
        <v>2000</v>
      </c>
      <c r="O527" s="507">
        <v>16</v>
      </c>
      <c r="P527" s="472" t="s">
        <v>1878</v>
      </c>
      <c r="Q527" s="474"/>
    </row>
    <row r="528" spans="1:16" ht="13.5">
      <c r="A528" s="400" t="s">
        <v>1967</v>
      </c>
      <c r="B528" s="400" t="s">
        <v>93</v>
      </c>
      <c r="C528" s="400" t="s">
        <v>1731</v>
      </c>
      <c r="D528" s="400" t="s">
        <v>93</v>
      </c>
      <c r="E528" s="400">
        <v>1</v>
      </c>
      <c r="F528" s="495">
        <v>0</v>
      </c>
      <c r="G528" s="495">
        <v>0</v>
      </c>
      <c r="H528" s="400">
        <v>0</v>
      </c>
      <c r="I528" s="400">
        <v>0</v>
      </c>
      <c r="J528" s="400">
        <v>0</v>
      </c>
      <c r="K528" s="400">
        <v>0</v>
      </c>
      <c r="L528" s="496" t="s">
        <v>93</v>
      </c>
      <c r="N528" s="498" t="s">
        <v>1472</v>
      </c>
      <c r="O528" s="495">
        <v>25</v>
      </c>
      <c r="P528" s="400" t="s">
        <v>1706</v>
      </c>
    </row>
    <row r="529" spans="1:16" ht="13.5">
      <c r="A529" s="400" t="s">
        <v>1968</v>
      </c>
      <c r="B529" s="400" t="s">
        <v>93</v>
      </c>
      <c r="C529" s="400" t="s">
        <v>1731</v>
      </c>
      <c r="D529" s="400" t="s">
        <v>93</v>
      </c>
      <c r="E529" s="400">
        <v>1</v>
      </c>
      <c r="F529" s="495">
        <v>0</v>
      </c>
      <c r="G529" s="495">
        <v>0</v>
      </c>
      <c r="H529" s="400">
        <v>0</v>
      </c>
      <c r="I529" s="400">
        <v>0</v>
      </c>
      <c r="J529" s="400">
        <v>0</v>
      </c>
      <c r="K529" s="400">
        <v>0</v>
      </c>
      <c r="L529" s="496" t="s">
        <v>93</v>
      </c>
      <c r="N529" s="498">
        <v>1000</v>
      </c>
      <c r="O529" s="495">
        <v>10</v>
      </c>
      <c r="P529" s="400" t="s">
        <v>1698</v>
      </c>
    </row>
    <row r="530" spans="1:16" ht="13.5">
      <c r="A530" s="400" t="s">
        <v>1969</v>
      </c>
      <c r="B530" s="400" t="s">
        <v>93</v>
      </c>
      <c r="C530" s="400" t="s">
        <v>1731</v>
      </c>
      <c r="D530" s="400" t="s">
        <v>93</v>
      </c>
      <c r="E530" s="400">
        <v>1</v>
      </c>
      <c r="F530" s="495">
        <v>0</v>
      </c>
      <c r="G530" s="495">
        <v>0</v>
      </c>
      <c r="H530" s="400">
        <v>0</v>
      </c>
      <c r="I530" s="400">
        <v>0</v>
      </c>
      <c r="J530" s="400">
        <v>0</v>
      </c>
      <c r="K530" s="400">
        <v>0</v>
      </c>
      <c r="L530" s="496" t="s">
        <v>93</v>
      </c>
      <c r="N530" s="498">
        <v>900</v>
      </c>
      <c r="O530" s="495">
        <v>11</v>
      </c>
      <c r="P530" s="400" t="s">
        <v>1698</v>
      </c>
    </row>
    <row r="531" spans="1:16" ht="13.5">
      <c r="A531" s="400" t="s">
        <v>1970</v>
      </c>
      <c r="B531" s="400">
        <v>1</v>
      </c>
      <c r="C531" s="400" t="s">
        <v>1731</v>
      </c>
      <c r="D531" s="400" t="s">
        <v>93</v>
      </c>
      <c r="E531" s="400">
        <v>1</v>
      </c>
      <c r="F531" s="495">
        <v>0</v>
      </c>
      <c r="G531" s="495">
        <v>0</v>
      </c>
      <c r="H531" s="400">
        <v>0</v>
      </c>
      <c r="I531" s="400">
        <v>0</v>
      </c>
      <c r="J531" s="400">
        <v>0</v>
      </c>
      <c r="K531" s="400">
        <v>0</v>
      </c>
      <c r="L531" s="496" t="s">
        <v>93</v>
      </c>
      <c r="N531" s="498">
        <v>2500</v>
      </c>
      <c r="O531" s="495">
        <v>15</v>
      </c>
      <c r="P531" s="400" t="s">
        <v>1899</v>
      </c>
    </row>
    <row r="532" spans="1:16" ht="13.5">
      <c r="A532" s="400" t="s">
        <v>1971</v>
      </c>
      <c r="B532" s="400">
        <v>1</v>
      </c>
      <c r="C532" s="400" t="s">
        <v>1731</v>
      </c>
      <c r="D532" s="400" t="s">
        <v>93</v>
      </c>
      <c r="E532" s="400">
        <v>8</v>
      </c>
      <c r="F532" s="495">
        <v>0</v>
      </c>
      <c r="G532" s="495">
        <v>0</v>
      </c>
      <c r="H532" s="400">
        <v>0</v>
      </c>
      <c r="I532" s="400">
        <v>0</v>
      </c>
      <c r="J532" s="400">
        <v>0</v>
      </c>
      <c r="K532" s="400">
        <v>0</v>
      </c>
      <c r="L532" s="496" t="s">
        <v>93</v>
      </c>
      <c r="N532" s="498">
        <v>300</v>
      </c>
      <c r="O532" s="495">
        <v>8</v>
      </c>
      <c r="P532" s="400" t="s">
        <v>1899</v>
      </c>
    </row>
    <row r="533" spans="1:16" ht="13.5">
      <c r="A533" s="400" t="s">
        <v>1972</v>
      </c>
      <c r="B533" s="400">
        <v>3</v>
      </c>
      <c r="C533" s="400" t="s">
        <v>1731</v>
      </c>
      <c r="D533" s="400" t="s">
        <v>93</v>
      </c>
      <c r="E533" s="400">
        <v>4</v>
      </c>
      <c r="F533" s="495">
        <v>0</v>
      </c>
      <c r="G533" s="495">
        <v>0</v>
      </c>
      <c r="H533" s="400">
        <v>0</v>
      </c>
      <c r="I533" s="400">
        <v>0</v>
      </c>
      <c r="J533" s="400">
        <v>0</v>
      </c>
      <c r="K533" s="400">
        <v>0</v>
      </c>
      <c r="L533" s="496" t="s">
        <v>93</v>
      </c>
      <c r="N533" s="498">
        <v>1500</v>
      </c>
      <c r="O533" s="495">
        <v>15</v>
      </c>
      <c r="P533" s="400" t="s">
        <v>1698</v>
      </c>
    </row>
    <row r="534" spans="1:16" ht="13.5">
      <c r="A534" s="400" t="s">
        <v>1973</v>
      </c>
      <c r="B534" s="400">
        <v>3</v>
      </c>
      <c r="C534" s="400" t="s">
        <v>1731</v>
      </c>
      <c r="D534" s="400" t="s">
        <v>93</v>
      </c>
      <c r="E534" s="400">
        <v>1</v>
      </c>
      <c r="F534" s="495">
        <v>0</v>
      </c>
      <c r="G534" s="495">
        <v>0</v>
      </c>
      <c r="H534" s="400">
        <v>0</v>
      </c>
      <c r="I534" s="400">
        <v>0</v>
      </c>
      <c r="J534" s="400">
        <v>0</v>
      </c>
      <c r="K534" s="400">
        <v>0</v>
      </c>
      <c r="L534" s="400" t="s">
        <v>93</v>
      </c>
      <c r="N534" s="498">
        <v>500</v>
      </c>
      <c r="O534" s="495">
        <v>10</v>
      </c>
      <c r="P534" s="400" t="s">
        <v>1914</v>
      </c>
    </row>
    <row r="535" spans="1:16" ht="13.5">
      <c r="A535" s="400" t="s">
        <v>1974</v>
      </c>
      <c r="B535" s="400">
        <v>3</v>
      </c>
      <c r="C535" s="400" t="s">
        <v>1731</v>
      </c>
      <c r="D535" s="400" t="s">
        <v>93</v>
      </c>
      <c r="E535" s="400">
        <v>1</v>
      </c>
      <c r="F535" s="495">
        <v>0</v>
      </c>
      <c r="G535" s="495">
        <v>0</v>
      </c>
      <c r="H535" s="400">
        <v>0</v>
      </c>
      <c r="I535" s="400">
        <v>0</v>
      </c>
      <c r="J535" s="400">
        <v>0</v>
      </c>
      <c r="K535" s="400">
        <v>0</v>
      </c>
      <c r="L535" s="496" t="s">
        <v>93</v>
      </c>
      <c r="N535" s="498">
        <v>4000</v>
      </c>
      <c r="O535" s="495">
        <v>11</v>
      </c>
      <c r="P535" s="400" t="s">
        <v>1899</v>
      </c>
    </row>
    <row r="536" spans="1:16" ht="13.5">
      <c r="A536" s="400" t="s">
        <v>1975</v>
      </c>
      <c r="B536" s="400">
        <v>3</v>
      </c>
      <c r="C536" s="400" t="s">
        <v>1731</v>
      </c>
      <c r="D536" s="400" t="s">
        <v>93</v>
      </c>
      <c r="E536" s="400">
        <v>1</v>
      </c>
      <c r="F536" s="495">
        <v>0</v>
      </c>
      <c r="G536" s="495">
        <v>0</v>
      </c>
      <c r="H536" s="400">
        <v>0</v>
      </c>
      <c r="I536" s="400">
        <v>0</v>
      </c>
      <c r="J536" s="400">
        <v>0</v>
      </c>
      <c r="K536" s="400">
        <v>0</v>
      </c>
      <c r="L536" s="400" t="s">
        <v>93</v>
      </c>
      <c r="N536" s="498">
        <v>150</v>
      </c>
      <c r="O536" s="495">
        <v>15</v>
      </c>
      <c r="P536" s="400" t="s">
        <v>1914</v>
      </c>
    </row>
    <row r="537" spans="1:16" ht="13.5">
      <c r="A537" s="400" t="s">
        <v>1976</v>
      </c>
      <c r="B537" s="400">
        <v>4</v>
      </c>
      <c r="C537" s="400" t="s">
        <v>1731</v>
      </c>
      <c r="D537" s="400" t="s">
        <v>93</v>
      </c>
      <c r="E537" s="400">
        <v>1</v>
      </c>
      <c r="F537" s="495">
        <v>0</v>
      </c>
      <c r="G537" s="495">
        <v>0</v>
      </c>
      <c r="H537" s="400">
        <v>0</v>
      </c>
      <c r="I537" s="400">
        <v>0</v>
      </c>
      <c r="J537" s="400">
        <v>0</v>
      </c>
      <c r="K537" s="400">
        <v>0</v>
      </c>
      <c r="L537" s="400" t="s">
        <v>93</v>
      </c>
      <c r="N537" s="498">
        <v>300</v>
      </c>
      <c r="O537" s="495">
        <v>15</v>
      </c>
      <c r="P537" s="400" t="s">
        <v>1914</v>
      </c>
    </row>
    <row r="538" spans="1:16" ht="13.5">
      <c r="A538" s="400" t="s">
        <v>1977</v>
      </c>
      <c r="B538" s="400">
        <v>10</v>
      </c>
      <c r="C538" s="400" t="s">
        <v>1731</v>
      </c>
      <c r="D538" s="400" t="s">
        <v>93</v>
      </c>
      <c r="E538" s="400">
        <v>2</v>
      </c>
      <c r="F538" s="495">
        <v>0</v>
      </c>
      <c r="G538" s="495">
        <v>0</v>
      </c>
      <c r="H538" s="400">
        <v>0</v>
      </c>
      <c r="I538" s="400">
        <v>0</v>
      </c>
      <c r="J538" s="400">
        <v>0</v>
      </c>
      <c r="K538" s="400">
        <v>0</v>
      </c>
      <c r="L538" s="496" t="s">
        <v>93</v>
      </c>
      <c r="N538" s="498">
        <v>13000</v>
      </c>
      <c r="O538" s="495">
        <v>16</v>
      </c>
      <c r="P538" s="400" t="s">
        <v>1943</v>
      </c>
    </row>
    <row r="539" spans="1:16" ht="13.5">
      <c r="A539" s="400" t="s">
        <v>1978</v>
      </c>
      <c r="B539" s="400">
        <v>5</v>
      </c>
      <c r="C539" s="400" t="s">
        <v>1731</v>
      </c>
      <c r="D539" s="400" t="s">
        <v>93</v>
      </c>
      <c r="E539" s="400">
        <v>3</v>
      </c>
      <c r="F539" s="495">
        <v>0</v>
      </c>
      <c r="G539" s="495">
        <v>0</v>
      </c>
      <c r="H539" s="400">
        <v>0</v>
      </c>
      <c r="I539" s="400">
        <v>0</v>
      </c>
      <c r="J539" s="400">
        <v>0</v>
      </c>
      <c r="K539" s="400">
        <v>0</v>
      </c>
      <c r="L539" s="496" t="s">
        <v>93</v>
      </c>
      <c r="N539" s="498">
        <v>3000</v>
      </c>
      <c r="O539" s="495">
        <v>10</v>
      </c>
      <c r="P539" s="400" t="s">
        <v>1899</v>
      </c>
    </row>
    <row r="540" spans="1:16" ht="13.5">
      <c r="A540" s="400" t="s">
        <v>1979</v>
      </c>
      <c r="B540" s="400" t="s">
        <v>93</v>
      </c>
      <c r="C540" s="400" t="s">
        <v>1731</v>
      </c>
      <c r="D540" s="400" t="s">
        <v>93</v>
      </c>
      <c r="E540" s="400">
        <v>0</v>
      </c>
      <c r="F540" s="495">
        <v>0</v>
      </c>
      <c r="G540" s="495">
        <v>0</v>
      </c>
      <c r="H540" s="495">
        <v>0</v>
      </c>
      <c r="I540" s="495">
        <v>0</v>
      </c>
      <c r="J540" s="495">
        <v>0</v>
      </c>
      <c r="K540" s="495">
        <v>0</v>
      </c>
      <c r="L540" s="495" t="s">
        <v>93</v>
      </c>
      <c r="N540" s="498">
        <v>100</v>
      </c>
      <c r="O540" s="495" t="s">
        <v>93</v>
      </c>
      <c r="P540" s="400" t="s">
        <v>1685</v>
      </c>
    </row>
    <row r="541" spans="1:16" ht="13.5">
      <c r="A541" s="400" t="s">
        <v>1980</v>
      </c>
      <c r="B541" s="400" t="s">
        <v>93</v>
      </c>
      <c r="C541" s="400" t="s">
        <v>1731</v>
      </c>
      <c r="D541" s="400" t="s">
        <v>93</v>
      </c>
      <c r="E541" s="400">
        <v>0</v>
      </c>
      <c r="F541" s="495">
        <v>0</v>
      </c>
      <c r="G541" s="495">
        <v>0</v>
      </c>
      <c r="H541" s="495">
        <v>0</v>
      </c>
      <c r="I541" s="495">
        <v>0</v>
      </c>
      <c r="J541" s="495">
        <v>0</v>
      </c>
      <c r="K541" s="495">
        <v>0</v>
      </c>
      <c r="L541" s="495" t="s">
        <v>93</v>
      </c>
      <c r="N541" s="498">
        <v>20</v>
      </c>
      <c r="O541" s="495" t="s">
        <v>93</v>
      </c>
      <c r="P541" s="400" t="s">
        <v>1685</v>
      </c>
    </row>
    <row r="542" spans="1:16" ht="13.5">
      <c r="A542" s="400" t="s">
        <v>1981</v>
      </c>
      <c r="B542" s="400" t="s">
        <v>93</v>
      </c>
      <c r="C542" s="400" t="s">
        <v>1731</v>
      </c>
      <c r="D542" s="400" t="s">
        <v>93</v>
      </c>
      <c r="E542" s="400">
        <v>1</v>
      </c>
      <c r="F542" s="495">
        <v>0</v>
      </c>
      <c r="G542" s="495">
        <v>0</v>
      </c>
      <c r="H542" s="495">
        <v>0</v>
      </c>
      <c r="I542" s="495">
        <v>0</v>
      </c>
      <c r="J542" s="495">
        <v>0</v>
      </c>
      <c r="K542" s="495">
        <v>0</v>
      </c>
      <c r="L542" s="495" t="s">
        <v>93</v>
      </c>
      <c r="N542" s="498">
        <v>10</v>
      </c>
      <c r="O542" s="495" t="s">
        <v>93</v>
      </c>
      <c r="P542" s="400" t="s">
        <v>1685</v>
      </c>
    </row>
    <row r="543" spans="1:16" ht="13.5">
      <c r="A543" s="400" t="s">
        <v>1730</v>
      </c>
      <c r="B543" s="400" t="s">
        <v>93</v>
      </c>
      <c r="C543" s="400" t="s">
        <v>1731</v>
      </c>
      <c r="D543" s="400" t="s">
        <v>93</v>
      </c>
      <c r="E543" s="400">
        <v>1</v>
      </c>
      <c r="F543" s="495">
        <v>0</v>
      </c>
      <c r="G543" s="495">
        <v>0</v>
      </c>
      <c r="H543" s="495">
        <v>0</v>
      </c>
      <c r="I543" s="495">
        <v>0</v>
      </c>
      <c r="J543" s="495">
        <v>0</v>
      </c>
      <c r="K543" s="495">
        <v>0</v>
      </c>
      <c r="L543" s="495" t="s">
        <v>93</v>
      </c>
      <c r="N543" s="498">
        <v>200</v>
      </c>
      <c r="O543" s="495" t="s">
        <v>93</v>
      </c>
      <c r="P543" s="400" t="s">
        <v>1685</v>
      </c>
    </row>
    <row r="544" spans="1:16" ht="13.5">
      <c r="A544" s="400" t="s">
        <v>1982</v>
      </c>
      <c r="B544" s="400" t="s">
        <v>93</v>
      </c>
      <c r="C544" s="400" t="s">
        <v>1731</v>
      </c>
      <c r="D544" s="400" t="s">
        <v>93</v>
      </c>
      <c r="E544" s="400">
        <v>5</v>
      </c>
      <c r="F544" s="495">
        <v>0</v>
      </c>
      <c r="G544" s="495">
        <v>0</v>
      </c>
      <c r="H544" s="495">
        <v>0</v>
      </c>
      <c r="I544" s="495">
        <v>0</v>
      </c>
      <c r="J544" s="495">
        <v>0</v>
      </c>
      <c r="K544" s="495">
        <v>0</v>
      </c>
      <c r="L544" s="495" t="s">
        <v>93</v>
      </c>
      <c r="N544" s="498">
        <v>50</v>
      </c>
      <c r="O544" s="495" t="s">
        <v>93</v>
      </c>
      <c r="P544" s="400" t="s">
        <v>1685</v>
      </c>
    </row>
    <row r="545" spans="1:16" ht="13.5">
      <c r="A545" s="400" t="s">
        <v>1983</v>
      </c>
      <c r="B545" s="400" t="s">
        <v>93</v>
      </c>
      <c r="C545" s="400" t="s">
        <v>1731</v>
      </c>
      <c r="D545" s="400" t="s">
        <v>93</v>
      </c>
      <c r="E545" s="400">
        <v>1</v>
      </c>
      <c r="F545" s="495">
        <v>0</v>
      </c>
      <c r="G545" s="495">
        <v>0</v>
      </c>
      <c r="H545" s="495">
        <v>0</v>
      </c>
      <c r="I545" s="495">
        <v>0</v>
      </c>
      <c r="J545" s="495">
        <v>0</v>
      </c>
      <c r="K545" s="495">
        <v>0</v>
      </c>
      <c r="L545" s="495" t="s">
        <v>93</v>
      </c>
      <c r="N545" s="498">
        <v>5</v>
      </c>
      <c r="O545" s="495" t="s">
        <v>93</v>
      </c>
      <c r="P545" s="400" t="s">
        <v>1685</v>
      </c>
    </row>
    <row r="546" spans="1:16" ht="13.5">
      <c r="A546" s="400" t="s">
        <v>1984</v>
      </c>
      <c r="B546" s="400" t="s">
        <v>93</v>
      </c>
      <c r="C546" s="400" t="s">
        <v>1731</v>
      </c>
      <c r="D546" s="400" t="s">
        <v>93</v>
      </c>
      <c r="E546" s="400">
        <v>1</v>
      </c>
      <c r="F546" s="495">
        <v>0</v>
      </c>
      <c r="G546" s="495">
        <v>0</v>
      </c>
      <c r="H546" s="495">
        <v>0</v>
      </c>
      <c r="I546" s="495">
        <v>0</v>
      </c>
      <c r="J546" s="495">
        <v>0</v>
      </c>
      <c r="K546" s="495">
        <v>0</v>
      </c>
      <c r="L546" s="495" t="s">
        <v>93</v>
      </c>
      <c r="N546" s="498">
        <v>1</v>
      </c>
      <c r="O546" s="495" t="s">
        <v>93</v>
      </c>
      <c r="P546" s="400" t="s">
        <v>1685</v>
      </c>
    </row>
    <row r="547" spans="1:16" ht="13.5">
      <c r="A547" s="400" t="s">
        <v>1985</v>
      </c>
      <c r="B547" s="400" t="s">
        <v>93</v>
      </c>
      <c r="C547" s="400" t="s">
        <v>1731</v>
      </c>
      <c r="D547" s="400" t="s">
        <v>93</v>
      </c>
      <c r="E547" s="400">
        <v>2</v>
      </c>
      <c r="F547" s="495">
        <v>0</v>
      </c>
      <c r="G547" s="495">
        <v>0</v>
      </c>
      <c r="H547" s="495">
        <v>0</v>
      </c>
      <c r="I547" s="495">
        <v>0</v>
      </c>
      <c r="J547" s="495">
        <v>0</v>
      </c>
      <c r="K547" s="495">
        <v>0</v>
      </c>
      <c r="L547" s="495" t="s">
        <v>93</v>
      </c>
      <c r="N547" s="498">
        <v>20</v>
      </c>
      <c r="O547" s="495" t="s">
        <v>93</v>
      </c>
      <c r="P547" s="400" t="s">
        <v>1685</v>
      </c>
    </row>
    <row r="548" spans="1:16" ht="13.5">
      <c r="A548" s="400" t="s">
        <v>1986</v>
      </c>
      <c r="B548" s="400" t="s">
        <v>93</v>
      </c>
      <c r="C548" s="400" t="s">
        <v>1731</v>
      </c>
      <c r="D548" s="400" t="s">
        <v>93</v>
      </c>
      <c r="E548" s="400">
        <v>1</v>
      </c>
      <c r="F548" s="495">
        <v>0</v>
      </c>
      <c r="G548" s="495">
        <v>0</v>
      </c>
      <c r="H548" s="495">
        <v>0</v>
      </c>
      <c r="I548" s="495">
        <v>0</v>
      </c>
      <c r="J548" s="495">
        <v>0</v>
      </c>
      <c r="K548" s="495">
        <v>0</v>
      </c>
      <c r="L548" s="495" t="s">
        <v>93</v>
      </c>
      <c r="N548" s="498">
        <v>1</v>
      </c>
      <c r="O548" s="495" t="s">
        <v>93</v>
      </c>
      <c r="P548" s="400" t="s">
        <v>1685</v>
      </c>
    </row>
    <row r="549" spans="1:16" ht="13.5">
      <c r="A549" s="400" t="s">
        <v>1987</v>
      </c>
      <c r="B549" s="400" t="s">
        <v>93</v>
      </c>
      <c r="C549" s="400" t="s">
        <v>1731</v>
      </c>
      <c r="D549" s="400" t="s">
        <v>93</v>
      </c>
      <c r="E549" s="400">
        <v>1</v>
      </c>
      <c r="F549" s="495">
        <v>0</v>
      </c>
      <c r="G549" s="495">
        <v>0</v>
      </c>
      <c r="H549" s="495">
        <v>0</v>
      </c>
      <c r="I549" s="495">
        <v>0</v>
      </c>
      <c r="J549" s="495">
        <v>0</v>
      </c>
      <c r="K549" s="495">
        <v>0</v>
      </c>
      <c r="L549" s="495" t="s">
        <v>93</v>
      </c>
      <c r="N549" s="498">
        <v>10</v>
      </c>
      <c r="O549" s="495" t="s">
        <v>93</v>
      </c>
      <c r="P549" s="400" t="s">
        <v>1685</v>
      </c>
    </row>
    <row r="550" spans="1:16" ht="13.5">
      <c r="A550" s="400" t="s">
        <v>1988</v>
      </c>
      <c r="B550" s="400" t="s">
        <v>93</v>
      </c>
      <c r="C550" s="400" t="s">
        <v>1731</v>
      </c>
      <c r="D550" s="400" t="s">
        <v>93</v>
      </c>
      <c r="E550" s="400">
        <v>3</v>
      </c>
      <c r="F550" s="495">
        <v>0</v>
      </c>
      <c r="G550" s="495">
        <v>0</v>
      </c>
      <c r="H550" s="495">
        <v>0</v>
      </c>
      <c r="I550" s="495">
        <v>0</v>
      </c>
      <c r="J550" s="495">
        <v>0</v>
      </c>
      <c r="K550" s="495">
        <v>0</v>
      </c>
      <c r="L550" s="495" t="s">
        <v>93</v>
      </c>
      <c r="N550" s="498">
        <v>5</v>
      </c>
      <c r="O550" s="495" t="s">
        <v>93</v>
      </c>
      <c r="P550" s="400" t="s">
        <v>1685</v>
      </c>
    </row>
    <row r="551" spans="1:16" ht="13.5">
      <c r="A551" s="400" t="s">
        <v>1989</v>
      </c>
      <c r="B551" s="400" t="s">
        <v>93</v>
      </c>
      <c r="C551" s="400" t="s">
        <v>1731</v>
      </c>
      <c r="D551" s="400" t="s">
        <v>93</v>
      </c>
      <c r="E551" s="400">
        <v>1</v>
      </c>
      <c r="F551" s="495">
        <v>0</v>
      </c>
      <c r="G551" s="495">
        <v>0</v>
      </c>
      <c r="H551" s="495">
        <v>0</v>
      </c>
      <c r="I551" s="495">
        <v>0</v>
      </c>
      <c r="J551" s="495">
        <v>0</v>
      </c>
      <c r="K551" s="495">
        <v>0</v>
      </c>
      <c r="L551" s="495" t="s">
        <v>93</v>
      </c>
      <c r="N551" s="498">
        <v>200</v>
      </c>
      <c r="O551" s="495" t="s">
        <v>93</v>
      </c>
      <c r="P551" s="400" t="s">
        <v>1685</v>
      </c>
    </row>
    <row r="552" spans="1:16" ht="13.5">
      <c r="A552" s="400" t="s">
        <v>1990</v>
      </c>
      <c r="B552" s="400" t="s">
        <v>93</v>
      </c>
      <c r="C552" s="400" t="s">
        <v>1731</v>
      </c>
      <c r="D552" s="400" t="s">
        <v>93</v>
      </c>
      <c r="E552" s="400">
        <v>1</v>
      </c>
      <c r="F552" s="495">
        <v>0</v>
      </c>
      <c r="G552" s="495">
        <v>0</v>
      </c>
      <c r="H552" s="495">
        <v>0</v>
      </c>
      <c r="I552" s="495">
        <v>0</v>
      </c>
      <c r="J552" s="495">
        <v>0</v>
      </c>
      <c r="K552" s="495">
        <v>0</v>
      </c>
      <c r="L552" s="495" t="s">
        <v>93</v>
      </c>
      <c r="N552" s="498">
        <v>400</v>
      </c>
      <c r="O552" s="495" t="s">
        <v>93</v>
      </c>
      <c r="P552" s="400" t="s">
        <v>1685</v>
      </c>
    </row>
    <row r="553" spans="1:16" ht="13.5">
      <c r="A553" s="400" t="s">
        <v>1991</v>
      </c>
      <c r="B553" s="400" t="s">
        <v>93</v>
      </c>
      <c r="C553" s="400" t="s">
        <v>1731</v>
      </c>
      <c r="D553" s="400" t="s">
        <v>93</v>
      </c>
      <c r="E553" s="400">
        <v>1</v>
      </c>
      <c r="F553" s="495">
        <v>0</v>
      </c>
      <c r="G553" s="495">
        <v>0</v>
      </c>
      <c r="H553" s="495">
        <v>0</v>
      </c>
      <c r="I553" s="495">
        <v>0</v>
      </c>
      <c r="J553" s="495">
        <v>0</v>
      </c>
      <c r="K553" s="495">
        <v>0</v>
      </c>
      <c r="L553" s="495" t="s">
        <v>93</v>
      </c>
      <c r="N553" s="498">
        <v>600</v>
      </c>
      <c r="O553" s="495" t="s">
        <v>93</v>
      </c>
      <c r="P553" s="400" t="s">
        <v>1685</v>
      </c>
    </row>
    <row r="554" spans="1:16" ht="13.5">
      <c r="A554" s="400" t="s">
        <v>1992</v>
      </c>
      <c r="B554" s="400" t="s">
        <v>93</v>
      </c>
      <c r="C554" s="400" t="s">
        <v>1731</v>
      </c>
      <c r="D554" s="400" t="s">
        <v>93</v>
      </c>
      <c r="E554" s="400">
        <v>1</v>
      </c>
      <c r="F554" s="495">
        <v>0</v>
      </c>
      <c r="G554" s="495">
        <v>0</v>
      </c>
      <c r="H554" s="495">
        <v>0</v>
      </c>
      <c r="I554" s="495">
        <v>0</v>
      </c>
      <c r="J554" s="495">
        <v>0</v>
      </c>
      <c r="K554" s="495">
        <v>0</v>
      </c>
      <c r="L554" s="495" t="s">
        <v>93</v>
      </c>
      <c r="N554" s="498">
        <v>600</v>
      </c>
      <c r="O554" s="495" t="s">
        <v>93</v>
      </c>
      <c r="P554" s="400" t="s">
        <v>1685</v>
      </c>
    </row>
    <row r="555" spans="1:16" ht="13.5">
      <c r="A555" s="400" t="s">
        <v>1993</v>
      </c>
      <c r="B555" s="400" t="s">
        <v>93</v>
      </c>
      <c r="C555" s="400" t="s">
        <v>1731</v>
      </c>
      <c r="D555" s="400" t="s">
        <v>93</v>
      </c>
      <c r="E555" s="400">
        <v>1</v>
      </c>
      <c r="F555" s="495">
        <v>0</v>
      </c>
      <c r="G555" s="495">
        <v>0</v>
      </c>
      <c r="H555" s="495">
        <v>0</v>
      </c>
      <c r="I555" s="495">
        <v>0</v>
      </c>
      <c r="J555" s="495">
        <v>0</v>
      </c>
      <c r="K555" s="495">
        <v>0</v>
      </c>
      <c r="L555" s="495" t="s">
        <v>93</v>
      </c>
      <c r="N555" s="498">
        <v>50</v>
      </c>
      <c r="O555" s="495" t="s">
        <v>93</v>
      </c>
      <c r="P555" s="400" t="s">
        <v>1685</v>
      </c>
    </row>
    <row r="556" spans="1:16" ht="13.5">
      <c r="A556" s="400" t="s">
        <v>1994</v>
      </c>
      <c r="B556" s="400" t="s">
        <v>93</v>
      </c>
      <c r="C556" s="400" t="s">
        <v>1731</v>
      </c>
      <c r="D556" s="400" t="s">
        <v>1995</v>
      </c>
      <c r="E556" s="400">
        <v>1</v>
      </c>
      <c r="F556" s="495">
        <v>0</v>
      </c>
      <c r="G556" s="495">
        <v>0</v>
      </c>
      <c r="H556" s="495">
        <v>0</v>
      </c>
      <c r="I556" s="495">
        <v>0</v>
      </c>
      <c r="J556" s="495">
        <v>0</v>
      </c>
      <c r="K556" s="495">
        <v>0</v>
      </c>
      <c r="L556" s="495" t="s">
        <v>93</v>
      </c>
      <c r="N556" s="498">
        <v>100</v>
      </c>
      <c r="O556" s="495" t="s">
        <v>93</v>
      </c>
      <c r="P556" s="400" t="s">
        <v>1685</v>
      </c>
    </row>
    <row r="557" spans="1:16" ht="13.5">
      <c r="A557" s="400" t="s">
        <v>1996</v>
      </c>
      <c r="B557" s="400" t="s">
        <v>93</v>
      </c>
      <c r="C557" s="400" t="s">
        <v>1731</v>
      </c>
      <c r="D557" s="400" t="s">
        <v>93</v>
      </c>
      <c r="E557" s="400">
        <v>1</v>
      </c>
      <c r="F557" s="495">
        <v>0</v>
      </c>
      <c r="G557" s="495">
        <v>0</v>
      </c>
      <c r="H557" s="495">
        <v>0</v>
      </c>
      <c r="I557" s="495">
        <v>0</v>
      </c>
      <c r="J557" s="495">
        <v>0</v>
      </c>
      <c r="K557" s="495">
        <v>0</v>
      </c>
      <c r="L557" s="495" t="s">
        <v>93</v>
      </c>
      <c r="N557" s="498">
        <v>5</v>
      </c>
      <c r="O557" s="495" t="s">
        <v>93</v>
      </c>
      <c r="P557" s="400" t="s">
        <v>1685</v>
      </c>
    </row>
    <row r="558" spans="1:16" ht="13.5">
      <c r="A558" s="400" t="s">
        <v>1997</v>
      </c>
      <c r="B558" s="400" t="s">
        <v>93</v>
      </c>
      <c r="C558" s="400" t="s">
        <v>1731</v>
      </c>
      <c r="D558" s="400" t="s">
        <v>93</v>
      </c>
      <c r="E558" s="400">
        <v>0</v>
      </c>
      <c r="F558" s="495">
        <v>0</v>
      </c>
      <c r="G558" s="495">
        <v>0</v>
      </c>
      <c r="H558" s="495">
        <v>0</v>
      </c>
      <c r="I558" s="495">
        <v>0</v>
      </c>
      <c r="J558" s="495">
        <v>0</v>
      </c>
      <c r="K558" s="495">
        <v>0</v>
      </c>
      <c r="L558" s="495" t="s">
        <v>93</v>
      </c>
      <c r="N558" s="498">
        <v>5</v>
      </c>
      <c r="O558" s="495" t="s">
        <v>93</v>
      </c>
      <c r="P558" s="400" t="s">
        <v>1685</v>
      </c>
    </row>
    <row r="559" spans="1:16" ht="13.5">
      <c r="A559" s="400" t="s">
        <v>1998</v>
      </c>
      <c r="B559" s="400" t="s">
        <v>93</v>
      </c>
      <c r="C559" s="400" t="s">
        <v>1731</v>
      </c>
      <c r="D559" s="400" t="s">
        <v>93</v>
      </c>
      <c r="E559" s="400">
        <v>1</v>
      </c>
      <c r="F559" s="495">
        <v>0</v>
      </c>
      <c r="G559" s="495">
        <v>0</v>
      </c>
      <c r="H559" s="495">
        <v>0</v>
      </c>
      <c r="I559" s="495">
        <v>0</v>
      </c>
      <c r="J559" s="495">
        <v>0</v>
      </c>
      <c r="K559" s="495">
        <v>0</v>
      </c>
      <c r="L559" s="495" t="s">
        <v>93</v>
      </c>
      <c r="N559" s="498">
        <v>5</v>
      </c>
      <c r="O559" s="495" t="s">
        <v>93</v>
      </c>
      <c r="P559" s="400" t="s">
        <v>1685</v>
      </c>
    </row>
    <row r="560" spans="1:16" ht="13.5">
      <c r="A560" s="400" t="s">
        <v>315</v>
      </c>
      <c r="B560" s="400" t="s">
        <v>93</v>
      </c>
      <c r="C560" s="400" t="s">
        <v>1999</v>
      </c>
      <c r="D560" s="400" t="s">
        <v>93</v>
      </c>
      <c r="E560" s="400">
        <v>1</v>
      </c>
      <c r="F560" s="495">
        <v>0</v>
      </c>
      <c r="G560" s="495">
        <v>0</v>
      </c>
      <c r="H560" s="400">
        <v>0</v>
      </c>
      <c r="I560" s="400">
        <v>0</v>
      </c>
      <c r="J560" s="400">
        <v>0</v>
      </c>
      <c r="K560" s="400">
        <v>0</v>
      </c>
      <c r="L560" s="400" t="s">
        <v>93</v>
      </c>
      <c r="N560" s="498">
        <v>30</v>
      </c>
      <c r="O560" s="495" t="s">
        <v>93</v>
      </c>
      <c r="P560" s="400" t="s">
        <v>2000</v>
      </c>
    </row>
    <row r="561" spans="1:16" ht="13.5">
      <c r="A561" s="400" t="s">
        <v>2001</v>
      </c>
      <c r="B561" s="400" t="s">
        <v>93</v>
      </c>
      <c r="C561" s="400" t="s">
        <v>1999</v>
      </c>
      <c r="D561" s="400" t="s">
        <v>93</v>
      </c>
      <c r="E561" s="400">
        <v>0</v>
      </c>
      <c r="F561" s="495">
        <v>0</v>
      </c>
      <c r="G561" s="495">
        <v>0</v>
      </c>
      <c r="H561" s="400">
        <v>0</v>
      </c>
      <c r="I561" s="400">
        <v>0</v>
      </c>
      <c r="J561" s="400">
        <v>0</v>
      </c>
      <c r="K561" s="400">
        <v>0</v>
      </c>
      <c r="L561" s="400" t="s">
        <v>93</v>
      </c>
      <c r="N561" s="498">
        <v>0</v>
      </c>
      <c r="O561" s="495" t="s">
        <v>93</v>
      </c>
      <c r="P561" s="400" t="s">
        <v>2002</v>
      </c>
    </row>
    <row r="562" spans="1:16" ht="13.5">
      <c r="A562" s="400" t="s">
        <v>318</v>
      </c>
      <c r="B562" s="400" t="s">
        <v>93</v>
      </c>
      <c r="C562" s="400" t="s">
        <v>1999</v>
      </c>
      <c r="D562" s="400" t="s">
        <v>93</v>
      </c>
      <c r="E562" s="400">
        <v>1</v>
      </c>
      <c r="F562" s="495">
        <v>0</v>
      </c>
      <c r="G562" s="495">
        <v>0</v>
      </c>
      <c r="H562" s="400">
        <v>0</v>
      </c>
      <c r="I562" s="400">
        <v>0</v>
      </c>
      <c r="J562" s="400">
        <v>0</v>
      </c>
      <c r="K562" s="400">
        <v>0</v>
      </c>
      <c r="L562" s="400" t="s">
        <v>93</v>
      </c>
      <c r="N562" s="498">
        <v>50</v>
      </c>
      <c r="O562" s="495" t="s">
        <v>93</v>
      </c>
      <c r="P562" s="400" t="s">
        <v>2000</v>
      </c>
    </row>
    <row r="563" spans="1:16" ht="13.5">
      <c r="A563" s="400" t="s">
        <v>2003</v>
      </c>
      <c r="B563" s="400" t="s">
        <v>93</v>
      </c>
      <c r="C563" s="400" t="s">
        <v>1999</v>
      </c>
      <c r="D563" s="400" t="s">
        <v>93</v>
      </c>
      <c r="E563" s="400">
        <v>0</v>
      </c>
      <c r="F563" s="495">
        <v>0</v>
      </c>
      <c r="G563" s="495">
        <v>0</v>
      </c>
      <c r="H563" s="400">
        <v>0</v>
      </c>
      <c r="I563" s="400">
        <v>0</v>
      </c>
      <c r="J563" s="400">
        <v>0</v>
      </c>
      <c r="K563" s="400">
        <v>0</v>
      </c>
      <c r="L563" s="400" t="s">
        <v>93</v>
      </c>
      <c r="N563" s="498">
        <v>0</v>
      </c>
      <c r="O563" s="495" t="s">
        <v>93</v>
      </c>
      <c r="P563" s="400" t="s">
        <v>2004</v>
      </c>
    </row>
    <row r="564" spans="1:16" ht="13.5">
      <c r="A564" s="400" t="s">
        <v>2005</v>
      </c>
      <c r="B564" s="400" t="s">
        <v>93</v>
      </c>
      <c r="C564" s="400" t="s">
        <v>1999</v>
      </c>
      <c r="D564" s="400" t="s">
        <v>93</v>
      </c>
      <c r="E564" s="400">
        <v>1</v>
      </c>
      <c r="F564" s="495">
        <v>0</v>
      </c>
      <c r="G564" s="495">
        <v>0</v>
      </c>
      <c r="H564" s="400">
        <v>0</v>
      </c>
      <c r="I564" s="400">
        <v>0</v>
      </c>
      <c r="J564" s="400">
        <v>0</v>
      </c>
      <c r="K564" s="400">
        <v>0</v>
      </c>
      <c r="L564" s="400" t="s">
        <v>93</v>
      </c>
      <c r="N564" s="498">
        <v>200</v>
      </c>
      <c r="O564" s="495" t="s">
        <v>93</v>
      </c>
      <c r="P564" s="400" t="s">
        <v>2000</v>
      </c>
    </row>
    <row r="565" spans="1:16" ht="13.5">
      <c r="A565" s="400" t="s">
        <v>2006</v>
      </c>
      <c r="B565" s="400" t="s">
        <v>93</v>
      </c>
      <c r="C565" s="400" t="s">
        <v>1999</v>
      </c>
      <c r="D565" s="400" t="s">
        <v>93</v>
      </c>
      <c r="E565" s="400">
        <v>1</v>
      </c>
      <c r="F565" s="495">
        <v>0</v>
      </c>
      <c r="G565" s="495">
        <v>0</v>
      </c>
      <c r="H565" s="400">
        <v>0</v>
      </c>
      <c r="I565" s="400">
        <v>0</v>
      </c>
      <c r="J565" s="400">
        <v>0</v>
      </c>
      <c r="K565" s="400">
        <v>0</v>
      </c>
      <c r="L565" s="400" t="s">
        <v>93</v>
      </c>
      <c r="N565" s="498">
        <v>300</v>
      </c>
      <c r="O565" s="495" t="s">
        <v>93</v>
      </c>
      <c r="P565" s="400" t="s">
        <v>2000</v>
      </c>
    </row>
    <row r="566" spans="1:16" ht="13.5">
      <c r="A566" s="400" t="s">
        <v>2007</v>
      </c>
      <c r="B566" s="400" t="s">
        <v>93</v>
      </c>
      <c r="C566" s="400" t="s">
        <v>1999</v>
      </c>
      <c r="D566" s="400" t="s">
        <v>93</v>
      </c>
      <c r="E566" s="400">
        <v>1</v>
      </c>
      <c r="F566" s="495">
        <v>0</v>
      </c>
      <c r="G566" s="495">
        <v>0</v>
      </c>
      <c r="H566" s="400">
        <v>0</v>
      </c>
      <c r="I566" s="400">
        <v>0</v>
      </c>
      <c r="J566" s="400">
        <v>0</v>
      </c>
      <c r="K566" s="400">
        <v>0</v>
      </c>
      <c r="L566" s="400" t="s">
        <v>93</v>
      </c>
      <c r="N566" s="498">
        <v>10</v>
      </c>
      <c r="O566" s="495" t="s">
        <v>93</v>
      </c>
      <c r="P566" s="400" t="s">
        <v>2000</v>
      </c>
    </row>
    <row r="567" spans="1:16" ht="13.5">
      <c r="A567" s="400" t="s">
        <v>2008</v>
      </c>
      <c r="B567" s="400" t="s">
        <v>93</v>
      </c>
      <c r="C567" s="400" t="s">
        <v>1999</v>
      </c>
      <c r="D567" s="400" t="s">
        <v>93</v>
      </c>
      <c r="E567" s="400">
        <v>1</v>
      </c>
      <c r="F567" s="495">
        <v>0</v>
      </c>
      <c r="G567" s="495">
        <v>0</v>
      </c>
      <c r="H567" s="400">
        <v>0</v>
      </c>
      <c r="I567" s="400">
        <v>0</v>
      </c>
      <c r="J567" s="400">
        <v>0</v>
      </c>
      <c r="K567" s="400">
        <v>0</v>
      </c>
      <c r="L567" s="400" t="s">
        <v>93</v>
      </c>
      <c r="N567" s="498">
        <v>300</v>
      </c>
      <c r="O567" s="495" t="s">
        <v>93</v>
      </c>
      <c r="P567" s="400" t="s">
        <v>2000</v>
      </c>
    </row>
    <row r="568" spans="1:16" ht="13.5">
      <c r="A568" s="400" t="s">
        <v>2009</v>
      </c>
      <c r="B568" s="400" t="s">
        <v>93</v>
      </c>
      <c r="C568" s="400" t="s">
        <v>1999</v>
      </c>
      <c r="D568" s="400" t="s">
        <v>93</v>
      </c>
      <c r="E568" s="400">
        <v>1</v>
      </c>
      <c r="F568" s="495">
        <v>0</v>
      </c>
      <c r="G568" s="495">
        <v>0</v>
      </c>
      <c r="H568" s="400">
        <v>0</v>
      </c>
      <c r="I568" s="400">
        <v>0</v>
      </c>
      <c r="J568" s="400">
        <v>0</v>
      </c>
      <c r="K568" s="400">
        <v>0</v>
      </c>
      <c r="L568" s="400" t="s">
        <v>93</v>
      </c>
      <c r="N568" s="498">
        <v>10000</v>
      </c>
      <c r="O568" s="495" t="s">
        <v>93</v>
      </c>
      <c r="P568" s="400" t="s">
        <v>1702</v>
      </c>
    </row>
    <row r="569" spans="1:16" ht="13.5">
      <c r="A569" s="400" t="s">
        <v>2010</v>
      </c>
      <c r="B569" s="400" t="s">
        <v>93</v>
      </c>
      <c r="C569" s="400" t="s">
        <v>1999</v>
      </c>
      <c r="D569" s="400" t="s">
        <v>93</v>
      </c>
      <c r="E569" s="400">
        <v>1</v>
      </c>
      <c r="F569" s="495">
        <v>0</v>
      </c>
      <c r="G569" s="495">
        <v>0</v>
      </c>
      <c r="H569" s="400">
        <v>0</v>
      </c>
      <c r="I569" s="400">
        <v>0</v>
      </c>
      <c r="J569" s="400">
        <v>0</v>
      </c>
      <c r="K569" s="400">
        <v>0</v>
      </c>
      <c r="L569" s="400" t="s">
        <v>93</v>
      </c>
      <c r="N569" s="498">
        <v>15000</v>
      </c>
      <c r="O569" s="495" t="s">
        <v>93</v>
      </c>
      <c r="P569" s="400" t="s">
        <v>1702</v>
      </c>
    </row>
    <row r="570" spans="1:16" ht="13.5">
      <c r="A570" s="400" t="s">
        <v>2011</v>
      </c>
      <c r="B570" s="400" t="s">
        <v>93</v>
      </c>
      <c r="C570" s="400" t="s">
        <v>1999</v>
      </c>
      <c r="D570" s="400" t="s">
        <v>93</v>
      </c>
      <c r="E570" s="400">
        <v>1</v>
      </c>
      <c r="F570" s="495">
        <v>0</v>
      </c>
      <c r="G570" s="495">
        <v>0</v>
      </c>
      <c r="H570" s="400">
        <v>0</v>
      </c>
      <c r="I570" s="400">
        <v>0</v>
      </c>
      <c r="J570" s="400">
        <v>0</v>
      </c>
      <c r="K570" s="400">
        <v>0</v>
      </c>
      <c r="L570" s="400" t="s">
        <v>93</v>
      </c>
      <c r="N570" s="498">
        <v>15000</v>
      </c>
      <c r="O570" s="495" t="s">
        <v>93</v>
      </c>
      <c r="P570" s="400" t="s">
        <v>1702</v>
      </c>
    </row>
    <row r="571" spans="1:16" ht="13.5">
      <c r="A571" s="400" t="s">
        <v>2012</v>
      </c>
      <c r="B571" s="400" t="s">
        <v>93</v>
      </c>
      <c r="C571" s="400" t="s">
        <v>1999</v>
      </c>
      <c r="D571" s="400" t="s">
        <v>93</v>
      </c>
      <c r="E571" s="400">
        <v>1</v>
      </c>
      <c r="F571" s="495">
        <v>0</v>
      </c>
      <c r="G571" s="495">
        <v>0</v>
      </c>
      <c r="H571" s="400">
        <v>0</v>
      </c>
      <c r="I571" s="400">
        <v>0</v>
      </c>
      <c r="J571" s="400">
        <v>0</v>
      </c>
      <c r="K571" s="400">
        <v>0</v>
      </c>
      <c r="L571" s="496" t="s">
        <v>93</v>
      </c>
      <c r="N571" s="498">
        <v>300</v>
      </c>
      <c r="O571" s="495">
        <v>9</v>
      </c>
      <c r="P571" s="400" t="s">
        <v>1706</v>
      </c>
    </row>
    <row r="572" spans="1:16" ht="13.5">
      <c r="A572" s="400" t="s">
        <v>2013</v>
      </c>
      <c r="B572" s="400">
        <v>1</v>
      </c>
      <c r="C572" s="400" t="s">
        <v>1999</v>
      </c>
      <c r="D572" s="400" t="s">
        <v>93</v>
      </c>
      <c r="E572" s="400">
        <v>1</v>
      </c>
      <c r="F572" s="495">
        <v>0</v>
      </c>
      <c r="G572" s="495">
        <v>0</v>
      </c>
      <c r="H572" s="400">
        <v>0</v>
      </c>
      <c r="I572" s="400">
        <v>0</v>
      </c>
      <c r="J572" s="400">
        <v>0</v>
      </c>
      <c r="K572" s="400">
        <v>0</v>
      </c>
      <c r="L572" s="400" t="s">
        <v>93</v>
      </c>
      <c r="N572" s="498">
        <v>300</v>
      </c>
      <c r="O572" s="495">
        <v>12</v>
      </c>
      <c r="P572" s="400" t="s">
        <v>1914</v>
      </c>
    </row>
    <row r="573" spans="1:16" ht="13.5">
      <c r="A573" s="400" t="s">
        <v>2014</v>
      </c>
      <c r="B573" s="400">
        <v>1</v>
      </c>
      <c r="C573" s="400" t="s">
        <v>1999</v>
      </c>
      <c r="D573" s="400" t="s">
        <v>93</v>
      </c>
      <c r="E573" s="400">
        <v>1</v>
      </c>
      <c r="F573" s="495">
        <v>0</v>
      </c>
      <c r="G573" s="495">
        <v>0</v>
      </c>
      <c r="H573" s="400">
        <v>0</v>
      </c>
      <c r="I573" s="400">
        <v>0</v>
      </c>
      <c r="J573" s="400">
        <v>0</v>
      </c>
      <c r="K573" s="400">
        <v>0</v>
      </c>
      <c r="L573" s="400" t="s">
        <v>93</v>
      </c>
      <c r="N573" s="498">
        <v>200</v>
      </c>
      <c r="O573" s="495">
        <v>12</v>
      </c>
      <c r="P573" s="400" t="s">
        <v>1914</v>
      </c>
    </row>
    <row r="574" spans="1:16" ht="13.5">
      <c r="A574" s="400" t="s">
        <v>2015</v>
      </c>
      <c r="B574" s="400">
        <v>1</v>
      </c>
      <c r="C574" s="400" t="s">
        <v>1999</v>
      </c>
      <c r="D574" s="400" t="s">
        <v>93</v>
      </c>
      <c r="E574" s="400">
        <v>1</v>
      </c>
      <c r="F574" s="495">
        <v>0</v>
      </c>
      <c r="G574" s="495">
        <v>0</v>
      </c>
      <c r="H574" s="400">
        <v>0</v>
      </c>
      <c r="I574" s="400">
        <v>0</v>
      </c>
      <c r="J574" s="400">
        <v>0</v>
      </c>
      <c r="K574" s="400">
        <v>0</v>
      </c>
      <c r="L574" s="400" t="s">
        <v>93</v>
      </c>
      <c r="N574" s="498">
        <v>500</v>
      </c>
      <c r="O574" s="495">
        <v>12</v>
      </c>
      <c r="P574" s="400" t="s">
        <v>1914</v>
      </c>
    </row>
    <row r="575" spans="1:16" ht="13.5">
      <c r="A575" s="400" t="s">
        <v>2016</v>
      </c>
      <c r="B575" s="400" t="s">
        <v>93</v>
      </c>
      <c r="C575" s="400" t="s">
        <v>2017</v>
      </c>
      <c r="D575" s="400" t="s">
        <v>93</v>
      </c>
      <c r="E575" s="400">
        <v>1</v>
      </c>
      <c r="F575" s="495">
        <v>0</v>
      </c>
      <c r="G575" s="495">
        <v>0</v>
      </c>
      <c r="H575" s="400">
        <v>0</v>
      </c>
      <c r="I575" s="400">
        <v>0</v>
      </c>
      <c r="J575" s="400">
        <v>0</v>
      </c>
      <c r="K575" s="400">
        <v>0</v>
      </c>
      <c r="L575" s="400" t="s">
        <v>93</v>
      </c>
      <c r="N575" s="498">
        <v>4</v>
      </c>
      <c r="O575" s="495" t="s">
        <v>93</v>
      </c>
      <c r="P575" s="400" t="s">
        <v>2000</v>
      </c>
    </row>
    <row r="576" spans="1:16" ht="13.5">
      <c r="A576" s="400" t="s">
        <v>2018</v>
      </c>
      <c r="B576" s="400" t="s">
        <v>93</v>
      </c>
      <c r="C576" s="400" t="s">
        <v>2017</v>
      </c>
      <c r="D576" s="400" t="s">
        <v>93</v>
      </c>
      <c r="E576" s="400">
        <v>1</v>
      </c>
      <c r="F576" s="495">
        <v>0</v>
      </c>
      <c r="G576" s="495">
        <v>0</v>
      </c>
      <c r="H576" s="400">
        <v>0</v>
      </c>
      <c r="I576" s="400">
        <v>0</v>
      </c>
      <c r="J576" s="400">
        <v>0</v>
      </c>
      <c r="K576" s="400">
        <v>0</v>
      </c>
      <c r="L576" s="400" t="s">
        <v>93</v>
      </c>
      <c r="N576" s="498">
        <v>15</v>
      </c>
      <c r="O576" s="495" t="s">
        <v>93</v>
      </c>
      <c r="P576" s="400" t="s">
        <v>2000</v>
      </c>
    </row>
    <row r="577" spans="1:16" ht="13.5">
      <c r="A577" s="400" t="s">
        <v>2019</v>
      </c>
      <c r="B577" s="400" t="s">
        <v>93</v>
      </c>
      <c r="C577" s="400" t="s">
        <v>2017</v>
      </c>
      <c r="D577" s="400" t="s">
        <v>93</v>
      </c>
      <c r="E577" s="400">
        <v>1</v>
      </c>
      <c r="F577" s="495">
        <v>0</v>
      </c>
      <c r="G577" s="495">
        <v>0</v>
      </c>
      <c r="H577" s="400">
        <v>0</v>
      </c>
      <c r="I577" s="400">
        <v>0</v>
      </c>
      <c r="J577" s="400">
        <v>0</v>
      </c>
      <c r="K577" s="400">
        <v>0</v>
      </c>
      <c r="L577" s="400" t="s">
        <v>93</v>
      </c>
      <c r="N577" s="498">
        <v>3</v>
      </c>
      <c r="O577" s="495" t="s">
        <v>93</v>
      </c>
      <c r="P577" s="400" t="s">
        <v>2000</v>
      </c>
    </row>
    <row r="578" spans="1:16" ht="13.5">
      <c r="A578" s="400" t="s">
        <v>2020</v>
      </c>
      <c r="B578" s="400" t="s">
        <v>93</v>
      </c>
      <c r="C578" s="400" t="s">
        <v>2021</v>
      </c>
      <c r="D578" s="400" t="s">
        <v>93</v>
      </c>
      <c r="E578" s="400">
        <v>0</v>
      </c>
      <c r="F578" s="495">
        <v>0</v>
      </c>
      <c r="G578" s="495">
        <v>0</v>
      </c>
      <c r="H578" s="400">
        <v>0</v>
      </c>
      <c r="I578" s="400">
        <v>0</v>
      </c>
      <c r="J578" s="400">
        <v>0</v>
      </c>
      <c r="K578" s="400">
        <v>0</v>
      </c>
      <c r="L578" s="400" t="s">
        <v>93</v>
      </c>
      <c r="N578" s="498">
        <v>30</v>
      </c>
      <c r="O578" s="495" t="s">
        <v>93</v>
      </c>
      <c r="P578" s="400" t="s">
        <v>2000</v>
      </c>
    </row>
    <row r="579" spans="1:16" ht="13.5">
      <c r="A579" s="400" t="s">
        <v>2022</v>
      </c>
      <c r="B579" s="400" t="s">
        <v>93</v>
      </c>
      <c r="C579" s="400" t="s">
        <v>2021</v>
      </c>
      <c r="D579" s="400" t="s">
        <v>93</v>
      </c>
      <c r="E579" s="400">
        <v>0</v>
      </c>
      <c r="F579" s="495">
        <v>0</v>
      </c>
      <c r="G579" s="495">
        <v>0</v>
      </c>
      <c r="H579" s="400">
        <v>0</v>
      </c>
      <c r="I579" s="400">
        <v>0</v>
      </c>
      <c r="J579" s="400">
        <v>0</v>
      </c>
      <c r="K579" s="400">
        <v>0</v>
      </c>
      <c r="L579" s="400" t="s">
        <v>93</v>
      </c>
      <c r="N579" s="498">
        <v>5</v>
      </c>
      <c r="O579" s="495" t="s">
        <v>93</v>
      </c>
      <c r="P579" s="400" t="s">
        <v>2000</v>
      </c>
    </row>
    <row r="580" spans="1:16" ht="13.5">
      <c r="A580" s="400" t="s">
        <v>2023</v>
      </c>
      <c r="B580" s="400" t="s">
        <v>93</v>
      </c>
      <c r="C580" s="400" t="s">
        <v>2021</v>
      </c>
      <c r="D580" s="400" t="s">
        <v>93</v>
      </c>
      <c r="E580" s="400">
        <v>0</v>
      </c>
      <c r="F580" s="495">
        <v>0</v>
      </c>
      <c r="G580" s="495">
        <v>0</v>
      </c>
      <c r="H580" s="400">
        <v>0</v>
      </c>
      <c r="I580" s="400">
        <v>0</v>
      </c>
      <c r="J580" s="400">
        <v>0</v>
      </c>
      <c r="K580" s="400">
        <v>0</v>
      </c>
      <c r="L580" s="400" t="s">
        <v>93</v>
      </c>
      <c r="N580" s="498">
        <v>0</v>
      </c>
      <c r="O580" s="495" t="s">
        <v>93</v>
      </c>
      <c r="P580" s="400" t="s">
        <v>2000</v>
      </c>
    </row>
    <row r="581" spans="1:16" ht="13.5">
      <c r="A581" s="400" t="s">
        <v>2024</v>
      </c>
      <c r="B581" s="400" t="s">
        <v>93</v>
      </c>
      <c r="C581" s="400" t="s">
        <v>2021</v>
      </c>
      <c r="D581" s="400" t="s">
        <v>93</v>
      </c>
      <c r="E581" s="400">
        <v>0</v>
      </c>
      <c r="F581" s="495">
        <v>0</v>
      </c>
      <c r="G581" s="495">
        <v>0</v>
      </c>
      <c r="H581" s="400">
        <v>0</v>
      </c>
      <c r="I581" s="400">
        <v>0</v>
      </c>
      <c r="J581" s="400">
        <v>0</v>
      </c>
      <c r="K581" s="400">
        <v>0</v>
      </c>
      <c r="L581" s="400" t="s">
        <v>93</v>
      </c>
      <c r="N581" s="498">
        <v>2</v>
      </c>
      <c r="O581" s="495" t="s">
        <v>93</v>
      </c>
      <c r="P581" s="400" t="s">
        <v>2000</v>
      </c>
    </row>
    <row r="582" spans="1:16" ht="13.5">
      <c r="A582" s="400" t="s">
        <v>2025</v>
      </c>
      <c r="B582" s="400" t="s">
        <v>93</v>
      </c>
      <c r="C582" s="400" t="s">
        <v>2021</v>
      </c>
      <c r="D582" s="400" t="s">
        <v>93</v>
      </c>
      <c r="E582" s="400">
        <v>0</v>
      </c>
      <c r="F582" s="495">
        <v>0</v>
      </c>
      <c r="G582" s="495">
        <v>0</v>
      </c>
      <c r="H582" s="400">
        <v>0</v>
      </c>
      <c r="I582" s="400">
        <v>0</v>
      </c>
      <c r="J582" s="400">
        <v>0</v>
      </c>
      <c r="K582" s="400">
        <v>0</v>
      </c>
      <c r="L582" s="400" t="s">
        <v>93</v>
      </c>
      <c r="N582" s="498">
        <v>5</v>
      </c>
      <c r="O582" s="495" t="s">
        <v>93</v>
      </c>
      <c r="P582" s="400" t="s">
        <v>2000</v>
      </c>
    </row>
    <row r="583" spans="1:16" ht="13.5">
      <c r="A583" s="400" t="s">
        <v>2026</v>
      </c>
      <c r="B583" s="400" t="s">
        <v>93</v>
      </c>
      <c r="C583" s="400" t="s">
        <v>2021</v>
      </c>
      <c r="D583" s="400" t="s">
        <v>93</v>
      </c>
      <c r="E583" s="400">
        <v>0</v>
      </c>
      <c r="F583" s="495">
        <v>0</v>
      </c>
      <c r="G583" s="495">
        <v>0</v>
      </c>
      <c r="H583" s="400">
        <v>0</v>
      </c>
      <c r="I583" s="400">
        <v>0</v>
      </c>
      <c r="J583" s="400">
        <v>0</v>
      </c>
      <c r="K583" s="400">
        <v>0</v>
      </c>
      <c r="L583" s="400" t="s">
        <v>93</v>
      </c>
      <c r="N583" s="498">
        <v>0</v>
      </c>
      <c r="O583" s="495" t="s">
        <v>93</v>
      </c>
      <c r="P583" s="400" t="s">
        <v>2000</v>
      </c>
    </row>
    <row r="584" spans="1:16" ht="13.5">
      <c r="A584" s="400" t="s">
        <v>2027</v>
      </c>
      <c r="B584" s="400" t="s">
        <v>93</v>
      </c>
      <c r="C584" s="400" t="s">
        <v>2021</v>
      </c>
      <c r="D584" s="400" t="s">
        <v>93</v>
      </c>
      <c r="E584" s="400">
        <v>0</v>
      </c>
      <c r="F584" s="495">
        <v>0</v>
      </c>
      <c r="G584" s="495">
        <v>0</v>
      </c>
      <c r="H584" s="400">
        <v>0</v>
      </c>
      <c r="I584" s="400">
        <v>0</v>
      </c>
      <c r="J584" s="400">
        <v>0</v>
      </c>
      <c r="K584" s="400">
        <v>0</v>
      </c>
      <c r="L584" s="400" t="s">
        <v>93</v>
      </c>
      <c r="N584" s="498">
        <v>10</v>
      </c>
      <c r="O584" s="495" t="s">
        <v>93</v>
      </c>
      <c r="P584" s="400" t="s">
        <v>2000</v>
      </c>
    </row>
    <row r="585" spans="1:16" ht="13.5">
      <c r="A585" s="400" t="s">
        <v>2028</v>
      </c>
      <c r="B585" s="400" t="s">
        <v>93</v>
      </c>
      <c r="C585" s="400" t="s">
        <v>2021</v>
      </c>
      <c r="D585" s="400" t="s">
        <v>93</v>
      </c>
      <c r="E585" s="400">
        <v>0</v>
      </c>
      <c r="F585" s="495">
        <v>0</v>
      </c>
      <c r="G585" s="495">
        <v>0</v>
      </c>
      <c r="H585" s="400">
        <v>0</v>
      </c>
      <c r="I585" s="400">
        <v>0</v>
      </c>
      <c r="J585" s="400">
        <v>0</v>
      </c>
      <c r="K585" s="400">
        <v>0</v>
      </c>
      <c r="L585" s="400" t="s">
        <v>93</v>
      </c>
      <c r="N585" s="498">
        <v>25</v>
      </c>
      <c r="O585" s="495" t="s">
        <v>93</v>
      </c>
      <c r="P585" s="400" t="s">
        <v>2000</v>
      </c>
    </row>
    <row r="586" spans="1:16" ht="13.5">
      <c r="A586" s="400" t="s">
        <v>2029</v>
      </c>
      <c r="B586" s="400" t="s">
        <v>93</v>
      </c>
      <c r="C586" s="400" t="s">
        <v>2030</v>
      </c>
      <c r="D586" s="400" t="s">
        <v>93</v>
      </c>
      <c r="E586" s="400">
        <v>1</v>
      </c>
      <c r="F586" s="495">
        <v>0</v>
      </c>
      <c r="G586" s="495">
        <v>0</v>
      </c>
      <c r="H586" s="400">
        <v>0</v>
      </c>
      <c r="I586" s="400">
        <v>0</v>
      </c>
      <c r="J586" s="400">
        <v>0</v>
      </c>
      <c r="K586" s="400">
        <v>0</v>
      </c>
      <c r="L586" s="400" t="s">
        <v>93</v>
      </c>
      <c r="N586" s="498">
        <v>20</v>
      </c>
      <c r="O586" s="495" t="s">
        <v>93</v>
      </c>
      <c r="P586" s="400" t="s">
        <v>1845</v>
      </c>
    </row>
    <row r="587" spans="1:17" s="472" customFormat="1" ht="11.25">
      <c r="A587" s="472" t="s">
        <v>2031</v>
      </c>
      <c r="B587" s="472" t="s">
        <v>93</v>
      </c>
      <c r="C587" s="472" t="s">
        <v>2032</v>
      </c>
      <c r="D587" s="472" t="s">
        <v>93</v>
      </c>
      <c r="E587" s="472">
        <v>0</v>
      </c>
      <c r="F587" s="507">
        <v>0</v>
      </c>
      <c r="G587" s="507">
        <v>0</v>
      </c>
      <c r="H587" s="472">
        <v>0</v>
      </c>
      <c r="I587" s="472">
        <v>0</v>
      </c>
      <c r="J587" s="472">
        <v>0</v>
      </c>
      <c r="K587" s="472">
        <v>0</v>
      </c>
      <c r="L587" s="472" t="s">
        <v>93</v>
      </c>
      <c r="M587" s="474"/>
      <c r="N587" s="509">
        <v>500</v>
      </c>
      <c r="O587" s="507" t="s">
        <v>93</v>
      </c>
      <c r="P587" s="472" t="s">
        <v>1702</v>
      </c>
      <c r="Q587" s="474" t="s">
        <v>2033</v>
      </c>
    </row>
    <row r="588" spans="1:17" s="472" customFormat="1" ht="11.25">
      <c r="A588" s="472" t="s">
        <v>2034</v>
      </c>
      <c r="B588" s="472" t="s">
        <v>93</v>
      </c>
      <c r="C588" s="472" t="s">
        <v>2032</v>
      </c>
      <c r="D588" s="472" t="s">
        <v>93</v>
      </c>
      <c r="E588" s="472">
        <v>0</v>
      </c>
      <c r="F588" s="507">
        <v>0</v>
      </c>
      <c r="G588" s="507">
        <v>0</v>
      </c>
      <c r="H588" s="472">
        <v>0</v>
      </c>
      <c r="I588" s="472">
        <v>0</v>
      </c>
      <c r="J588" s="472">
        <v>0</v>
      </c>
      <c r="K588" s="472">
        <v>0</v>
      </c>
      <c r="L588" s="472" t="s">
        <v>93</v>
      </c>
      <c r="M588" s="474"/>
      <c r="N588" s="509">
        <v>1000</v>
      </c>
      <c r="O588" s="507" t="s">
        <v>93</v>
      </c>
      <c r="P588" s="472" t="s">
        <v>1702</v>
      </c>
      <c r="Q588" s="474" t="s">
        <v>2033</v>
      </c>
    </row>
    <row r="589" spans="1:17" s="472" customFormat="1" ht="11.25">
      <c r="A589" s="472" t="s">
        <v>2035</v>
      </c>
      <c r="B589" s="472" t="s">
        <v>93</v>
      </c>
      <c r="C589" s="472" t="s">
        <v>2032</v>
      </c>
      <c r="D589" s="472" t="s">
        <v>93</v>
      </c>
      <c r="E589" s="472">
        <v>0</v>
      </c>
      <c r="F589" s="507">
        <v>0</v>
      </c>
      <c r="G589" s="507">
        <v>0</v>
      </c>
      <c r="H589" s="472">
        <v>0</v>
      </c>
      <c r="I589" s="472">
        <v>0</v>
      </c>
      <c r="J589" s="472">
        <v>0</v>
      </c>
      <c r="K589" s="472">
        <v>0</v>
      </c>
      <c r="L589" s="472" t="s">
        <v>93</v>
      </c>
      <c r="M589" s="474"/>
      <c r="N589" s="509">
        <v>2000</v>
      </c>
      <c r="O589" s="507" t="s">
        <v>93</v>
      </c>
      <c r="P589" s="472" t="s">
        <v>1702</v>
      </c>
      <c r="Q589" s="474" t="s">
        <v>2033</v>
      </c>
    </row>
    <row r="590" spans="1:17" s="472" customFormat="1" ht="11.25">
      <c r="A590" s="472" t="s">
        <v>2036</v>
      </c>
      <c r="B590" s="472" t="s">
        <v>93</v>
      </c>
      <c r="C590" s="472" t="s">
        <v>2032</v>
      </c>
      <c r="D590" s="472" t="s">
        <v>93</v>
      </c>
      <c r="E590" s="472">
        <v>0</v>
      </c>
      <c r="F590" s="507">
        <v>0</v>
      </c>
      <c r="G590" s="507">
        <v>0</v>
      </c>
      <c r="H590" s="472">
        <v>0</v>
      </c>
      <c r="I590" s="472">
        <v>0</v>
      </c>
      <c r="J590" s="472">
        <v>0</v>
      </c>
      <c r="K590" s="472">
        <v>0</v>
      </c>
      <c r="L590" s="472" t="s">
        <v>93</v>
      </c>
      <c r="M590" s="474"/>
      <c r="N590" s="509">
        <v>8000</v>
      </c>
      <c r="O590" s="507" t="s">
        <v>93</v>
      </c>
      <c r="P590" s="472" t="s">
        <v>1702</v>
      </c>
      <c r="Q590" s="474" t="s">
        <v>2037</v>
      </c>
    </row>
    <row r="591" spans="1:17" s="472" customFormat="1" ht="11.25">
      <c r="A591" s="472" t="s">
        <v>2038</v>
      </c>
      <c r="B591" s="472">
        <v>10</v>
      </c>
      <c r="C591" s="472" t="s">
        <v>2032</v>
      </c>
      <c r="D591" s="472" t="s">
        <v>93</v>
      </c>
      <c r="E591" s="472">
        <v>0</v>
      </c>
      <c r="F591" s="507">
        <v>0</v>
      </c>
      <c r="G591" s="507">
        <v>0</v>
      </c>
      <c r="H591" s="472">
        <v>0</v>
      </c>
      <c r="I591" s="472">
        <v>0</v>
      </c>
      <c r="J591" s="472">
        <v>0</v>
      </c>
      <c r="K591" s="472">
        <v>0</v>
      </c>
      <c r="L591" s="508" t="s">
        <v>93</v>
      </c>
      <c r="M591" s="474"/>
      <c r="N591" s="509">
        <v>60000</v>
      </c>
      <c r="O591" s="507">
        <v>18</v>
      </c>
      <c r="P591" s="472" t="s">
        <v>1943</v>
      </c>
      <c r="Q591" s="474" t="s">
        <v>2033</v>
      </c>
    </row>
    <row r="592" spans="1:17" s="472" customFormat="1" ht="11.25">
      <c r="A592" s="472" t="s">
        <v>2039</v>
      </c>
      <c r="B592" s="472">
        <v>15</v>
      </c>
      <c r="C592" s="472" t="s">
        <v>2032</v>
      </c>
      <c r="D592" s="472" t="s">
        <v>93</v>
      </c>
      <c r="E592" s="472">
        <v>0</v>
      </c>
      <c r="F592" s="507">
        <v>0</v>
      </c>
      <c r="G592" s="507">
        <v>0</v>
      </c>
      <c r="H592" s="472">
        <v>0</v>
      </c>
      <c r="I592" s="472">
        <v>0</v>
      </c>
      <c r="J592" s="472">
        <v>0</v>
      </c>
      <c r="K592" s="472">
        <v>0</v>
      </c>
      <c r="L592" s="508" t="s">
        <v>93</v>
      </c>
      <c r="M592" s="474"/>
      <c r="N592" s="509">
        <v>160000</v>
      </c>
      <c r="O592" s="507">
        <v>20</v>
      </c>
      <c r="P592" s="472" t="s">
        <v>1943</v>
      </c>
      <c r="Q592" s="474" t="s">
        <v>2040</v>
      </c>
    </row>
    <row r="593" spans="6:17" s="472" customFormat="1" ht="11.25">
      <c r="F593" s="507"/>
      <c r="G593" s="507"/>
      <c r="L593" s="508"/>
      <c r="M593" s="474"/>
      <c r="N593" s="509"/>
      <c r="O593" s="507"/>
      <c r="Q593" s="474"/>
    </row>
    <row r="594" spans="1:18" ht="13.5">
      <c r="A594" s="44" t="s">
        <v>2041</v>
      </c>
      <c r="B594" s="500" t="s">
        <v>121</v>
      </c>
      <c r="C594" s="500" t="s">
        <v>241</v>
      </c>
      <c r="D594" s="500" t="s">
        <v>242</v>
      </c>
      <c r="E594" s="500" t="s">
        <v>243</v>
      </c>
      <c r="F594" s="501" t="s">
        <v>166</v>
      </c>
      <c r="G594" s="501" t="s">
        <v>244</v>
      </c>
      <c r="H594" s="500" t="s">
        <v>220</v>
      </c>
      <c r="I594" s="500" t="s">
        <v>245</v>
      </c>
      <c r="J594" s="500" t="s">
        <v>246</v>
      </c>
      <c r="K594" s="500" t="s">
        <v>247</v>
      </c>
      <c r="L594" s="502" t="s">
        <v>248</v>
      </c>
      <c r="M594" s="500" t="s">
        <v>249</v>
      </c>
      <c r="N594" s="503" t="s">
        <v>210</v>
      </c>
      <c r="O594" s="501" t="s">
        <v>1349</v>
      </c>
      <c r="P594" s="504" t="s">
        <v>1350</v>
      </c>
      <c r="Q594" s="420"/>
      <c r="R594" s="215"/>
    </row>
  </sheetData>
  <autoFilter ref="A3:P593"/>
  <mergeCells count="1">
    <mergeCell ref="A1:P1"/>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ARIANRHOD CHARACTER SHEET</dc:title>
  <dc:subject>アリアンロッド自動計算キャラクターシート</dc:subject>
  <dc:creator>L.Leixun</dc:creator>
  <cp:keywords/>
  <dc:description/>
  <cp:lastModifiedBy>wapo wapo</cp:lastModifiedBy>
  <cp:lastPrinted>2005-12-05T10:44:04Z</cp:lastPrinted>
  <dcterms:created xsi:type="dcterms:W3CDTF">1997-01-08T22:48:59Z</dcterms:created>
  <dcterms:modified xsi:type="dcterms:W3CDTF">2009-05-02T16:29:38Z</dcterms:modified>
  <cp:category/>
  <cp:version/>
  <cp:contentType/>
  <cp:contentStatus/>
  <cp:revision>12</cp:revision>
</cp:coreProperties>
</file>