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 lockWindows="1"/>
  <bookViews>
    <workbookView xWindow="120" yWindow="75" windowWidth="18120" windowHeight="89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32" i="1"/>
  <c r="N32"/>
  <c r="M33"/>
  <c r="N33"/>
  <c r="L33"/>
  <c r="L32"/>
  <c r="M27"/>
  <c r="N27"/>
  <c r="M28"/>
  <c r="N28"/>
  <c r="L28"/>
  <c r="L27"/>
  <c r="K47"/>
  <c r="L47"/>
  <c r="K48"/>
  <c r="L48"/>
  <c r="K49"/>
  <c r="L49"/>
  <c r="K50"/>
  <c r="L50"/>
  <c r="J48"/>
  <c r="J49"/>
  <c r="J50"/>
  <c r="J47"/>
  <c r="F50"/>
  <c r="F49"/>
  <c r="F48"/>
  <c r="G57"/>
  <c r="F57"/>
  <c r="E57"/>
  <c r="D57"/>
  <c r="C57"/>
  <c r="B57"/>
  <c r="B54"/>
  <c r="G56"/>
  <c r="F56"/>
  <c r="E56"/>
  <c r="D56"/>
  <c r="C56"/>
  <c r="B56"/>
  <c r="B53"/>
  <c r="F41"/>
  <c r="G54"/>
  <c r="F54"/>
  <c r="E54"/>
  <c r="D54"/>
  <c r="C54"/>
  <c r="G53"/>
  <c r="F53"/>
  <c r="E53"/>
  <c r="D53"/>
  <c r="C53"/>
  <c r="F45"/>
  <c r="P45"/>
  <c r="O45"/>
  <c r="N45"/>
  <c r="M45"/>
  <c r="L45"/>
  <c r="K45"/>
  <c r="C48"/>
  <c r="C50"/>
  <c r="C49"/>
  <c r="G42"/>
  <c r="G41"/>
  <c r="B50"/>
  <c r="B48"/>
  <c r="B49"/>
  <c r="C47"/>
  <c r="B47"/>
  <c r="G45"/>
  <c r="E45"/>
  <c r="D45"/>
  <c r="C45"/>
  <c r="B45"/>
  <c r="D42"/>
  <c r="E42"/>
  <c r="F42"/>
  <c r="H42"/>
  <c r="C42"/>
  <c r="B41"/>
  <c r="D20" s="1"/>
  <c r="B42"/>
  <c r="D41"/>
  <c r="C14" s="1"/>
  <c r="E41"/>
  <c r="E14"/>
  <c r="H41"/>
  <c r="G14" s="1"/>
  <c r="C41"/>
  <c r="B14" s="1"/>
  <c r="H54" l="1"/>
  <c r="I54" s="1"/>
  <c r="L6" s="1"/>
  <c r="H57"/>
  <c r="K6" s="1"/>
  <c r="H53"/>
  <c r="F36" s="1"/>
  <c r="H56"/>
  <c r="K5" s="1"/>
  <c r="I53"/>
  <c r="L5" s="1"/>
  <c r="D49"/>
  <c r="L14"/>
  <c r="L16" s="1"/>
  <c r="J14"/>
  <c r="J16" s="1"/>
  <c r="K14"/>
  <c r="K16" s="1"/>
  <c r="M14"/>
  <c r="D50" s="1"/>
  <c r="O14"/>
  <c r="O16" s="1"/>
  <c r="N14"/>
  <c r="N16" s="1"/>
  <c r="D47"/>
  <c r="F47" s="1"/>
  <c r="G47" s="1"/>
  <c r="F14"/>
  <c r="E50" s="1"/>
  <c r="D14"/>
  <c r="F21"/>
  <c r="C16"/>
  <c r="C15"/>
  <c r="G16"/>
  <c r="G15"/>
  <c r="E16"/>
  <c r="E15"/>
  <c r="B16"/>
  <c r="B15"/>
  <c r="C18"/>
  <c r="G18"/>
  <c r="E18"/>
  <c r="G19"/>
  <c r="E19"/>
  <c r="G17"/>
  <c r="E17"/>
  <c r="B17"/>
  <c r="B21"/>
  <c r="C17"/>
  <c r="C21"/>
  <c r="G22"/>
  <c r="E22"/>
  <c r="G21"/>
  <c r="E21"/>
  <c r="G20"/>
  <c r="E20"/>
  <c r="B18"/>
  <c r="B19"/>
  <c r="C19"/>
  <c r="F18"/>
  <c r="D18"/>
  <c r="F19"/>
  <c r="D19"/>
  <c r="F17"/>
  <c r="D17"/>
  <c r="B20"/>
  <c r="B22"/>
  <c r="C20"/>
  <c r="C22"/>
  <c r="F22"/>
  <c r="D22"/>
  <c r="D21"/>
  <c r="F20"/>
  <c r="D15" l="1"/>
  <c r="E48"/>
  <c r="D48"/>
  <c r="M16"/>
  <c r="E47"/>
  <c r="I47" s="1"/>
  <c r="K15"/>
  <c r="M15"/>
  <c r="L15"/>
  <c r="O15"/>
  <c r="N15"/>
  <c r="E49"/>
  <c r="I49" s="1"/>
  <c r="D16"/>
  <c r="F16"/>
  <c r="F15"/>
  <c r="J15"/>
  <c r="H50" l="1"/>
  <c r="H47"/>
  <c r="H49"/>
  <c r="G49"/>
  <c r="I48" l="1"/>
  <c r="H48"/>
  <c r="G48"/>
  <c r="I50"/>
  <c r="G50"/>
</calcChain>
</file>

<file path=xl/sharedStrings.xml><?xml version="1.0" encoding="utf-8"?>
<sst xmlns="http://schemas.openxmlformats.org/spreadsheetml/2006/main" count="149" uniqueCount="97">
  <si>
    <t>ダメージ計算＆ステータス計算</t>
    <rPh sb="4" eb="6">
      <t>ケイサン</t>
    </rPh>
    <rPh sb="12" eb="14">
      <t>ケイサン</t>
    </rPh>
    <phoneticPr fontId="1"/>
  </si>
  <si>
    <t>自分のポケモンの種族値</t>
    <rPh sb="0" eb="2">
      <t>ジブン</t>
    </rPh>
    <rPh sb="8" eb="10">
      <t>シュゾク</t>
    </rPh>
    <rPh sb="10" eb="11">
      <t>チ</t>
    </rPh>
    <phoneticPr fontId="1"/>
  </si>
  <si>
    <t>相手のポケモンの種族値</t>
    <rPh sb="0" eb="2">
      <t>アイテ</t>
    </rPh>
    <rPh sb="8" eb="10">
      <t>シュゾク</t>
    </rPh>
    <rPh sb="10" eb="11">
      <t>チ</t>
    </rPh>
    <phoneticPr fontId="1"/>
  </si>
  <si>
    <t>ＨＰ</t>
    <phoneticPr fontId="1"/>
  </si>
  <si>
    <t>物理攻撃</t>
    <rPh sb="0" eb="2">
      <t>ブツリ</t>
    </rPh>
    <rPh sb="2" eb="4">
      <t>コウゲキ</t>
    </rPh>
    <phoneticPr fontId="1"/>
  </si>
  <si>
    <t>物理防御</t>
    <rPh sb="0" eb="2">
      <t>ブツリ</t>
    </rPh>
    <rPh sb="2" eb="4">
      <t>ボウギョ</t>
    </rPh>
    <phoneticPr fontId="1"/>
  </si>
  <si>
    <t>特殊攻撃</t>
    <rPh sb="0" eb="2">
      <t>トクシュ</t>
    </rPh>
    <rPh sb="2" eb="4">
      <t>コウゲキ</t>
    </rPh>
    <phoneticPr fontId="1"/>
  </si>
  <si>
    <t>特殊防御</t>
    <rPh sb="0" eb="2">
      <t>トクシュ</t>
    </rPh>
    <rPh sb="2" eb="4">
      <t>ボウギョ</t>
    </rPh>
    <phoneticPr fontId="1"/>
  </si>
  <si>
    <t>↑の個体値</t>
    <rPh sb="2" eb="3">
      <t>コ</t>
    </rPh>
    <rPh sb="3" eb="4">
      <t>タイ</t>
    </rPh>
    <rPh sb="4" eb="5">
      <t>チ</t>
    </rPh>
    <phoneticPr fontId="1"/>
  </si>
  <si>
    <t>結果</t>
    <rPh sb="0" eb="2">
      <t>ケッカ</t>
    </rPh>
    <phoneticPr fontId="1"/>
  </si>
  <si>
    <t>ステータス</t>
    <phoneticPr fontId="1"/>
  </si>
  <si>
    <t>物理攻撃　</t>
    <rPh sb="0" eb="2">
      <t>ブツリ</t>
    </rPh>
    <rPh sb="2" eb="4">
      <t>コウゲキ</t>
    </rPh>
    <phoneticPr fontId="1"/>
  </si>
  <si>
    <t>努力値最高（２５５）</t>
    <rPh sb="0" eb="2">
      <t>ドリョク</t>
    </rPh>
    <rPh sb="2" eb="3">
      <t>チ</t>
    </rPh>
    <rPh sb="3" eb="5">
      <t>サイコウ</t>
    </rPh>
    <phoneticPr fontId="1"/>
  </si>
  <si>
    <t>努力値最低（０）</t>
    <rPh sb="0" eb="2">
      <t>ドリョク</t>
    </rPh>
    <rPh sb="2" eb="3">
      <t>チ</t>
    </rPh>
    <rPh sb="3" eb="5">
      <t>サイテイ</t>
    </rPh>
    <phoneticPr fontId="1"/>
  </si>
  <si>
    <t>性格補正↑</t>
    <rPh sb="0" eb="2">
      <t>セイカク</t>
    </rPh>
    <rPh sb="2" eb="4">
      <t>ホセイ</t>
    </rPh>
    <phoneticPr fontId="1"/>
  </si>
  <si>
    <t>性格補正↓</t>
    <rPh sb="0" eb="2">
      <t>セイカク</t>
    </rPh>
    <rPh sb="2" eb="4">
      <t>ホセイ</t>
    </rPh>
    <phoneticPr fontId="1"/>
  </si>
  <si>
    <t>ＬＶ</t>
    <phoneticPr fontId="1"/>
  </si>
  <si>
    <t>努力値</t>
    <rPh sb="0" eb="2">
      <t>ドリョク</t>
    </rPh>
    <rPh sb="2" eb="3">
      <t>チ</t>
    </rPh>
    <phoneticPr fontId="1"/>
  </si>
  <si>
    <t>自分のポケモン（入力値）</t>
    <rPh sb="0" eb="2">
      <t>ジブン</t>
    </rPh>
    <rPh sb="8" eb="10">
      <t>ニュウリョク</t>
    </rPh>
    <rPh sb="10" eb="11">
      <t>チ</t>
    </rPh>
    <phoneticPr fontId="1"/>
  </si>
  <si>
    <t>計算スペース</t>
    <rPh sb="0" eb="2">
      <t>ケイサン</t>
    </rPh>
    <phoneticPr fontId="1"/>
  </si>
  <si>
    <t>自分ぽけ</t>
    <rPh sb="0" eb="2">
      <t>ジブン</t>
    </rPh>
    <phoneticPr fontId="1"/>
  </si>
  <si>
    <t>Ｌｖ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</si>
  <si>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</si>
  <si>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</si>
  <si>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</si>
  <si>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</si>
  <si>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Ｓ</t>
    <phoneticPr fontId="1"/>
  </si>
  <si>
    <t>相手ぽけ</t>
    <rPh sb="0" eb="2">
      <t>アイテ</t>
    </rPh>
    <phoneticPr fontId="1"/>
  </si>
  <si>
    <t>Lv/100</t>
    <phoneticPr fontId="1"/>
  </si>
  <si>
    <t>努力値/4</t>
    <rPh sb="0" eb="2">
      <t>ドリョク</t>
    </rPh>
    <rPh sb="2" eb="3">
      <t>チ</t>
    </rPh>
    <phoneticPr fontId="1"/>
  </si>
  <si>
    <t>素早さ</t>
    <rPh sb="0" eb="2">
      <t>スバヤ</t>
    </rPh>
    <phoneticPr fontId="1"/>
  </si>
  <si>
    <t>H</t>
    <phoneticPr fontId="1"/>
  </si>
  <si>
    <t>性格補正　上昇（赤文字）</t>
    <rPh sb="0" eb="2">
      <t>セイカク</t>
    </rPh>
    <rPh sb="2" eb="4">
      <t>ホセイ</t>
    </rPh>
    <rPh sb="5" eb="7">
      <t>ジョウショウ</t>
    </rPh>
    <rPh sb="8" eb="9">
      <t>アカ</t>
    </rPh>
    <rPh sb="9" eb="11">
      <t>モジ</t>
    </rPh>
    <phoneticPr fontId="1"/>
  </si>
  <si>
    <t>性格補正　下降（青文字）</t>
    <rPh sb="0" eb="2">
      <t>セイカク</t>
    </rPh>
    <rPh sb="2" eb="4">
      <t>ホセイ</t>
    </rPh>
    <rPh sb="5" eb="7">
      <t>カコウ</t>
    </rPh>
    <rPh sb="8" eb="9">
      <t>アオ</t>
    </rPh>
    <rPh sb="9" eb="11">
      <t>モジ</t>
    </rPh>
    <phoneticPr fontId="1"/>
  </si>
  <si>
    <t>仮想敵　ＶＳ　自分のポケモン</t>
    <rPh sb="0" eb="2">
      <t>カソウ</t>
    </rPh>
    <rPh sb="2" eb="3">
      <t>テキ</t>
    </rPh>
    <rPh sb="7" eb="9">
      <t>ジブン</t>
    </rPh>
    <phoneticPr fontId="1"/>
  </si>
  <si>
    <t>一致</t>
    <rPh sb="0" eb="2">
      <t>イッチ</t>
    </rPh>
    <phoneticPr fontId="1"/>
  </si>
  <si>
    <t>技の威力</t>
    <rPh sb="0" eb="1">
      <t>ワザ</t>
    </rPh>
    <rPh sb="2" eb="4">
      <t>イリョク</t>
    </rPh>
    <phoneticPr fontId="1"/>
  </si>
  <si>
    <t>急所</t>
    <rPh sb="0" eb="2">
      <t>キュウショ</t>
    </rPh>
    <phoneticPr fontId="1"/>
  </si>
  <si>
    <t>＊一致～急所までは数字を入れればＯＮ入れなければＯＦＦ</t>
    <rPh sb="1" eb="3">
      <t>イッチ</t>
    </rPh>
    <rPh sb="4" eb="6">
      <t>キュウショ</t>
    </rPh>
    <rPh sb="9" eb="11">
      <t>スウジ</t>
    </rPh>
    <rPh sb="12" eb="13">
      <t>イ</t>
    </rPh>
    <rPh sb="18" eb="19">
      <t>イ</t>
    </rPh>
    <phoneticPr fontId="1"/>
  </si>
  <si>
    <t>最低</t>
    <rPh sb="0" eb="2">
      <t>サイテイ</t>
    </rPh>
    <phoneticPr fontId="1"/>
  </si>
  <si>
    <t>最高</t>
    <rPh sb="0" eb="2">
      <t>サイコウ</t>
    </rPh>
    <phoneticPr fontId="1"/>
  </si>
  <si>
    <t>落とす確率</t>
    <rPh sb="0" eb="1">
      <t>オ</t>
    </rPh>
    <rPh sb="3" eb="5">
      <t>カクリツ</t>
    </rPh>
    <phoneticPr fontId="1"/>
  </si>
  <si>
    <t>ダメージ数</t>
    <rPh sb="4" eb="5">
      <t>スウ</t>
    </rPh>
    <phoneticPr fontId="1"/>
  </si>
  <si>
    <t>持ち物</t>
    <rPh sb="0" eb="1">
      <t>モ</t>
    </rPh>
    <rPh sb="2" eb="3">
      <t>モノ</t>
    </rPh>
    <phoneticPr fontId="1"/>
  </si>
  <si>
    <t>自分のポケ×仮想敵</t>
    <rPh sb="0" eb="2">
      <t>ジブン</t>
    </rPh>
    <rPh sb="6" eb="8">
      <t>カソウ</t>
    </rPh>
    <rPh sb="8" eb="9">
      <t>テキ</t>
    </rPh>
    <phoneticPr fontId="1"/>
  </si>
  <si>
    <t>仮想敵×自分のポケ</t>
    <rPh sb="0" eb="2">
      <t>カソウ</t>
    </rPh>
    <rPh sb="2" eb="3">
      <t>テキ</t>
    </rPh>
    <rPh sb="4" eb="6">
      <t>ジブン</t>
    </rPh>
    <phoneticPr fontId="1"/>
  </si>
  <si>
    <t>中くらい</t>
    <rPh sb="0" eb="1">
      <t>チュウ</t>
    </rPh>
    <phoneticPr fontId="1"/>
  </si>
  <si>
    <t>＊持ち物を使う場合補正値を入れる、なければ空欄</t>
    <rPh sb="1" eb="2">
      <t>モ</t>
    </rPh>
    <rPh sb="3" eb="4">
      <t>モノ</t>
    </rPh>
    <rPh sb="5" eb="6">
      <t>ツカ</t>
    </rPh>
    <rPh sb="7" eb="9">
      <t>バアイ</t>
    </rPh>
    <rPh sb="9" eb="11">
      <t>ホセイ</t>
    </rPh>
    <rPh sb="11" eb="12">
      <t>チ</t>
    </rPh>
    <rPh sb="13" eb="14">
      <t>イ</t>
    </rPh>
    <rPh sb="21" eb="23">
      <t>クウラン</t>
    </rPh>
    <phoneticPr fontId="1"/>
  </si>
  <si>
    <t>＊効果抜群・・・２桁　効果いまひとつ・・・１桁　の数字を入れる</t>
    <rPh sb="1" eb="3">
      <t>コウカ</t>
    </rPh>
    <rPh sb="3" eb="5">
      <t>バツグン</t>
    </rPh>
    <rPh sb="9" eb="10">
      <t>ケタ</t>
    </rPh>
    <rPh sb="11" eb="13">
      <t>コウカ</t>
    </rPh>
    <rPh sb="22" eb="23">
      <t>ケタ</t>
    </rPh>
    <rPh sb="25" eb="27">
      <t>スウジ</t>
    </rPh>
    <rPh sb="28" eb="29">
      <t>イ</t>
    </rPh>
    <phoneticPr fontId="1"/>
  </si>
  <si>
    <t>特殊</t>
    <rPh sb="0" eb="2">
      <t>トクシュ</t>
    </rPh>
    <phoneticPr fontId="1"/>
  </si>
  <si>
    <t>物理</t>
    <rPh sb="0" eb="2">
      <t>ブツリ</t>
    </rPh>
    <phoneticPr fontId="1"/>
  </si>
  <si>
    <t>攻め性格</t>
    <rPh sb="0" eb="1">
      <t>セ</t>
    </rPh>
    <rPh sb="2" eb="4">
      <t>セイカク</t>
    </rPh>
    <phoneticPr fontId="1"/>
  </si>
  <si>
    <t>受け性格</t>
    <rPh sb="0" eb="1">
      <t>ウ</t>
    </rPh>
    <rPh sb="2" eb="4">
      <t>セイカク</t>
    </rPh>
    <phoneticPr fontId="1"/>
  </si>
  <si>
    <t>＊性格補正は↑なら２桁　↓なら１桁の数字を入れる　無しなら空欄</t>
    <rPh sb="1" eb="3">
      <t>セイカク</t>
    </rPh>
    <rPh sb="3" eb="5">
      <t>ホセイ</t>
    </rPh>
    <rPh sb="10" eb="11">
      <t>ケタ</t>
    </rPh>
    <rPh sb="16" eb="17">
      <t>ケタ</t>
    </rPh>
    <rPh sb="18" eb="20">
      <t>スウジ</t>
    </rPh>
    <rPh sb="21" eb="22">
      <t>イ</t>
    </rPh>
    <rPh sb="25" eb="26">
      <t>ナ</t>
    </rPh>
    <rPh sb="29" eb="31">
      <t>クウラン</t>
    </rPh>
    <phoneticPr fontId="1"/>
  </si>
  <si>
    <t>自×敵</t>
    <rPh sb="0" eb="1">
      <t>ジ</t>
    </rPh>
    <rPh sb="2" eb="3">
      <t>テキ</t>
    </rPh>
    <phoneticPr fontId="1"/>
  </si>
  <si>
    <t>敵×自</t>
    <rPh sb="0" eb="1">
      <t>テキ</t>
    </rPh>
    <rPh sb="2" eb="3">
      <t>ジ</t>
    </rPh>
    <phoneticPr fontId="1"/>
  </si>
  <si>
    <t>攻め補正</t>
    <rPh sb="0" eb="1">
      <t>セ</t>
    </rPh>
    <rPh sb="2" eb="4">
      <t>ホセイ</t>
    </rPh>
    <phoneticPr fontId="1"/>
  </si>
  <si>
    <t>受け補正</t>
    <rPh sb="0" eb="1">
      <t>ウ</t>
    </rPh>
    <rPh sb="2" eb="4">
      <t>ホセイ</t>
    </rPh>
    <phoneticPr fontId="1"/>
  </si>
  <si>
    <t>＊０は一桁とは認めなず無入力扱い</t>
    <rPh sb="3" eb="5">
      <t>ヒトケタ</t>
    </rPh>
    <rPh sb="7" eb="8">
      <t>ミト</t>
    </rPh>
    <rPh sb="11" eb="12">
      <t>ム</t>
    </rPh>
    <rPh sb="12" eb="14">
      <t>ニュウリョク</t>
    </rPh>
    <rPh sb="14" eb="15">
      <t>アツカ</t>
    </rPh>
    <phoneticPr fontId="1"/>
  </si>
  <si>
    <t>効果２</t>
    <rPh sb="0" eb="2">
      <t>コウカ</t>
    </rPh>
    <phoneticPr fontId="1"/>
  </si>
  <si>
    <t>効果１</t>
    <rPh sb="0" eb="2">
      <t>コウカ</t>
    </rPh>
    <phoneticPr fontId="1"/>
  </si>
  <si>
    <t>未実装</t>
    <rPh sb="0" eb="3">
      <t>ミジッソウ</t>
    </rPh>
    <phoneticPr fontId="1"/>
  </si>
  <si>
    <t>敵</t>
    <rPh sb="0" eb="1">
      <t>テキ</t>
    </rPh>
    <phoneticPr fontId="1"/>
  </si>
  <si>
    <t>↑</t>
    <phoneticPr fontId="1"/>
  </si>
  <si>
    <t>↓</t>
    <phoneticPr fontId="1"/>
  </si>
  <si>
    <t>Lv*2/5+2</t>
    <phoneticPr fontId="1"/>
  </si>
  <si>
    <t>A</t>
    <phoneticPr fontId="1"/>
  </si>
  <si>
    <t>B</t>
    <phoneticPr fontId="1"/>
  </si>
  <si>
    <t>A/B/50+2</t>
    <phoneticPr fontId="1"/>
  </si>
  <si>
    <t xml:space="preserve"> A     zibunn *aite</t>
    <phoneticPr fontId="1"/>
  </si>
  <si>
    <t>ダメージ計算結果</t>
    <rPh sb="4" eb="6">
      <t>ケイサン</t>
    </rPh>
    <rPh sb="6" eb="8">
      <t>ケッカ</t>
    </rPh>
    <phoneticPr fontId="1"/>
  </si>
  <si>
    <t xml:space="preserve">TA      aite  *zibunn </t>
    <phoneticPr fontId="1"/>
  </si>
  <si>
    <t>TA      zibunn  * aite</t>
    <phoneticPr fontId="1"/>
  </si>
  <si>
    <t xml:space="preserve">A     aite*zibunn </t>
    <phoneticPr fontId="1"/>
  </si>
  <si>
    <t>攻撃力</t>
    <rPh sb="0" eb="3">
      <t>コウゲキリョク</t>
    </rPh>
    <phoneticPr fontId="1"/>
  </si>
  <si>
    <t>自分＊的</t>
    <rPh sb="0" eb="2">
      <t>ジブン</t>
    </rPh>
    <rPh sb="3" eb="4">
      <t>テキ</t>
    </rPh>
    <phoneticPr fontId="1"/>
  </si>
  <si>
    <t>敵＊自分</t>
    <rPh sb="0" eb="1">
      <t>テキ</t>
    </rPh>
    <rPh sb="2" eb="4">
      <t>ジブン</t>
    </rPh>
    <phoneticPr fontId="1"/>
  </si>
  <si>
    <t>めざパ威力＆タイプ</t>
    <rPh sb="3" eb="5">
      <t>イリョク</t>
    </rPh>
    <phoneticPr fontId="1"/>
  </si>
  <si>
    <t>威力</t>
    <rPh sb="0" eb="2">
      <t>イリョク</t>
    </rPh>
    <phoneticPr fontId="1"/>
  </si>
  <si>
    <t>タイプ</t>
    <phoneticPr fontId="1"/>
  </si>
  <si>
    <t>自分</t>
    <rPh sb="0" eb="2">
      <t>ジブン</t>
    </rPh>
    <phoneticPr fontId="1"/>
  </si>
  <si>
    <t>相手</t>
    <rPh sb="0" eb="2">
      <t>アイテ</t>
    </rPh>
    <phoneticPr fontId="1"/>
  </si>
  <si>
    <t>めざパタイプ</t>
    <phoneticPr fontId="1"/>
  </si>
  <si>
    <t>Ｈ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</si>
  <si>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</si>
  <si>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</si>
  <si>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</si>
  <si>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</si>
  <si>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Ｓ</t>
    <phoneticPr fontId="1"/>
  </si>
  <si>
    <t>めざパ威力</t>
    <rPh sb="3" eb="5">
      <t>イリョク</t>
    </rPh>
    <phoneticPr fontId="1"/>
  </si>
  <si>
    <t>Ｂ</t>
    <phoneticPr fontId="1"/>
  </si>
  <si>
    <t>計算</t>
    <rPh sb="0" eb="2">
      <t>ケイサン</t>
    </rPh>
    <phoneticPr fontId="1"/>
  </si>
  <si>
    <t>計算１</t>
    <rPh sb="0" eb="2">
      <t>ケイサン</t>
    </rPh>
    <phoneticPr fontId="1"/>
  </si>
  <si>
    <t>攻撃力</t>
    <rPh sb="0" eb="2">
      <t>コウゲキ</t>
    </rPh>
    <rPh sb="2" eb="3">
      <t>リョク</t>
    </rPh>
    <phoneticPr fontId="1"/>
  </si>
  <si>
    <t>0.85*色々</t>
    <rPh sb="5" eb="7">
      <t>イロイロ</t>
    </rPh>
    <phoneticPr fontId="1"/>
  </si>
  <si>
    <t>0.93*色々</t>
    <rPh sb="5" eb="7">
      <t>イロイロ</t>
    </rPh>
    <phoneticPr fontId="1"/>
  </si>
  <si>
    <t>1*色々</t>
    <rPh sb="2" eb="4">
      <t>イロイロ</t>
    </rPh>
    <phoneticPr fontId="1"/>
  </si>
</sst>
</file>

<file path=xl/styles.xml><?xml version="1.0" encoding="utf-8"?>
<styleSheet xmlns="http://schemas.openxmlformats.org/spreadsheetml/2006/main">
  <numFmts count="2">
    <numFmt numFmtId="176" formatCode="0;[Red]0"/>
    <numFmt numFmtId="177" formatCode="0.0000;[Red]0.0000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3" borderId="2" xfId="0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0" fillId="3" borderId="24" xfId="0" applyFill="1" applyBorder="1" applyProtection="1">
      <alignment vertical="center"/>
      <protection locked="0"/>
    </xf>
    <xf numFmtId="0" fontId="0" fillId="3" borderId="25" xfId="0" applyFill="1" applyBorder="1" applyProtection="1">
      <alignment vertical="center"/>
      <protection locked="0"/>
    </xf>
    <xf numFmtId="0" fontId="0" fillId="3" borderId="26" xfId="0" applyFill="1" applyBorder="1" applyProtection="1">
      <alignment vertical="center"/>
      <protection locked="0"/>
    </xf>
    <xf numFmtId="0" fontId="0" fillId="6" borderId="20" xfId="0" applyFill="1" applyBorder="1" applyProtection="1">
      <alignment vertical="center"/>
      <protection locked="0"/>
    </xf>
    <xf numFmtId="0" fontId="0" fillId="6" borderId="21" xfId="0" applyFill="1" applyBorder="1" applyProtection="1">
      <alignment vertical="center"/>
      <protection locked="0"/>
    </xf>
    <xf numFmtId="0" fontId="0" fillId="6" borderId="22" xfId="0" applyFill="1" applyBorder="1" applyProtection="1">
      <alignment vertical="center"/>
      <protection locked="0"/>
    </xf>
    <xf numFmtId="0" fontId="0" fillId="4" borderId="17" xfId="0" applyFill="1" applyBorder="1" applyProtection="1">
      <alignment vertical="center"/>
      <protection locked="0"/>
    </xf>
    <xf numFmtId="0" fontId="0" fillId="4" borderId="6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4" borderId="7" xfId="0" applyFill="1" applyBorder="1" applyProtection="1">
      <alignment vertical="center"/>
      <protection locked="0"/>
    </xf>
    <xf numFmtId="0" fontId="0" fillId="4" borderId="14" xfId="0" applyFill="1" applyBorder="1" applyProtection="1">
      <alignment vertical="center"/>
      <protection locked="0"/>
    </xf>
    <xf numFmtId="0" fontId="0" fillId="4" borderId="15" xfId="0" applyFill="1" applyBorder="1" applyProtection="1">
      <alignment vertical="center"/>
      <protection locked="0"/>
    </xf>
    <xf numFmtId="0" fontId="0" fillId="4" borderId="16" xfId="0" applyFill="1" applyBorder="1" applyProtection="1">
      <alignment vertical="center"/>
      <protection locked="0"/>
    </xf>
    <xf numFmtId="0" fontId="0" fillId="5" borderId="20" xfId="0" applyFill="1" applyBorder="1" applyProtection="1">
      <alignment vertical="center"/>
      <protection locked="0"/>
    </xf>
    <xf numFmtId="0" fontId="0" fillId="5" borderId="21" xfId="0" applyFill="1" applyBorder="1" applyProtection="1">
      <alignment vertical="center"/>
      <protection locked="0"/>
    </xf>
    <xf numFmtId="0" fontId="0" fillId="5" borderId="22" xfId="0" applyFill="1" applyBorder="1" applyProtection="1">
      <alignment vertical="center"/>
      <protection locked="0"/>
    </xf>
    <xf numFmtId="0" fontId="0" fillId="10" borderId="1" xfId="0" applyFill="1" applyBorder="1" applyProtection="1">
      <alignment vertical="center"/>
      <protection locked="0"/>
    </xf>
    <xf numFmtId="0" fontId="0" fillId="9" borderId="2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0" fillId="0" borderId="8" xfId="0" applyBorder="1" applyProtection="1">
      <alignment vertical="center"/>
    </xf>
    <xf numFmtId="0" fontId="0" fillId="2" borderId="11" xfId="0" applyFill="1" applyBorder="1" applyProtection="1">
      <alignment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0" fillId="3" borderId="9" xfId="0" applyFill="1" applyBorder="1" applyProtection="1">
      <alignment vertical="center"/>
    </xf>
    <xf numFmtId="0" fontId="0" fillId="4" borderId="10" xfId="0" applyFill="1" applyBorder="1" applyProtection="1">
      <alignment vertical="center"/>
    </xf>
    <xf numFmtId="0" fontId="0" fillId="0" borderId="42" xfId="0" applyFill="1" applyBorder="1" applyAlignment="1" applyProtection="1">
      <alignment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34" xfId="0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11" borderId="39" xfId="0" applyFont="1" applyFill="1" applyBorder="1" applyAlignment="1" applyProtection="1">
      <alignment horizontal="center" vertical="center"/>
    </xf>
    <xf numFmtId="176" fontId="2" fillId="11" borderId="35" xfId="0" applyNumberFormat="1" applyFont="1" applyFill="1" applyBorder="1" applyProtection="1">
      <alignment vertical="center"/>
    </xf>
    <xf numFmtId="176" fontId="2" fillId="11" borderId="1" xfId="0" applyNumberFormat="1" applyFont="1" applyFill="1" applyBorder="1" applyProtection="1">
      <alignment vertical="center"/>
    </xf>
    <xf numFmtId="176" fontId="2" fillId="11" borderId="7" xfId="0" applyNumberFormat="1" applyFont="1" applyFill="1" applyBorder="1" applyProtection="1">
      <alignment vertical="center"/>
    </xf>
    <xf numFmtId="0" fontId="0" fillId="18" borderId="39" xfId="0" applyFill="1" applyBorder="1" applyAlignment="1" applyProtection="1">
      <alignment horizontal="center" vertical="center"/>
    </xf>
    <xf numFmtId="176" fontId="2" fillId="18" borderId="35" xfId="0" applyNumberFormat="1" applyFont="1" applyFill="1" applyBorder="1" applyProtection="1">
      <alignment vertical="center"/>
    </xf>
    <xf numFmtId="176" fontId="2" fillId="18" borderId="1" xfId="0" applyNumberFormat="1" applyFont="1" applyFill="1" applyBorder="1" applyProtection="1">
      <alignment vertical="center"/>
    </xf>
    <xf numFmtId="0" fontId="0" fillId="10" borderId="40" xfId="0" applyFill="1" applyBorder="1" applyProtection="1">
      <alignment vertical="center"/>
    </xf>
    <xf numFmtId="0" fontId="0" fillId="10" borderId="36" xfId="0" applyFill="1" applyBorder="1" applyProtection="1">
      <alignment vertical="center"/>
    </xf>
    <xf numFmtId="0" fontId="0" fillId="10" borderId="27" xfId="0" applyFill="1" applyBorder="1" applyProtection="1">
      <alignment vertical="center"/>
    </xf>
    <xf numFmtId="0" fontId="0" fillId="10" borderId="28" xfId="0" applyFill="1" applyBorder="1" applyProtection="1">
      <alignment vertical="center"/>
    </xf>
    <xf numFmtId="0" fontId="0" fillId="19" borderId="40" xfId="0" applyFill="1" applyBorder="1" applyAlignment="1" applyProtection="1">
      <alignment horizontal="center" vertical="center"/>
    </xf>
    <xf numFmtId="0" fontId="0" fillId="19" borderId="36" xfId="0" applyFill="1" applyBorder="1" applyProtection="1">
      <alignment vertical="center"/>
    </xf>
    <xf numFmtId="0" fontId="0" fillId="19" borderId="27" xfId="0" applyFill="1" applyBorder="1" applyProtection="1">
      <alignment vertical="center"/>
    </xf>
    <xf numFmtId="0" fontId="0" fillId="19" borderId="28" xfId="0" applyFill="1" applyBorder="1" applyProtection="1">
      <alignment vertical="center"/>
    </xf>
    <xf numFmtId="0" fontId="0" fillId="6" borderId="31" xfId="0" applyFill="1" applyBorder="1" applyProtection="1">
      <alignment vertical="center"/>
    </xf>
    <xf numFmtId="0" fontId="0" fillId="6" borderId="37" xfId="0" applyFill="1" applyBorder="1" applyProtection="1">
      <alignment vertical="center"/>
    </xf>
    <xf numFmtId="0" fontId="0" fillId="6" borderId="32" xfId="0" applyFill="1" applyBorder="1" applyProtection="1">
      <alignment vertical="center"/>
    </xf>
    <xf numFmtId="0" fontId="0" fillId="6" borderId="33" xfId="0" applyFill="1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22" borderId="31" xfId="0" applyFill="1" applyBorder="1" applyAlignment="1" applyProtection="1">
      <alignment horizontal="center" vertical="center"/>
    </xf>
    <xf numFmtId="0" fontId="0" fillId="22" borderId="37" xfId="0" applyFill="1" applyBorder="1" applyProtection="1">
      <alignment vertical="center"/>
    </xf>
    <xf numFmtId="0" fontId="0" fillId="22" borderId="32" xfId="0" applyFill="1" applyBorder="1" applyProtection="1">
      <alignment vertical="center"/>
    </xf>
    <xf numFmtId="0" fontId="0" fillId="22" borderId="33" xfId="0" applyFill="1" applyBorder="1" applyProtection="1">
      <alignment vertical="center"/>
    </xf>
    <xf numFmtId="0" fontId="0" fillId="12" borderId="39" xfId="0" applyFill="1" applyBorder="1" applyAlignment="1" applyProtection="1">
      <alignment horizontal="right" vertical="center"/>
    </xf>
    <xf numFmtId="176" fontId="0" fillId="12" borderId="35" xfId="0" applyNumberFormat="1" applyFill="1" applyBorder="1" applyProtection="1">
      <alignment vertical="center"/>
    </xf>
    <xf numFmtId="176" fontId="0" fillId="12" borderId="1" xfId="0" applyNumberFormat="1" applyFill="1" applyBorder="1" applyProtection="1">
      <alignment vertical="center"/>
    </xf>
    <xf numFmtId="176" fontId="0" fillId="12" borderId="7" xfId="0" applyNumberFormat="1" applyFill="1" applyBorder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9" borderId="40" xfId="0" applyFill="1" applyBorder="1" applyAlignment="1" applyProtection="1">
      <alignment horizontal="right" vertical="center"/>
    </xf>
    <xf numFmtId="176" fontId="0" fillId="9" borderId="36" xfId="0" applyNumberFormat="1" applyFill="1" applyBorder="1" applyProtection="1">
      <alignment vertical="center"/>
    </xf>
    <xf numFmtId="176" fontId="0" fillId="9" borderId="27" xfId="0" applyNumberFormat="1" applyFill="1" applyBorder="1" applyProtection="1">
      <alignment vertical="center"/>
    </xf>
    <xf numFmtId="176" fontId="0" fillId="9" borderId="28" xfId="0" applyNumberFormat="1" applyFill="1" applyBorder="1" applyProtection="1">
      <alignment vertical="center"/>
    </xf>
    <xf numFmtId="0" fontId="0" fillId="4" borderId="31" xfId="0" applyFill="1" applyBorder="1" applyAlignment="1" applyProtection="1">
      <alignment horizontal="right" vertical="center"/>
    </xf>
    <xf numFmtId="176" fontId="0" fillId="4" borderId="37" xfId="0" applyNumberFormat="1" applyFill="1" applyBorder="1" applyProtection="1">
      <alignment vertical="center"/>
    </xf>
    <xf numFmtId="176" fontId="0" fillId="4" borderId="32" xfId="0" applyNumberFormat="1" applyFill="1" applyBorder="1" applyProtection="1">
      <alignment vertical="center"/>
    </xf>
    <xf numFmtId="176" fontId="0" fillId="4" borderId="33" xfId="0" applyNumberFormat="1" applyFill="1" applyBorder="1" applyProtection="1">
      <alignment vertical="center"/>
    </xf>
    <xf numFmtId="0" fontId="0" fillId="13" borderId="39" xfId="0" applyFill="1" applyBorder="1" applyAlignment="1" applyProtection="1">
      <alignment horizontal="right" vertical="center"/>
    </xf>
    <xf numFmtId="176" fontId="0" fillId="13" borderId="35" xfId="0" applyNumberFormat="1" applyFill="1" applyBorder="1" applyProtection="1">
      <alignment vertical="center"/>
    </xf>
    <xf numFmtId="176" fontId="0" fillId="13" borderId="1" xfId="0" applyNumberFormat="1" applyFill="1" applyBorder="1" applyProtection="1">
      <alignment vertical="center"/>
    </xf>
    <xf numFmtId="176" fontId="0" fillId="13" borderId="7" xfId="0" applyNumberFormat="1" applyFill="1" applyBorder="1" applyProtection="1">
      <alignment vertical="center"/>
    </xf>
    <xf numFmtId="0" fontId="0" fillId="14" borderId="40" xfId="0" applyFill="1" applyBorder="1" applyAlignment="1" applyProtection="1">
      <alignment horizontal="right" vertical="center"/>
    </xf>
    <xf numFmtId="176" fontId="0" fillId="14" borderId="36" xfId="0" applyNumberFormat="1" applyFill="1" applyBorder="1" applyProtection="1">
      <alignment vertical="center"/>
    </xf>
    <xf numFmtId="176" fontId="0" fillId="14" borderId="27" xfId="0" applyNumberFormat="1" applyFill="1" applyBorder="1" applyProtection="1">
      <alignment vertical="center"/>
    </xf>
    <xf numFmtId="176" fontId="0" fillId="14" borderId="28" xfId="0" applyNumberFormat="1" applyFill="1" applyBorder="1" applyProtection="1">
      <alignment vertical="center"/>
    </xf>
    <xf numFmtId="0" fontId="0" fillId="0" borderId="42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7" borderId="41" xfId="0" applyFill="1" applyBorder="1" applyAlignment="1" applyProtection="1">
      <alignment horizontal="right" vertical="center"/>
    </xf>
    <xf numFmtId="176" fontId="0" fillId="7" borderId="38" xfId="0" applyNumberFormat="1" applyFill="1" applyBorder="1" applyProtection="1">
      <alignment vertical="center"/>
    </xf>
    <xf numFmtId="176" fontId="0" fillId="7" borderId="25" xfId="0" applyNumberFormat="1" applyFill="1" applyBorder="1" applyProtection="1">
      <alignment vertical="center"/>
    </xf>
    <xf numFmtId="176" fontId="0" fillId="7" borderId="26" xfId="0" applyNumberFormat="1" applyFill="1" applyBorder="1" applyProtection="1">
      <alignment vertical="center"/>
    </xf>
    <xf numFmtId="0" fontId="0" fillId="15" borderId="3" xfId="0" applyFill="1" applyBorder="1" applyProtection="1">
      <alignment vertical="center"/>
    </xf>
    <xf numFmtId="0" fontId="0" fillId="15" borderId="4" xfId="0" applyFill="1" applyBorder="1" applyAlignment="1" applyProtection="1">
      <alignment horizontal="center" vertical="center"/>
    </xf>
    <xf numFmtId="0" fontId="0" fillId="15" borderId="5" xfId="0" applyFill="1" applyBorder="1" applyAlignment="1" applyProtection="1">
      <alignment horizontal="center" vertical="center"/>
    </xf>
    <xf numFmtId="0" fontId="0" fillId="10" borderId="6" xfId="0" applyFill="1" applyBorder="1" applyAlignment="1" applyProtection="1">
      <alignment horizontal="center" vertical="center"/>
    </xf>
    <xf numFmtId="0" fontId="0" fillId="10" borderId="1" xfId="0" applyFill="1" applyBorder="1" applyProtection="1">
      <alignment vertical="center"/>
    </xf>
    <xf numFmtId="0" fontId="0" fillId="10" borderId="7" xfId="0" applyFill="1" applyBorder="1" applyProtection="1">
      <alignment vertical="center"/>
    </xf>
    <xf numFmtId="0" fontId="0" fillId="10" borderId="48" xfId="0" applyFill="1" applyBorder="1" applyProtection="1">
      <alignment vertical="center"/>
    </xf>
    <xf numFmtId="0" fontId="0" fillId="10" borderId="52" xfId="0" applyFill="1" applyBorder="1" applyAlignment="1" applyProtection="1">
      <alignment horizontal="center" vertical="center"/>
    </xf>
    <xf numFmtId="0" fontId="0" fillId="9" borderId="24" xfId="0" applyFill="1" applyBorder="1" applyAlignment="1" applyProtection="1">
      <alignment horizontal="center" vertical="center"/>
    </xf>
    <xf numFmtId="0" fontId="0" fillId="9" borderId="26" xfId="0" applyFill="1" applyBorder="1" applyProtection="1">
      <alignment vertical="center"/>
    </xf>
    <xf numFmtId="0" fontId="0" fillId="9" borderId="24" xfId="0" applyFill="1" applyBorder="1" applyProtection="1">
      <alignment vertical="center"/>
    </xf>
    <xf numFmtId="0" fontId="0" fillId="9" borderId="26" xfId="0" applyFill="1" applyBorder="1" applyAlignment="1" applyProtection="1">
      <alignment horizontal="center" vertical="center"/>
    </xf>
    <xf numFmtId="0" fontId="0" fillId="24" borderId="53" xfId="0" applyFill="1" applyBorder="1" applyAlignment="1" applyProtection="1">
      <alignment horizontal="center" vertical="center"/>
    </xf>
    <xf numFmtId="0" fontId="0" fillId="21" borderId="48" xfId="0" applyFill="1" applyBorder="1" applyProtection="1">
      <alignment vertical="center"/>
    </xf>
    <xf numFmtId="0" fontId="0" fillId="17" borderId="45" xfId="0" applyFill="1" applyBorder="1" applyProtection="1">
      <alignment vertical="center"/>
    </xf>
    <xf numFmtId="0" fontId="0" fillId="17" borderId="26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76" fontId="0" fillId="0" borderId="0" xfId="0" applyNumberFormat="1" applyProtection="1">
      <alignment vertical="center"/>
    </xf>
    <xf numFmtId="0" fontId="0" fillId="0" borderId="48" xfId="0" applyBorder="1" applyProtection="1">
      <alignment vertical="center"/>
    </xf>
    <xf numFmtId="0" fontId="0" fillId="0" borderId="49" xfId="0" applyBorder="1" applyProtection="1">
      <alignment vertical="center"/>
    </xf>
    <xf numFmtId="0" fontId="0" fillId="0" borderId="59" xfId="0" applyBorder="1" applyProtection="1">
      <alignment vertical="center"/>
    </xf>
    <xf numFmtId="0" fontId="0" fillId="0" borderId="27" xfId="0" applyBorder="1" applyProtection="1">
      <alignment vertical="center"/>
    </xf>
    <xf numFmtId="0" fontId="0" fillId="0" borderId="28" xfId="0" applyBorder="1" applyProtection="1">
      <alignment vertical="center"/>
    </xf>
    <xf numFmtId="177" fontId="0" fillId="0" borderId="27" xfId="0" applyNumberFormat="1" applyBorder="1" applyProtection="1">
      <alignment vertical="center"/>
    </xf>
    <xf numFmtId="176" fontId="0" fillId="0" borderId="27" xfId="0" applyNumberFormat="1" applyBorder="1" applyProtection="1">
      <alignment vertical="center"/>
    </xf>
    <xf numFmtId="176" fontId="0" fillId="0" borderId="28" xfId="0" applyNumberFormat="1" applyBorder="1" applyProtection="1">
      <alignment vertical="center"/>
    </xf>
    <xf numFmtId="0" fontId="0" fillId="0" borderId="24" xfId="0" applyBorder="1" applyProtection="1">
      <alignment vertical="center"/>
    </xf>
    <xf numFmtId="177" fontId="0" fillId="0" borderId="25" xfId="0" applyNumberFormat="1" applyBorder="1" applyProtection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0" fontId="0" fillId="0" borderId="50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26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3" xfId="0" applyBorder="1" applyProtection="1">
      <alignment vertical="center"/>
    </xf>
    <xf numFmtId="0" fontId="0" fillId="0" borderId="6" xfId="0" applyBorder="1" applyAlignment="1" applyProtection="1">
      <alignment horizontal="right" vertical="center"/>
    </xf>
    <xf numFmtId="0" fontId="0" fillId="0" borderId="1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51" xfId="0" applyBorder="1" applyAlignment="1" applyProtection="1">
      <alignment horizontal="right" vertical="center"/>
    </xf>
    <xf numFmtId="0" fontId="0" fillId="0" borderId="32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0" borderId="24" xfId="0" applyBorder="1" applyAlignment="1" applyProtection="1">
      <alignment horizontal="right" vertical="center"/>
    </xf>
    <xf numFmtId="0" fontId="0" fillId="0" borderId="48" xfId="0" applyFill="1" applyBorder="1" applyAlignment="1" applyProtection="1">
      <alignment horizontal="right" vertical="center"/>
    </xf>
    <xf numFmtId="0" fontId="0" fillId="0" borderId="59" xfId="0" applyFill="1" applyBorder="1" applyAlignment="1" applyProtection="1">
      <alignment horizontal="right" vertical="center"/>
    </xf>
    <xf numFmtId="0" fontId="0" fillId="0" borderId="27" xfId="0" applyBorder="1" applyAlignment="1" applyProtection="1">
      <alignment vertical="center" wrapText="1"/>
    </xf>
    <xf numFmtId="0" fontId="0" fillId="0" borderId="24" xfId="0" applyFill="1" applyBorder="1" applyAlignment="1" applyProtection="1">
      <alignment horizontal="right" vertical="center"/>
    </xf>
    <xf numFmtId="0" fontId="0" fillId="0" borderId="25" xfId="0" applyBorder="1" applyAlignment="1" applyProtection="1">
      <alignment vertical="center" wrapText="1"/>
    </xf>
    <xf numFmtId="0" fontId="0" fillId="0" borderId="6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</xf>
    <xf numFmtId="0" fontId="0" fillId="26" borderId="4" xfId="0" applyFill="1" applyBorder="1" applyAlignment="1" applyProtection="1">
      <alignment vertical="center"/>
    </xf>
    <xf numFmtId="0" fontId="0" fillId="25" borderId="5" xfId="0" applyFill="1" applyBorder="1" applyAlignment="1" applyProtection="1">
      <alignment vertical="center"/>
    </xf>
    <xf numFmtId="0" fontId="0" fillId="10" borderId="1" xfId="0" applyFill="1" applyBorder="1" applyAlignment="1" applyProtection="1">
      <alignment horizontal="center" vertical="center"/>
    </xf>
    <xf numFmtId="0" fontId="0" fillId="10" borderId="7" xfId="0" applyFill="1" applyBorder="1" applyAlignment="1" applyProtection="1">
      <alignment horizontal="center" vertical="center"/>
    </xf>
    <xf numFmtId="0" fontId="0" fillId="9" borderId="25" xfId="0" applyFill="1" applyBorder="1" applyAlignment="1" applyProtection="1">
      <alignment horizontal="center" vertical="center"/>
    </xf>
    <xf numFmtId="0" fontId="0" fillId="0" borderId="11" xfId="0" applyBorder="1" applyProtection="1">
      <alignment vertical="center"/>
    </xf>
    <xf numFmtId="0" fontId="0" fillId="0" borderId="43" xfId="0" applyBorder="1" applyProtection="1">
      <alignment vertical="center"/>
    </xf>
    <xf numFmtId="0" fontId="0" fillId="0" borderId="44" xfId="0" applyBorder="1" applyProtection="1">
      <alignment vertical="center"/>
    </xf>
    <xf numFmtId="0" fontId="0" fillId="0" borderId="64" xfId="0" applyBorder="1" applyProtection="1">
      <alignment vertical="center"/>
    </xf>
    <xf numFmtId="0" fontId="0" fillId="0" borderId="65" xfId="0" applyBorder="1" applyProtection="1">
      <alignment vertical="center"/>
    </xf>
    <xf numFmtId="0" fontId="0" fillId="0" borderId="66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51" xfId="0" applyBorder="1" applyProtection="1">
      <alignment vertical="center"/>
    </xf>
    <xf numFmtId="0" fontId="0" fillId="24" borderId="67" xfId="0" applyFill="1" applyBorder="1" applyProtection="1">
      <alignment vertical="center"/>
    </xf>
    <xf numFmtId="0" fontId="0" fillId="24" borderId="68" xfId="0" applyFill="1" applyBorder="1" applyProtection="1">
      <alignment vertical="center"/>
    </xf>
    <xf numFmtId="0" fontId="0" fillId="24" borderId="52" xfId="0" applyFill="1" applyBorder="1" applyAlignment="1" applyProtection="1">
      <alignment horizontal="center" vertical="center"/>
    </xf>
    <xf numFmtId="0" fontId="0" fillId="21" borderId="49" xfId="0" applyFill="1" applyBorder="1" applyProtection="1">
      <alignment vertical="center"/>
    </xf>
    <xf numFmtId="0" fontId="0" fillId="21" borderId="50" xfId="0" applyFill="1" applyBorder="1" applyAlignment="1" applyProtection="1">
      <alignment horizontal="center" vertical="center"/>
    </xf>
    <xf numFmtId="0" fontId="0" fillId="21" borderId="69" xfId="0" applyFill="1" applyBorder="1" applyProtection="1">
      <alignment vertical="center"/>
    </xf>
    <xf numFmtId="0" fontId="0" fillId="15" borderId="70" xfId="0" applyFill="1" applyBorder="1" applyProtection="1">
      <alignment vertical="center"/>
    </xf>
    <xf numFmtId="0" fontId="0" fillId="15" borderId="71" xfId="0" applyFill="1" applyBorder="1" applyProtection="1">
      <alignment vertical="center"/>
    </xf>
    <xf numFmtId="0" fontId="0" fillId="15" borderId="72" xfId="0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horizontal="center" vertical="center"/>
    </xf>
    <xf numFmtId="0" fontId="0" fillId="5" borderId="18" xfId="0" applyFill="1" applyBorder="1" applyAlignment="1" applyProtection="1">
      <alignment horizontal="center" vertical="center"/>
    </xf>
    <xf numFmtId="0" fontId="0" fillId="5" borderId="29" xfId="0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 vertical="center"/>
    </xf>
    <xf numFmtId="0" fontId="0" fillId="8" borderId="18" xfId="0" applyFill="1" applyBorder="1" applyAlignment="1" applyProtection="1">
      <alignment horizontal="center" vertical="center"/>
    </xf>
    <xf numFmtId="0" fontId="0" fillId="8" borderId="29" xfId="0" applyFill="1" applyBorder="1" applyAlignment="1" applyProtection="1">
      <alignment horizontal="center" vertical="center"/>
    </xf>
    <xf numFmtId="0" fontId="0" fillId="8" borderId="19" xfId="0" applyFill="1" applyBorder="1" applyAlignment="1" applyProtection="1">
      <alignment horizontal="center" vertical="center"/>
    </xf>
    <xf numFmtId="0" fontId="0" fillId="23" borderId="48" xfId="0" applyFill="1" applyBorder="1" applyAlignment="1" applyProtection="1">
      <alignment horizontal="center" vertical="center"/>
    </xf>
    <xf numFmtId="0" fontId="0" fillId="23" borderId="49" xfId="0" applyFill="1" applyBorder="1" applyAlignment="1" applyProtection="1">
      <alignment horizontal="center" vertical="center"/>
    </xf>
    <xf numFmtId="0" fontId="0" fillId="23" borderId="50" xfId="0" applyFill="1" applyBorder="1" applyAlignment="1" applyProtection="1">
      <alignment horizontal="center" vertical="center"/>
    </xf>
    <xf numFmtId="0" fontId="0" fillId="23" borderId="24" xfId="0" applyFill="1" applyBorder="1" applyAlignment="1" applyProtection="1">
      <alignment horizontal="center" vertical="center"/>
    </xf>
    <xf numFmtId="0" fontId="0" fillId="23" borderId="25" xfId="0" applyFill="1" applyBorder="1" applyAlignment="1" applyProtection="1">
      <alignment horizontal="center" vertical="center"/>
    </xf>
    <xf numFmtId="0" fontId="0" fillId="23" borderId="26" xfId="0" applyFill="1" applyBorder="1" applyAlignment="1" applyProtection="1">
      <alignment horizontal="center" vertical="center"/>
    </xf>
    <xf numFmtId="0" fontId="0" fillId="23" borderId="45" xfId="0" applyFill="1" applyBorder="1" applyAlignment="1" applyProtection="1">
      <alignment horizontal="center" vertical="center"/>
    </xf>
    <xf numFmtId="0" fontId="0" fillId="23" borderId="46" xfId="0" applyFill="1" applyBorder="1" applyAlignment="1" applyProtection="1">
      <alignment horizontal="center" vertical="center"/>
    </xf>
    <xf numFmtId="0" fontId="0" fillId="23" borderId="47" xfId="0" applyFill="1" applyBorder="1" applyAlignment="1" applyProtection="1">
      <alignment horizontal="center" vertical="center"/>
    </xf>
    <xf numFmtId="0" fontId="0" fillId="20" borderId="18" xfId="0" applyFill="1" applyBorder="1" applyAlignment="1" applyProtection="1">
      <alignment horizontal="center" vertical="center"/>
    </xf>
    <xf numFmtId="0" fontId="0" fillId="20" borderId="29" xfId="0" applyFill="1" applyBorder="1" applyAlignment="1" applyProtection="1">
      <alignment horizontal="center" vertical="center"/>
    </xf>
    <xf numFmtId="0" fontId="0" fillId="20" borderId="19" xfId="0" applyFill="1" applyBorder="1" applyAlignment="1" applyProtection="1">
      <alignment horizontal="center" vertical="center"/>
    </xf>
    <xf numFmtId="0" fontId="0" fillId="24" borderId="54" xfId="0" applyFill="1" applyBorder="1" applyAlignment="1" applyProtection="1">
      <alignment horizontal="center" vertical="center"/>
    </xf>
    <xf numFmtId="0" fontId="0" fillId="24" borderId="55" xfId="0" applyFill="1" applyBorder="1" applyAlignment="1" applyProtection="1">
      <alignment horizontal="center" vertical="center"/>
    </xf>
    <xf numFmtId="0" fontId="0" fillId="24" borderId="56" xfId="0" applyFill="1" applyBorder="1" applyAlignment="1" applyProtection="1">
      <alignment horizontal="center" vertical="center"/>
    </xf>
    <xf numFmtId="0" fontId="0" fillId="15" borderId="8" xfId="0" applyFill="1" applyBorder="1" applyAlignment="1" applyProtection="1">
      <alignment horizontal="center" vertical="center"/>
    </xf>
    <xf numFmtId="0" fontId="0" fillId="15" borderId="63" xfId="0" applyFill="1" applyBorder="1" applyAlignment="1" applyProtection="1">
      <alignment horizontal="center" vertical="center"/>
    </xf>
    <xf numFmtId="0" fontId="0" fillId="15" borderId="34" xfId="0" applyFill="1" applyBorder="1" applyAlignment="1" applyProtection="1">
      <alignment horizontal="center" vertical="center"/>
    </xf>
    <xf numFmtId="0" fontId="0" fillId="16" borderId="11" xfId="0" applyFill="1" applyBorder="1" applyAlignment="1" applyProtection="1">
      <alignment horizontal="center" vertical="center"/>
    </xf>
    <xf numFmtId="0" fontId="0" fillId="16" borderId="43" xfId="0" applyFill="1" applyBorder="1" applyAlignment="1" applyProtection="1">
      <alignment horizontal="center" vertical="center"/>
    </xf>
    <xf numFmtId="0" fontId="0" fillId="16" borderId="44" xfId="0" applyFill="1" applyBorder="1" applyAlignment="1" applyProtection="1">
      <alignment horizontal="center" vertical="center"/>
    </xf>
    <xf numFmtId="0" fontId="0" fillId="16" borderId="45" xfId="0" applyFill="1" applyBorder="1" applyAlignment="1" applyProtection="1">
      <alignment horizontal="center" vertical="center"/>
    </xf>
    <xf numFmtId="0" fontId="0" fillId="16" borderId="46" xfId="0" applyFill="1" applyBorder="1" applyAlignment="1" applyProtection="1">
      <alignment horizontal="center" vertical="center"/>
    </xf>
    <xf numFmtId="0" fontId="0" fillId="16" borderId="47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windowProtection="1" tabSelected="1" zoomScaleNormal="100" workbookViewId="0">
      <selection sqref="A1:J1"/>
    </sheetView>
  </sheetViews>
  <sheetFormatPr defaultRowHeight="13.5"/>
  <cols>
    <col min="1" max="1" width="22.875" customWidth="1"/>
    <col min="3" max="3" width="9.375" customWidth="1"/>
    <col min="4" max="4" width="8.875" customWidth="1"/>
    <col min="8" max="8" width="10.5" customWidth="1"/>
    <col min="9" max="9" width="10.625" customWidth="1"/>
    <col min="10" max="10" width="10.125" customWidth="1"/>
    <col min="11" max="11" width="10" customWidth="1"/>
  </cols>
  <sheetData>
    <row r="1" spans="1:19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23"/>
      <c r="L1" s="23"/>
      <c r="M1" s="23"/>
      <c r="N1" s="23"/>
      <c r="O1" s="23"/>
      <c r="P1" s="23"/>
      <c r="Q1" s="23"/>
      <c r="R1" s="23"/>
      <c r="S1" s="23"/>
    </row>
    <row r="2" spans="1:19" ht="14.25" thickBot="1">
      <c r="A2" s="23"/>
      <c r="B2" s="23"/>
      <c r="C2" s="23"/>
      <c r="D2" s="23"/>
      <c r="E2" s="23"/>
      <c r="F2" s="23"/>
      <c r="G2" s="23"/>
      <c r="H2" s="23"/>
      <c r="I2" s="23"/>
      <c r="J2" s="24"/>
      <c r="K2" s="24"/>
      <c r="L2" s="24"/>
      <c r="M2" s="23"/>
      <c r="N2" s="23"/>
      <c r="O2" s="23"/>
      <c r="P2" s="23"/>
      <c r="Q2" s="23"/>
      <c r="R2" s="23"/>
      <c r="S2" s="23"/>
    </row>
    <row r="3" spans="1:19" ht="14.25" thickBot="1">
      <c r="A3" s="25"/>
      <c r="B3" s="26" t="s">
        <v>16</v>
      </c>
      <c r="C3" s="27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9" t="s">
        <v>30</v>
      </c>
      <c r="I3" s="23"/>
      <c r="J3" s="181" t="s">
        <v>77</v>
      </c>
      <c r="K3" s="182"/>
      <c r="L3" s="183"/>
      <c r="M3" s="23"/>
      <c r="N3" s="23"/>
      <c r="O3" s="23"/>
      <c r="P3" s="23"/>
      <c r="Q3" s="23"/>
      <c r="R3" s="23"/>
      <c r="S3" s="23"/>
    </row>
    <row r="4" spans="1:19" ht="15" thickTop="1" thickBot="1">
      <c r="A4" s="30" t="s">
        <v>1</v>
      </c>
      <c r="B4" s="1">
        <v>50</v>
      </c>
      <c r="C4" s="2">
        <v>100</v>
      </c>
      <c r="D4" s="3">
        <v>150</v>
      </c>
      <c r="E4" s="3">
        <v>150</v>
      </c>
      <c r="F4" s="3">
        <v>30</v>
      </c>
      <c r="G4" s="3">
        <v>30</v>
      </c>
      <c r="H4" s="4">
        <v>80</v>
      </c>
      <c r="I4" s="23"/>
      <c r="J4" s="138"/>
      <c r="K4" s="139" t="s">
        <v>78</v>
      </c>
      <c r="L4" s="140" t="s">
        <v>79</v>
      </c>
      <c r="M4" s="23"/>
      <c r="N4" s="23"/>
      <c r="O4" s="23"/>
      <c r="P4" s="23"/>
      <c r="Q4" s="23"/>
      <c r="R4" s="23"/>
      <c r="S4" s="23"/>
    </row>
    <row r="5" spans="1:19" ht="14.25" thickBot="1">
      <c r="A5" s="173" t="s">
        <v>8</v>
      </c>
      <c r="B5" s="174"/>
      <c r="C5" s="5">
        <v>2</v>
      </c>
      <c r="D5" s="6">
        <v>11</v>
      </c>
      <c r="E5" s="6">
        <v>2</v>
      </c>
      <c r="F5" s="6">
        <v>1</v>
      </c>
      <c r="G5" s="6">
        <v>1</v>
      </c>
      <c r="H5" s="7">
        <v>1</v>
      </c>
      <c r="I5" s="23"/>
      <c r="J5" s="90" t="s">
        <v>80</v>
      </c>
      <c r="K5" s="141">
        <f>$H$56</f>
        <v>70</v>
      </c>
      <c r="L5" s="142" t="str">
        <f>I53</f>
        <v>氷</v>
      </c>
      <c r="M5" s="23"/>
      <c r="N5" s="23"/>
      <c r="O5" s="23"/>
      <c r="P5" s="23"/>
      <c r="Q5" s="23"/>
      <c r="R5" s="23"/>
      <c r="S5" s="23"/>
    </row>
    <row r="6" spans="1:19" ht="14.25" thickBot="1">
      <c r="A6" s="177" t="s">
        <v>17</v>
      </c>
      <c r="B6" s="178"/>
      <c r="C6" s="8">
        <v>0</v>
      </c>
      <c r="D6" s="9">
        <v>0</v>
      </c>
      <c r="E6" s="9">
        <v>0</v>
      </c>
      <c r="F6" s="9">
        <v>0</v>
      </c>
      <c r="G6" s="9">
        <v>0</v>
      </c>
      <c r="H6" s="10">
        <v>0</v>
      </c>
      <c r="I6" s="23"/>
      <c r="J6" s="95" t="s">
        <v>81</v>
      </c>
      <c r="K6" s="143">
        <f>$H$57</f>
        <v>70</v>
      </c>
      <c r="L6" s="98" t="str">
        <f>I54</f>
        <v>飛</v>
      </c>
      <c r="M6" s="23"/>
      <c r="N6" s="23"/>
      <c r="O6" s="23"/>
      <c r="P6" s="23"/>
      <c r="Q6" s="23"/>
      <c r="R6" s="23"/>
      <c r="S6" s="23"/>
    </row>
    <row r="7" spans="1:19" ht="14.25" thickBot="1">
      <c r="A7" s="31" t="s">
        <v>2</v>
      </c>
      <c r="B7" s="11">
        <v>50</v>
      </c>
      <c r="C7" s="12">
        <v>100</v>
      </c>
      <c r="D7" s="13">
        <v>30</v>
      </c>
      <c r="E7" s="13">
        <v>30</v>
      </c>
      <c r="F7" s="13">
        <v>150</v>
      </c>
      <c r="G7" s="13">
        <v>150</v>
      </c>
      <c r="H7" s="14">
        <v>80</v>
      </c>
      <c r="I7" s="23"/>
      <c r="J7" s="24"/>
      <c r="K7" s="24"/>
      <c r="L7" s="24"/>
      <c r="M7" s="23"/>
      <c r="N7" s="23"/>
      <c r="O7" s="23"/>
      <c r="P7" s="23"/>
      <c r="Q7" s="23"/>
      <c r="R7" s="23"/>
      <c r="S7" s="23"/>
    </row>
    <row r="8" spans="1:19" ht="14.25" thickBot="1">
      <c r="A8" s="175" t="s">
        <v>8</v>
      </c>
      <c r="B8" s="176"/>
      <c r="C8" s="15">
        <v>2</v>
      </c>
      <c r="D8" s="16">
        <v>22</v>
      </c>
      <c r="E8" s="16">
        <v>2</v>
      </c>
      <c r="F8" s="16">
        <v>12</v>
      </c>
      <c r="G8" s="16">
        <v>2</v>
      </c>
      <c r="H8" s="17">
        <v>3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4.25" thickBot="1">
      <c r="A9" s="179" t="s">
        <v>17</v>
      </c>
      <c r="B9" s="180"/>
      <c r="C9" s="18">
        <v>0</v>
      </c>
      <c r="D9" s="19">
        <v>0</v>
      </c>
      <c r="E9" s="19">
        <v>0</v>
      </c>
      <c r="F9" s="19">
        <v>0</v>
      </c>
      <c r="G9" s="19">
        <v>0</v>
      </c>
      <c r="H9" s="20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4.25" thickBo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4.25" thickBot="1">
      <c r="A12" s="184" t="s">
        <v>9</v>
      </c>
      <c r="B12" s="185"/>
      <c r="C12" s="185"/>
      <c r="D12" s="185"/>
      <c r="E12" s="185"/>
      <c r="F12" s="185"/>
      <c r="G12" s="186"/>
      <c r="H12" s="32"/>
      <c r="I12" s="184" t="s">
        <v>9</v>
      </c>
      <c r="J12" s="185"/>
      <c r="K12" s="185"/>
      <c r="L12" s="185"/>
      <c r="M12" s="185"/>
      <c r="N12" s="185"/>
      <c r="O12" s="186"/>
      <c r="P12" s="23"/>
      <c r="Q12" s="23"/>
      <c r="R12" s="23"/>
      <c r="S12" s="23"/>
    </row>
    <row r="13" spans="1:19" ht="14.25" thickBot="1">
      <c r="A13" s="33" t="s">
        <v>10</v>
      </c>
      <c r="B13" s="34" t="s">
        <v>3</v>
      </c>
      <c r="C13" s="28" t="s">
        <v>11</v>
      </c>
      <c r="D13" s="28" t="s">
        <v>5</v>
      </c>
      <c r="E13" s="28" t="s">
        <v>6</v>
      </c>
      <c r="F13" s="28" t="s">
        <v>7</v>
      </c>
      <c r="G13" s="29" t="s">
        <v>30</v>
      </c>
      <c r="H13" s="35"/>
      <c r="I13" s="33" t="s">
        <v>10</v>
      </c>
      <c r="J13" s="34" t="s">
        <v>3</v>
      </c>
      <c r="K13" s="28" t="s">
        <v>11</v>
      </c>
      <c r="L13" s="28" t="s">
        <v>5</v>
      </c>
      <c r="M13" s="28" t="s">
        <v>6</v>
      </c>
      <c r="N13" s="28" t="s">
        <v>7</v>
      </c>
      <c r="O13" s="29" t="s">
        <v>30</v>
      </c>
      <c r="P13" s="23"/>
      <c r="Q13" s="23"/>
      <c r="R13" s="23"/>
      <c r="S13" s="23"/>
    </row>
    <row r="14" spans="1:19" ht="14.25" thickTop="1">
      <c r="A14" s="36" t="s">
        <v>18</v>
      </c>
      <c r="B14" s="37">
        <f>ROUNDDOWN(($C$4*2+$C$5+$C$41)*$B$41+10+$B$4,0)</f>
        <v>161</v>
      </c>
      <c r="C14" s="38">
        <f>ROUNDDOWN((D$4*2+D$5+D$41)*$B$41+5,0)</f>
        <v>160</v>
      </c>
      <c r="D14" s="38">
        <f t="shared" ref="D14:G14" si="0">ROUNDDOWN((E$4*2+E$5+E$41)*$B$41+5,0)</f>
        <v>156</v>
      </c>
      <c r="E14" s="38">
        <f>ROUNDDOWN((F$4*2+F$5+F$41)*$B$41+5,0)</f>
        <v>35</v>
      </c>
      <c r="F14" s="38">
        <f t="shared" si="0"/>
        <v>35</v>
      </c>
      <c r="G14" s="39">
        <f t="shared" si="0"/>
        <v>85</v>
      </c>
      <c r="H14" s="35"/>
      <c r="I14" s="40" t="s">
        <v>62</v>
      </c>
      <c r="J14" s="41">
        <f>ROUNDDOWN(($C$7*2+$C$8+$C$42)*$B$42+10+$B$7,0)</f>
        <v>161</v>
      </c>
      <c r="K14" s="42">
        <f>ROUNDDOWN((D$7*2+D$8+D$42)*$B$42+5,0)</f>
        <v>46</v>
      </c>
      <c r="L14" s="42">
        <f t="shared" ref="L14:N14" si="1">ROUNDDOWN((E$7*2+E$8+E$42)*$B$42+5,0)</f>
        <v>36</v>
      </c>
      <c r="M14" s="42">
        <f t="shared" si="1"/>
        <v>161</v>
      </c>
      <c r="N14" s="42">
        <f t="shared" si="1"/>
        <v>156</v>
      </c>
      <c r="O14" s="42">
        <f>ROUNDDOWN((H$7*2+H$8+H$42)*$B$42+5,0)</f>
        <v>86</v>
      </c>
      <c r="P14" s="23"/>
      <c r="Q14" s="23"/>
      <c r="R14" s="23"/>
      <c r="S14" s="23"/>
    </row>
    <row r="15" spans="1:19">
      <c r="A15" s="43" t="s">
        <v>32</v>
      </c>
      <c r="B15" s="44">
        <f>ROUNDDOWN(B$14*1.1,0)</f>
        <v>177</v>
      </c>
      <c r="C15" s="45">
        <f t="shared" ref="C15:G15" si="2">ROUNDDOWN(C$14*1.1,0)</f>
        <v>176</v>
      </c>
      <c r="D15" s="45">
        <f t="shared" si="2"/>
        <v>171</v>
      </c>
      <c r="E15" s="45">
        <f t="shared" si="2"/>
        <v>38</v>
      </c>
      <c r="F15" s="45">
        <f t="shared" si="2"/>
        <v>38</v>
      </c>
      <c r="G15" s="46">
        <f t="shared" si="2"/>
        <v>93</v>
      </c>
      <c r="H15" s="23"/>
      <c r="I15" s="47" t="s">
        <v>63</v>
      </c>
      <c r="J15" s="48">
        <f>ROUNDDOWN(J$14*1.1,0)</f>
        <v>177</v>
      </c>
      <c r="K15" s="49">
        <f t="shared" ref="K15:O15" si="3">ROUNDDOWN(K$14*1.1,0)</f>
        <v>50</v>
      </c>
      <c r="L15" s="49">
        <f t="shared" si="3"/>
        <v>39</v>
      </c>
      <c r="M15" s="49">
        <f t="shared" si="3"/>
        <v>177</v>
      </c>
      <c r="N15" s="49">
        <f t="shared" si="3"/>
        <v>171</v>
      </c>
      <c r="O15" s="50">
        <f t="shared" si="3"/>
        <v>94</v>
      </c>
      <c r="P15" s="23"/>
      <c r="Q15" s="23"/>
      <c r="R15" s="23"/>
      <c r="S15" s="23"/>
    </row>
    <row r="16" spans="1:19" ht="14.25" thickBot="1">
      <c r="A16" s="51" t="s">
        <v>33</v>
      </c>
      <c r="B16" s="52">
        <f>ROUNDDOWN(B$14*0.9,0)</f>
        <v>144</v>
      </c>
      <c r="C16" s="53">
        <f t="shared" ref="C16:G16" si="4">ROUNDDOWN(C$14*0.9,0)</f>
        <v>144</v>
      </c>
      <c r="D16" s="53">
        <f t="shared" si="4"/>
        <v>140</v>
      </c>
      <c r="E16" s="53">
        <f t="shared" si="4"/>
        <v>31</v>
      </c>
      <c r="F16" s="53">
        <f t="shared" si="4"/>
        <v>31</v>
      </c>
      <c r="G16" s="54">
        <f t="shared" si="4"/>
        <v>76</v>
      </c>
      <c r="H16" s="55"/>
      <c r="I16" s="56" t="s">
        <v>64</v>
      </c>
      <c r="J16" s="57">
        <f>ROUNDDOWN(J$14*0.9,0)</f>
        <v>144</v>
      </c>
      <c r="K16" s="58">
        <f t="shared" ref="K16:O16" si="5">ROUNDDOWN(K$14*0.9,0)</f>
        <v>41</v>
      </c>
      <c r="L16" s="58">
        <f t="shared" si="5"/>
        <v>32</v>
      </c>
      <c r="M16" s="58">
        <f t="shared" si="5"/>
        <v>144</v>
      </c>
      <c r="N16" s="58">
        <f t="shared" si="5"/>
        <v>140</v>
      </c>
      <c r="O16" s="59">
        <f t="shared" si="5"/>
        <v>77</v>
      </c>
      <c r="P16" s="23"/>
      <c r="Q16" s="23"/>
      <c r="R16" s="23"/>
      <c r="S16" s="23"/>
    </row>
    <row r="17" spans="1:19" ht="14.25" thickTop="1">
      <c r="A17" s="60" t="s">
        <v>12</v>
      </c>
      <c r="B17" s="61">
        <f>ROUNDDOWN(($C$4*2+$C$5+63)*$B$41+10+$B$4,0)</f>
        <v>192</v>
      </c>
      <c r="C17" s="62">
        <f>ROUNDDOWN((D$4*2+D$5+63)*$B$41+5,0)</f>
        <v>192</v>
      </c>
      <c r="D17" s="62">
        <f t="shared" ref="D17:G17" si="6">ROUNDDOWN((E$4*2+E$5+63)*$B$41+5,0)</f>
        <v>187</v>
      </c>
      <c r="E17" s="62">
        <f t="shared" si="6"/>
        <v>67</v>
      </c>
      <c r="F17" s="62">
        <f t="shared" si="6"/>
        <v>67</v>
      </c>
      <c r="G17" s="63">
        <f t="shared" si="6"/>
        <v>117</v>
      </c>
      <c r="H17" s="55"/>
      <c r="I17" s="23"/>
      <c r="J17" s="64"/>
      <c r="K17" s="64"/>
      <c r="L17" s="64"/>
      <c r="M17" s="64"/>
      <c r="N17" s="64"/>
      <c r="O17" s="64"/>
      <c r="P17" s="23"/>
      <c r="Q17" s="23"/>
      <c r="R17" s="23"/>
      <c r="S17" s="23"/>
    </row>
    <row r="18" spans="1:19">
      <c r="A18" s="65" t="s">
        <v>14</v>
      </c>
      <c r="B18" s="66">
        <f>ROUNDDOWN((($C$4*2+$C$5+63)*$B$41+10+$B$4)*1.1,0)</f>
        <v>211</v>
      </c>
      <c r="C18" s="67">
        <f>ROUNDDOWN(((D$4*2+D$5+63)*$B$41+5)*1.1,0)</f>
        <v>211</v>
      </c>
      <c r="D18" s="67">
        <f t="shared" ref="D18:G18" si="7">ROUNDDOWN(((E$4*2+E$5+63)*$B$41+5)*1.1,0)</f>
        <v>206</v>
      </c>
      <c r="E18" s="67">
        <f t="shared" si="7"/>
        <v>73</v>
      </c>
      <c r="F18" s="67">
        <f t="shared" si="7"/>
        <v>73</v>
      </c>
      <c r="G18" s="68">
        <f t="shared" si="7"/>
        <v>128</v>
      </c>
      <c r="H18" s="23"/>
      <c r="I18" s="23"/>
      <c r="J18" s="64"/>
      <c r="K18" s="64"/>
      <c r="L18" s="64"/>
      <c r="M18" s="64"/>
      <c r="N18" s="64"/>
      <c r="O18" s="64"/>
      <c r="P18" s="23"/>
      <c r="Q18" s="23"/>
      <c r="R18" s="23"/>
      <c r="S18" s="23"/>
    </row>
    <row r="19" spans="1:19" ht="14.25" thickBot="1">
      <c r="A19" s="69" t="s">
        <v>15</v>
      </c>
      <c r="B19" s="70">
        <f>ROUNDDOWN((($C$4*2+$C$5+63)*$B$41+10+$B$4)*0.9,0)</f>
        <v>173</v>
      </c>
      <c r="C19" s="71">
        <f>ROUNDDOWN(((D$4*2+D$5+63)*$B$41+5)*0.9,0)</f>
        <v>172</v>
      </c>
      <c r="D19" s="71">
        <f t="shared" ref="D19:G19" si="8">ROUNDDOWN(((E$4*2+E$5+63)*$B$41+5)*0.9,0)</f>
        <v>168</v>
      </c>
      <c r="E19" s="71">
        <f t="shared" si="8"/>
        <v>60</v>
      </c>
      <c r="F19" s="71">
        <f t="shared" si="8"/>
        <v>60</v>
      </c>
      <c r="G19" s="72">
        <f t="shared" si="8"/>
        <v>105</v>
      </c>
      <c r="H19" s="55"/>
      <c r="I19" s="23"/>
      <c r="J19" s="64"/>
      <c r="K19" s="64"/>
      <c r="L19" s="64"/>
      <c r="M19" s="64"/>
      <c r="N19" s="64"/>
      <c r="O19" s="64"/>
      <c r="P19" s="23"/>
      <c r="Q19" s="23"/>
      <c r="R19" s="23"/>
      <c r="S19" s="23"/>
    </row>
    <row r="20" spans="1:19" ht="14.25" thickTop="1">
      <c r="A20" s="73" t="s">
        <v>13</v>
      </c>
      <c r="B20" s="74">
        <f>ROUNDDOWN(($C$4*2+$C$5)*$B$41+10+$B$4,0)</f>
        <v>161</v>
      </c>
      <c r="C20" s="75">
        <f>ROUNDDOWN((D$4*2+D$5)*$B$41+5,0)</f>
        <v>160</v>
      </c>
      <c r="D20" s="75">
        <f t="shared" ref="D20:G20" si="9">ROUNDDOWN((E$4*2+E$5)*$B$41+5,0)</f>
        <v>156</v>
      </c>
      <c r="E20" s="75">
        <f t="shared" si="9"/>
        <v>35</v>
      </c>
      <c r="F20" s="75">
        <f t="shared" si="9"/>
        <v>35</v>
      </c>
      <c r="G20" s="76">
        <f t="shared" si="9"/>
        <v>85</v>
      </c>
      <c r="H20" s="55"/>
      <c r="I20" s="23"/>
      <c r="J20" s="64"/>
      <c r="K20" s="64"/>
      <c r="L20" s="64"/>
      <c r="M20" s="64"/>
      <c r="N20" s="64"/>
      <c r="O20" s="64"/>
      <c r="P20" s="23"/>
      <c r="Q20" s="23"/>
      <c r="R20" s="23"/>
      <c r="S20" s="23"/>
    </row>
    <row r="21" spans="1:19" ht="14.25" thickBot="1">
      <c r="A21" s="77" t="s">
        <v>14</v>
      </c>
      <c r="B21" s="78">
        <f>ROUNDDOWN((($C$4*2+$C$5)*$B$41+10+$B$4)*1.1,0)</f>
        <v>177</v>
      </c>
      <c r="C21" s="79">
        <f>ROUNDDOWN(((D$4*2+D$5)*$B$41+5)*1.1,0)</f>
        <v>176</v>
      </c>
      <c r="D21" s="79">
        <f t="shared" ref="D21:G21" si="10">ROUNDDOWN(((E$4*2+E$5)*$B$41+5)*1.1,0)</f>
        <v>171</v>
      </c>
      <c r="E21" s="79">
        <f t="shared" si="10"/>
        <v>39</v>
      </c>
      <c r="F21" s="79">
        <f>ROUNDDOWN(((G$4*2+G$5)*$B$41+5)*1.1,0)</f>
        <v>39</v>
      </c>
      <c r="G21" s="80">
        <f t="shared" si="10"/>
        <v>94</v>
      </c>
      <c r="H21" s="81"/>
      <c r="I21" s="82"/>
      <c r="J21" s="64"/>
      <c r="K21" s="64"/>
      <c r="L21" s="64"/>
      <c r="M21" s="64"/>
      <c r="N21" s="64"/>
      <c r="O21" s="64"/>
      <c r="P21" s="23"/>
      <c r="Q21" s="23"/>
      <c r="R21" s="23"/>
      <c r="S21" s="23"/>
    </row>
    <row r="22" spans="1:19" ht="14.25" thickBot="1">
      <c r="A22" s="83" t="s">
        <v>15</v>
      </c>
      <c r="B22" s="84">
        <f>ROUNDDOWN((($C$4*2+$C$5)*$B$41+10+$B$4)*0.9,0)</f>
        <v>144</v>
      </c>
      <c r="C22" s="85">
        <f>ROUNDDOWN(((D$4*2+D$5)*$B$41+5)*0.9,0)</f>
        <v>144</v>
      </c>
      <c r="D22" s="85">
        <f t="shared" ref="D22:G22" si="11">ROUNDDOWN(((E$4*2+E$5)*$B$41+5)*0.9,0)</f>
        <v>140</v>
      </c>
      <c r="E22" s="85">
        <f t="shared" si="11"/>
        <v>31</v>
      </c>
      <c r="F22" s="85">
        <f t="shared" si="11"/>
        <v>31</v>
      </c>
      <c r="G22" s="86">
        <f t="shared" si="11"/>
        <v>76</v>
      </c>
      <c r="H22" s="81"/>
      <c r="I22" s="82"/>
      <c r="J22" s="64"/>
      <c r="K22" s="205" t="s">
        <v>70</v>
      </c>
      <c r="L22" s="206"/>
      <c r="M22" s="206"/>
      <c r="N22" s="206"/>
      <c r="O22" s="207"/>
      <c r="P22" s="23"/>
      <c r="Q22" s="23"/>
      <c r="R22" s="23"/>
      <c r="S22" s="23"/>
    </row>
    <row r="23" spans="1:19" ht="14.25" thickBot="1">
      <c r="A23" s="23"/>
      <c r="B23" s="23"/>
      <c r="C23" s="23"/>
      <c r="D23" s="23"/>
      <c r="E23" s="23"/>
      <c r="F23" s="23"/>
      <c r="G23" s="23"/>
      <c r="H23" s="23"/>
      <c r="I23" s="23"/>
      <c r="J23" s="64"/>
      <c r="K23" s="208"/>
      <c r="L23" s="209"/>
      <c r="M23" s="209"/>
      <c r="N23" s="209"/>
      <c r="O23" s="210"/>
      <c r="P23" s="23"/>
      <c r="Q23" s="23"/>
      <c r="R23" s="23"/>
      <c r="S23" s="23"/>
    </row>
    <row r="24" spans="1:19" ht="14.25" thickBot="1">
      <c r="A24" s="187" t="s">
        <v>34</v>
      </c>
      <c r="B24" s="188"/>
      <c r="C24" s="188"/>
      <c r="D24" s="188"/>
      <c r="E24" s="188"/>
      <c r="F24" s="188"/>
      <c r="G24" s="188"/>
      <c r="H24" s="188"/>
      <c r="I24" s="189"/>
      <c r="J24" s="23"/>
      <c r="K24" s="81"/>
      <c r="L24" s="193" t="s">
        <v>50</v>
      </c>
      <c r="M24" s="194"/>
      <c r="N24" s="194"/>
      <c r="O24" s="195"/>
      <c r="P24" s="23"/>
      <c r="Q24" s="23"/>
      <c r="R24" s="23"/>
      <c r="S24" s="23"/>
    </row>
    <row r="25" spans="1:19" ht="14.25" thickBot="1">
      <c r="A25" s="190"/>
      <c r="B25" s="191"/>
      <c r="C25" s="191"/>
      <c r="D25" s="191"/>
      <c r="E25" s="191"/>
      <c r="F25" s="191"/>
      <c r="G25" s="191"/>
      <c r="H25" s="191"/>
      <c r="I25" s="192"/>
      <c r="J25" s="23"/>
      <c r="K25" s="81"/>
      <c r="L25" s="202" t="s">
        <v>42</v>
      </c>
      <c r="M25" s="203"/>
      <c r="N25" s="204"/>
      <c r="O25" s="89" t="s">
        <v>41</v>
      </c>
      <c r="P25" s="23"/>
      <c r="Q25" s="23"/>
      <c r="R25" s="23"/>
      <c r="S25" s="23"/>
    </row>
    <row r="26" spans="1:19" ht="15" thickTop="1" thickBot="1">
      <c r="A26" s="87"/>
      <c r="B26" s="88" t="s">
        <v>36</v>
      </c>
      <c r="C26" s="88" t="s">
        <v>51</v>
      </c>
      <c r="D26" s="88" t="s">
        <v>52</v>
      </c>
      <c r="E26" s="88" t="s">
        <v>60</v>
      </c>
      <c r="F26" s="88" t="s">
        <v>59</v>
      </c>
      <c r="G26" s="88" t="s">
        <v>35</v>
      </c>
      <c r="H26" s="88" t="s">
        <v>37</v>
      </c>
      <c r="I26" s="89" t="s">
        <v>43</v>
      </c>
      <c r="J26" s="23"/>
      <c r="K26" s="81"/>
      <c r="L26" s="158" t="s">
        <v>39</v>
      </c>
      <c r="M26" s="159" t="s">
        <v>46</v>
      </c>
      <c r="N26" s="159" t="s">
        <v>40</v>
      </c>
      <c r="O26" s="160" t="s">
        <v>61</v>
      </c>
      <c r="P26" s="23"/>
      <c r="Q26" s="23"/>
      <c r="R26" s="23"/>
      <c r="S26" s="23"/>
    </row>
    <row r="27" spans="1:19" ht="14.25" thickTop="1">
      <c r="A27" s="90" t="s">
        <v>44</v>
      </c>
      <c r="B27" s="21">
        <v>50</v>
      </c>
      <c r="C27" s="21">
        <v>0</v>
      </c>
      <c r="D27" s="21">
        <v>0</v>
      </c>
      <c r="E27" s="21">
        <v>0</v>
      </c>
      <c r="F27" s="21">
        <v>22</v>
      </c>
      <c r="G27" s="21">
        <v>0</v>
      </c>
      <c r="H27" s="21">
        <v>0</v>
      </c>
      <c r="I27" s="92" t="s">
        <v>61</v>
      </c>
      <c r="J27" s="23"/>
      <c r="K27" s="93" t="s">
        <v>54</v>
      </c>
      <c r="L27" s="91">
        <f>J47</f>
        <v>168</v>
      </c>
      <c r="M27" s="91">
        <f t="shared" ref="M27:N27" si="12">K47</f>
        <v>184</v>
      </c>
      <c r="N27" s="91">
        <f t="shared" si="12"/>
        <v>198</v>
      </c>
      <c r="O27" s="94" t="s">
        <v>61</v>
      </c>
      <c r="P27" s="23"/>
      <c r="Q27" s="23"/>
      <c r="R27" s="23"/>
      <c r="S27" s="23"/>
    </row>
    <row r="28" spans="1:19" ht="14.25" thickBot="1">
      <c r="A28" s="95" t="s">
        <v>45</v>
      </c>
      <c r="B28" s="22">
        <v>50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96" t="s">
        <v>61</v>
      </c>
      <c r="J28" s="23"/>
      <c r="K28" s="97" t="s">
        <v>55</v>
      </c>
      <c r="L28" s="91">
        <f>J48</f>
        <v>12</v>
      </c>
      <c r="M28" s="91">
        <f t="shared" ref="M28:N28" si="13">K48</f>
        <v>14</v>
      </c>
      <c r="N28" s="91">
        <f t="shared" si="13"/>
        <v>16</v>
      </c>
      <c r="O28" s="98" t="s">
        <v>61</v>
      </c>
      <c r="P28" s="23"/>
      <c r="Q28" s="23"/>
      <c r="R28" s="23"/>
      <c r="S28" s="23"/>
    </row>
    <row r="29" spans="1:19" ht="14.25" thickBot="1">
      <c r="A29" s="23"/>
      <c r="B29" s="170" t="s">
        <v>38</v>
      </c>
      <c r="C29" s="170"/>
      <c r="D29" s="170"/>
      <c r="E29" s="170"/>
      <c r="F29" s="170"/>
      <c r="G29" s="170"/>
      <c r="H29" s="23"/>
      <c r="I29" s="23"/>
      <c r="J29" s="23"/>
      <c r="K29" s="81"/>
      <c r="L29" s="196" t="s">
        <v>49</v>
      </c>
      <c r="M29" s="197"/>
      <c r="N29" s="197"/>
      <c r="O29" s="198"/>
      <c r="P29" s="23"/>
      <c r="Q29" s="23"/>
      <c r="R29" s="23"/>
      <c r="S29" s="23"/>
    </row>
    <row r="30" spans="1:19" ht="14.25" thickBot="1">
      <c r="A30" s="23"/>
      <c r="B30" s="171" t="s">
        <v>48</v>
      </c>
      <c r="C30" s="171"/>
      <c r="D30" s="171"/>
      <c r="E30" s="171"/>
      <c r="F30" s="171"/>
      <c r="G30" s="171"/>
      <c r="H30" s="23"/>
      <c r="I30" s="23"/>
      <c r="J30" s="23"/>
      <c r="K30" s="81"/>
      <c r="L30" s="199" t="s">
        <v>42</v>
      </c>
      <c r="M30" s="200"/>
      <c r="N30" s="201"/>
      <c r="O30" s="99" t="s">
        <v>41</v>
      </c>
      <c r="P30" s="23"/>
      <c r="Q30" s="23"/>
      <c r="R30" s="23"/>
      <c r="S30" s="23"/>
    </row>
    <row r="31" spans="1:19" ht="15" thickTop="1" thickBot="1">
      <c r="A31" s="23"/>
      <c r="B31" s="171" t="s">
        <v>47</v>
      </c>
      <c r="C31" s="171"/>
      <c r="D31" s="171"/>
      <c r="E31" s="171"/>
      <c r="F31" s="171"/>
      <c r="G31" s="171"/>
      <c r="H31" s="23"/>
      <c r="I31" s="23"/>
      <c r="J31" s="23"/>
      <c r="K31" s="81"/>
      <c r="L31" s="152" t="s">
        <v>39</v>
      </c>
      <c r="M31" s="153" t="s">
        <v>46</v>
      </c>
      <c r="N31" s="153" t="s">
        <v>40</v>
      </c>
      <c r="O31" s="154" t="s">
        <v>61</v>
      </c>
      <c r="P31" s="23"/>
      <c r="Q31" s="23"/>
      <c r="R31" s="23"/>
      <c r="S31" s="23"/>
    </row>
    <row r="32" spans="1:19">
      <c r="A32" s="23"/>
      <c r="B32" s="172" t="s">
        <v>53</v>
      </c>
      <c r="C32" s="172"/>
      <c r="D32" s="172"/>
      <c r="E32" s="172"/>
      <c r="F32" s="172"/>
      <c r="G32" s="172"/>
      <c r="H32" s="23"/>
      <c r="I32" s="23"/>
      <c r="J32" s="23"/>
      <c r="K32" s="100" t="s">
        <v>54</v>
      </c>
      <c r="L32" s="155">
        <f>J49</f>
        <v>10</v>
      </c>
      <c r="M32" s="155">
        <f t="shared" ref="M32:N32" si="14">K49</f>
        <v>10</v>
      </c>
      <c r="N32" s="155">
        <f t="shared" si="14"/>
        <v>12</v>
      </c>
      <c r="O32" s="156" t="s">
        <v>61</v>
      </c>
      <c r="P32" s="23"/>
      <c r="Q32" s="23"/>
      <c r="R32" s="23"/>
      <c r="S32" s="23"/>
    </row>
    <row r="33" spans="1:19" ht="14.25" thickBot="1">
      <c r="A33" s="23"/>
      <c r="B33" s="171" t="s">
        <v>58</v>
      </c>
      <c r="C33" s="171"/>
      <c r="D33" s="171"/>
      <c r="E33" s="171"/>
      <c r="F33" s="171"/>
      <c r="G33" s="171"/>
      <c r="H33" s="23"/>
      <c r="I33" s="23"/>
      <c r="J33" s="23"/>
      <c r="K33" s="101" t="s">
        <v>55</v>
      </c>
      <c r="L33" s="157">
        <f>J50</f>
        <v>174</v>
      </c>
      <c r="M33" s="157">
        <f t="shared" ref="M33:N33" si="15">K50</f>
        <v>190</v>
      </c>
      <c r="N33" s="157">
        <f t="shared" si="15"/>
        <v>206</v>
      </c>
      <c r="O33" s="102" t="s">
        <v>61</v>
      </c>
      <c r="P33" s="23"/>
      <c r="Q33" s="23"/>
      <c r="R33" s="23"/>
      <c r="S33" s="23"/>
    </row>
    <row r="34" spans="1:19">
      <c r="A34" s="23"/>
      <c r="B34" s="103"/>
      <c r="C34" s="103"/>
      <c r="D34" s="103"/>
      <c r="E34" s="103"/>
      <c r="F34" s="103"/>
      <c r="G34" s="10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>
      <c r="A35" s="23"/>
      <c r="B35" s="23"/>
      <c r="C35" s="23"/>
      <c r="D35" s="104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>
      <c r="A36" s="23"/>
      <c r="B36" s="23"/>
      <c r="C36" s="23"/>
      <c r="D36" s="23"/>
      <c r="E36" s="23"/>
      <c r="F36" s="23">
        <f>IF(H53=14,"秋",0)</f>
        <v>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4.25" thickBot="1">
      <c r="A38" s="23"/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3"/>
      <c r="N38" s="23"/>
      <c r="O38" s="23"/>
      <c r="P38" s="23"/>
      <c r="Q38" s="23"/>
      <c r="R38" s="23"/>
      <c r="S38" s="23"/>
    </row>
    <row r="39" spans="1:19">
      <c r="A39" s="105"/>
      <c r="B39" s="106" t="s">
        <v>28</v>
      </c>
      <c r="C39" s="167" t="s">
        <v>29</v>
      </c>
      <c r="D39" s="168"/>
      <c r="E39" s="168"/>
      <c r="F39" s="168"/>
      <c r="G39" s="168"/>
      <c r="H39" s="169"/>
      <c r="I39" s="23"/>
      <c r="J39" s="24"/>
      <c r="K39" s="24"/>
      <c r="L39" s="24"/>
      <c r="M39" s="23"/>
      <c r="N39" s="23"/>
      <c r="O39" s="23"/>
      <c r="P39" s="23"/>
      <c r="Q39" s="23"/>
      <c r="R39" s="23"/>
      <c r="S39" s="23"/>
    </row>
    <row r="40" spans="1:19">
      <c r="A40" s="107" t="s">
        <v>19</v>
      </c>
      <c r="B40" s="108" t="s">
        <v>21</v>
      </c>
      <c r="C40" s="108" t="s">
        <v>31</v>
      </c>
      <c r="D40" s="108" t="s">
        <v>22</v>
      </c>
      <c r="E40" s="108" t="s">
        <v>23</v>
      </c>
      <c r="F40" s="108" t="s">
        <v>24</v>
      </c>
      <c r="G40" s="108" t="s">
        <v>25</v>
      </c>
      <c r="H40" s="109" t="s">
        <v>26</v>
      </c>
      <c r="I40" s="23"/>
      <c r="J40" s="24"/>
      <c r="K40" s="24"/>
      <c r="L40" s="24"/>
      <c r="M40" s="23"/>
      <c r="N40" s="23"/>
      <c r="O40" s="23"/>
      <c r="P40" s="23"/>
      <c r="Q40" s="23"/>
      <c r="R40" s="23"/>
      <c r="S40" s="23"/>
    </row>
    <row r="41" spans="1:19">
      <c r="A41" s="107" t="s">
        <v>20</v>
      </c>
      <c r="B41" s="110">
        <f>B4/100</f>
        <v>0.5</v>
      </c>
      <c r="C41" s="111">
        <f>ROUNDDOWN(C6/4,0)</f>
        <v>0</v>
      </c>
      <c r="D41" s="111">
        <f t="shared" ref="D41:H41" si="16">ROUNDDOWN(D6/4,0)</f>
        <v>0</v>
      </c>
      <c r="E41" s="111">
        <f t="shared" si="16"/>
        <v>0</v>
      </c>
      <c r="F41" s="111">
        <f>ROUNDDOWN(F6/4,0)</f>
        <v>0</v>
      </c>
      <c r="G41" s="111">
        <f>ROUNDDOWN(G6/4,0)</f>
        <v>0</v>
      </c>
      <c r="H41" s="112">
        <f t="shared" si="16"/>
        <v>0</v>
      </c>
      <c r="I41" s="23"/>
      <c r="J41" s="24"/>
      <c r="K41" s="24"/>
      <c r="L41" s="24"/>
      <c r="M41" s="23"/>
      <c r="N41" s="23"/>
      <c r="O41" s="23"/>
      <c r="P41" s="23"/>
      <c r="Q41" s="23"/>
      <c r="R41" s="23"/>
      <c r="S41" s="23"/>
    </row>
    <row r="42" spans="1:19" ht="14.25" thickBot="1">
      <c r="A42" s="113" t="s">
        <v>27</v>
      </c>
      <c r="B42" s="114">
        <f>B7/100</f>
        <v>0.5</v>
      </c>
      <c r="C42" s="115">
        <f>ROUNDDOWN(C9/4,0)</f>
        <v>0</v>
      </c>
      <c r="D42" s="115">
        <f t="shared" ref="D42:H42" si="17">ROUNDDOWN(D9/4,0)</f>
        <v>0</v>
      </c>
      <c r="E42" s="115">
        <f t="shared" si="17"/>
        <v>0</v>
      </c>
      <c r="F42" s="115">
        <f t="shared" si="17"/>
        <v>0</v>
      </c>
      <c r="G42" s="115">
        <f>ROUNDDOWN(G9/4,0)</f>
        <v>0</v>
      </c>
      <c r="H42" s="116">
        <f t="shared" si="17"/>
        <v>0</v>
      </c>
      <c r="I42" s="23"/>
      <c r="J42" s="24"/>
      <c r="K42" s="24"/>
      <c r="L42" s="24"/>
      <c r="M42" s="23"/>
      <c r="N42" s="23"/>
      <c r="O42" s="23"/>
      <c r="P42" s="23"/>
      <c r="Q42" s="23"/>
      <c r="R42" s="23"/>
      <c r="S42" s="23"/>
    </row>
    <row r="43" spans="1:19" ht="14.25" thickBot="1">
      <c r="A43" s="23"/>
      <c r="B43" s="23"/>
      <c r="C43" s="23"/>
      <c r="D43" s="23"/>
      <c r="E43" s="23"/>
      <c r="F43" s="23"/>
      <c r="G43" s="23"/>
      <c r="H43" s="23"/>
      <c r="I43" s="23"/>
      <c r="J43" s="24"/>
      <c r="K43" s="24"/>
      <c r="L43" s="24"/>
      <c r="M43" s="23"/>
      <c r="N43" s="23"/>
      <c r="O43" s="23"/>
      <c r="P43" s="23"/>
      <c r="Q43" s="23"/>
      <c r="R43" s="23"/>
      <c r="S43" s="23"/>
    </row>
    <row r="44" spans="1:19">
      <c r="A44" s="161" t="s">
        <v>75</v>
      </c>
      <c r="B44" s="106" t="s">
        <v>56</v>
      </c>
      <c r="C44" s="106" t="s">
        <v>57</v>
      </c>
      <c r="D44" s="106" t="s">
        <v>35</v>
      </c>
      <c r="E44" s="106" t="s">
        <v>60</v>
      </c>
      <c r="F44" s="106" t="s">
        <v>59</v>
      </c>
      <c r="G44" s="106" t="s">
        <v>37</v>
      </c>
      <c r="H44" s="117" t="s">
        <v>43</v>
      </c>
      <c r="I44" s="163" t="s">
        <v>76</v>
      </c>
      <c r="J44" s="164"/>
      <c r="K44" s="106" t="s">
        <v>56</v>
      </c>
      <c r="L44" s="106" t="s">
        <v>57</v>
      </c>
      <c r="M44" s="106" t="s">
        <v>35</v>
      </c>
      <c r="N44" s="106" t="s">
        <v>60</v>
      </c>
      <c r="O44" s="106" t="s">
        <v>59</v>
      </c>
      <c r="P44" s="106" t="s">
        <v>37</v>
      </c>
      <c r="Q44" s="117" t="s">
        <v>43</v>
      </c>
      <c r="R44" s="23"/>
      <c r="S44" s="23"/>
    </row>
    <row r="45" spans="1:19" ht="14.25" thickBot="1">
      <c r="A45" s="162"/>
      <c r="B45" s="118" t="str">
        <f xml:space="preserve"> IF(C27&gt;=10,"1.1",IF(C27&gt;0,"0.9","1"))</f>
        <v>1</v>
      </c>
      <c r="C45" s="118" t="str">
        <f xml:space="preserve"> IF(D27&gt;=10,"1.1",IF(D27&gt;0,"0.9","1"))</f>
        <v>1</v>
      </c>
      <c r="D45" s="118" t="str">
        <f xml:space="preserve"> IF(G27&gt;0,"1.5","1")</f>
        <v>1</v>
      </c>
      <c r="E45" s="118" t="str">
        <f xml:space="preserve"> IF(E27&gt;=10,"2",IF(E27&gt;0,"0.5","1"))</f>
        <v>1</v>
      </c>
      <c r="F45" s="118" t="str">
        <f xml:space="preserve"> IF(F27&gt;=10,"2",IF(F27&gt;0,"0.5","1"))</f>
        <v>2</v>
      </c>
      <c r="G45" s="118" t="str">
        <f xml:space="preserve"> IF(H27&gt;0,"2","1")</f>
        <v>1</v>
      </c>
      <c r="H45" s="119"/>
      <c r="I45" s="165"/>
      <c r="J45" s="166"/>
      <c r="K45" s="120" t="str">
        <f xml:space="preserve"> IF(C28&gt;=10,"1.1",IF(C28&gt;0,"0.9","1"))</f>
        <v>1</v>
      </c>
      <c r="L45" s="120" t="str">
        <f xml:space="preserve"> IF($D$28&gt;=10,"1.1",IF($D$28&gt;0,"0.9","1"))</f>
        <v>1</v>
      </c>
      <c r="M45" s="120" t="str">
        <f xml:space="preserve"> IF($G$28&gt;0,"1.5","1")</f>
        <v>1</v>
      </c>
      <c r="N45" s="120" t="str">
        <f xml:space="preserve"> IF(E28&gt;=10,"2",IF(E28&gt;0,"0.5","1"))</f>
        <v>1</v>
      </c>
      <c r="O45" s="120" t="str">
        <f xml:space="preserve"> IF($F$28&gt;=10,"2",IF($F$28&gt;0,"0.5","1"))</f>
        <v>1</v>
      </c>
      <c r="P45" s="120" t="str">
        <f xml:space="preserve"> IF($H$28&gt;0,"2","1")</f>
        <v>1</v>
      </c>
      <c r="Q45" s="121"/>
      <c r="R45" s="23"/>
      <c r="S45" s="23"/>
    </row>
    <row r="46" spans="1:19" ht="14.25" thickBot="1">
      <c r="A46" s="122"/>
      <c r="B46" s="123" t="s">
        <v>65</v>
      </c>
      <c r="C46" s="123" t="s">
        <v>74</v>
      </c>
      <c r="D46" s="123" t="s">
        <v>66</v>
      </c>
      <c r="E46" s="123" t="s">
        <v>67</v>
      </c>
      <c r="F46" s="123" t="s">
        <v>68</v>
      </c>
      <c r="G46" s="123">
        <v>0.85</v>
      </c>
      <c r="H46" s="123">
        <v>0.93</v>
      </c>
      <c r="I46" s="124">
        <v>1</v>
      </c>
      <c r="J46" s="144" t="s">
        <v>94</v>
      </c>
      <c r="K46" s="145" t="s">
        <v>95</v>
      </c>
      <c r="L46" s="146" t="s">
        <v>96</v>
      </c>
      <c r="M46" s="23"/>
      <c r="N46" s="23"/>
      <c r="O46" s="23"/>
      <c r="P46" s="23"/>
      <c r="Q46" s="23"/>
      <c r="R46" s="23"/>
      <c r="S46" s="23"/>
    </row>
    <row r="47" spans="1:19" ht="14.25" thickTop="1">
      <c r="A47" s="125" t="s">
        <v>69</v>
      </c>
      <c r="B47" s="126">
        <f>ROUNDDOWN(($B$4*2/5+2),0)</f>
        <v>22</v>
      </c>
      <c r="C47" s="126">
        <f>$B$27</f>
        <v>50</v>
      </c>
      <c r="D47" s="126">
        <f>ROUNDDOWN(($C$14*$B$45),0)</f>
        <v>160</v>
      </c>
      <c r="E47" s="126">
        <f>ROUNDDOWN(($L$14*$C$45),0)</f>
        <v>36</v>
      </c>
      <c r="F47" s="126">
        <f>(ROUNDDOWN($B$47*$C$47*$D$47/$E$47/50,0)+2)*$G$45</f>
        <v>99</v>
      </c>
      <c r="G47" s="126">
        <f>ROUNDDOWN($F47*0.85,0)</f>
        <v>84</v>
      </c>
      <c r="H47" s="126">
        <f>ROUNDDOWN($F47*0.93,0)</f>
        <v>92</v>
      </c>
      <c r="I47" s="147">
        <f>ROUNDDOWN($F47*1,0)</f>
        <v>99</v>
      </c>
      <c r="J47" s="105">
        <f>ROUNDDOWN(ROUNDDOWN(ROUNDDOWN($D$45*G47,0)*$E$45,0)*$F$45,0)</f>
        <v>168</v>
      </c>
      <c r="K47" s="106">
        <f t="shared" ref="K47:L50" si="18">ROUNDDOWN(ROUNDDOWN(ROUNDDOWN($D$45*H47,0)*$E$45,0)*$F$45,0)</f>
        <v>184</v>
      </c>
      <c r="L47" s="117">
        <f t="shared" si="18"/>
        <v>198</v>
      </c>
      <c r="M47" s="23"/>
      <c r="N47" s="23"/>
      <c r="O47" s="23"/>
      <c r="P47" s="23"/>
      <c r="Q47" s="23"/>
      <c r="R47" s="23"/>
      <c r="S47" s="23"/>
    </row>
    <row r="48" spans="1:19" ht="14.25" thickBot="1">
      <c r="A48" s="128" t="s">
        <v>73</v>
      </c>
      <c r="B48" s="129">
        <f>ROUNDDOWN(($B$7*2/5+2),0)</f>
        <v>22</v>
      </c>
      <c r="C48" s="129">
        <f>$B$28</f>
        <v>50</v>
      </c>
      <c r="D48" s="129">
        <f>ROUNDDOWN(($K$14*$K$45),0)</f>
        <v>46</v>
      </c>
      <c r="E48" s="129">
        <f>ROUNDDOWN(($D$14*$L$45),0)</f>
        <v>156</v>
      </c>
      <c r="F48" s="129">
        <f>(ROUNDDOWN($B48*$C48*$D48/$E48/50,0)+2)*$G$45</f>
        <v>8</v>
      </c>
      <c r="G48" s="129">
        <f t="shared" ref="G48:G50" si="19">ROUNDDOWN($F48*0.85,0)</f>
        <v>6</v>
      </c>
      <c r="H48" s="129">
        <f>ROUNDDOWN($F48*0.93,0)</f>
        <v>7</v>
      </c>
      <c r="I48" s="148">
        <f t="shared" ref="I48:I50" si="20">ROUNDDOWN($F48*1,0)</f>
        <v>8</v>
      </c>
      <c r="J48" s="151">
        <f t="shared" ref="J48:J50" si="21">ROUNDDOWN(ROUNDDOWN(ROUNDDOWN($D$45*G48,0)*$E$45,0)*$F$45,0)</f>
        <v>12</v>
      </c>
      <c r="K48" s="129">
        <f t="shared" si="18"/>
        <v>14</v>
      </c>
      <c r="L48" s="130">
        <f t="shared" si="18"/>
        <v>16</v>
      </c>
      <c r="M48" s="23"/>
      <c r="N48" s="23"/>
      <c r="O48" s="23"/>
      <c r="P48" s="23"/>
      <c r="Q48" s="23"/>
      <c r="R48" s="23"/>
      <c r="S48" s="23"/>
    </row>
    <row r="49" spans="1:19" ht="14.25" thickTop="1">
      <c r="A49" s="125" t="s">
        <v>72</v>
      </c>
      <c r="B49" s="126">
        <f t="shared" ref="B49" si="22">ROUNDDOWN(($B$4*2/5+2),0)</f>
        <v>22</v>
      </c>
      <c r="C49" s="126">
        <f>$B$27</f>
        <v>50</v>
      </c>
      <c r="D49" s="126">
        <f>ROUNDDOWN(($E$14*$B$45),0)</f>
        <v>35</v>
      </c>
      <c r="E49" s="126">
        <f>ROUNDDOWN(($N$14*$C$45),0)</f>
        <v>156</v>
      </c>
      <c r="F49" s="126">
        <f>(ROUNDDOWN($B49*$C49*$D49/$E49/50,0)+2)*$G$45</f>
        <v>6</v>
      </c>
      <c r="G49" s="126">
        <f t="shared" si="19"/>
        <v>5</v>
      </c>
      <c r="H49" s="126">
        <f t="shared" ref="H49:H50" si="23">ROUNDDOWN($F49*0.93,0)</f>
        <v>5</v>
      </c>
      <c r="I49" s="147">
        <f t="shared" si="20"/>
        <v>6</v>
      </c>
      <c r="J49" s="150">
        <f t="shared" si="21"/>
        <v>10</v>
      </c>
      <c r="K49" s="126">
        <f t="shared" si="18"/>
        <v>10</v>
      </c>
      <c r="L49" s="127">
        <f t="shared" si="18"/>
        <v>12</v>
      </c>
      <c r="M49" s="23"/>
      <c r="N49" s="23"/>
      <c r="O49" s="23"/>
      <c r="P49" s="23"/>
      <c r="Q49" s="23"/>
      <c r="R49" s="23"/>
      <c r="S49" s="23"/>
    </row>
    <row r="50" spans="1:19" ht="14.25" thickBot="1">
      <c r="A50" s="131" t="s">
        <v>71</v>
      </c>
      <c r="B50" s="120">
        <f>ROUNDDOWN(($B$7*2/5+2),0)</f>
        <v>22</v>
      </c>
      <c r="C50" s="120">
        <f>$B$28</f>
        <v>50</v>
      </c>
      <c r="D50" s="120">
        <f>ROUNDDOWN(($M$14*$K$45),0)</f>
        <v>161</v>
      </c>
      <c r="E50" s="120">
        <f>ROUNDDOWN(($F$14*L45),0)</f>
        <v>35</v>
      </c>
      <c r="F50" s="120">
        <f>(ROUNDDOWN($B50*$C50*$D50/$E50/50,0)+2)*$G$45</f>
        <v>103</v>
      </c>
      <c r="G50" s="120">
        <f t="shared" si="19"/>
        <v>87</v>
      </c>
      <c r="H50" s="120">
        <f t="shared" si="23"/>
        <v>95</v>
      </c>
      <c r="I50" s="149">
        <f t="shared" si="20"/>
        <v>103</v>
      </c>
      <c r="J50" s="113">
        <f t="shared" si="21"/>
        <v>174</v>
      </c>
      <c r="K50" s="120">
        <f t="shared" si="18"/>
        <v>190</v>
      </c>
      <c r="L50" s="121">
        <f t="shared" si="18"/>
        <v>206</v>
      </c>
      <c r="M50" s="23"/>
      <c r="N50" s="23"/>
      <c r="O50" s="23"/>
      <c r="P50" s="23"/>
      <c r="Q50" s="23"/>
      <c r="R50" s="23"/>
      <c r="S50" s="23"/>
    </row>
    <row r="51" spans="1:19" ht="14.25" thickBo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>
      <c r="A52" s="132" t="s">
        <v>82</v>
      </c>
      <c r="B52" s="106" t="s">
        <v>83</v>
      </c>
      <c r="C52" s="106" t="s">
        <v>84</v>
      </c>
      <c r="D52" s="106" t="s">
        <v>85</v>
      </c>
      <c r="E52" s="106" t="s">
        <v>86</v>
      </c>
      <c r="F52" s="106" t="s">
        <v>87</v>
      </c>
      <c r="G52" s="106" t="s">
        <v>88</v>
      </c>
      <c r="H52" s="106" t="s">
        <v>92</v>
      </c>
      <c r="I52" s="117" t="s">
        <v>91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>
      <c r="A53" s="133" t="s">
        <v>80</v>
      </c>
      <c r="B53" s="134" t="str">
        <f>IF(MOD($C$5,2)=0,"0","1")</f>
        <v>0</v>
      </c>
      <c r="C53" s="134" t="str">
        <f>IF(MOD($D$5,2)=0,"0","2")</f>
        <v>2</v>
      </c>
      <c r="D53" s="134" t="str">
        <f>IF(MOD($E$5,2)=0,"0","4")</f>
        <v>0</v>
      </c>
      <c r="E53" s="134" t="str">
        <f>IF(MOD($F$5,2)=0,"0","16")</f>
        <v>16</v>
      </c>
      <c r="F53" s="134" t="str">
        <f>IF(MOD($G$5,2)=0,"0","32")</f>
        <v>32</v>
      </c>
      <c r="G53" s="134" t="str">
        <f>IF(MOD($H$5,2)=0,"0","8")</f>
        <v>8</v>
      </c>
      <c r="H53" s="108">
        <f>ROUNDDOWN((B53+C53+D53+E53+F53+G53)*15/63,0)</f>
        <v>13</v>
      </c>
      <c r="I53" s="109" t="str">
        <f>IF(H53=0,"闘",IF(H53=1,"飛",IF(H53=2,"毒",IF(H53=3,"地",IF(H53=4,"岩",IF(H53=5,"虫",IF(H53=6,"霊",IF(H53=7,"鋼",IF(H53=8,"炎",IF(H53=9,"水",IF(H53=10,"草",IF(H53=11,"電",IF(H53=12,"超",IF(H53=13,"氷",IF(H53=14,"龍",IF(H53=15,"悪",0))))))))))))))))</f>
        <v>氷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4.25" thickBot="1">
      <c r="A54" s="135" t="s">
        <v>81</v>
      </c>
      <c r="B54" s="136" t="str">
        <f>IF(MOD($C$8,2)=0,"0","1")</f>
        <v>0</v>
      </c>
      <c r="C54" s="136" t="str">
        <f>IF(MOD($D$8,2)=0,"0","2")</f>
        <v>0</v>
      </c>
      <c r="D54" s="136" t="str">
        <f>IF(MOD($E$8,2)=0,"0","4")</f>
        <v>0</v>
      </c>
      <c r="E54" s="136" t="str">
        <f>IF(MOD($F$8,2)=0,"0","16")</f>
        <v>0</v>
      </c>
      <c r="F54" s="136" t="str">
        <f>IF(MOD($G$8,2)=0,"0","32")</f>
        <v>0</v>
      </c>
      <c r="G54" s="136" t="str">
        <f>IF(MOD($H$8,2)=0,"0","8")</f>
        <v>8</v>
      </c>
      <c r="H54" s="120">
        <f>ROUNDDOWN((B54+C54+D54+E54+F54+G54)*15/63,0)</f>
        <v>1</v>
      </c>
      <c r="I54" s="121" t="str">
        <f>IF(H54=0,"闘",IF(H54=1,"飛",IF(H54=2,"毒",IF(H54=3,"地",IF(H54=4,"岩",IF(H54=5,"虫",IF(H54=6,"霊",IF(H54=7,"鋼",IF(H54=8,"炎",IF(H54=9,"水",IF(H54=10,"草",IF(H54=11,"電",IF(H54=12,"超",IF(H54=13,"氷",IF(H54=14,"龍",IF(H54=15,"悪",0))))))))))))))))</f>
        <v>飛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>
      <c r="A55" s="137" t="s">
        <v>89</v>
      </c>
      <c r="B55" s="126" t="s">
        <v>83</v>
      </c>
      <c r="C55" s="126" t="s">
        <v>84</v>
      </c>
      <c r="D55" s="126" t="s">
        <v>90</v>
      </c>
      <c r="E55" s="126" t="s">
        <v>86</v>
      </c>
      <c r="F55" s="126" t="s">
        <v>87</v>
      </c>
      <c r="G55" s="126" t="s">
        <v>88</v>
      </c>
      <c r="H55" s="126" t="s">
        <v>93</v>
      </c>
      <c r="I55" s="127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>
      <c r="A56" s="133" t="s">
        <v>80</v>
      </c>
      <c r="B56" s="108" t="str">
        <f>IF(3&lt;=MOD(C5,4)&gt;=2,"1","0")</f>
        <v>1</v>
      </c>
      <c r="C56" s="108" t="str">
        <f>IF(3&lt;=MOD(D5,4)&gt;=2,"2","0")</f>
        <v>2</v>
      </c>
      <c r="D56" s="108" t="str">
        <f>IF(3&lt;=MOD(E5,4)&gt;=2,"4","0")</f>
        <v>4</v>
      </c>
      <c r="E56" s="108" t="str">
        <f>IF(3&lt;=MOD(F5,4)&gt;=2,"16","0")</f>
        <v>16</v>
      </c>
      <c r="F56" s="108" t="str">
        <f>IF(3&lt;=MOD(G5,4)&gt;=2,"32","0")</f>
        <v>32</v>
      </c>
      <c r="G56" s="108" t="str">
        <f>IF(3&lt;=MOD(H5,4)&gt;=2,"8","0")</f>
        <v>8</v>
      </c>
      <c r="H56" s="108">
        <f>ROUNDDOWN((B56+C56+D56+E56+F56+G56)*40/63+30,0)</f>
        <v>70</v>
      </c>
      <c r="I56" s="109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4.25" thickBot="1">
      <c r="A57" s="135" t="s">
        <v>81</v>
      </c>
      <c r="B57" s="120" t="str">
        <f>IF(3&lt;=MOD(C8,4)&gt;=2,"1","0")</f>
        <v>1</v>
      </c>
      <c r="C57" s="120" t="str">
        <f>IF(3&lt;=MOD(D8,4)&gt;=2,"2","0")</f>
        <v>2</v>
      </c>
      <c r="D57" s="120" t="str">
        <f>IF(3&lt;=MOD(E8,4)&gt;=2,"4","0")</f>
        <v>4</v>
      </c>
      <c r="E57" s="120" t="str">
        <f>IF(3&lt;=MOD(F8,4)&gt;=2,"16","0")</f>
        <v>16</v>
      </c>
      <c r="F57" s="120" t="str">
        <f>IF(3&lt;=MOD(G8,4)&gt;=2,"32","0")</f>
        <v>32</v>
      </c>
      <c r="G57" s="120" t="str">
        <f>IF(3&lt;=MOD(H8,4)&gt;=2,"8","0")</f>
        <v>8</v>
      </c>
      <c r="H57" s="120">
        <f>ROUNDDOWN((B57+C57+D57+E57+F57+G57)*40/63+30,0)</f>
        <v>70</v>
      </c>
      <c r="I57" s="121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</sheetData>
  <sheetProtection sheet="1" objects="1" scenarios="1"/>
  <mergeCells count="22">
    <mergeCell ref="A12:G12"/>
    <mergeCell ref="B32:G32"/>
    <mergeCell ref="A24:I25"/>
    <mergeCell ref="I12:O12"/>
    <mergeCell ref="L24:O24"/>
    <mergeCell ref="L29:O29"/>
    <mergeCell ref="L30:N30"/>
    <mergeCell ref="L25:N25"/>
    <mergeCell ref="K22:O23"/>
    <mergeCell ref="B30:G30"/>
    <mergeCell ref="A1:J1"/>
    <mergeCell ref="A5:B5"/>
    <mergeCell ref="A8:B8"/>
    <mergeCell ref="A6:B6"/>
    <mergeCell ref="A9:B9"/>
    <mergeCell ref="J3:L3"/>
    <mergeCell ref="A44:A45"/>
    <mergeCell ref="I44:J45"/>
    <mergeCell ref="C39:H39"/>
    <mergeCell ref="B29:G29"/>
    <mergeCell ref="B31:G31"/>
    <mergeCell ref="B33:G3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indowProtection="1"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indowProtection="1"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b010906545</dc:creator>
  <cp:lastModifiedBy>b010906545</cp:lastModifiedBy>
  <dcterms:created xsi:type="dcterms:W3CDTF">2009-10-23T06:29:39Z</dcterms:created>
  <dcterms:modified xsi:type="dcterms:W3CDTF">2009-10-25T16:46:28Z</dcterms:modified>
</cp:coreProperties>
</file>