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ichi\Documents\"/>
    </mc:Choice>
  </mc:AlternateContent>
  <bookViews>
    <workbookView xWindow="0" yWindow="0" windowWidth="23040" windowHeight="8856" activeTab="2"/>
  </bookViews>
  <sheets>
    <sheet name="近接" sheetId="2" r:id="rId1"/>
    <sheet name="ブーメラン" sheetId="1" r:id="rId2"/>
    <sheet name="ブーメラン連撃" sheetId="3" r:id="rId3"/>
  </sheets>
  <definedNames>
    <definedName name="_xlnm._FilterDatabase" localSheetId="1" hidden="1">ブーメラン!$F$1:$AE$1</definedName>
    <definedName name="_xlnm._FilterDatabase" localSheetId="2" hidden="1">ブーメラン連撃!$F$1:$AL$1</definedName>
    <definedName name="_xlnm._FilterDatabase" localSheetId="0" hidden="1">近接!$F$1:$AC$1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3" l="1"/>
  <c r="AJ14" i="3"/>
  <c r="AL14" i="3" s="1"/>
  <c r="AI14" i="3"/>
  <c r="AG14" i="3"/>
  <c r="AB14" i="3"/>
  <c r="AE17" i="1"/>
  <c r="AE9" i="1"/>
  <c r="AA9" i="1"/>
  <c r="AC9" i="1" s="1"/>
  <c r="U9" i="1" s="1"/>
  <c r="Z9" i="1"/>
  <c r="Y14" i="3" l="1"/>
  <c r="W14" i="3"/>
  <c r="P14" i="3" s="1"/>
  <c r="AK14" i="3"/>
  <c r="V9" i="1"/>
  <c r="W9" i="1"/>
  <c r="M9" i="1" s="1"/>
  <c r="AB9" i="1"/>
  <c r="E26" i="1"/>
  <c r="AJ31" i="3" l="1"/>
  <c r="AK31" i="3" s="1"/>
  <c r="AI31" i="3"/>
  <c r="AD31" i="3"/>
  <c r="AL31" i="3" l="1"/>
  <c r="W31" i="3" s="1"/>
  <c r="AI10" i="3"/>
  <c r="P38" i="3"/>
  <c r="P36" i="3"/>
  <c r="P28" i="3"/>
  <c r="AJ12" i="3"/>
  <c r="AL12" i="3" s="1"/>
  <c r="AI13" i="3"/>
  <c r="AI19" i="3"/>
  <c r="AI34" i="3"/>
  <c r="AI2" i="3"/>
  <c r="AI37" i="3"/>
  <c r="AI28" i="3"/>
  <c r="AI35" i="3"/>
  <c r="AI7" i="3"/>
  <c r="AI24" i="3"/>
  <c r="AI33" i="3"/>
  <c r="AI16" i="3"/>
  <c r="AI15" i="3"/>
  <c r="AI26" i="3"/>
  <c r="AI6" i="3"/>
  <c r="AI17" i="3"/>
  <c r="AI27" i="3"/>
  <c r="AI5" i="3"/>
  <c r="AI18" i="3"/>
  <c r="AI32" i="3"/>
  <c r="AI23" i="3"/>
  <c r="AI8" i="3"/>
  <c r="AI22" i="3"/>
  <c r="AI29" i="3"/>
  <c r="AI30" i="3"/>
  <c r="AI3" i="3"/>
  <c r="AI9" i="3"/>
  <c r="AI20" i="3"/>
  <c r="AI36" i="3"/>
  <c r="AI38" i="3"/>
  <c r="AI4" i="3"/>
  <c r="AI21" i="3"/>
  <c r="AI11" i="3"/>
  <c r="AI25" i="3"/>
  <c r="AI12" i="3"/>
  <c r="E24" i="3"/>
  <c r="AD37" i="3"/>
  <c r="AD2" i="3"/>
  <c r="AD34" i="3"/>
  <c r="AD19" i="3"/>
  <c r="AD13" i="3"/>
  <c r="AD28" i="3"/>
  <c r="AD36" i="3"/>
  <c r="AD20" i="3"/>
  <c r="AD9" i="3"/>
  <c r="AD38" i="3"/>
  <c r="AD27" i="3"/>
  <c r="AD5" i="3"/>
  <c r="AD30" i="3"/>
  <c r="AD10" i="3"/>
  <c r="AD3" i="3"/>
  <c r="AD4" i="3"/>
  <c r="AD25" i="3"/>
  <c r="AD11" i="3"/>
  <c r="AD21" i="3"/>
  <c r="AD12" i="3"/>
  <c r="AD26" i="3"/>
  <c r="AJ9" i="3"/>
  <c r="AK9" i="3" s="1"/>
  <c r="AJ28" i="3"/>
  <c r="AK28" i="3" s="1"/>
  <c r="AJ30" i="3"/>
  <c r="AK30" i="3" s="1"/>
  <c r="AJ16" i="3"/>
  <c r="AK16" i="3" s="1"/>
  <c r="AJ5" i="3"/>
  <c r="AK5" i="3" s="1"/>
  <c r="AJ23" i="3"/>
  <c r="AK23" i="3" s="1"/>
  <c r="AJ20" i="3"/>
  <c r="AK20" i="3" s="1"/>
  <c r="AJ6" i="3"/>
  <c r="AK6" i="3" s="1"/>
  <c r="AJ25" i="3"/>
  <c r="AK25" i="3" s="1"/>
  <c r="AJ37" i="3"/>
  <c r="AK37" i="3" s="1"/>
  <c r="AJ36" i="3"/>
  <c r="AK36" i="3" s="1"/>
  <c r="AJ4" i="3"/>
  <c r="AK4" i="3" s="1"/>
  <c r="AJ29" i="3"/>
  <c r="AK29" i="3" s="1"/>
  <c r="AJ22" i="3"/>
  <c r="AK22" i="3" s="1"/>
  <c r="AJ2" i="3"/>
  <c r="AK2" i="3" s="1"/>
  <c r="AJ11" i="3"/>
  <c r="AK11" i="3" s="1"/>
  <c r="AJ3" i="3"/>
  <c r="AK3" i="3" s="1"/>
  <c r="AJ34" i="3"/>
  <c r="AK34" i="3" s="1"/>
  <c r="AJ17" i="3"/>
  <c r="AK17" i="3" s="1"/>
  <c r="AJ24" i="3"/>
  <c r="AK24" i="3" s="1"/>
  <c r="AJ8" i="3"/>
  <c r="AL8" i="3" s="1"/>
  <c r="AJ18" i="3"/>
  <c r="AL18" i="3" s="1"/>
  <c r="AJ33" i="3"/>
  <c r="AK33" i="3" s="1"/>
  <c r="AJ15" i="3"/>
  <c r="AK15" i="3" s="1"/>
  <c r="AJ19" i="3"/>
  <c r="AL19" i="3" s="1"/>
  <c r="AJ13" i="3"/>
  <c r="AK13" i="3" s="1"/>
  <c r="AJ38" i="3"/>
  <c r="AK38" i="3" s="1"/>
  <c r="AJ26" i="3"/>
  <c r="AK26" i="3" s="1"/>
  <c r="AJ7" i="3"/>
  <c r="AK7" i="3" s="1"/>
  <c r="AJ21" i="3"/>
  <c r="AK21" i="3" s="1"/>
  <c r="AD33" i="3"/>
  <c r="E23" i="3"/>
  <c r="AD35" i="3"/>
  <c r="AJ35" i="3"/>
  <c r="AK35" i="3" s="1"/>
  <c r="E22" i="3"/>
  <c r="AD22" i="3"/>
  <c r="E21" i="3"/>
  <c r="E20" i="3"/>
  <c r="AD16" i="3"/>
  <c r="E18" i="3"/>
  <c r="AD8" i="3"/>
  <c r="E17" i="3"/>
  <c r="AJ10" i="3"/>
  <c r="AK10" i="3" s="1"/>
  <c r="E16" i="3"/>
  <c r="AD15" i="3"/>
  <c r="E15" i="3"/>
  <c r="AD23" i="3"/>
  <c r="E14" i="3"/>
  <c r="AD18" i="3"/>
  <c r="E13" i="3"/>
  <c r="AJ27" i="3"/>
  <c r="AK27" i="3" s="1"/>
  <c r="AD32" i="3"/>
  <c r="AJ32" i="3"/>
  <c r="AK32" i="3" s="1"/>
  <c r="AD24" i="3"/>
  <c r="AD7" i="3"/>
  <c r="AD29" i="3"/>
  <c r="AD6" i="3"/>
  <c r="AD17" i="3"/>
  <c r="AG4" i="3" l="1"/>
  <c r="AG31" i="3"/>
  <c r="AB31" i="3"/>
  <c r="Y31" i="3"/>
  <c r="P31" i="3" s="1"/>
  <c r="Y18" i="3"/>
  <c r="Y8" i="3"/>
  <c r="Y19" i="3"/>
  <c r="Y12" i="3"/>
  <c r="AG13" i="3"/>
  <c r="AG37" i="3"/>
  <c r="AG24" i="3"/>
  <c r="AG26" i="3"/>
  <c r="AG27" i="3"/>
  <c r="AG23" i="3"/>
  <c r="AG10" i="3"/>
  <c r="AG20" i="3"/>
  <c r="AG21" i="3"/>
  <c r="AL13" i="3"/>
  <c r="Y13" i="3" s="1"/>
  <c r="AL37" i="3"/>
  <c r="Y37" i="3" s="1"/>
  <c r="AL24" i="3"/>
  <c r="Y24" i="3" s="1"/>
  <c r="AL26" i="3"/>
  <c r="Y26" i="3" s="1"/>
  <c r="AL27" i="3"/>
  <c r="Y27" i="3" s="1"/>
  <c r="AL23" i="3"/>
  <c r="Y23" i="3" s="1"/>
  <c r="AL10" i="3"/>
  <c r="Y10" i="3" s="1"/>
  <c r="AL20" i="3"/>
  <c r="Y20" i="3" s="1"/>
  <c r="AL21" i="3"/>
  <c r="Y21" i="3" s="1"/>
  <c r="AB25" i="3"/>
  <c r="AG19" i="3"/>
  <c r="AG28" i="3"/>
  <c r="AG33" i="3"/>
  <c r="AG6" i="3"/>
  <c r="AG5" i="3"/>
  <c r="AG8" i="3"/>
  <c r="AG30" i="3"/>
  <c r="AG36" i="3"/>
  <c r="AG11" i="3"/>
  <c r="AL28" i="3"/>
  <c r="AL33" i="3"/>
  <c r="Y33" i="3" s="1"/>
  <c r="AL6" i="3"/>
  <c r="Y6" i="3" s="1"/>
  <c r="AL5" i="3"/>
  <c r="Y5" i="3" s="1"/>
  <c r="AL30" i="3"/>
  <c r="Y30" i="3" s="1"/>
  <c r="AL36" i="3"/>
  <c r="AL11" i="3"/>
  <c r="Y11" i="3" s="1"/>
  <c r="AG34" i="3"/>
  <c r="AG35" i="3"/>
  <c r="AG16" i="3"/>
  <c r="AG17" i="3"/>
  <c r="AG18" i="3"/>
  <c r="AG22" i="3"/>
  <c r="AG3" i="3"/>
  <c r="AG38" i="3"/>
  <c r="AG25" i="3"/>
  <c r="AL34" i="3"/>
  <c r="Y34" i="3" s="1"/>
  <c r="AL35" i="3"/>
  <c r="Y35" i="3" s="1"/>
  <c r="AL16" i="3"/>
  <c r="Y16" i="3" s="1"/>
  <c r="AL17" i="3"/>
  <c r="Y17" i="3" s="1"/>
  <c r="AL22" i="3"/>
  <c r="Y22" i="3" s="1"/>
  <c r="AL3" i="3"/>
  <c r="W3" i="3" s="1"/>
  <c r="AL38" i="3"/>
  <c r="AL25" i="3"/>
  <c r="W25" i="3" s="1"/>
  <c r="AG12" i="3"/>
  <c r="AG2" i="3"/>
  <c r="AG7" i="3"/>
  <c r="AG15" i="3"/>
  <c r="AG32" i="3"/>
  <c r="AG29" i="3"/>
  <c r="AG9" i="3"/>
  <c r="AL2" i="3"/>
  <c r="Y2" i="3" s="1"/>
  <c r="AL7" i="3"/>
  <c r="Y7" i="3" s="1"/>
  <c r="AL15" i="3"/>
  <c r="Y15" i="3" s="1"/>
  <c r="AL32" i="3"/>
  <c r="Y32" i="3" s="1"/>
  <c r="AL29" i="3"/>
  <c r="Y29" i="3" s="1"/>
  <c r="AL9" i="3"/>
  <c r="Y9" i="3" s="1"/>
  <c r="AL4" i="3"/>
  <c r="W4" i="3" s="1"/>
  <c r="AK12" i="3"/>
  <c r="W12" i="3"/>
  <c r="AB2" i="3"/>
  <c r="AB15" i="3"/>
  <c r="AB32" i="3"/>
  <c r="AB9" i="3"/>
  <c r="AB19" i="3"/>
  <c r="AB28" i="3"/>
  <c r="AB33" i="3"/>
  <c r="AB6" i="3"/>
  <c r="AB5" i="3"/>
  <c r="AB8" i="3"/>
  <c r="AB30" i="3"/>
  <c r="AB36" i="3"/>
  <c r="AB11" i="3"/>
  <c r="AB12" i="3"/>
  <c r="AB7" i="3"/>
  <c r="AB29" i="3"/>
  <c r="AB4" i="3"/>
  <c r="AB13" i="3"/>
  <c r="AB37" i="3"/>
  <c r="AB24" i="3"/>
  <c r="AB26" i="3"/>
  <c r="AB27" i="3"/>
  <c r="AB23" i="3"/>
  <c r="AB10" i="3"/>
  <c r="AB20" i="3"/>
  <c r="AB21" i="3"/>
  <c r="AB34" i="3"/>
  <c r="AB35" i="3"/>
  <c r="AB16" i="3"/>
  <c r="AB17" i="3"/>
  <c r="AB18" i="3"/>
  <c r="AB22" i="3"/>
  <c r="AB3" i="3"/>
  <c r="AB38" i="3"/>
  <c r="AK19" i="3"/>
  <c r="AK18" i="3"/>
  <c r="AK8" i="3"/>
  <c r="W18" i="3"/>
  <c r="W8" i="3"/>
  <c r="P8" i="3" s="1"/>
  <c r="W19" i="3"/>
  <c r="W33" i="3"/>
  <c r="W6" i="3"/>
  <c r="W27" i="3"/>
  <c r="D3" i="3"/>
  <c r="E23" i="2"/>
  <c r="E22" i="2"/>
  <c r="E21" i="2"/>
  <c r="W23" i="3" l="1"/>
  <c r="W21" i="3"/>
  <c r="P21" i="3" s="1"/>
  <c r="Z14" i="3"/>
  <c r="AA14" i="3" s="1"/>
  <c r="AE14" i="3"/>
  <c r="AF14" i="3" s="1"/>
  <c r="X14" i="3" s="1"/>
  <c r="Z3" i="3"/>
  <c r="AA3" i="3" s="1"/>
  <c r="AE30" i="3"/>
  <c r="AF30" i="3" s="1"/>
  <c r="AE24" i="3"/>
  <c r="AF24" i="3" s="1"/>
  <c r="AE20" i="3"/>
  <c r="AF20" i="3" s="1"/>
  <c r="AE19" i="3"/>
  <c r="AF19" i="3" s="1"/>
  <c r="AE27" i="3"/>
  <c r="AF27" i="3" s="1"/>
  <c r="AE33" i="3"/>
  <c r="AF33" i="3" s="1"/>
  <c r="AE29" i="3"/>
  <c r="AF29" i="3" s="1"/>
  <c r="X29" i="3" s="1"/>
  <c r="AE35" i="3"/>
  <c r="AF35" i="3" s="1"/>
  <c r="AE3" i="3"/>
  <c r="AF3" i="3" s="1"/>
  <c r="Z30" i="3"/>
  <c r="AA30" i="3" s="1"/>
  <c r="Z24" i="3"/>
  <c r="AA24" i="3" s="1"/>
  <c r="Z20" i="3"/>
  <c r="AA20" i="3" s="1"/>
  <c r="Z19" i="3"/>
  <c r="AA19" i="3" s="1"/>
  <c r="Z27" i="3"/>
  <c r="AA27" i="3" s="1"/>
  <c r="Z33" i="3"/>
  <c r="AA33" i="3" s="1"/>
  <c r="Z29" i="3"/>
  <c r="AA29" i="3" s="1"/>
  <c r="Z35" i="3"/>
  <c r="AA35" i="3" s="1"/>
  <c r="AE6" i="3"/>
  <c r="AF6" i="3" s="1"/>
  <c r="AE18" i="3"/>
  <c r="AF18" i="3" s="1"/>
  <c r="X18" i="3" s="1"/>
  <c r="AE38" i="3"/>
  <c r="AF38" i="3" s="1"/>
  <c r="Z22" i="3"/>
  <c r="AA22" i="3" s="1"/>
  <c r="Z26" i="3"/>
  <c r="AA26" i="3" s="1"/>
  <c r="Z25" i="3"/>
  <c r="AA25" i="3" s="1"/>
  <c r="AE4" i="3"/>
  <c r="AF4" i="3" s="1"/>
  <c r="AE10" i="3"/>
  <c r="AF10" i="3" s="1"/>
  <c r="AE16" i="3"/>
  <c r="AF16" i="3" s="1"/>
  <c r="AE5" i="3"/>
  <c r="AF5" i="3" s="1"/>
  <c r="AE21" i="3"/>
  <c r="AF21" i="3" s="1"/>
  <c r="AE28" i="3"/>
  <c r="AF28" i="3" s="1"/>
  <c r="AE37" i="3"/>
  <c r="AF37" i="3" s="1"/>
  <c r="AE12" i="3"/>
  <c r="AF12" i="3" s="1"/>
  <c r="X12" i="3" s="1"/>
  <c r="AE36" i="3"/>
  <c r="AF36" i="3" s="1"/>
  <c r="Z4" i="3"/>
  <c r="AA4" i="3" s="1"/>
  <c r="Z10" i="3"/>
  <c r="AA10" i="3" s="1"/>
  <c r="Z16" i="3"/>
  <c r="AA16" i="3" s="1"/>
  <c r="Z5" i="3"/>
  <c r="AA5" i="3" s="1"/>
  <c r="Z21" i="3"/>
  <c r="AA21" i="3" s="1"/>
  <c r="Z28" i="3"/>
  <c r="AA28" i="3" s="1"/>
  <c r="Z37" i="3"/>
  <c r="AA37" i="3" s="1"/>
  <c r="Z12" i="3"/>
  <c r="AA12" i="3" s="1"/>
  <c r="Z36" i="3"/>
  <c r="AA36" i="3" s="1"/>
  <c r="AE22" i="3"/>
  <c r="AF22" i="3" s="1"/>
  <c r="AE26" i="3"/>
  <c r="AF26" i="3" s="1"/>
  <c r="AE25" i="3"/>
  <c r="AF25" i="3" s="1"/>
  <c r="Z9" i="3"/>
  <c r="AA9" i="3" s="1"/>
  <c r="Z6" i="3"/>
  <c r="AA6" i="3" s="1"/>
  <c r="Z18" i="3"/>
  <c r="AA18" i="3" s="1"/>
  <c r="Z31" i="3"/>
  <c r="AA31" i="3" s="1"/>
  <c r="AE7" i="3"/>
  <c r="AF7" i="3" s="1"/>
  <c r="AE15" i="3"/>
  <c r="AF15" i="3" s="1"/>
  <c r="AE2" i="3"/>
  <c r="AF2" i="3" s="1"/>
  <c r="X2" i="3" s="1"/>
  <c r="AE11" i="3"/>
  <c r="AF11" i="3" s="1"/>
  <c r="AE17" i="3"/>
  <c r="AF17" i="3" s="1"/>
  <c r="AE8" i="3"/>
  <c r="AF8" i="3" s="1"/>
  <c r="AE32" i="3"/>
  <c r="AF32" i="3" s="1"/>
  <c r="X32" i="3" s="1"/>
  <c r="AE34" i="3"/>
  <c r="AF34" i="3" s="1"/>
  <c r="AE23" i="3"/>
  <c r="AF23" i="3" s="1"/>
  <c r="Z7" i="3"/>
  <c r="AA7" i="3" s="1"/>
  <c r="Z15" i="3"/>
  <c r="AA15" i="3" s="1"/>
  <c r="Z2" i="3"/>
  <c r="AA2" i="3" s="1"/>
  <c r="Z11" i="3"/>
  <c r="AA11" i="3" s="1"/>
  <c r="Z17" i="3"/>
  <c r="AA17" i="3" s="1"/>
  <c r="Z8" i="3"/>
  <c r="AA8" i="3" s="1"/>
  <c r="Z32" i="3"/>
  <c r="AA32" i="3" s="1"/>
  <c r="Z34" i="3"/>
  <c r="AA34" i="3" s="1"/>
  <c r="Z23" i="3"/>
  <c r="AA23" i="3" s="1"/>
  <c r="AE9" i="3"/>
  <c r="AF9" i="3" s="1"/>
  <c r="X9" i="3" s="1"/>
  <c r="AE13" i="3"/>
  <c r="AF13" i="3" s="1"/>
  <c r="AE31" i="3"/>
  <c r="AF31" i="3" s="1"/>
  <c r="Z13" i="3"/>
  <c r="AA13" i="3" s="1"/>
  <c r="Z38" i="3"/>
  <c r="AA38" i="3" s="1"/>
  <c r="P19" i="3"/>
  <c r="W34" i="3"/>
  <c r="P34" i="3" s="1"/>
  <c r="P18" i="3"/>
  <c r="X31" i="3"/>
  <c r="W15" i="3"/>
  <c r="P15" i="3" s="1"/>
  <c r="W10" i="3"/>
  <c r="P10" i="3" s="1"/>
  <c r="P12" i="3"/>
  <c r="W17" i="3"/>
  <c r="P17" i="3" s="1"/>
  <c r="W32" i="3"/>
  <c r="P32" i="3" s="1"/>
  <c r="W7" i="3"/>
  <c r="P7" i="3" s="1"/>
  <c r="W2" i="3"/>
  <c r="P2" i="3" s="1"/>
  <c r="W5" i="3"/>
  <c r="P5" i="3" s="1"/>
  <c r="W20" i="3"/>
  <c r="P20" i="3" s="1"/>
  <c r="P6" i="3"/>
  <c r="P33" i="3"/>
  <c r="W9" i="3"/>
  <c r="P9" i="3" s="1"/>
  <c r="Y3" i="3"/>
  <c r="P3" i="3" s="1"/>
  <c r="Y25" i="3"/>
  <c r="P25" i="3" s="1"/>
  <c r="P27" i="3"/>
  <c r="Y4" i="3"/>
  <c r="P4" i="3" s="1"/>
  <c r="P23" i="3"/>
  <c r="X21" i="3"/>
  <c r="X20" i="3"/>
  <c r="X10" i="3"/>
  <c r="X23" i="3"/>
  <c r="X27" i="3"/>
  <c r="X26" i="3"/>
  <c r="X24" i="3"/>
  <c r="X37" i="3"/>
  <c r="X13" i="3"/>
  <c r="X36" i="3"/>
  <c r="X6" i="3"/>
  <c r="X19" i="3"/>
  <c r="X4" i="3"/>
  <c r="X15" i="3"/>
  <c r="X7" i="3"/>
  <c r="X30" i="3"/>
  <c r="X5" i="3"/>
  <c r="X28" i="3"/>
  <c r="X25" i="3"/>
  <c r="X38" i="3"/>
  <c r="X3" i="3"/>
  <c r="X22" i="3"/>
  <c r="X17" i="3"/>
  <c r="X16" i="3"/>
  <c r="X35" i="3"/>
  <c r="X34" i="3"/>
  <c r="X11" i="3"/>
  <c r="X8" i="3"/>
  <c r="X33" i="3"/>
  <c r="W37" i="3"/>
  <c r="P37" i="3" s="1"/>
  <c r="W29" i="3"/>
  <c r="P29" i="3" s="1"/>
  <c r="W24" i="3"/>
  <c r="P24" i="3" s="1"/>
  <c r="W30" i="3"/>
  <c r="P30" i="3" s="1"/>
  <c r="W22" i="3"/>
  <c r="P22" i="3" s="1"/>
  <c r="W26" i="3"/>
  <c r="P26" i="3" s="1"/>
  <c r="W11" i="3"/>
  <c r="P11" i="3" s="1"/>
  <c r="W13" i="3"/>
  <c r="P13" i="3" s="1"/>
  <c r="W35" i="3"/>
  <c r="P35" i="3" s="1"/>
  <c r="W16" i="3"/>
  <c r="P16" i="3" s="1"/>
  <c r="AC24" i="2"/>
  <c r="AC19" i="2"/>
  <c r="AC27" i="2"/>
  <c r="AC17" i="2"/>
  <c r="AC7" i="2"/>
  <c r="AC6" i="2"/>
  <c r="AC3" i="2"/>
  <c r="AC2" i="2"/>
  <c r="AC5" i="2"/>
  <c r="AC4" i="2"/>
  <c r="AC14" i="2"/>
  <c r="AC8" i="2"/>
  <c r="AC11" i="2"/>
  <c r="AC18" i="2"/>
  <c r="AC13" i="2"/>
  <c r="AC12" i="2"/>
  <c r="AC16" i="2"/>
  <c r="AC20" i="2"/>
  <c r="AC10" i="2"/>
  <c r="AC9" i="2"/>
  <c r="AC29" i="2"/>
  <c r="AC15" i="2"/>
  <c r="AC26" i="2"/>
  <c r="AC22" i="2"/>
  <c r="AC25" i="2"/>
  <c r="AC21" i="2"/>
  <c r="AC28" i="2"/>
  <c r="AC23" i="2"/>
  <c r="Y22" i="2"/>
  <c r="Z22" i="2" s="1"/>
  <c r="Y25" i="2"/>
  <c r="Z25" i="2" s="1"/>
  <c r="Y21" i="2"/>
  <c r="Z21" i="2" s="1"/>
  <c r="Y28" i="2"/>
  <c r="Z28" i="2" s="1"/>
  <c r="Y19" i="2"/>
  <c r="Z19" i="2" s="1"/>
  <c r="Y23" i="2"/>
  <c r="Z23" i="2" s="1"/>
  <c r="Y24" i="2"/>
  <c r="Z24" i="2" s="1"/>
  <c r="Y26" i="2"/>
  <c r="AA26" i="2" s="1"/>
  <c r="Y27" i="2"/>
  <c r="AA27" i="2" s="1"/>
  <c r="Y17" i="2"/>
  <c r="AA17" i="2" s="1"/>
  <c r="Y15" i="2"/>
  <c r="AA15" i="2" s="1"/>
  <c r="Y29" i="2"/>
  <c r="AA29" i="2" s="1"/>
  <c r="Y9" i="2"/>
  <c r="AA9" i="2" s="1"/>
  <c r="Y10" i="2"/>
  <c r="AA10" i="2" s="1"/>
  <c r="Y20" i="2"/>
  <c r="AA20" i="2" s="1"/>
  <c r="Y16" i="2"/>
  <c r="AA16" i="2" s="1"/>
  <c r="Y12" i="2"/>
  <c r="AA12" i="2" s="1"/>
  <c r="Y13" i="2"/>
  <c r="AA13" i="2" s="1"/>
  <c r="Y18" i="2"/>
  <c r="AA18" i="2" s="1"/>
  <c r="Y11" i="2"/>
  <c r="AA11" i="2" s="1"/>
  <c r="Y8" i="2"/>
  <c r="AA8" i="2" s="1"/>
  <c r="Y14" i="2"/>
  <c r="AA14" i="2" s="1"/>
  <c r="Y4" i="2"/>
  <c r="AA4" i="2" s="1"/>
  <c r="Y5" i="2"/>
  <c r="Y7" i="2"/>
  <c r="Y6" i="2"/>
  <c r="Y3" i="2"/>
  <c r="Y2" i="2"/>
  <c r="E20" i="2"/>
  <c r="E18" i="2"/>
  <c r="E17" i="2"/>
  <c r="E16" i="2"/>
  <c r="E15" i="2"/>
  <c r="E14" i="2"/>
  <c r="E13" i="2"/>
  <c r="E13" i="1"/>
  <c r="E14" i="1"/>
  <c r="E15" i="1"/>
  <c r="E16" i="1"/>
  <c r="E17" i="1"/>
  <c r="E18" i="1"/>
  <c r="E23" i="1"/>
  <c r="E22" i="1"/>
  <c r="E21" i="1" s="1"/>
  <c r="AE15" i="1"/>
  <c r="AE10" i="1"/>
  <c r="AE4" i="1"/>
  <c r="AE6" i="1"/>
  <c r="AE23" i="1"/>
  <c r="AE22" i="1"/>
  <c r="AE21" i="1"/>
  <c r="AE20" i="1"/>
  <c r="AE18" i="1"/>
  <c r="AE19" i="1"/>
  <c r="AE16" i="1"/>
  <c r="AE14" i="1"/>
  <c r="AE13" i="1"/>
  <c r="AE12" i="1"/>
  <c r="AE3" i="1"/>
  <c r="AE11" i="1"/>
  <c r="AE8" i="1"/>
  <c r="AE7" i="1"/>
  <c r="AE5" i="1"/>
  <c r="AE2" i="1"/>
  <c r="AA4" i="1"/>
  <c r="AC4" i="1" s="1"/>
  <c r="AA5" i="1"/>
  <c r="AC5" i="1" s="1"/>
  <c r="AA6" i="1"/>
  <c r="AB6" i="1" s="1"/>
  <c r="AA7" i="1"/>
  <c r="AC7" i="1" s="1"/>
  <c r="AA10" i="1"/>
  <c r="AA8" i="1"/>
  <c r="AC8" i="1" s="1"/>
  <c r="AA11" i="1"/>
  <c r="AB11" i="1" s="1"/>
  <c r="AA3" i="1"/>
  <c r="AC3" i="1" s="1"/>
  <c r="AA12" i="1"/>
  <c r="AC12" i="1" s="1"/>
  <c r="AA13" i="1"/>
  <c r="AC13" i="1" s="1"/>
  <c r="AA14" i="1"/>
  <c r="AB14" i="1" s="1"/>
  <c r="AA16" i="1"/>
  <c r="AC16" i="1" s="1"/>
  <c r="AA19" i="1"/>
  <c r="AC19" i="1" s="1"/>
  <c r="AA17" i="1"/>
  <c r="AC17" i="1" s="1"/>
  <c r="AA18" i="1"/>
  <c r="AB18" i="1" s="1"/>
  <c r="AA15" i="1"/>
  <c r="AC15" i="1" s="1"/>
  <c r="AA20" i="1"/>
  <c r="AC20" i="1" s="1"/>
  <c r="AA21" i="1"/>
  <c r="AC21" i="1" s="1"/>
  <c r="AA22" i="1"/>
  <c r="AB22" i="1" s="1"/>
  <c r="AA23" i="1"/>
  <c r="AC23" i="1" s="1"/>
  <c r="AA2" i="1"/>
  <c r="AC2" i="1" s="1"/>
  <c r="R14" i="3" l="1"/>
  <c r="V14" i="3"/>
  <c r="O14" i="3" s="1"/>
  <c r="Q14" i="3" s="1"/>
  <c r="U21" i="1"/>
  <c r="U20" i="1"/>
  <c r="U23" i="1"/>
  <c r="X19" i="2"/>
  <c r="D3" i="2"/>
  <c r="R22" i="3"/>
  <c r="V22" i="3"/>
  <c r="O22" i="3" s="1"/>
  <c r="Q22" i="3" s="1"/>
  <c r="V6" i="3"/>
  <c r="O6" i="3" s="1"/>
  <c r="Q6" i="3" s="1"/>
  <c r="R6" i="3"/>
  <c r="R2" i="3"/>
  <c r="V2" i="3"/>
  <c r="O2" i="3" s="1"/>
  <c r="Q2" i="3" s="1"/>
  <c r="R27" i="3"/>
  <c r="V27" i="3"/>
  <c r="O27" i="3" s="1"/>
  <c r="Q27" i="3" s="1"/>
  <c r="V19" i="3"/>
  <c r="O19" i="3" s="1"/>
  <c r="Q19" i="3" s="1"/>
  <c r="R19" i="3"/>
  <c r="R37" i="3"/>
  <c r="V37" i="3"/>
  <c r="O37" i="3" s="1"/>
  <c r="Q37" i="3" s="1"/>
  <c r="V25" i="3"/>
  <c r="R25" i="3"/>
  <c r="R20" i="3"/>
  <c r="V20" i="3"/>
  <c r="O20" i="3" s="1"/>
  <c r="Q20" i="3" s="1"/>
  <c r="R12" i="3"/>
  <c r="V12" i="3"/>
  <c r="R31" i="3"/>
  <c r="V31" i="3"/>
  <c r="O31" i="3" s="1"/>
  <c r="Q31" i="3" s="1"/>
  <c r="R21" i="3"/>
  <c r="V21" i="3"/>
  <c r="O21" i="3" s="1"/>
  <c r="Q21" i="3" s="1"/>
  <c r="R7" i="3"/>
  <c r="V7" i="3"/>
  <c r="O7" i="3" s="1"/>
  <c r="Q7" i="3" s="1"/>
  <c r="R8" i="3"/>
  <c r="V8" i="3"/>
  <c r="O8" i="3" s="1"/>
  <c r="Q8" i="3" s="1"/>
  <c r="R30" i="3"/>
  <c r="V30" i="3"/>
  <c r="O30" i="3" s="1"/>
  <c r="Q30" i="3" s="1"/>
  <c r="R24" i="3"/>
  <c r="V24" i="3"/>
  <c r="O24" i="3" s="1"/>
  <c r="Q24" i="3" s="1"/>
  <c r="R17" i="3"/>
  <c r="V17" i="3"/>
  <c r="O17" i="3" s="1"/>
  <c r="Q17" i="3" s="1"/>
  <c r="R10" i="3"/>
  <c r="V10" i="3"/>
  <c r="O10" i="3" s="1"/>
  <c r="Q10" i="3" s="1"/>
  <c r="R15" i="3"/>
  <c r="V15" i="3"/>
  <c r="O15" i="3" s="1"/>
  <c r="Q15" i="3" s="1"/>
  <c r="R5" i="3"/>
  <c r="V5" i="3"/>
  <c r="O5" i="3" s="1"/>
  <c r="Q5" i="3" s="1"/>
  <c r="R36" i="3"/>
  <c r="V36" i="3"/>
  <c r="O36" i="3" s="1"/>
  <c r="Q36" i="3" s="1"/>
  <c r="R16" i="3"/>
  <c r="V16" i="3"/>
  <c r="O16" i="3" s="1"/>
  <c r="Q16" i="3" s="1"/>
  <c r="R32" i="3"/>
  <c r="V32" i="3"/>
  <c r="O32" i="3" s="1"/>
  <c r="Q32" i="3" s="1"/>
  <c r="R26" i="3"/>
  <c r="V26" i="3"/>
  <c r="O26" i="3" s="1"/>
  <c r="Q26" i="3" s="1"/>
  <c r="R4" i="3"/>
  <c r="V4" i="3"/>
  <c r="O4" i="3" s="1"/>
  <c r="Q4" i="3" s="1"/>
  <c r="R38" i="3"/>
  <c r="V38" i="3"/>
  <c r="O38" i="3" s="1"/>
  <c r="Q38" i="3" s="1"/>
  <c r="V23" i="3"/>
  <c r="O23" i="3" s="1"/>
  <c r="Q23" i="3" s="1"/>
  <c r="R23" i="3"/>
  <c r="R34" i="3"/>
  <c r="V34" i="3"/>
  <c r="O34" i="3" s="1"/>
  <c r="Q34" i="3" s="1"/>
  <c r="R33" i="3"/>
  <c r="V33" i="3"/>
  <c r="O33" i="3" s="1"/>
  <c r="Q33" i="3" s="1"/>
  <c r="R29" i="3"/>
  <c r="V29" i="3"/>
  <c r="O29" i="3" s="1"/>
  <c r="Q29" i="3" s="1"/>
  <c r="V13" i="3"/>
  <c r="O13" i="3" s="1"/>
  <c r="R13" i="3"/>
  <c r="V18" i="3"/>
  <c r="O18" i="3" s="1"/>
  <c r="Q18" i="3" s="1"/>
  <c r="R18" i="3"/>
  <c r="R11" i="3"/>
  <c r="V11" i="3"/>
  <c r="O11" i="3" s="1"/>
  <c r="Q11" i="3" s="1"/>
  <c r="R35" i="3"/>
  <c r="V35" i="3"/>
  <c r="O35" i="3" s="1"/>
  <c r="Q35" i="3" s="1"/>
  <c r="V9" i="3"/>
  <c r="O9" i="3" s="1"/>
  <c r="Q9" i="3" s="1"/>
  <c r="R9" i="3"/>
  <c r="R28" i="3"/>
  <c r="V28" i="3"/>
  <c r="O28" i="3" s="1"/>
  <c r="Q28" i="3" s="1"/>
  <c r="R3" i="3"/>
  <c r="V3" i="3"/>
  <c r="O3" i="3" s="1"/>
  <c r="Q3" i="3" s="1"/>
  <c r="O25" i="3"/>
  <c r="Q25" i="3" s="1"/>
  <c r="O12" i="3"/>
  <c r="Q12" i="3" s="1"/>
  <c r="D3" i="1"/>
  <c r="X9" i="1" s="1"/>
  <c r="Y9" i="1" s="1"/>
  <c r="X2" i="2"/>
  <c r="X4" i="2"/>
  <c r="X17" i="2"/>
  <c r="X7" i="2"/>
  <c r="X26" i="2"/>
  <c r="X13" i="2"/>
  <c r="X22" i="2"/>
  <c r="X14" i="2"/>
  <c r="X9" i="2"/>
  <c r="X18" i="2"/>
  <c r="X5" i="2"/>
  <c r="X24" i="2"/>
  <c r="X15" i="2"/>
  <c r="X27" i="2"/>
  <c r="X16" i="2"/>
  <c r="X8" i="2"/>
  <c r="X11" i="2"/>
  <c r="X12" i="2"/>
  <c r="X28" i="2"/>
  <c r="X23" i="2"/>
  <c r="X29" i="2"/>
  <c r="X25" i="2"/>
  <c r="X20" i="2"/>
  <c r="X21" i="2"/>
  <c r="X10" i="2"/>
  <c r="X3" i="2"/>
  <c r="X6" i="2"/>
  <c r="T27" i="2"/>
  <c r="U27" i="2" s="1"/>
  <c r="M27" i="2" s="1"/>
  <c r="T15" i="2"/>
  <c r="U15" i="2" s="1"/>
  <c r="M15" i="2" s="1"/>
  <c r="T20" i="2"/>
  <c r="U20" i="2" s="1"/>
  <c r="M20" i="2" s="1"/>
  <c r="T18" i="2"/>
  <c r="U18" i="2" s="1"/>
  <c r="M18" i="2" s="1"/>
  <c r="T4" i="2"/>
  <c r="U4" i="2" s="1"/>
  <c r="M4" i="2" s="1"/>
  <c r="T17" i="2"/>
  <c r="U17" i="2" s="1"/>
  <c r="M17" i="2" s="1"/>
  <c r="T14" i="2"/>
  <c r="U14" i="2" s="1"/>
  <c r="M14" i="2" s="1"/>
  <c r="T9" i="2"/>
  <c r="U9" i="2" s="1"/>
  <c r="M9" i="2" s="1"/>
  <c r="AC10" i="1"/>
  <c r="V10" i="1" s="1"/>
  <c r="AB10" i="1"/>
  <c r="T29" i="2"/>
  <c r="U29" i="2" s="1"/>
  <c r="M29" i="2" s="1"/>
  <c r="T16" i="2"/>
  <c r="U16" i="2" s="1"/>
  <c r="M16" i="2" s="1"/>
  <c r="T11" i="2"/>
  <c r="U11" i="2" s="1"/>
  <c r="M11" i="2" s="1"/>
  <c r="T12" i="2"/>
  <c r="U12" i="2" s="1"/>
  <c r="M12" i="2" s="1"/>
  <c r="T8" i="2"/>
  <c r="U8" i="2" s="1"/>
  <c r="M8" i="2" s="1"/>
  <c r="T26" i="2"/>
  <c r="U26" i="2" s="1"/>
  <c r="M26" i="2" s="1"/>
  <c r="T10" i="2"/>
  <c r="U10" i="2" s="1"/>
  <c r="M10" i="2" s="1"/>
  <c r="T13" i="2"/>
  <c r="U13" i="2" s="1"/>
  <c r="M13" i="2" s="1"/>
  <c r="AA24" i="2"/>
  <c r="T24" i="2" s="1"/>
  <c r="U24" i="2" s="1"/>
  <c r="M24" i="2" s="1"/>
  <c r="AA23" i="2"/>
  <c r="T23" i="2" s="1"/>
  <c r="U23" i="2" s="1"/>
  <c r="M23" i="2" s="1"/>
  <c r="AA19" i="2"/>
  <c r="T19" i="2" s="1"/>
  <c r="U19" i="2" s="1"/>
  <c r="M19" i="2" s="1"/>
  <c r="AA28" i="2"/>
  <c r="T28" i="2" s="1"/>
  <c r="U28" i="2" s="1"/>
  <c r="M28" i="2" s="1"/>
  <c r="AA21" i="2"/>
  <c r="T21" i="2" s="1"/>
  <c r="U21" i="2" s="1"/>
  <c r="M21" i="2" s="1"/>
  <c r="AA25" i="2"/>
  <c r="T25" i="2" s="1"/>
  <c r="U25" i="2" s="1"/>
  <c r="M25" i="2" s="1"/>
  <c r="AA22" i="2"/>
  <c r="T22" i="2" s="1"/>
  <c r="U22" i="2" s="1"/>
  <c r="M22" i="2" s="1"/>
  <c r="AA2" i="2"/>
  <c r="T2" i="2" s="1"/>
  <c r="Z2" i="2"/>
  <c r="AA6" i="2"/>
  <c r="T6" i="2" s="1"/>
  <c r="U6" i="2" s="1"/>
  <c r="M6" i="2" s="1"/>
  <c r="Z6" i="2"/>
  <c r="AA5" i="2"/>
  <c r="T5" i="2" s="1"/>
  <c r="U5" i="2" s="1"/>
  <c r="M5" i="2" s="1"/>
  <c r="Z5" i="2"/>
  <c r="AA3" i="2"/>
  <c r="T3" i="2" s="1"/>
  <c r="U3" i="2" s="1"/>
  <c r="M3" i="2" s="1"/>
  <c r="Z3" i="2"/>
  <c r="AA7" i="2"/>
  <c r="T7" i="2" s="1"/>
  <c r="U7" i="2" s="1"/>
  <c r="M7" i="2" s="1"/>
  <c r="Z7" i="2"/>
  <c r="Z4" i="2"/>
  <c r="Z14" i="2"/>
  <c r="Z8" i="2"/>
  <c r="Z11" i="2"/>
  <c r="Z18" i="2"/>
  <c r="Z13" i="2"/>
  <c r="Z12" i="2"/>
  <c r="Z16" i="2"/>
  <c r="Z20" i="2"/>
  <c r="Z10" i="2"/>
  <c r="Z9" i="2"/>
  <c r="Z29" i="2"/>
  <c r="Z15" i="2"/>
  <c r="Z17" i="2"/>
  <c r="Z27" i="2"/>
  <c r="Z26" i="2"/>
  <c r="V5" i="1"/>
  <c r="Z2" i="1"/>
  <c r="U2" i="1"/>
  <c r="V4" i="1"/>
  <c r="V7" i="1"/>
  <c r="V8" i="1"/>
  <c r="V13" i="1"/>
  <c r="V17" i="1"/>
  <c r="V3" i="1"/>
  <c r="V16" i="1"/>
  <c r="V21" i="1"/>
  <c r="V2" i="1"/>
  <c r="U17" i="1"/>
  <c r="U13" i="1"/>
  <c r="U8" i="1"/>
  <c r="V12" i="1"/>
  <c r="V19" i="1"/>
  <c r="V23" i="1"/>
  <c r="U4" i="1"/>
  <c r="U5" i="1"/>
  <c r="U7" i="1"/>
  <c r="V20" i="1"/>
  <c r="V15" i="1"/>
  <c r="U19" i="1"/>
  <c r="U12" i="1"/>
  <c r="AC18" i="1"/>
  <c r="U18" i="1" s="1"/>
  <c r="U15" i="1"/>
  <c r="U16" i="1"/>
  <c r="U3" i="1"/>
  <c r="Z22" i="1"/>
  <c r="E24" i="1"/>
  <c r="AB13" i="1"/>
  <c r="AB8" i="1"/>
  <c r="AC14" i="1"/>
  <c r="V14" i="1" s="1"/>
  <c r="AB21" i="1"/>
  <c r="AB5" i="1"/>
  <c r="AC11" i="1"/>
  <c r="V11" i="1" s="1"/>
  <c r="AB17" i="1"/>
  <c r="AC22" i="1"/>
  <c r="V22" i="1" s="1"/>
  <c r="AC6" i="1"/>
  <c r="V6" i="1" s="1"/>
  <c r="Z7" i="1"/>
  <c r="Z14" i="1"/>
  <c r="AB2" i="1"/>
  <c r="AB20" i="1"/>
  <c r="AB19" i="1"/>
  <c r="AB12" i="1"/>
  <c r="AB4" i="1"/>
  <c r="Z11" i="1"/>
  <c r="AB23" i="1"/>
  <c r="AB15" i="1"/>
  <c r="AB16" i="1"/>
  <c r="AB3" i="1"/>
  <c r="AB7" i="1"/>
  <c r="Z6" i="1"/>
  <c r="Z18" i="1"/>
  <c r="Z21" i="1"/>
  <c r="Z17" i="1"/>
  <c r="Z13" i="1"/>
  <c r="Z8" i="1"/>
  <c r="Z5" i="1"/>
  <c r="Z20" i="1"/>
  <c r="Z19" i="1"/>
  <c r="Z12" i="1"/>
  <c r="Z10" i="1"/>
  <c r="Z4" i="1"/>
  <c r="Z23" i="1"/>
  <c r="Z15" i="1"/>
  <c r="Z16" i="1"/>
  <c r="Z3" i="1"/>
  <c r="S12" i="3" l="1"/>
  <c r="S28" i="3"/>
  <c r="S29" i="3"/>
  <c r="S34" i="3"/>
  <c r="S38" i="3"/>
  <c r="S26" i="3"/>
  <c r="S16" i="3"/>
  <c r="S5" i="3"/>
  <c r="S14" i="3"/>
  <c r="R9" i="1"/>
  <c r="S9" i="1"/>
  <c r="U22" i="1"/>
  <c r="X5" i="1"/>
  <c r="Y5" i="1" s="1"/>
  <c r="X8" i="1"/>
  <c r="Y8" i="1" s="1"/>
  <c r="X12" i="1"/>
  <c r="Y12" i="1" s="1"/>
  <c r="X16" i="1"/>
  <c r="Y16" i="1" s="1"/>
  <c r="X20" i="1"/>
  <c r="Y20" i="1" s="1"/>
  <c r="X2" i="1"/>
  <c r="Y2" i="1" s="1"/>
  <c r="X4" i="1"/>
  <c r="Y4" i="1" s="1"/>
  <c r="X10" i="1"/>
  <c r="Y10" i="1" s="1"/>
  <c r="X14" i="1"/>
  <c r="Y14" i="1" s="1"/>
  <c r="X19" i="1"/>
  <c r="Y19" i="1" s="1"/>
  <c r="X21" i="1"/>
  <c r="Y21" i="1" s="1"/>
  <c r="X15" i="1"/>
  <c r="Y15" i="1" s="1"/>
  <c r="X23" i="1"/>
  <c r="Y23" i="1" s="1"/>
  <c r="X6" i="1"/>
  <c r="Y6" i="1" s="1"/>
  <c r="X11" i="1"/>
  <c r="Y11" i="1" s="1"/>
  <c r="X13" i="1"/>
  <c r="Y13" i="1" s="1"/>
  <c r="X17" i="1"/>
  <c r="Y17" i="1" s="1"/>
  <c r="X22" i="1"/>
  <c r="Y22" i="1" s="1"/>
  <c r="X3" i="1"/>
  <c r="Y3" i="1" s="1"/>
  <c r="X18" i="1"/>
  <c r="Y18" i="1" s="1"/>
  <c r="X7" i="1"/>
  <c r="Y7" i="1" s="1"/>
  <c r="V3" i="2"/>
  <c r="W3" i="2" s="1"/>
  <c r="V20" i="2"/>
  <c r="W20" i="2" s="1"/>
  <c r="V7" i="2"/>
  <c r="W7" i="2" s="1"/>
  <c r="V9" i="2"/>
  <c r="W9" i="2" s="1"/>
  <c r="R9" i="2" s="1"/>
  <c r="V21" i="2"/>
  <c r="W21" i="2" s="1"/>
  <c r="V13" i="2"/>
  <c r="W13" i="2" s="1"/>
  <c r="V4" i="2"/>
  <c r="W4" i="2" s="1"/>
  <c r="V29" i="2"/>
  <c r="W29" i="2" s="1"/>
  <c r="V8" i="2"/>
  <c r="W8" i="2" s="1"/>
  <c r="V15" i="2"/>
  <c r="W15" i="2" s="1"/>
  <c r="V12" i="2"/>
  <c r="W12" i="2" s="1"/>
  <c r="V26" i="2"/>
  <c r="W26" i="2" s="1"/>
  <c r="V28" i="2"/>
  <c r="W28" i="2" s="1"/>
  <c r="V6" i="2"/>
  <c r="W6" i="2" s="1"/>
  <c r="V19" i="2"/>
  <c r="W19" i="2" s="1"/>
  <c r="R19" i="2" s="1"/>
  <c r="V17" i="2"/>
  <c r="W17" i="2" s="1"/>
  <c r="V2" i="2"/>
  <c r="W2" i="2" s="1"/>
  <c r="V23" i="2"/>
  <c r="W23" i="2" s="1"/>
  <c r="V11" i="2"/>
  <c r="W11" i="2" s="1"/>
  <c r="V18" i="2"/>
  <c r="W18" i="2" s="1"/>
  <c r="V25" i="2"/>
  <c r="W25" i="2" s="1"/>
  <c r="V5" i="2"/>
  <c r="W5" i="2" s="1"/>
  <c r="V16" i="2"/>
  <c r="W16" i="2" s="1"/>
  <c r="V27" i="2"/>
  <c r="W27" i="2" s="1"/>
  <c r="V10" i="2"/>
  <c r="W10" i="2" s="1"/>
  <c r="Q10" i="2" s="1"/>
  <c r="V24" i="2"/>
  <c r="W24" i="2" s="1"/>
  <c r="V14" i="2"/>
  <c r="W14" i="2" s="1"/>
  <c r="V22" i="2"/>
  <c r="W22" i="2" s="1"/>
  <c r="S6" i="3"/>
  <c r="S2" i="3"/>
  <c r="S22" i="3"/>
  <c r="S19" i="3"/>
  <c r="S35" i="3"/>
  <c r="S9" i="3"/>
  <c r="S23" i="3"/>
  <c r="S10" i="3"/>
  <c r="S24" i="3"/>
  <c r="S8" i="3"/>
  <c r="S25" i="3"/>
  <c r="S21" i="3"/>
  <c r="S18" i="3"/>
  <c r="S3" i="3"/>
  <c r="S11" i="3"/>
  <c r="S33" i="3"/>
  <c r="S4" i="3"/>
  <c r="S32" i="3"/>
  <c r="S36" i="3"/>
  <c r="S15" i="3"/>
  <c r="S17" i="3"/>
  <c r="S30" i="3"/>
  <c r="S7" i="3"/>
  <c r="S31" i="3"/>
  <c r="S20" i="3"/>
  <c r="S37" i="3"/>
  <c r="S27" i="3"/>
  <c r="Q13" i="3"/>
  <c r="S13" i="3" s="1"/>
  <c r="W15" i="1"/>
  <c r="M15" i="1" s="1"/>
  <c r="U10" i="1"/>
  <c r="W10" i="1" s="1"/>
  <c r="M10" i="1" s="1"/>
  <c r="W5" i="1"/>
  <c r="M5" i="1" s="1"/>
  <c r="W3" i="1"/>
  <c r="M3" i="1" s="1"/>
  <c r="W7" i="1"/>
  <c r="M7" i="1" s="1"/>
  <c r="W2" i="1"/>
  <c r="M2" i="1" s="1"/>
  <c r="R10" i="1"/>
  <c r="R21" i="2"/>
  <c r="R28" i="2"/>
  <c r="U2" i="2"/>
  <c r="M2" i="2" s="1"/>
  <c r="W17" i="1"/>
  <c r="M17" i="1" s="1"/>
  <c r="W4" i="1"/>
  <c r="M4" i="1" s="1"/>
  <c r="W13" i="1"/>
  <c r="M13" i="1" s="1"/>
  <c r="W23" i="1"/>
  <c r="M23" i="1" s="1"/>
  <c r="W8" i="1"/>
  <c r="M8" i="1" s="1"/>
  <c r="W20" i="1"/>
  <c r="M20" i="1" s="1"/>
  <c r="W16" i="1"/>
  <c r="M16" i="1" s="1"/>
  <c r="W19" i="1"/>
  <c r="M19" i="1" s="1"/>
  <c r="U11" i="1"/>
  <c r="W11" i="1" s="1"/>
  <c r="M11" i="1" s="1"/>
  <c r="V18" i="1"/>
  <c r="W18" i="1" s="1"/>
  <c r="M18" i="1" s="1"/>
  <c r="W12" i="1"/>
  <c r="M12" i="1" s="1"/>
  <c r="W21" i="1"/>
  <c r="M21" i="1" s="1"/>
  <c r="U14" i="1"/>
  <c r="W14" i="1" s="1"/>
  <c r="M14" i="1" s="1"/>
  <c r="W22" i="1"/>
  <c r="M22" i="1" s="1"/>
  <c r="U6" i="1"/>
  <c r="W6" i="1" s="1"/>
  <c r="M6" i="1" s="1"/>
  <c r="T9" i="1" l="1"/>
  <c r="L9" i="1" s="1"/>
  <c r="N9" i="1" s="1"/>
  <c r="O9" i="1" s="1"/>
  <c r="Q14" i="2"/>
  <c r="R14" i="2"/>
  <c r="Q24" i="2"/>
  <c r="R24" i="2"/>
  <c r="R23" i="2"/>
  <c r="Q23" i="2"/>
  <c r="Q25" i="2"/>
  <c r="R25" i="2"/>
  <c r="R4" i="2"/>
  <c r="Q4" i="2"/>
  <c r="R22" i="2"/>
  <c r="Q22" i="2"/>
  <c r="Q12" i="2"/>
  <c r="R12" i="2"/>
  <c r="Q13" i="2"/>
  <c r="R13" i="2"/>
  <c r="Q11" i="2"/>
  <c r="R11" i="2"/>
  <c r="Q8" i="2"/>
  <c r="R8" i="2"/>
  <c r="Q5" i="2"/>
  <c r="R5" i="2"/>
  <c r="Q20" i="2"/>
  <c r="R20" i="2"/>
  <c r="Q27" i="2"/>
  <c r="R27" i="2"/>
  <c r="Q7" i="2"/>
  <c r="R7" i="2"/>
  <c r="Q17" i="2"/>
  <c r="R17" i="2"/>
  <c r="Q6" i="2"/>
  <c r="R6" i="2"/>
  <c r="Q18" i="2"/>
  <c r="R18" i="2"/>
  <c r="Q29" i="2"/>
  <c r="R29" i="2"/>
  <c r="Q16" i="2"/>
  <c r="R16" i="2"/>
  <c r="Q15" i="2"/>
  <c r="R15" i="2"/>
  <c r="Q3" i="2"/>
  <c r="R3" i="2"/>
  <c r="Q9" i="2"/>
  <c r="S9" i="2" s="1"/>
  <c r="Q26" i="2"/>
  <c r="R26" i="2"/>
  <c r="R10" i="2"/>
  <c r="Q2" i="2"/>
  <c r="R2" i="2"/>
  <c r="Q28" i="2"/>
  <c r="S28" i="2" s="1"/>
  <c r="L28" i="2" s="1"/>
  <c r="N28" i="2" s="1"/>
  <c r="Q21" i="2"/>
  <c r="S21" i="2" s="1"/>
  <c r="L21" i="2" s="1"/>
  <c r="N21" i="2" s="1"/>
  <c r="Q19" i="2"/>
  <c r="S19" i="2" s="1"/>
  <c r="L19" i="2" s="1"/>
  <c r="N19" i="2" s="1"/>
  <c r="R2" i="1"/>
  <c r="S4" i="2" l="1"/>
  <c r="L4" i="2" s="1"/>
  <c r="N4" i="2" s="1"/>
  <c r="S23" i="2"/>
  <c r="L23" i="2" s="1"/>
  <c r="N23" i="2" s="1"/>
  <c r="S25" i="2"/>
  <c r="L25" i="2" s="1"/>
  <c r="N25" i="2" s="1"/>
  <c r="S24" i="2"/>
  <c r="L24" i="2" s="1"/>
  <c r="N24" i="2" s="1"/>
  <c r="S10" i="2"/>
  <c r="L10" i="2" s="1"/>
  <c r="N10" i="2" s="1"/>
  <c r="L9" i="2"/>
  <c r="N9" i="2" s="1"/>
  <c r="S15" i="2"/>
  <c r="L15" i="2" s="1"/>
  <c r="N15" i="2" s="1"/>
  <c r="S29" i="2"/>
  <c r="L29" i="2" s="1"/>
  <c r="N29" i="2" s="1"/>
  <c r="S6" i="2"/>
  <c r="L6" i="2" s="1"/>
  <c r="N6" i="2" s="1"/>
  <c r="S22" i="2"/>
  <c r="L22" i="2" s="1"/>
  <c r="N22" i="2" s="1"/>
  <c r="S10" i="1"/>
  <c r="T10" i="1" s="1"/>
  <c r="L10" i="1" s="1"/>
  <c r="N10" i="1" s="1"/>
  <c r="O10" i="1" s="1"/>
  <c r="S7" i="2"/>
  <c r="L7" i="2" s="1"/>
  <c r="N7" i="2" s="1"/>
  <c r="S2" i="2"/>
  <c r="L2" i="2" s="1"/>
  <c r="N2" i="2" s="1"/>
  <c r="S26" i="2"/>
  <c r="L26" i="2" s="1"/>
  <c r="N26" i="2" s="1"/>
  <c r="S3" i="2"/>
  <c r="L3" i="2" s="1"/>
  <c r="N3" i="2" s="1"/>
  <c r="S16" i="2"/>
  <c r="L16" i="2" s="1"/>
  <c r="N16" i="2" s="1"/>
  <c r="S18" i="2"/>
  <c r="L18" i="2" s="1"/>
  <c r="N18" i="2" s="1"/>
  <c r="S17" i="2"/>
  <c r="L17" i="2" s="1"/>
  <c r="N17" i="2" s="1"/>
  <c r="S27" i="2"/>
  <c r="L27" i="2" s="1"/>
  <c r="N27" i="2" s="1"/>
  <c r="S14" i="2"/>
  <c r="L14" i="2" s="1"/>
  <c r="N14" i="2" s="1"/>
  <c r="S8" i="2"/>
  <c r="L8" i="2" s="1"/>
  <c r="N8" i="2" s="1"/>
  <c r="S13" i="2"/>
  <c r="L13" i="2" s="1"/>
  <c r="N13" i="2" s="1"/>
  <c r="S20" i="2"/>
  <c r="L20" i="2" s="1"/>
  <c r="N20" i="2" s="1"/>
  <c r="S5" i="2"/>
  <c r="L5" i="2" s="1"/>
  <c r="N5" i="2" s="1"/>
  <c r="S11" i="2"/>
  <c r="L11" i="2" s="1"/>
  <c r="N11" i="2" s="1"/>
  <c r="S12" i="2"/>
  <c r="L12" i="2" s="1"/>
  <c r="N12" i="2" s="1"/>
  <c r="S11" i="1"/>
  <c r="R11" i="1"/>
  <c r="S19" i="1"/>
  <c r="R19" i="1"/>
  <c r="S22" i="1"/>
  <c r="R22" i="1"/>
  <c r="S23" i="1"/>
  <c r="R23" i="1"/>
  <c r="S7" i="1"/>
  <c r="R7" i="1"/>
  <c r="R15" i="1"/>
  <c r="S15" i="1"/>
  <c r="R6" i="1"/>
  <c r="S6" i="1"/>
  <c r="S8" i="1"/>
  <c r="R8" i="1"/>
  <c r="R18" i="1"/>
  <c r="S18" i="1"/>
  <c r="R16" i="1"/>
  <c r="S16" i="1"/>
  <c r="S20" i="1"/>
  <c r="R20" i="1"/>
  <c r="S21" i="1"/>
  <c r="R21" i="1"/>
  <c r="S5" i="1"/>
  <c r="R5" i="1"/>
  <c r="S12" i="1"/>
  <c r="R12" i="1"/>
  <c r="S2" i="1"/>
  <c r="R3" i="1"/>
  <c r="S3" i="1"/>
  <c r="S13" i="1"/>
  <c r="R13" i="1"/>
  <c r="S4" i="1"/>
  <c r="R4" i="1"/>
  <c r="S17" i="1"/>
  <c r="R17" i="1"/>
  <c r="S14" i="1"/>
  <c r="R14" i="1"/>
  <c r="T22" i="1" l="1"/>
  <c r="L22" i="1" s="1"/>
  <c r="N22" i="1" s="1"/>
  <c r="O22" i="1" s="1"/>
  <c r="T8" i="1"/>
  <c r="L8" i="1" s="1"/>
  <c r="N8" i="1" s="1"/>
  <c r="O8" i="1" s="1"/>
  <c r="T19" i="1"/>
  <c r="L19" i="1" s="1"/>
  <c r="N19" i="1" s="1"/>
  <c r="O19" i="1" s="1"/>
  <c r="T17" i="1"/>
  <c r="L17" i="1" s="1"/>
  <c r="N17" i="1" s="1"/>
  <c r="O17" i="1" s="1"/>
  <c r="T14" i="1"/>
  <c r="L14" i="1" s="1"/>
  <c r="N14" i="1" s="1"/>
  <c r="O14" i="1" s="1"/>
  <c r="T4" i="1"/>
  <c r="L4" i="1" s="1"/>
  <c r="N4" i="1" s="1"/>
  <c r="O4" i="1" s="1"/>
  <c r="T12" i="1"/>
  <c r="L12" i="1" s="1"/>
  <c r="N12" i="1" s="1"/>
  <c r="O12" i="1" s="1"/>
  <c r="T21" i="1"/>
  <c r="L21" i="1" s="1"/>
  <c r="N21" i="1" s="1"/>
  <c r="O21" i="1" s="1"/>
  <c r="T13" i="1"/>
  <c r="L13" i="1" s="1"/>
  <c r="N13" i="1" s="1"/>
  <c r="O13" i="1" s="1"/>
  <c r="T2" i="1"/>
  <c r="L2" i="1" s="1"/>
  <c r="N2" i="1" s="1"/>
  <c r="O2" i="1" s="1"/>
  <c r="T5" i="1"/>
  <c r="L5" i="1" s="1"/>
  <c r="N5" i="1" s="1"/>
  <c r="O5" i="1" s="1"/>
  <c r="T20" i="1"/>
  <c r="L20" i="1" s="1"/>
  <c r="N20" i="1" s="1"/>
  <c r="O20" i="1" s="1"/>
  <c r="T23" i="1"/>
  <c r="L23" i="1" s="1"/>
  <c r="N23" i="1" s="1"/>
  <c r="O23" i="1" s="1"/>
  <c r="T18" i="1"/>
  <c r="L18" i="1" s="1"/>
  <c r="N18" i="1" s="1"/>
  <c r="O18" i="1" s="1"/>
  <c r="T15" i="1"/>
  <c r="L15" i="1" s="1"/>
  <c r="N15" i="1" s="1"/>
  <c r="O15" i="1" s="1"/>
  <c r="T7" i="1"/>
  <c r="L7" i="1" s="1"/>
  <c r="N7" i="1" s="1"/>
  <c r="O7" i="1" s="1"/>
  <c r="T3" i="1"/>
  <c r="L3" i="1" s="1"/>
  <c r="N3" i="1" s="1"/>
  <c r="O3" i="1" s="1"/>
  <c r="T16" i="1"/>
  <c r="L16" i="1" s="1"/>
  <c r="N16" i="1" s="1"/>
  <c r="O16" i="1" s="1"/>
  <c r="T6" i="1"/>
  <c r="L6" i="1" s="1"/>
  <c r="N6" i="1" s="1"/>
  <c r="O6" i="1" s="1"/>
  <c r="T11" i="1"/>
  <c r="L11" i="1" s="1"/>
  <c r="N11" i="1" s="1"/>
  <c r="O11" i="1" s="1"/>
</calcChain>
</file>

<file path=xl/sharedStrings.xml><?xml version="1.0" encoding="utf-8"?>
<sst xmlns="http://schemas.openxmlformats.org/spreadsheetml/2006/main" count="539" uniqueCount="165">
  <si>
    <t>ネコ</t>
    <phoneticPr fontId="1"/>
  </si>
  <si>
    <t>付加</t>
    <rPh sb="0" eb="2">
      <t>フカ</t>
    </rPh>
    <phoneticPr fontId="1"/>
  </si>
  <si>
    <t>肉
質</t>
    <rPh sb="0" eb="1">
      <t>ニク</t>
    </rPh>
    <rPh sb="2" eb="3">
      <t>シツ</t>
    </rPh>
    <phoneticPr fontId="1"/>
  </si>
  <si>
    <t>切</t>
    <rPh sb="0" eb="1">
      <t>キ</t>
    </rPh>
    <phoneticPr fontId="1"/>
  </si>
  <si>
    <t>打</t>
    <rPh sb="0" eb="1">
      <t>ダ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</si>
  <si>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</si>
  <si>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</si>
  <si>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氷</t>
    <rPh sb="0" eb="1">
      <t>コオリ</t>
    </rPh>
    <phoneticPr fontId="1"/>
  </si>
  <si>
    <t>雷</t>
    <rPh sb="0" eb="1">
      <t>カミナリ</t>
    </rPh>
    <phoneticPr fontId="1"/>
  </si>
  <si>
    <t>龍</t>
    <rPh sb="0" eb="1">
      <t>リュウ</t>
    </rPh>
    <phoneticPr fontId="1"/>
  </si>
  <si>
    <t>全体防御率</t>
    <phoneticPr fontId="1"/>
  </si>
  <si>
    <t>白疾風Sネコ手裏剣</t>
  </si>
  <si>
    <t>猛ラギアネコアンカー</t>
  </si>
  <si>
    <t>THEヴィーナス</t>
  </si>
  <si>
    <t>猛アグナネコランス</t>
  </si>
  <si>
    <t>大雪主Sネコステッキ</t>
  </si>
  <si>
    <t>黒炎王Sネコブレイド</t>
  </si>
  <si>
    <t>凶ネコ刀【鰯雲】</t>
  </si>
  <si>
    <t>猛ハプルネコ銃槌</t>
  </si>
  <si>
    <t>隻眼Sネコ団扇</t>
  </si>
  <si>
    <t>ニャイトソード</t>
  </si>
  <si>
    <t>マスターネコブレイド</t>
  </si>
  <si>
    <t>エスカドネコサイス</t>
  </si>
  <si>
    <t>猛レギオスネコシクリ</t>
  </si>
  <si>
    <t>猛サボアネコハンド</t>
  </si>
  <si>
    <t>猛ゼクスネコスピア</t>
  </si>
  <si>
    <t>猛ランタンofキャット</t>
  </si>
  <si>
    <t>猛灼熱のブレイニャー</t>
  </si>
  <si>
    <t>燼滅剣ニャーレー</t>
  </si>
  <si>
    <t>猛ガルルガネコ羽扇</t>
  </si>
  <si>
    <t>猛ガララネコブーンギ</t>
  </si>
  <si>
    <t>ガララＳネコブーンギ</t>
  </si>
  <si>
    <t>攻撃</t>
    <rPh sb="0" eb="2">
      <t>コウゲキ</t>
    </rPh>
    <phoneticPr fontId="1"/>
  </si>
  <si>
    <t>会心</t>
    <rPh sb="0" eb="2">
      <t>カイシン</t>
    </rPh>
    <phoneticPr fontId="1"/>
  </si>
  <si>
    <t>斬</t>
    <rPh sb="0" eb="1">
      <t>キ</t>
    </rPh>
    <phoneticPr fontId="1"/>
  </si>
  <si>
    <t>斬</t>
    <rPh sb="0" eb="1">
      <t>ザン</t>
    </rPh>
    <phoneticPr fontId="1"/>
  </si>
  <si>
    <t>白</t>
  </si>
  <si>
    <t>青</t>
  </si>
  <si>
    <t>溜め</t>
    <rPh sb="0" eb="1">
      <t>タ</t>
    </rPh>
    <phoneticPr fontId="1"/>
  </si>
  <si>
    <t>あり</t>
  </si>
  <si>
    <t>背水</t>
    <rPh sb="0" eb="2">
      <t>ハイスイ</t>
    </rPh>
    <phoneticPr fontId="1"/>
  </si>
  <si>
    <t>ファナリス</t>
    <phoneticPr fontId="1"/>
  </si>
  <si>
    <t>地上最強</t>
    <rPh sb="0" eb="2">
      <t>チジョウ</t>
    </rPh>
    <rPh sb="2" eb="4">
      <t>サイキョウ</t>
    </rPh>
    <phoneticPr fontId="1"/>
  </si>
  <si>
    <t>なし</t>
  </si>
  <si>
    <t>会心大</t>
    <rPh sb="0" eb="2">
      <t>カイシン</t>
    </rPh>
    <rPh sb="2" eb="3">
      <t>ダイ</t>
    </rPh>
    <phoneticPr fontId="1"/>
  </si>
  <si>
    <t>メガフorトラ</t>
    <phoneticPr fontId="1"/>
  </si>
  <si>
    <t>会心小</t>
    <rPh sb="0" eb="2">
      <t>カイシン</t>
    </rPh>
    <rPh sb="2" eb="3">
      <t>ショウ</t>
    </rPh>
    <phoneticPr fontId="1"/>
  </si>
  <si>
    <t>遠隔強化</t>
    <rPh sb="0" eb="2">
      <t>エンカク</t>
    </rPh>
    <rPh sb="2" eb="4">
      <t>キョウカ</t>
    </rPh>
    <phoneticPr fontId="1"/>
  </si>
  <si>
    <t>匠</t>
    <rPh sb="0" eb="1">
      <t>タクミ</t>
    </rPh>
    <phoneticPr fontId="1"/>
  </si>
  <si>
    <t>属</t>
    <rPh sb="0" eb="1">
      <t>ゾク</t>
    </rPh>
    <phoneticPr fontId="1"/>
  </si>
  <si>
    <t>投擲術</t>
    <rPh sb="0" eb="2">
      <t>トウテキ</t>
    </rPh>
    <rPh sb="2" eb="3">
      <t>ジュツ</t>
    </rPh>
    <phoneticPr fontId="1"/>
  </si>
  <si>
    <t>攻撃食事</t>
    <rPh sb="0" eb="2">
      <t>コウゲキ</t>
    </rPh>
    <rPh sb="2" eb="4">
      <t>ショクジ</t>
    </rPh>
    <phoneticPr fontId="1"/>
  </si>
  <si>
    <t>金狼牙ネコ剣【猫雷】</t>
  </si>
  <si>
    <t>猛レウスネコブレイド</t>
  </si>
  <si>
    <t>矛砕Sネコバサミ</t>
  </si>
  <si>
    <t>猛ミツネネコ華傘</t>
  </si>
  <si>
    <t>極星剣ニャゴン</t>
  </si>
  <si>
    <t>猛巨ネコ杖</t>
  </si>
  <si>
    <t>ワンドSネコ=ダオラ</t>
    <phoneticPr fontId="1"/>
  </si>
  <si>
    <t>猛王ネコ剣ゴロゴロ</t>
  </si>
  <si>
    <t>北辰納豆流ニャン蛮刀</t>
  </si>
  <si>
    <t>猛ギザミネコカッター</t>
  </si>
  <si>
    <t>神ネコ剣【猫光】</t>
    <rPh sb="0" eb="1">
      <t>カミ</t>
    </rPh>
    <rPh sb="3" eb="4">
      <t>ケン</t>
    </rPh>
    <rPh sb="5" eb="6">
      <t>ネコ</t>
    </rPh>
    <rPh sb="6" eb="7">
      <t>ヒカリ</t>
    </rPh>
    <phoneticPr fontId="1"/>
  </si>
  <si>
    <t>猛レックスネコ轟槌</t>
  </si>
  <si>
    <t>荒鉤爪Sネコ轟鎚</t>
  </si>
  <si>
    <t>ブレイブSネコランス</t>
  </si>
  <si>
    <t>猛アグナネコランス</t>
    <phoneticPr fontId="1"/>
  </si>
  <si>
    <t>猛バンギスネコ暴鎚</t>
    <rPh sb="0" eb="1">
      <t>モウ</t>
    </rPh>
    <rPh sb="7" eb="8">
      <t>ボウ</t>
    </rPh>
    <rPh sb="8" eb="9">
      <t>ツチ</t>
    </rPh>
    <phoneticPr fontId="1"/>
  </si>
  <si>
    <t>猛金色ネコノカラクリ</t>
    <rPh sb="0" eb="1">
      <t>モウ</t>
    </rPh>
    <rPh sb="1" eb="3">
      <t>キンイロ</t>
    </rPh>
    <phoneticPr fontId="1"/>
  </si>
  <si>
    <t>青</t>
    <phoneticPr fontId="1"/>
  </si>
  <si>
    <t>踏み込み振り</t>
    <phoneticPr fontId="1"/>
  </si>
  <si>
    <t>回転振り</t>
    <phoneticPr fontId="1"/>
  </si>
  <si>
    <t>叩きつけ</t>
    <phoneticPr fontId="1"/>
  </si>
  <si>
    <t>雷24</t>
    <phoneticPr fontId="1"/>
  </si>
  <si>
    <t>火32</t>
    <phoneticPr fontId="1"/>
  </si>
  <si>
    <t>火36</t>
    <phoneticPr fontId="1"/>
  </si>
  <si>
    <t>雷26</t>
    <phoneticPr fontId="1"/>
  </si>
  <si>
    <t>龍26</t>
    <phoneticPr fontId="1"/>
  </si>
  <si>
    <t>水15</t>
    <phoneticPr fontId="1"/>
  </si>
  <si>
    <t>水36</t>
    <phoneticPr fontId="1"/>
  </si>
  <si>
    <t>龍20</t>
    <phoneticPr fontId="1"/>
  </si>
  <si>
    <t>氷22</t>
    <phoneticPr fontId="1"/>
  </si>
  <si>
    <t>水30</t>
    <phoneticPr fontId="1"/>
  </si>
  <si>
    <t>氷28</t>
    <phoneticPr fontId="1"/>
  </si>
  <si>
    <t>雷16</t>
    <phoneticPr fontId="1"/>
  </si>
  <si>
    <t>龍16</t>
    <phoneticPr fontId="1"/>
  </si>
  <si>
    <t>水26</t>
    <phoneticPr fontId="1"/>
  </si>
  <si>
    <t>龍16</t>
    <phoneticPr fontId="1"/>
  </si>
  <si>
    <t>火8</t>
    <phoneticPr fontId="1"/>
  </si>
  <si>
    <t>雷40</t>
    <phoneticPr fontId="1"/>
  </si>
  <si>
    <t>火30</t>
    <phoneticPr fontId="1"/>
  </si>
  <si>
    <t>龍16</t>
    <phoneticPr fontId="1"/>
  </si>
  <si>
    <t>雷16</t>
    <phoneticPr fontId="1"/>
  </si>
  <si>
    <t>爆26</t>
    <rPh sb="0" eb="1">
      <t>バク</t>
    </rPh>
    <phoneticPr fontId="1"/>
  </si>
  <si>
    <t>毒20</t>
    <rPh sb="0" eb="1">
      <t>ドク</t>
    </rPh>
    <phoneticPr fontId="1"/>
  </si>
  <si>
    <t>火24</t>
    <phoneticPr fontId="1"/>
  </si>
  <si>
    <t>龍24</t>
    <phoneticPr fontId="1"/>
  </si>
  <si>
    <t>火26</t>
    <phoneticPr fontId="1"/>
  </si>
  <si>
    <t>龍20</t>
    <phoneticPr fontId="1"/>
  </si>
  <si>
    <t>龍16</t>
    <phoneticPr fontId="1"/>
  </si>
  <si>
    <t>雷26</t>
    <phoneticPr fontId="1"/>
  </si>
  <si>
    <t>龍10</t>
    <phoneticPr fontId="1"/>
  </si>
  <si>
    <t>火8</t>
    <phoneticPr fontId="1"/>
  </si>
  <si>
    <t>水22</t>
    <phoneticPr fontId="1"/>
  </si>
  <si>
    <t>氷32</t>
    <phoneticPr fontId="1"/>
  </si>
  <si>
    <t>麻8</t>
    <rPh sb="0" eb="1">
      <t>マ</t>
    </rPh>
    <phoneticPr fontId="1"/>
  </si>
  <si>
    <t>麻6</t>
    <rPh sb="0" eb="1">
      <t>マ</t>
    </rPh>
    <phoneticPr fontId="1"/>
  </si>
  <si>
    <t>毒20</t>
    <rPh sb="0" eb="1">
      <t>ドク</t>
    </rPh>
    <phoneticPr fontId="1"/>
  </si>
  <si>
    <t>爆15</t>
    <rPh sb="0" eb="1">
      <t>バク</t>
    </rPh>
    <phoneticPr fontId="1"/>
  </si>
  <si>
    <t>毒18</t>
    <rPh sb="0" eb="1">
      <t>ドク</t>
    </rPh>
    <phoneticPr fontId="1"/>
  </si>
  <si>
    <t>系
統</t>
    <rPh sb="0" eb="1">
      <t>ケイ</t>
    </rPh>
    <rPh sb="2" eb="3">
      <t>トウ</t>
    </rPh>
    <phoneticPr fontId="1"/>
  </si>
  <si>
    <t>攻
撃
力</t>
    <rPh sb="0" eb="1">
      <t>コウ</t>
    </rPh>
    <rPh sb="2" eb="3">
      <t>ゲキ</t>
    </rPh>
    <rPh sb="4" eb="5">
      <t>リョク</t>
    </rPh>
    <phoneticPr fontId="1"/>
  </si>
  <si>
    <t>会
心</t>
    <rPh sb="0" eb="1">
      <t>カイ</t>
    </rPh>
    <rPh sb="2" eb="3">
      <t>ココロ</t>
    </rPh>
    <phoneticPr fontId="1"/>
  </si>
  <si>
    <t>属
性</t>
    <rPh sb="0" eb="1">
      <t>ゾク</t>
    </rPh>
    <rPh sb="2" eb="3">
      <t>セイ</t>
    </rPh>
    <phoneticPr fontId="1"/>
  </si>
  <si>
    <t>斬
れ
味</t>
    <rPh sb="0" eb="1">
      <t>キ</t>
    </rPh>
    <rPh sb="4" eb="5">
      <t>アジ</t>
    </rPh>
    <phoneticPr fontId="1"/>
  </si>
  <si>
    <t>物
理</t>
    <rPh sb="0" eb="1">
      <t>モノ</t>
    </rPh>
    <rPh sb="2" eb="3">
      <t>リ</t>
    </rPh>
    <phoneticPr fontId="1"/>
  </si>
  <si>
    <t>合
計</t>
    <rPh sb="0" eb="1">
      <t>ゴウ</t>
    </rPh>
    <rPh sb="2" eb="3">
      <t>ケイ</t>
    </rPh>
    <phoneticPr fontId="1"/>
  </si>
  <si>
    <t>物理</t>
    <rPh sb="0" eb="1">
      <t>モノ</t>
    </rPh>
    <rPh sb="1" eb="2">
      <t>リ</t>
    </rPh>
    <phoneticPr fontId="1"/>
  </si>
  <si>
    <t>属性</t>
    <rPh sb="0" eb="1">
      <t>ゾク</t>
    </rPh>
    <rPh sb="1" eb="2">
      <t>セイ</t>
    </rPh>
    <phoneticPr fontId="1"/>
  </si>
  <si>
    <t>モーション</t>
    <phoneticPr fontId="1"/>
  </si>
  <si>
    <t>モーション</t>
    <phoneticPr fontId="1"/>
  </si>
  <si>
    <t>巨大ブーメランの技</t>
    <rPh sb="0" eb="2">
      <t>キョダイ</t>
    </rPh>
    <rPh sb="8" eb="9">
      <t>ワザ</t>
    </rPh>
    <phoneticPr fontId="1"/>
  </si>
  <si>
    <t>貫通ブーメランの技</t>
    <rPh sb="0" eb="2">
      <t>カンツウ</t>
    </rPh>
    <rPh sb="8" eb="9">
      <t>ワザ</t>
    </rPh>
    <phoneticPr fontId="1"/>
  </si>
  <si>
    <t>青</t>
    <phoneticPr fontId="1"/>
  </si>
  <si>
    <t>武器強化</t>
    <rPh sb="0" eb="2">
      <t>ブキ</t>
    </rPh>
    <rPh sb="2" eb="4">
      <t>キョウカ</t>
    </rPh>
    <phoneticPr fontId="1"/>
  </si>
  <si>
    <t>サポート優先</t>
    <rPh sb="4" eb="6">
      <t>ユウセン</t>
    </rPh>
    <phoneticPr fontId="1"/>
  </si>
  <si>
    <t>近
・
攻</t>
    <rPh sb="0" eb="1">
      <t>キン</t>
    </rPh>
    <rPh sb="4" eb="5">
      <t>コウ</t>
    </rPh>
    <phoneticPr fontId="1"/>
  </si>
  <si>
    <t xml:space="preserve">近
・
会
</t>
    <rPh sb="0" eb="1">
      <t>キン</t>
    </rPh>
    <rPh sb="4" eb="5">
      <t>カイ</t>
    </rPh>
    <phoneticPr fontId="1"/>
  </si>
  <si>
    <t>遠
・
攻</t>
    <rPh sb="0" eb="1">
      <t>エン</t>
    </rPh>
    <rPh sb="4" eb="5">
      <t>コウ</t>
    </rPh>
    <phoneticPr fontId="1"/>
  </si>
  <si>
    <t xml:space="preserve">遠
・
会
</t>
    <rPh sb="0" eb="1">
      <t>エン</t>
    </rPh>
    <rPh sb="4" eb="5">
      <t>カイ</t>
    </rPh>
    <phoneticPr fontId="1"/>
  </si>
  <si>
    <t>遠
・
属</t>
    <rPh sb="0" eb="1">
      <t>エン</t>
    </rPh>
    <rPh sb="4" eb="5">
      <t>ゾク</t>
    </rPh>
    <phoneticPr fontId="1"/>
  </si>
  <si>
    <t>近
・
属</t>
    <rPh sb="0" eb="1">
      <t>キン</t>
    </rPh>
    <rPh sb="4" eb="5">
      <t>ゾク</t>
    </rPh>
    <phoneticPr fontId="1"/>
  </si>
  <si>
    <t>龍14</t>
    <rPh sb="0" eb="1">
      <t>リュウ</t>
    </rPh>
    <phoneticPr fontId="1"/>
  </si>
  <si>
    <t>雷16</t>
    <phoneticPr fontId="1"/>
  </si>
  <si>
    <t>火30</t>
    <rPh sb="0" eb="1">
      <t>ヒ</t>
    </rPh>
    <phoneticPr fontId="1"/>
  </si>
  <si>
    <t>氷26</t>
    <rPh sb="0" eb="1">
      <t>コオリ</t>
    </rPh>
    <phoneticPr fontId="1"/>
  </si>
  <si>
    <t>火32</t>
    <phoneticPr fontId="1"/>
  </si>
  <si>
    <t>青</t>
    <phoneticPr fontId="1"/>
  </si>
  <si>
    <t>青</t>
    <phoneticPr fontId="1"/>
  </si>
  <si>
    <t>氷6</t>
    <rPh sb="0" eb="1">
      <t>コオリ</t>
    </rPh>
    <phoneticPr fontId="1"/>
  </si>
  <si>
    <t>雷6</t>
    <rPh sb="0" eb="1">
      <t>カミナリ</t>
    </rPh>
    <phoneticPr fontId="1"/>
  </si>
  <si>
    <t>火12</t>
    <rPh sb="0" eb="1">
      <t>ヒ</t>
    </rPh>
    <phoneticPr fontId="1"/>
  </si>
  <si>
    <t>水18</t>
    <rPh sb="0" eb="1">
      <t>ミズ</t>
    </rPh>
    <phoneticPr fontId="1"/>
  </si>
  <si>
    <t>水16</t>
    <rPh sb="0" eb="1">
      <t>ミズ</t>
    </rPh>
    <phoneticPr fontId="1"/>
  </si>
  <si>
    <t>氷32</t>
    <rPh sb="0" eb="1">
      <t>コオリ</t>
    </rPh>
    <phoneticPr fontId="1"/>
  </si>
  <si>
    <t>水10</t>
    <rPh sb="0" eb="1">
      <t>ミズ</t>
    </rPh>
    <phoneticPr fontId="1"/>
  </si>
  <si>
    <t>雷12</t>
    <rPh sb="0" eb="1">
      <t>カミナリ</t>
    </rPh>
    <phoneticPr fontId="1"/>
  </si>
  <si>
    <t>龍16</t>
    <phoneticPr fontId="1"/>
  </si>
  <si>
    <t>氷16</t>
    <rPh sb="0" eb="1">
      <t>コオリ</t>
    </rPh>
    <phoneticPr fontId="1"/>
  </si>
  <si>
    <t>雷20</t>
    <rPh sb="0" eb="1">
      <t>カミナリ</t>
    </rPh>
    <phoneticPr fontId="1"/>
  </si>
  <si>
    <t>麻14</t>
    <rPh sb="0" eb="1">
      <t>マ</t>
    </rPh>
    <phoneticPr fontId="1"/>
  </si>
  <si>
    <t xml:space="preserve">近
・
物
</t>
    <rPh sb="0" eb="1">
      <t>キン</t>
    </rPh>
    <rPh sb="4" eb="5">
      <t>モノ</t>
    </rPh>
    <phoneticPr fontId="1"/>
  </si>
  <si>
    <t xml:space="preserve">遠
・
物
</t>
    <rPh sb="0" eb="1">
      <t>エン</t>
    </rPh>
    <rPh sb="4" eb="5">
      <t>モノ</t>
    </rPh>
    <phoneticPr fontId="1"/>
  </si>
  <si>
    <t>巨大</t>
    <rPh sb="0" eb="2">
      <t>キョダイ</t>
    </rPh>
    <phoneticPr fontId="1"/>
  </si>
  <si>
    <t>貫通</t>
    <rPh sb="0" eb="2">
      <t>カンツウ</t>
    </rPh>
    <phoneticPr fontId="1"/>
  </si>
  <si>
    <t>R
+
X</t>
    <phoneticPr fontId="1"/>
  </si>
  <si>
    <t>2
連
投</t>
    <rPh sb="2" eb="3">
      <t>レン</t>
    </rPh>
    <rPh sb="4" eb="5">
      <t>トウ</t>
    </rPh>
    <phoneticPr fontId="1"/>
  </si>
  <si>
    <t>連
撃
合
計</t>
    <rPh sb="0" eb="1">
      <t>レン</t>
    </rPh>
    <rPh sb="2" eb="3">
      <t>ゲキ</t>
    </rPh>
    <rPh sb="4" eb="5">
      <t>ゴウ</t>
    </rPh>
    <rPh sb="6" eb="7">
      <t>ケイ</t>
    </rPh>
    <phoneticPr fontId="1"/>
  </si>
  <si>
    <t>鼓舞</t>
    <rPh sb="0" eb="2">
      <t>コブ</t>
    </rPh>
    <phoneticPr fontId="1"/>
  </si>
  <si>
    <t>黒マジニャンの杖</t>
    <rPh sb="0" eb="1">
      <t>クロ</t>
    </rPh>
    <rPh sb="7" eb="8">
      <t>ツエ</t>
    </rPh>
    <phoneticPr fontId="1"/>
  </si>
  <si>
    <t>打</t>
    <rPh sb="0" eb="1">
      <t>ダ</t>
    </rPh>
    <phoneticPr fontId="1"/>
  </si>
  <si>
    <t>青</t>
    <phoneticPr fontId="1"/>
  </si>
  <si>
    <t>龍26</t>
    <rPh sb="0" eb="1">
      <t>リュウ</t>
    </rPh>
    <phoneticPr fontId="1"/>
  </si>
  <si>
    <t>龍20</t>
    <rPh sb="0" eb="1">
      <t>リュウ</t>
    </rPh>
    <phoneticPr fontId="1"/>
  </si>
  <si>
    <t>龍26</t>
    <rPh sb="0" eb="1">
      <t>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</si>
</sst>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7" fillId="0" borderId="3" xfId="0" applyFont="1" applyBorder="1">
      <alignment vertical="center"/>
    </xf>
    <xf numFmtId="176" fontId="7" fillId="0" borderId="3" xfId="0" applyNumberFormat="1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top" wrapText="1"/>
    </xf>
    <xf numFmtId="177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176" fontId="7" fillId="0" borderId="3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workbookViewId="0">
      <selection sqref="A1:E1"/>
    </sheetView>
  </sheetViews>
  <sheetFormatPr defaultRowHeight="13.2"/>
  <cols>
    <col min="1" max="1" width="2.88671875" customWidth="1"/>
    <col min="2" max="2" width="3.5546875" bestFit="1" customWidth="1"/>
    <col min="3" max="3" width="4.5546875" style="12" bestFit="1" customWidth="1"/>
    <col min="4" max="4" width="4.5546875" style="12" customWidth="1"/>
    <col min="5" max="5" width="8.88671875" style="14"/>
    <col min="6" max="6" width="20.88671875" bestFit="1" customWidth="1"/>
    <col min="7" max="7" width="3" customWidth="1"/>
    <col min="8" max="8" width="4" customWidth="1"/>
    <col min="9" max="9" width="4.21875" customWidth="1"/>
    <col min="10" max="10" width="3.109375" customWidth="1"/>
    <col min="11" max="11" width="5.44140625" style="12" customWidth="1"/>
    <col min="12" max="12" width="6.77734375" customWidth="1"/>
    <col min="13" max="13" width="4.21875" customWidth="1"/>
    <col min="14" max="14" width="7" customWidth="1"/>
    <col min="15" max="15" width="6.88671875" customWidth="1"/>
    <col min="17" max="18" width="3.109375" customWidth="1"/>
    <col min="19" max="19" width="4.109375" customWidth="1"/>
    <col min="20" max="20" width="3.109375" customWidth="1"/>
    <col min="21" max="21" width="3.5546875" bestFit="1" customWidth="1"/>
    <col min="22" max="27" width="5.44140625" style="15" customWidth="1"/>
    <col min="28" max="28" width="5.44140625" style="33" customWidth="1"/>
    <col min="29" max="29" width="5.44140625" style="15" customWidth="1"/>
    <col min="30" max="30" width="5.44140625" style="22" customWidth="1"/>
  </cols>
  <sheetData>
    <row r="1" spans="1:38" ht="57" customHeight="1">
      <c r="A1" s="120"/>
      <c r="B1" s="120"/>
      <c r="C1" s="120"/>
      <c r="D1" s="120"/>
      <c r="E1" s="121"/>
      <c r="F1" s="42"/>
      <c r="G1" s="37" t="s">
        <v>110</v>
      </c>
      <c r="H1" s="37" t="s">
        <v>111</v>
      </c>
      <c r="I1" s="37" t="s">
        <v>112</v>
      </c>
      <c r="J1" s="38" t="s">
        <v>114</v>
      </c>
      <c r="K1" s="37" t="s">
        <v>113</v>
      </c>
      <c r="L1" s="39" t="s">
        <v>115</v>
      </c>
      <c r="M1" s="39" t="s">
        <v>113</v>
      </c>
      <c r="N1" s="39" t="s">
        <v>116</v>
      </c>
      <c r="O1" s="73"/>
      <c r="Q1" s="100" t="s">
        <v>115</v>
      </c>
      <c r="R1" s="101"/>
      <c r="S1" s="102"/>
      <c r="T1" s="106" t="s">
        <v>113</v>
      </c>
      <c r="U1" s="107"/>
      <c r="V1" s="19" t="s">
        <v>32</v>
      </c>
      <c r="W1" s="19" t="s">
        <v>32</v>
      </c>
      <c r="X1" s="19" t="s">
        <v>33</v>
      </c>
      <c r="Y1" s="19" t="s">
        <v>34</v>
      </c>
      <c r="Z1" s="20"/>
      <c r="AA1" s="20"/>
      <c r="AB1" s="20" t="s">
        <v>49</v>
      </c>
      <c r="AC1" s="20" t="s">
        <v>49</v>
      </c>
      <c r="AE1" s="22"/>
      <c r="AF1" s="22"/>
      <c r="AG1" s="22"/>
      <c r="AH1" s="22"/>
      <c r="AI1" s="22"/>
      <c r="AJ1" s="22"/>
      <c r="AK1" s="22"/>
      <c r="AL1" s="22"/>
    </row>
    <row r="2" spans="1:38">
      <c r="A2" s="88" t="s">
        <v>0</v>
      </c>
      <c r="B2" s="90"/>
      <c r="C2" s="70">
        <v>120</v>
      </c>
      <c r="D2" s="13"/>
      <c r="F2" s="8" t="s">
        <v>52</v>
      </c>
      <c r="G2" s="23" t="s">
        <v>35</v>
      </c>
      <c r="H2" s="8">
        <v>175</v>
      </c>
      <c r="I2" s="8">
        <v>0</v>
      </c>
      <c r="J2" s="11" t="s">
        <v>37</v>
      </c>
      <c r="K2" s="30" t="s">
        <v>73</v>
      </c>
      <c r="L2" s="27">
        <f t="shared" ref="L2:L29" si="0">S2</f>
        <v>104.80000000000001</v>
      </c>
      <c r="M2" s="26">
        <f t="shared" ref="M2:M29" si="1">U2</f>
        <v>12</v>
      </c>
      <c r="N2" s="27">
        <f t="shared" ref="N2:N29" si="2">L2+M2</f>
        <v>116.80000000000001</v>
      </c>
      <c r="O2" s="78"/>
      <c r="Q2" s="21">
        <f>INT($W2*14/100*$C$4/100*$C$11/100*$Z2)*(100-$X2)/100+INT($W2*14/100*$C$4/100*$C$11/100*$Z2*1.25)*$X2/100</f>
        <v>33.200000000000003</v>
      </c>
      <c r="R2" s="21">
        <f>INT($W2*16/100*$C$4/100*$C$11/100*$Z2)*(100-$X2)/100+INT($W2*16/100*$C$4/100*$C$11/100*$Z2*1.25)*$X2/100</f>
        <v>38.4</v>
      </c>
      <c r="S2" s="21">
        <f t="shared" ref="S2:S29" si="3">Q2*2+R2</f>
        <v>104.80000000000001</v>
      </c>
      <c r="T2" s="21">
        <f>INT($AC2*$C$8/100*$C$11/100*$AA2)</f>
        <v>4</v>
      </c>
      <c r="U2" s="21">
        <f t="shared" ref="U2:U29" si="4">T2*3</f>
        <v>12</v>
      </c>
      <c r="V2" s="20">
        <f t="shared" ref="V2:V29" si="5">$D$3+H2</f>
        <v>367</v>
      </c>
      <c r="W2" s="20">
        <f t="shared" ref="W2:W29" si="6">IF($D$23="あり",INT(V2*1.1),V2)</f>
        <v>367</v>
      </c>
      <c r="X2" s="20">
        <f t="shared" ref="X2:X29" si="7">I2+$E$17+$E$18+$E$22</f>
        <v>60</v>
      </c>
      <c r="Y2" s="19" t="str">
        <f t="shared" ref="Y2:Y29" si="8">IF($D$19="あり","白",J2)</f>
        <v>青</v>
      </c>
      <c r="Z2" s="19">
        <f t="shared" ref="Z2:Z29" si="9">IF(Y2="白",1.32,1.2)</f>
        <v>1.2</v>
      </c>
      <c r="AA2" s="19">
        <f t="shared" ref="AA2:AA29" si="10">IF(Y2="白",1.125,1.0625)</f>
        <v>1.0625</v>
      </c>
      <c r="AB2" s="33">
        <v>24</v>
      </c>
      <c r="AC2" s="20">
        <f>IF($D$16="あり",INT(AB2*1.1+6),AB2)</f>
        <v>24</v>
      </c>
      <c r="AE2" s="22"/>
      <c r="AF2" s="22"/>
      <c r="AG2" s="22"/>
      <c r="AH2" s="22"/>
      <c r="AI2" s="22"/>
      <c r="AJ2" s="22"/>
      <c r="AK2" s="22"/>
      <c r="AL2" s="22"/>
    </row>
    <row r="3" spans="1:38" ht="13.2" customHeight="1">
      <c r="A3" s="88" t="s">
        <v>1</v>
      </c>
      <c r="B3" s="90"/>
      <c r="C3" s="70">
        <v>15</v>
      </c>
      <c r="D3" s="18">
        <f>C2+C3+E13+E14+E15+E20+E21+E23</f>
        <v>192</v>
      </c>
      <c r="F3" s="8" t="s">
        <v>16</v>
      </c>
      <c r="G3" s="23" t="s">
        <v>35</v>
      </c>
      <c r="H3" s="8">
        <v>160</v>
      </c>
      <c r="I3" s="8">
        <v>0</v>
      </c>
      <c r="J3" s="11" t="s">
        <v>37</v>
      </c>
      <c r="K3" s="41" t="s">
        <v>74</v>
      </c>
      <c r="L3" s="27">
        <f t="shared" si="0"/>
        <v>101.2</v>
      </c>
      <c r="M3" s="26">
        <f t="shared" si="1"/>
        <v>15</v>
      </c>
      <c r="N3" s="27">
        <f t="shared" si="2"/>
        <v>116.2</v>
      </c>
      <c r="O3" s="78"/>
      <c r="Q3" s="21">
        <f>INT($W3*14/100*$C$4/100*$C$11/100*$Z3)*(100-$X3)/100+INT($W3*14/100*$C$4/100*$C$11/100*$Z3*1.25)*$X3/100</f>
        <v>32.200000000000003</v>
      </c>
      <c r="R3" s="21">
        <f>INT($W3*16/100*$C$4/100*$C$11/100*$Z3)*(100-$X3)/100+INT($W3*16/100*$C$4/100*$C$11/100*$Z3*1.25)*$X3/100</f>
        <v>36.799999999999997</v>
      </c>
      <c r="S3" s="21">
        <f t="shared" si="3"/>
        <v>101.2</v>
      </c>
      <c r="T3" s="21">
        <f>INT($AC3*$C$6/100*$C$11/100*$AA3)</f>
        <v>5</v>
      </c>
      <c r="U3" s="21">
        <f t="shared" si="4"/>
        <v>15</v>
      </c>
      <c r="V3" s="20">
        <f t="shared" si="5"/>
        <v>352</v>
      </c>
      <c r="W3" s="20">
        <f t="shared" si="6"/>
        <v>352</v>
      </c>
      <c r="X3" s="20">
        <f t="shared" si="7"/>
        <v>60</v>
      </c>
      <c r="Y3" s="19" t="str">
        <f t="shared" si="8"/>
        <v>青</v>
      </c>
      <c r="Z3" s="19">
        <f t="shared" si="9"/>
        <v>1.2</v>
      </c>
      <c r="AA3" s="19">
        <f t="shared" si="10"/>
        <v>1.0625</v>
      </c>
      <c r="AB3" s="33">
        <v>32</v>
      </c>
      <c r="AC3" s="20">
        <f>IF($D$16="あり",INT(AB3*1.1+6),AB3)</f>
        <v>32</v>
      </c>
      <c r="AE3" s="22"/>
      <c r="AF3" s="22"/>
      <c r="AG3" s="22"/>
      <c r="AH3" s="22"/>
      <c r="AI3" s="22"/>
      <c r="AJ3" s="22"/>
      <c r="AK3" s="22"/>
      <c r="AL3" s="22"/>
    </row>
    <row r="4" spans="1:38">
      <c r="A4" s="114" t="s">
        <v>2</v>
      </c>
      <c r="B4" s="7" t="s">
        <v>3</v>
      </c>
      <c r="C4" s="70">
        <v>60</v>
      </c>
      <c r="D4" s="13"/>
      <c r="F4" s="8" t="s">
        <v>54</v>
      </c>
      <c r="G4" s="23" t="s">
        <v>4</v>
      </c>
      <c r="H4" s="8">
        <v>150</v>
      </c>
      <c r="I4" s="8">
        <v>0</v>
      </c>
      <c r="J4" s="11" t="s">
        <v>36</v>
      </c>
      <c r="K4" s="31" t="s">
        <v>78</v>
      </c>
      <c r="L4" s="27">
        <f t="shared" si="0"/>
        <v>107.80000000000001</v>
      </c>
      <c r="M4" s="26">
        <f t="shared" si="1"/>
        <v>6</v>
      </c>
      <c r="N4" s="27">
        <f t="shared" si="2"/>
        <v>113.80000000000001</v>
      </c>
      <c r="O4" s="78"/>
      <c r="Q4" s="21">
        <f>INT($W4*14/100*$C$5/100*$C$11/100*$Z4)*(100-$X4)/100+INT($W4*14/100*$C$5/100*$C$11/100*$Z4*1.25)*$X4/100</f>
        <v>34.200000000000003</v>
      </c>
      <c r="R4" s="21">
        <f>INT($W4*16/100*$C$5/100*$C$11/100*$Z4)*(100-$X4)/100+INT($W4*16/100*$C$5/100*$C$11/100*$Z4*1.25)*$X4/100</f>
        <v>39.4</v>
      </c>
      <c r="S4" s="21">
        <f t="shared" si="3"/>
        <v>107.80000000000001</v>
      </c>
      <c r="T4" s="21">
        <f>INT($AC4*$C$7/100*$C$11/100*$AA4)</f>
        <v>2</v>
      </c>
      <c r="U4" s="21">
        <f t="shared" si="4"/>
        <v>6</v>
      </c>
      <c r="V4" s="20">
        <f t="shared" si="5"/>
        <v>342</v>
      </c>
      <c r="W4" s="20">
        <f t="shared" si="6"/>
        <v>342</v>
      </c>
      <c r="X4" s="20">
        <f t="shared" si="7"/>
        <v>60</v>
      </c>
      <c r="Y4" s="19" t="str">
        <f t="shared" si="8"/>
        <v>白</v>
      </c>
      <c r="Z4" s="19">
        <f t="shared" si="9"/>
        <v>1.32</v>
      </c>
      <c r="AA4" s="19">
        <f t="shared" si="10"/>
        <v>1.125</v>
      </c>
      <c r="AB4" s="33">
        <v>15</v>
      </c>
      <c r="AC4" s="20">
        <f>AB4</f>
        <v>15</v>
      </c>
      <c r="AE4" s="22"/>
      <c r="AF4" s="22"/>
      <c r="AG4" s="22"/>
      <c r="AH4" s="22"/>
      <c r="AI4" s="22"/>
      <c r="AJ4" s="22"/>
      <c r="AK4" s="22"/>
      <c r="AL4" s="22"/>
    </row>
    <row r="5" spans="1:38">
      <c r="A5" s="115"/>
      <c r="B5" s="7" t="s">
        <v>4</v>
      </c>
      <c r="C5" s="70">
        <v>60</v>
      </c>
      <c r="D5" s="13"/>
      <c r="F5" s="8" t="s">
        <v>22</v>
      </c>
      <c r="G5" s="23" t="s">
        <v>35</v>
      </c>
      <c r="H5" s="8">
        <v>160</v>
      </c>
      <c r="I5" s="8">
        <v>0</v>
      </c>
      <c r="J5" s="11" t="s">
        <v>37</v>
      </c>
      <c r="K5" s="41" t="s">
        <v>77</v>
      </c>
      <c r="L5" s="27">
        <f t="shared" si="0"/>
        <v>101.2</v>
      </c>
      <c r="M5" s="26">
        <f t="shared" si="1"/>
        <v>12</v>
      </c>
      <c r="N5" s="27">
        <f t="shared" si="2"/>
        <v>113.2</v>
      </c>
      <c r="O5" s="78"/>
      <c r="Q5" s="21">
        <f t="shared" ref="Q5:Q13" si="11">INT($W5*14/100*$C$4/100*$C$11/100*$Z5)*(100-$X5)/100+INT($W5*14/100*$C$4/100*$C$11/100*$Z5*1.25)*$X5/100</f>
        <v>32.200000000000003</v>
      </c>
      <c r="R5" s="21">
        <f t="shared" ref="R5:R13" si="12">INT($W5*16/100*$C$4/100*$C$11/100*$Z5)*(100-$X5)/100+INT($W5*16/100*$C$4/100*$C$11/100*$Z5*1.25)*$X5/100</f>
        <v>36.799999999999997</v>
      </c>
      <c r="S5" s="21">
        <f t="shared" si="3"/>
        <v>101.2</v>
      </c>
      <c r="T5" s="21">
        <f>INT($AC5*$C$10/100*$C$11/100*$AA5)</f>
        <v>4</v>
      </c>
      <c r="U5" s="21">
        <f t="shared" si="4"/>
        <v>12</v>
      </c>
      <c r="V5" s="20">
        <f t="shared" si="5"/>
        <v>352</v>
      </c>
      <c r="W5" s="20">
        <f t="shared" si="6"/>
        <v>352</v>
      </c>
      <c r="X5" s="20">
        <f t="shared" si="7"/>
        <v>60</v>
      </c>
      <c r="Y5" s="19" t="str">
        <f t="shared" si="8"/>
        <v>青</v>
      </c>
      <c r="Z5" s="19">
        <f t="shared" si="9"/>
        <v>1.2</v>
      </c>
      <c r="AA5" s="19">
        <f t="shared" si="10"/>
        <v>1.0625</v>
      </c>
      <c r="AB5" s="33">
        <v>26</v>
      </c>
      <c r="AC5" s="20">
        <f>AB5</f>
        <v>26</v>
      </c>
      <c r="AE5" s="22"/>
      <c r="AF5" s="22"/>
      <c r="AG5" s="22"/>
      <c r="AH5" s="22"/>
      <c r="AI5" s="22"/>
      <c r="AJ5" s="22"/>
      <c r="AK5" s="22"/>
      <c r="AL5" s="22"/>
    </row>
    <row r="6" spans="1:38">
      <c r="A6" s="115"/>
      <c r="B6" s="7" t="s">
        <v>5</v>
      </c>
      <c r="C6" s="70">
        <v>20</v>
      </c>
      <c r="D6" s="13"/>
      <c r="F6" s="8" t="s">
        <v>53</v>
      </c>
      <c r="G6" s="23" t="s">
        <v>35</v>
      </c>
      <c r="H6" s="8">
        <v>144</v>
      </c>
      <c r="I6" s="8">
        <v>0</v>
      </c>
      <c r="J6" s="11" t="s">
        <v>37</v>
      </c>
      <c r="K6" s="31" t="s">
        <v>75</v>
      </c>
      <c r="L6" s="27">
        <f t="shared" si="0"/>
        <v>96</v>
      </c>
      <c r="M6" s="26">
        <f t="shared" si="1"/>
        <v>18</v>
      </c>
      <c r="N6" s="27">
        <f t="shared" si="2"/>
        <v>114</v>
      </c>
      <c r="O6" s="78"/>
      <c r="Q6" s="21">
        <f t="shared" si="11"/>
        <v>30.6</v>
      </c>
      <c r="R6" s="21">
        <f t="shared" si="12"/>
        <v>34.799999999999997</v>
      </c>
      <c r="S6" s="21">
        <f t="shared" si="3"/>
        <v>96</v>
      </c>
      <c r="T6" s="21">
        <f>INT($AC6*$C$6/100*$C$11/100*$AA6)</f>
        <v>6</v>
      </c>
      <c r="U6" s="21">
        <f t="shared" si="4"/>
        <v>18</v>
      </c>
      <c r="V6" s="20">
        <f t="shared" si="5"/>
        <v>336</v>
      </c>
      <c r="W6" s="20">
        <f t="shared" si="6"/>
        <v>336</v>
      </c>
      <c r="X6" s="20">
        <f t="shared" si="7"/>
        <v>60</v>
      </c>
      <c r="Y6" s="19" t="str">
        <f t="shared" si="8"/>
        <v>青</v>
      </c>
      <c r="Z6" s="19">
        <f t="shared" si="9"/>
        <v>1.2</v>
      </c>
      <c r="AA6" s="19">
        <f t="shared" si="10"/>
        <v>1.0625</v>
      </c>
      <c r="AB6" s="33">
        <v>36</v>
      </c>
      <c r="AC6" s="20">
        <f>IF($D$16="あり",INT(AB6*1.1+6),AB6)</f>
        <v>36</v>
      </c>
      <c r="AE6" s="22"/>
      <c r="AF6" s="22"/>
      <c r="AG6" s="22"/>
      <c r="AH6" s="22"/>
      <c r="AI6" s="22"/>
      <c r="AJ6" s="22"/>
      <c r="AK6" s="22"/>
      <c r="AL6" s="22"/>
    </row>
    <row r="7" spans="1:38">
      <c r="A7" s="115"/>
      <c r="B7" s="7" t="s">
        <v>6</v>
      </c>
      <c r="C7" s="70">
        <v>20</v>
      </c>
      <c r="D7" s="13"/>
      <c r="F7" s="8" t="s">
        <v>25</v>
      </c>
      <c r="G7" s="23" t="s">
        <v>35</v>
      </c>
      <c r="H7" s="8">
        <v>142</v>
      </c>
      <c r="I7" s="8">
        <v>-15</v>
      </c>
      <c r="J7" s="11" t="s">
        <v>36</v>
      </c>
      <c r="K7" s="41" t="s">
        <v>76</v>
      </c>
      <c r="L7" s="27">
        <f t="shared" si="0"/>
        <v>102.24999999999999</v>
      </c>
      <c r="M7" s="26">
        <f t="shared" si="1"/>
        <v>12</v>
      </c>
      <c r="N7" s="27">
        <f t="shared" si="2"/>
        <v>114.24999999999999</v>
      </c>
      <c r="O7" s="78"/>
      <c r="Q7" s="21">
        <f t="shared" si="11"/>
        <v>32.599999999999994</v>
      </c>
      <c r="R7" s="21">
        <f t="shared" si="12"/>
        <v>37.049999999999997</v>
      </c>
      <c r="S7" s="21">
        <f t="shared" si="3"/>
        <v>102.24999999999999</v>
      </c>
      <c r="T7" s="21">
        <f>INT($AC7*$C$8/100*$C$11/100*$AA7)</f>
        <v>4</v>
      </c>
      <c r="U7" s="21">
        <f t="shared" si="4"/>
        <v>12</v>
      </c>
      <c r="V7" s="20">
        <f t="shared" si="5"/>
        <v>334</v>
      </c>
      <c r="W7" s="20">
        <f t="shared" si="6"/>
        <v>334</v>
      </c>
      <c r="X7" s="20">
        <f t="shared" si="7"/>
        <v>45</v>
      </c>
      <c r="Y7" s="19" t="str">
        <f t="shared" si="8"/>
        <v>白</v>
      </c>
      <c r="Z7" s="19">
        <f t="shared" si="9"/>
        <v>1.32</v>
      </c>
      <c r="AA7" s="19">
        <f t="shared" si="10"/>
        <v>1.125</v>
      </c>
      <c r="AB7" s="33">
        <v>26</v>
      </c>
      <c r="AC7" s="20">
        <f>IF($D$16="あり",INT(AB7*1.1+6),AB7)</f>
        <v>26</v>
      </c>
      <c r="AE7" s="22"/>
      <c r="AF7" s="22"/>
      <c r="AG7" s="22"/>
      <c r="AH7" s="22"/>
      <c r="AI7" s="22"/>
      <c r="AJ7" s="22"/>
      <c r="AK7" s="22"/>
      <c r="AL7" s="22"/>
    </row>
    <row r="8" spans="1:38">
      <c r="A8" s="115"/>
      <c r="B8" s="7" t="s">
        <v>8</v>
      </c>
      <c r="C8" s="70">
        <v>20</v>
      </c>
      <c r="F8" s="8" t="s">
        <v>56</v>
      </c>
      <c r="G8" s="23" t="s">
        <v>35</v>
      </c>
      <c r="H8" s="8">
        <v>162</v>
      </c>
      <c r="I8" s="8">
        <v>10</v>
      </c>
      <c r="J8" s="11" t="s">
        <v>37</v>
      </c>
      <c r="K8" s="31" t="s">
        <v>80</v>
      </c>
      <c r="L8" s="27">
        <f t="shared" si="0"/>
        <v>103.4</v>
      </c>
      <c r="M8" s="26">
        <f t="shared" si="1"/>
        <v>9</v>
      </c>
      <c r="N8" s="27">
        <f t="shared" si="2"/>
        <v>112.4</v>
      </c>
      <c r="O8" s="78"/>
      <c r="Q8" s="21">
        <f t="shared" si="11"/>
        <v>32.9</v>
      </c>
      <c r="R8" s="21">
        <f t="shared" si="12"/>
        <v>37.6</v>
      </c>
      <c r="S8" s="21">
        <f t="shared" si="3"/>
        <v>103.4</v>
      </c>
      <c r="T8" s="21">
        <f>INT($AC8*$C$10/100*$C$11/100*$AA8)</f>
        <v>3</v>
      </c>
      <c r="U8" s="21">
        <f t="shared" si="4"/>
        <v>9</v>
      </c>
      <c r="V8" s="20">
        <f t="shared" si="5"/>
        <v>354</v>
      </c>
      <c r="W8" s="20">
        <f t="shared" si="6"/>
        <v>354</v>
      </c>
      <c r="X8" s="20">
        <f t="shared" si="7"/>
        <v>70</v>
      </c>
      <c r="Y8" s="19" t="str">
        <f t="shared" si="8"/>
        <v>青</v>
      </c>
      <c r="Z8" s="19">
        <f t="shared" si="9"/>
        <v>1.2</v>
      </c>
      <c r="AA8" s="19">
        <f t="shared" si="10"/>
        <v>1.0625</v>
      </c>
      <c r="AB8" s="33">
        <v>20</v>
      </c>
      <c r="AC8" s="20">
        <f t="shared" ref="AC8:AC16" si="13">AB8</f>
        <v>20</v>
      </c>
      <c r="AE8" s="22"/>
      <c r="AF8" s="22"/>
      <c r="AG8" s="22"/>
      <c r="AH8" s="22"/>
      <c r="AI8" s="22"/>
      <c r="AJ8" s="22"/>
      <c r="AK8" s="22"/>
      <c r="AL8" s="22"/>
    </row>
    <row r="9" spans="1:38">
      <c r="A9" s="115"/>
      <c r="B9" s="7" t="s">
        <v>7</v>
      </c>
      <c r="C9" s="70">
        <v>20</v>
      </c>
      <c r="D9" s="13"/>
      <c r="F9" s="8" t="s">
        <v>11</v>
      </c>
      <c r="G9" s="23" t="s">
        <v>35</v>
      </c>
      <c r="H9" s="8">
        <v>144</v>
      </c>
      <c r="I9" s="8">
        <v>25</v>
      </c>
      <c r="J9" s="11" t="s">
        <v>36</v>
      </c>
      <c r="K9" s="69"/>
      <c r="L9" s="27">
        <f t="shared" si="0"/>
        <v>112.4</v>
      </c>
      <c r="M9" s="26">
        <f t="shared" si="1"/>
        <v>0</v>
      </c>
      <c r="N9" s="27">
        <f t="shared" si="2"/>
        <v>112.4</v>
      </c>
      <c r="O9" s="78"/>
      <c r="Q9" s="21">
        <f t="shared" si="11"/>
        <v>35.799999999999997</v>
      </c>
      <c r="R9" s="21">
        <f t="shared" si="12"/>
        <v>40.800000000000004</v>
      </c>
      <c r="S9" s="21">
        <f t="shared" si="3"/>
        <v>112.4</v>
      </c>
      <c r="T9" s="21">
        <f>INT($AC9*$C$6/100*$C$11/100*$AA9)</f>
        <v>0</v>
      </c>
      <c r="U9" s="21">
        <f t="shared" si="4"/>
        <v>0</v>
      </c>
      <c r="V9" s="20">
        <f t="shared" si="5"/>
        <v>336</v>
      </c>
      <c r="W9" s="20">
        <f t="shared" si="6"/>
        <v>336</v>
      </c>
      <c r="X9" s="20">
        <f t="shared" si="7"/>
        <v>85</v>
      </c>
      <c r="Y9" s="19" t="str">
        <f t="shared" si="8"/>
        <v>白</v>
      </c>
      <c r="Z9" s="19">
        <f t="shared" si="9"/>
        <v>1.32</v>
      </c>
      <c r="AA9" s="19">
        <f t="shared" si="10"/>
        <v>1.125</v>
      </c>
      <c r="AC9" s="20">
        <f t="shared" si="13"/>
        <v>0</v>
      </c>
      <c r="AE9" s="22"/>
      <c r="AF9" s="22"/>
      <c r="AG9" s="22"/>
      <c r="AH9" s="22"/>
      <c r="AI9" s="22"/>
      <c r="AJ9" s="22"/>
      <c r="AK9" s="22"/>
      <c r="AL9" s="22"/>
    </row>
    <row r="10" spans="1:38">
      <c r="A10" s="116"/>
      <c r="B10" s="7" t="s">
        <v>9</v>
      </c>
      <c r="C10" s="70">
        <v>20</v>
      </c>
      <c r="D10" s="13"/>
      <c r="F10" s="8" t="s">
        <v>20</v>
      </c>
      <c r="G10" s="23" t="s">
        <v>35</v>
      </c>
      <c r="H10" s="8">
        <v>152</v>
      </c>
      <c r="I10" s="8">
        <v>10</v>
      </c>
      <c r="J10" s="11" t="s">
        <v>36</v>
      </c>
      <c r="K10" s="31"/>
      <c r="L10" s="27">
        <f t="shared" si="0"/>
        <v>111.5</v>
      </c>
      <c r="M10" s="26">
        <f t="shared" si="1"/>
        <v>0</v>
      </c>
      <c r="N10" s="27">
        <f t="shared" si="2"/>
        <v>111.5</v>
      </c>
      <c r="O10" s="78"/>
      <c r="Q10" s="21">
        <f t="shared" si="11"/>
        <v>35.6</v>
      </c>
      <c r="R10" s="21">
        <f t="shared" si="12"/>
        <v>40.299999999999997</v>
      </c>
      <c r="S10" s="21">
        <f t="shared" si="3"/>
        <v>111.5</v>
      </c>
      <c r="T10" s="21">
        <f>INT($AC10*$C$6/100*$C$11/100*$AA10)</f>
        <v>0</v>
      </c>
      <c r="U10" s="21">
        <f t="shared" si="4"/>
        <v>0</v>
      </c>
      <c r="V10" s="20">
        <f t="shared" si="5"/>
        <v>344</v>
      </c>
      <c r="W10" s="20">
        <f t="shared" si="6"/>
        <v>344</v>
      </c>
      <c r="X10" s="20">
        <f t="shared" si="7"/>
        <v>70</v>
      </c>
      <c r="Y10" s="19" t="str">
        <f t="shared" si="8"/>
        <v>白</v>
      </c>
      <c r="Z10" s="19">
        <f t="shared" si="9"/>
        <v>1.32</v>
      </c>
      <c r="AA10" s="19">
        <f t="shared" si="10"/>
        <v>1.125</v>
      </c>
      <c r="AC10" s="20">
        <f t="shared" si="13"/>
        <v>0</v>
      </c>
      <c r="AE10" s="22"/>
      <c r="AF10" s="22"/>
      <c r="AG10" s="22"/>
      <c r="AH10" s="22"/>
      <c r="AI10" s="22"/>
      <c r="AJ10" s="22"/>
      <c r="AK10" s="22"/>
      <c r="AL10" s="22"/>
    </row>
    <row r="11" spans="1:38">
      <c r="A11" s="2" t="s">
        <v>10</v>
      </c>
      <c r="B11" s="3"/>
      <c r="C11" s="70">
        <v>80</v>
      </c>
      <c r="D11" s="13"/>
      <c r="F11" s="8" t="s">
        <v>57</v>
      </c>
      <c r="G11" s="23" t="s">
        <v>35</v>
      </c>
      <c r="H11" s="8">
        <v>168</v>
      </c>
      <c r="I11" s="8">
        <v>-10</v>
      </c>
      <c r="J11" s="11" t="s">
        <v>37</v>
      </c>
      <c r="K11" s="82" t="s">
        <v>81</v>
      </c>
      <c r="L11" s="27">
        <f t="shared" si="0"/>
        <v>102</v>
      </c>
      <c r="M11" s="26">
        <f t="shared" si="1"/>
        <v>9</v>
      </c>
      <c r="N11" s="27">
        <f t="shared" si="2"/>
        <v>111</v>
      </c>
      <c r="O11" s="78"/>
      <c r="Q11" s="21">
        <f t="shared" si="11"/>
        <v>32.5</v>
      </c>
      <c r="R11" s="21">
        <f t="shared" si="12"/>
        <v>37</v>
      </c>
      <c r="S11" s="21">
        <f t="shared" si="3"/>
        <v>102</v>
      </c>
      <c r="T11" s="21">
        <f>INT($AC11*$C$9/100*$C$11/100*$AA11)</f>
        <v>3</v>
      </c>
      <c r="U11" s="21">
        <f t="shared" si="4"/>
        <v>9</v>
      </c>
      <c r="V11" s="20">
        <f t="shared" si="5"/>
        <v>360</v>
      </c>
      <c r="W11" s="20">
        <f t="shared" si="6"/>
        <v>360</v>
      </c>
      <c r="X11" s="20">
        <f t="shared" si="7"/>
        <v>50</v>
      </c>
      <c r="Y11" s="19" t="str">
        <f t="shared" si="8"/>
        <v>青</v>
      </c>
      <c r="Z11" s="19">
        <f t="shared" si="9"/>
        <v>1.2</v>
      </c>
      <c r="AA11" s="19">
        <f t="shared" si="10"/>
        <v>1.0625</v>
      </c>
      <c r="AB11" s="33">
        <v>22</v>
      </c>
      <c r="AC11" s="20">
        <f t="shared" si="13"/>
        <v>22</v>
      </c>
      <c r="AE11" s="22"/>
      <c r="AF11" s="22"/>
      <c r="AG11" s="22"/>
      <c r="AH11" s="22"/>
      <c r="AI11" s="22"/>
      <c r="AJ11" s="22"/>
      <c r="AK11" s="22"/>
      <c r="AL11" s="22"/>
    </row>
    <row r="12" spans="1:38">
      <c r="F12" s="8" t="s">
        <v>59</v>
      </c>
      <c r="G12" s="23" t="s">
        <v>35</v>
      </c>
      <c r="H12" s="8">
        <v>162</v>
      </c>
      <c r="I12" s="8">
        <v>15</v>
      </c>
      <c r="J12" s="11" t="s">
        <v>37</v>
      </c>
      <c r="K12" s="31" t="s">
        <v>84</v>
      </c>
      <c r="L12" s="27">
        <f t="shared" si="0"/>
        <v>104.5</v>
      </c>
      <c r="M12" s="26">
        <f t="shared" si="1"/>
        <v>6</v>
      </c>
      <c r="N12" s="27">
        <f t="shared" si="2"/>
        <v>110.5</v>
      </c>
      <c r="O12" s="78"/>
      <c r="Q12" s="21">
        <f t="shared" si="11"/>
        <v>33.25</v>
      </c>
      <c r="R12" s="21">
        <f t="shared" si="12"/>
        <v>38</v>
      </c>
      <c r="S12" s="21">
        <f t="shared" si="3"/>
        <v>104.5</v>
      </c>
      <c r="T12" s="21">
        <f>INT($AC12*$C$8/100*$C$11/100*$AA12)</f>
        <v>2</v>
      </c>
      <c r="U12" s="21">
        <f t="shared" si="4"/>
        <v>6</v>
      </c>
      <c r="V12" s="20">
        <f t="shared" si="5"/>
        <v>354</v>
      </c>
      <c r="W12" s="20">
        <f t="shared" si="6"/>
        <v>354</v>
      </c>
      <c r="X12" s="20">
        <f t="shared" si="7"/>
        <v>75</v>
      </c>
      <c r="Y12" s="19" t="str">
        <f t="shared" si="8"/>
        <v>青</v>
      </c>
      <c r="Z12" s="19">
        <f t="shared" si="9"/>
        <v>1.2</v>
      </c>
      <c r="AA12" s="19">
        <f t="shared" si="10"/>
        <v>1.0625</v>
      </c>
      <c r="AB12" s="33">
        <v>16</v>
      </c>
      <c r="AC12" s="20">
        <f t="shared" si="13"/>
        <v>16</v>
      </c>
      <c r="AE12" s="22"/>
      <c r="AF12" s="22"/>
      <c r="AG12" s="22"/>
      <c r="AH12" s="22"/>
      <c r="AI12" s="22"/>
      <c r="AJ12" s="22"/>
      <c r="AK12" s="22"/>
      <c r="AL12" s="22"/>
    </row>
    <row r="13" spans="1:38">
      <c r="A13" s="88" t="s">
        <v>40</v>
      </c>
      <c r="B13" s="89"/>
      <c r="C13" s="90"/>
      <c r="D13" s="7" t="s">
        <v>43</v>
      </c>
      <c r="E13" s="17">
        <f>IF(D13="あり",40,0)</f>
        <v>0</v>
      </c>
      <c r="F13" s="8" t="s">
        <v>58</v>
      </c>
      <c r="G13" s="23" t="s">
        <v>35</v>
      </c>
      <c r="H13" s="8">
        <v>148</v>
      </c>
      <c r="I13" s="8">
        <v>0</v>
      </c>
      <c r="J13" s="11" t="s">
        <v>37</v>
      </c>
      <c r="K13" s="82" t="s">
        <v>83</v>
      </c>
      <c r="L13" s="27">
        <f t="shared" si="0"/>
        <v>98.199999999999989</v>
      </c>
      <c r="M13" s="26">
        <f t="shared" si="1"/>
        <v>12</v>
      </c>
      <c r="N13" s="27">
        <f t="shared" si="2"/>
        <v>110.19999999999999</v>
      </c>
      <c r="O13" s="78"/>
      <c r="Q13" s="21">
        <f t="shared" si="11"/>
        <v>31.2</v>
      </c>
      <c r="R13" s="21">
        <f t="shared" si="12"/>
        <v>35.799999999999997</v>
      </c>
      <c r="S13" s="21">
        <f t="shared" si="3"/>
        <v>98.199999999999989</v>
      </c>
      <c r="T13" s="21">
        <f>INT($AC13*$C$9/100*$C$11/100*$AA13)</f>
        <v>4</v>
      </c>
      <c r="U13" s="21">
        <f t="shared" si="4"/>
        <v>12</v>
      </c>
      <c r="V13" s="20">
        <f t="shared" si="5"/>
        <v>340</v>
      </c>
      <c r="W13" s="20">
        <f t="shared" si="6"/>
        <v>340</v>
      </c>
      <c r="X13" s="20">
        <f t="shared" si="7"/>
        <v>60</v>
      </c>
      <c r="Y13" s="19" t="str">
        <f t="shared" si="8"/>
        <v>青</v>
      </c>
      <c r="Z13" s="19">
        <f t="shared" si="9"/>
        <v>1.2</v>
      </c>
      <c r="AA13" s="19">
        <f t="shared" si="10"/>
        <v>1.0625</v>
      </c>
      <c r="AB13" s="33">
        <v>28</v>
      </c>
      <c r="AC13" s="20">
        <f t="shared" si="13"/>
        <v>28</v>
      </c>
      <c r="AE13" s="22"/>
      <c r="AF13" s="22"/>
      <c r="AG13" s="22"/>
      <c r="AH13" s="22"/>
      <c r="AI13" s="22"/>
      <c r="AJ13" s="22"/>
      <c r="AK13" s="22"/>
      <c r="AL13" s="22"/>
    </row>
    <row r="14" spans="1:38">
      <c r="A14" s="117" t="s">
        <v>41</v>
      </c>
      <c r="B14" s="118"/>
      <c r="C14" s="119"/>
      <c r="D14" s="7" t="s">
        <v>39</v>
      </c>
      <c r="E14" s="17">
        <f>IF(D14="あり",30,0)</f>
        <v>30</v>
      </c>
      <c r="F14" s="8" t="s">
        <v>55</v>
      </c>
      <c r="G14" s="23" t="s">
        <v>4</v>
      </c>
      <c r="H14" s="8">
        <v>126</v>
      </c>
      <c r="I14" s="8">
        <v>0</v>
      </c>
      <c r="J14" s="11" t="s">
        <v>37</v>
      </c>
      <c r="K14" s="31" t="s">
        <v>79</v>
      </c>
      <c r="L14" s="27">
        <f t="shared" si="0"/>
        <v>91.6</v>
      </c>
      <c r="M14" s="26">
        <f t="shared" si="1"/>
        <v>18</v>
      </c>
      <c r="N14" s="27">
        <f t="shared" si="2"/>
        <v>109.6</v>
      </c>
      <c r="O14" s="78"/>
      <c r="Q14" s="21">
        <f>INT($W14*14/100*$C$5/100*$C$11/100*$Z14)*(100-$X14)/100+INT($W14*14/100*$C$5/100*$C$11/100*$Z14*1.25)*$X14/100</f>
        <v>29.2</v>
      </c>
      <c r="R14" s="21">
        <f>INT($W14*16/100*$C$5/100*$C$11/100*$Z14)*(100-$X14)/100+INT($W14*16/100*$C$5/100*$C$11/100*$Z14*1.25)*$X14/100</f>
        <v>33.200000000000003</v>
      </c>
      <c r="S14" s="21">
        <f t="shared" si="3"/>
        <v>91.6</v>
      </c>
      <c r="T14" s="21">
        <f>INT($AC14*$C$7/100*$C$11/100*$AA14)</f>
        <v>6</v>
      </c>
      <c r="U14" s="21">
        <f t="shared" si="4"/>
        <v>18</v>
      </c>
      <c r="V14" s="20">
        <f t="shared" si="5"/>
        <v>318</v>
      </c>
      <c r="W14" s="20">
        <f t="shared" si="6"/>
        <v>318</v>
      </c>
      <c r="X14" s="20">
        <f t="shared" si="7"/>
        <v>60</v>
      </c>
      <c r="Y14" s="19" t="str">
        <f t="shared" si="8"/>
        <v>青</v>
      </c>
      <c r="Z14" s="19">
        <f t="shared" si="9"/>
        <v>1.2</v>
      </c>
      <c r="AA14" s="19">
        <f t="shared" si="10"/>
        <v>1.0625</v>
      </c>
      <c r="AB14" s="33">
        <v>36</v>
      </c>
      <c r="AC14" s="20">
        <f t="shared" si="13"/>
        <v>36</v>
      </c>
      <c r="AE14" s="22"/>
      <c r="AF14" s="22"/>
      <c r="AG14" s="22"/>
      <c r="AH14" s="22"/>
      <c r="AI14" s="22"/>
      <c r="AJ14" s="22"/>
      <c r="AK14" s="22"/>
      <c r="AL14" s="22"/>
    </row>
    <row r="15" spans="1:38">
      <c r="A15" s="88" t="s">
        <v>42</v>
      </c>
      <c r="B15" s="89"/>
      <c r="C15" s="90"/>
      <c r="D15" s="7" t="s">
        <v>43</v>
      </c>
      <c r="E15" s="17">
        <f>IF(D15="あり",C2*0.5,0)</f>
        <v>0</v>
      </c>
      <c r="F15" s="8" t="s">
        <v>21</v>
      </c>
      <c r="G15" s="23" t="s">
        <v>35</v>
      </c>
      <c r="H15" s="8">
        <v>130</v>
      </c>
      <c r="I15" s="8">
        <v>10</v>
      </c>
      <c r="J15" s="11" t="s">
        <v>36</v>
      </c>
      <c r="K15" s="82" t="s">
        <v>87</v>
      </c>
      <c r="L15" s="27">
        <f t="shared" si="0"/>
        <v>103.4</v>
      </c>
      <c r="M15" s="26">
        <f t="shared" si="1"/>
        <v>6</v>
      </c>
      <c r="N15" s="27">
        <f t="shared" si="2"/>
        <v>109.4</v>
      </c>
      <c r="O15" s="78"/>
      <c r="Q15" s="21">
        <f t="shared" ref="Q15:Q21" si="14">INT($W15*14/100*$C$4/100*$C$11/100*$Z15)*(100-$X15)/100+INT($W15*14/100*$C$4/100*$C$11/100*$Z15*1.25)*$X15/100</f>
        <v>32.9</v>
      </c>
      <c r="R15" s="21">
        <f t="shared" ref="R15:R21" si="15">INT($W15*16/100*$C$4/100*$C$11/100*$Z15)*(100-$X15)/100+INT($W15*16/100*$C$4/100*$C$11/100*$Z15*1.25)*$X15/100</f>
        <v>37.6</v>
      </c>
      <c r="S15" s="21">
        <f t="shared" si="3"/>
        <v>103.4</v>
      </c>
      <c r="T15" s="21">
        <f>INT($AC15*$C$10/100*$C$11/100*$AA15)</f>
        <v>2</v>
      </c>
      <c r="U15" s="21">
        <f t="shared" si="4"/>
        <v>6</v>
      </c>
      <c r="V15" s="20">
        <f t="shared" si="5"/>
        <v>322</v>
      </c>
      <c r="W15" s="20">
        <f t="shared" si="6"/>
        <v>322</v>
      </c>
      <c r="X15" s="20">
        <f t="shared" si="7"/>
        <v>70</v>
      </c>
      <c r="Y15" s="19" t="str">
        <f t="shared" si="8"/>
        <v>白</v>
      </c>
      <c r="Z15" s="19">
        <f t="shared" si="9"/>
        <v>1.32</v>
      </c>
      <c r="AA15" s="19">
        <f t="shared" si="10"/>
        <v>1.125</v>
      </c>
      <c r="AB15" s="33">
        <v>16</v>
      </c>
      <c r="AC15" s="20">
        <f t="shared" si="13"/>
        <v>16</v>
      </c>
      <c r="AE15" s="22"/>
      <c r="AF15" s="22"/>
      <c r="AG15" s="22"/>
      <c r="AH15" s="22"/>
      <c r="AI15" s="22"/>
      <c r="AJ15" s="22"/>
      <c r="AK15" s="22"/>
      <c r="AL15" s="22"/>
    </row>
    <row r="16" spans="1:38">
      <c r="A16" s="88" t="s">
        <v>45</v>
      </c>
      <c r="B16" s="89"/>
      <c r="C16" s="90"/>
      <c r="D16" s="7" t="s">
        <v>43</v>
      </c>
      <c r="E16" s="17">
        <f>IF(D16="あり",30,0)</f>
        <v>0</v>
      </c>
      <c r="F16" s="8" t="s">
        <v>26</v>
      </c>
      <c r="G16" s="23" t="s">
        <v>35</v>
      </c>
      <c r="H16" s="8">
        <v>152</v>
      </c>
      <c r="I16" s="8">
        <v>20</v>
      </c>
      <c r="J16" s="11" t="s">
        <v>37</v>
      </c>
      <c r="K16" s="31" t="s">
        <v>85</v>
      </c>
      <c r="L16" s="27">
        <f t="shared" si="0"/>
        <v>102.6</v>
      </c>
      <c r="M16" s="26">
        <f t="shared" si="1"/>
        <v>6</v>
      </c>
      <c r="N16" s="27">
        <f t="shared" si="2"/>
        <v>108.6</v>
      </c>
      <c r="O16" s="78"/>
      <c r="Q16" s="21">
        <f t="shared" si="14"/>
        <v>32.6</v>
      </c>
      <c r="R16" s="21">
        <f t="shared" si="15"/>
        <v>37.4</v>
      </c>
      <c r="S16" s="21">
        <f t="shared" si="3"/>
        <v>102.6</v>
      </c>
      <c r="T16" s="21">
        <f>INT($AC16*$C$10/100*$C$11/100*$AA16)</f>
        <v>2</v>
      </c>
      <c r="U16" s="21">
        <f t="shared" si="4"/>
        <v>6</v>
      </c>
      <c r="V16" s="20">
        <f t="shared" si="5"/>
        <v>344</v>
      </c>
      <c r="W16" s="20">
        <f t="shared" si="6"/>
        <v>344</v>
      </c>
      <c r="X16" s="20">
        <f t="shared" si="7"/>
        <v>80</v>
      </c>
      <c r="Y16" s="19" t="str">
        <f t="shared" si="8"/>
        <v>青</v>
      </c>
      <c r="Z16" s="19">
        <f t="shared" si="9"/>
        <v>1.2</v>
      </c>
      <c r="AA16" s="19">
        <f t="shared" si="10"/>
        <v>1.0625</v>
      </c>
      <c r="AB16" s="33">
        <v>16</v>
      </c>
      <c r="AC16" s="20">
        <f t="shared" si="13"/>
        <v>16</v>
      </c>
      <c r="AE16" s="22"/>
      <c r="AF16" s="22"/>
      <c r="AG16" s="22"/>
      <c r="AH16" s="22"/>
      <c r="AI16" s="22"/>
      <c r="AJ16" s="22"/>
      <c r="AK16" s="22"/>
      <c r="AL16" s="22"/>
    </row>
    <row r="17" spans="1:38">
      <c r="A17" s="111" t="s">
        <v>44</v>
      </c>
      <c r="B17" s="112"/>
      <c r="C17" s="113"/>
      <c r="D17" s="7" t="s">
        <v>43</v>
      </c>
      <c r="E17" s="17">
        <f>IF(D17="あり",20,0)</f>
        <v>0</v>
      </c>
      <c r="F17" s="8" t="s">
        <v>27</v>
      </c>
      <c r="G17" s="23" t="s">
        <v>35</v>
      </c>
      <c r="H17" s="8">
        <v>145</v>
      </c>
      <c r="I17" s="8">
        <v>0</v>
      </c>
      <c r="J17" s="11" t="s">
        <v>36</v>
      </c>
      <c r="K17" s="82" t="s">
        <v>88</v>
      </c>
      <c r="L17" s="27">
        <f t="shared" si="0"/>
        <v>106.39999999999999</v>
      </c>
      <c r="M17" s="26">
        <f t="shared" si="1"/>
        <v>3</v>
      </c>
      <c r="N17" s="27">
        <f t="shared" si="2"/>
        <v>109.39999999999999</v>
      </c>
      <c r="O17" s="78"/>
      <c r="Q17" s="21">
        <f t="shared" si="14"/>
        <v>33.799999999999997</v>
      </c>
      <c r="R17" s="21">
        <f t="shared" si="15"/>
        <v>38.799999999999997</v>
      </c>
      <c r="S17" s="21">
        <f t="shared" si="3"/>
        <v>106.39999999999999</v>
      </c>
      <c r="T17" s="21">
        <f>INT($AC17*$C$6/100*$C$11/100*$AA17)</f>
        <v>1</v>
      </c>
      <c r="U17" s="21">
        <f t="shared" si="4"/>
        <v>3</v>
      </c>
      <c r="V17" s="20">
        <f t="shared" si="5"/>
        <v>337</v>
      </c>
      <c r="W17" s="20">
        <f t="shared" si="6"/>
        <v>337</v>
      </c>
      <c r="X17" s="20">
        <f t="shared" si="7"/>
        <v>60</v>
      </c>
      <c r="Y17" s="19" t="str">
        <f t="shared" si="8"/>
        <v>白</v>
      </c>
      <c r="Z17" s="19">
        <f t="shared" si="9"/>
        <v>1.32</v>
      </c>
      <c r="AA17" s="19">
        <f t="shared" si="10"/>
        <v>1.125</v>
      </c>
      <c r="AB17" s="33">
        <v>8</v>
      </c>
      <c r="AC17" s="20">
        <f>IF($D$16="あり",INT(AB17*1.1+6),AB17)</f>
        <v>8</v>
      </c>
      <c r="AE17" s="22"/>
      <c r="AF17" s="22"/>
      <c r="AG17" s="22"/>
      <c r="AH17" s="22"/>
      <c r="AI17" s="22"/>
      <c r="AJ17" s="22"/>
      <c r="AK17" s="22"/>
      <c r="AL17" s="22"/>
    </row>
    <row r="18" spans="1:38">
      <c r="A18" s="111" t="s">
        <v>46</v>
      </c>
      <c r="B18" s="112"/>
      <c r="C18" s="113"/>
      <c r="D18" s="7" t="s">
        <v>39</v>
      </c>
      <c r="E18" s="17">
        <f>IF(D18="あり",10,0)</f>
        <v>10</v>
      </c>
      <c r="F18" s="8" t="s">
        <v>17</v>
      </c>
      <c r="G18" s="23" t="s">
        <v>35</v>
      </c>
      <c r="H18" s="24">
        <v>144</v>
      </c>
      <c r="I18" s="24">
        <v>-10</v>
      </c>
      <c r="J18" s="25" t="s">
        <v>69</v>
      </c>
      <c r="K18" s="86" t="s">
        <v>82</v>
      </c>
      <c r="L18" s="27">
        <f t="shared" si="0"/>
        <v>94</v>
      </c>
      <c r="M18" s="26">
        <f t="shared" si="1"/>
        <v>15</v>
      </c>
      <c r="N18" s="27">
        <f t="shared" si="2"/>
        <v>109</v>
      </c>
      <c r="O18" s="78"/>
      <c r="Q18" s="21">
        <f t="shared" si="14"/>
        <v>30</v>
      </c>
      <c r="R18" s="21">
        <f t="shared" si="15"/>
        <v>34</v>
      </c>
      <c r="S18" s="21">
        <f t="shared" si="3"/>
        <v>94</v>
      </c>
      <c r="T18" s="21">
        <f>INT($AC18*$C$7/100*$C$11/100*$AA18)</f>
        <v>5</v>
      </c>
      <c r="U18" s="21">
        <f t="shared" si="4"/>
        <v>15</v>
      </c>
      <c r="V18" s="20">
        <f t="shared" si="5"/>
        <v>336</v>
      </c>
      <c r="W18" s="20">
        <f t="shared" si="6"/>
        <v>336</v>
      </c>
      <c r="X18" s="20">
        <f t="shared" si="7"/>
        <v>50</v>
      </c>
      <c r="Y18" s="19" t="str">
        <f t="shared" si="8"/>
        <v>青</v>
      </c>
      <c r="Z18" s="19">
        <f t="shared" si="9"/>
        <v>1.2</v>
      </c>
      <c r="AA18" s="19">
        <f t="shared" si="10"/>
        <v>1.0625</v>
      </c>
      <c r="AB18" s="33">
        <v>30</v>
      </c>
      <c r="AC18" s="20">
        <f>AB18</f>
        <v>30</v>
      </c>
      <c r="AE18" s="22"/>
      <c r="AF18" s="22"/>
      <c r="AG18" s="22"/>
      <c r="AH18" s="22"/>
      <c r="AI18" s="22"/>
      <c r="AJ18" s="22"/>
      <c r="AK18" s="22"/>
      <c r="AL18" s="22"/>
    </row>
    <row r="19" spans="1:38">
      <c r="A19" s="88" t="s">
        <v>48</v>
      </c>
      <c r="B19" s="89"/>
      <c r="C19" s="90"/>
      <c r="D19" s="7" t="s">
        <v>43</v>
      </c>
      <c r="E19" s="17"/>
      <c r="F19" s="8" t="s">
        <v>66</v>
      </c>
      <c r="G19" s="23" t="s">
        <v>35</v>
      </c>
      <c r="H19" s="8">
        <v>132</v>
      </c>
      <c r="I19" s="8">
        <v>0</v>
      </c>
      <c r="J19" s="11" t="s">
        <v>37</v>
      </c>
      <c r="K19" s="82" t="s">
        <v>90</v>
      </c>
      <c r="L19" s="27">
        <f t="shared" si="0"/>
        <v>93</v>
      </c>
      <c r="M19" s="26">
        <f t="shared" si="1"/>
        <v>15</v>
      </c>
      <c r="N19" s="27">
        <f t="shared" si="2"/>
        <v>108</v>
      </c>
      <c r="O19" s="78"/>
      <c r="Q19" s="21">
        <f t="shared" si="14"/>
        <v>29.6</v>
      </c>
      <c r="R19" s="21">
        <f t="shared" si="15"/>
        <v>33.799999999999997</v>
      </c>
      <c r="S19" s="21">
        <f t="shared" si="3"/>
        <v>93</v>
      </c>
      <c r="T19" s="21">
        <f>INT($AC19*$C$6/100*$C$11/100*$AA19)</f>
        <v>5</v>
      </c>
      <c r="U19" s="21">
        <f t="shared" si="4"/>
        <v>15</v>
      </c>
      <c r="V19" s="20">
        <f t="shared" si="5"/>
        <v>324</v>
      </c>
      <c r="W19" s="20">
        <f t="shared" si="6"/>
        <v>324</v>
      </c>
      <c r="X19" s="20">
        <f t="shared" si="7"/>
        <v>60</v>
      </c>
      <c r="Y19" s="19" t="str">
        <f t="shared" si="8"/>
        <v>青</v>
      </c>
      <c r="Z19" s="19">
        <f t="shared" si="9"/>
        <v>1.2</v>
      </c>
      <c r="AA19" s="19">
        <f t="shared" si="10"/>
        <v>1.0625</v>
      </c>
      <c r="AB19" s="33">
        <v>30</v>
      </c>
      <c r="AC19" s="20">
        <f>IF($D$16="あり",INT(AB19*1.1+6),AB19)</f>
        <v>30</v>
      </c>
      <c r="AE19" s="22"/>
      <c r="AF19" s="22"/>
      <c r="AG19" s="22"/>
      <c r="AH19" s="22"/>
      <c r="AI19" s="22"/>
      <c r="AJ19" s="22"/>
      <c r="AK19" s="22"/>
      <c r="AL19" s="22"/>
    </row>
    <row r="20" spans="1:38">
      <c r="A20" s="91" t="s">
        <v>51</v>
      </c>
      <c r="B20" s="91"/>
      <c r="C20" s="91"/>
      <c r="D20" s="7" t="s">
        <v>39</v>
      </c>
      <c r="E20" s="17">
        <f>IF(D20="あり",7,0)</f>
        <v>7</v>
      </c>
      <c r="F20" s="8" t="s">
        <v>60</v>
      </c>
      <c r="G20" s="23" t="s">
        <v>35</v>
      </c>
      <c r="H20" s="8">
        <v>140</v>
      </c>
      <c r="I20" s="8">
        <v>0</v>
      </c>
      <c r="J20" s="11" t="s">
        <v>37</v>
      </c>
      <c r="K20" s="31" t="s">
        <v>86</v>
      </c>
      <c r="L20" s="27">
        <f t="shared" si="0"/>
        <v>95.2</v>
      </c>
      <c r="M20" s="26">
        <f t="shared" si="1"/>
        <v>12</v>
      </c>
      <c r="N20" s="27">
        <f t="shared" si="2"/>
        <v>107.2</v>
      </c>
      <c r="O20" s="78"/>
      <c r="Q20" s="21">
        <f t="shared" si="14"/>
        <v>30.200000000000003</v>
      </c>
      <c r="R20" s="21">
        <f t="shared" si="15"/>
        <v>34.799999999999997</v>
      </c>
      <c r="S20" s="21">
        <f t="shared" si="3"/>
        <v>95.2</v>
      </c>
      <c r="T20" s="21">
        <f>INT($AC20*$C$6/100*$C$11/100*$AA20)</f>
        <v>4</v>
      </c>
      <c r="U20" s="21">
        <f t="shared" si="4"/>
        <v>12</v>
      </c>
      <c r="V20" s="20">
        <f t="shared" si="5"/>
        <v>332</v>
      </c>
      <c r="W20" s="20">
        <f t="shared" si="6"/>
        <v>332</v>
      </c>
      <c r="X20" s="20">
        <f t="shared" si="7"/>
        <v>60</v>
      </c>
      <c r="Y20" s="19" t="str">
        <f t="shared" si="8"/>
        <v>青</v>
      </c>
      <c r="Z20" s="19">
        <f t="shared" si="9"/>
        <v>1.2</v>
      </c>
      <c r="AA20" s="19">
        <f t="shared" si="10"/>
        <v>1.0625</v>
      </c>
      <c r="AB20" s="33">
        <v>26</v>
      </c>
      <c r="AC20" s="20">
        <f>AB20</f>
        <v>26</v>
      </c>
      <c r="AE20" s="22"/>
      <c r="AF20" s="22"/>
      <c r="AG20" s="22"/>
      <c r="AH20" s="22"/>
      <c r="AI20" s="22"/>
      <c r="AJ20" s="22"/>
      <c r="AK20" s="22"/>
      <c r="AL20" s="22"/>
    </row>
    <row r="21" spans="1:38">
      <c r="A21" s="91" t="s">
        <v>124</v>
      </c>
      <c r="B21" s="91"/>
      <c r="C21" s="91"/>
      <c r="D21" s="40" t="s">
        <v>39</v>
      </c>
      <c r="E21" s="17">
        <f>IF(D21="あり",20,0)</f>
        <v>20</v>
      </c>
      <c r="F21" s="8" t="s">
        <v>65</v>
      </c>
      <c r="G21" s="23" t="s">
        <v>35</v>
      </c>
      <c r="H21" s="8">
        <v>135</v>
      </c>
      <c r="I21" s="8">
        <v>15</v>
      </c>
      <c r="J21" s="11" t="s">
        <v>36</v>
      </c>
      <c r="K21" s="41"/>
      <c r="L21" s="27">
        <f t="shared" si="0"/>
        <v>107.5</v>
      </c>
      <c r="M21" s="26">
        <f t="shared" si="1"/>
        <v>0</v>
      </c>
      <c r="N21" s="27">
        <f t="shared" si="2"/>
        <v>107.5</v>
      </c>
      <c r="O21" s="78"/>
      <c r="Q21" s="21">
        <f t="shared" si="14"/>
        <v>34.25</v>
      </c>
      <c r="R21" s="21">
        <f t="shared" si="15"/>
        <v>39</v>
      </c>
      <c r="S21" s="21">
        <f t="shared" si="3"/>
        <v>107.5</v>
      </c>
      <c r="T21" s="21">
        <f>INT($AC21*$C$6/100*$C$11/100*$AA21)</f>
        <v>0</v>
      </c>
      <c r="U21" s="21">
        <f t="shared" si="4"/>
        <v>0</v>
      </c>
      <c r="V21" s="20">
        <f t="shared" si="5"/>
        <v>327</v>
      </c>
      <c r="W21" s="20">
        <f t="shared" si="6"/>
        <v>327</v>
      </c>
      <c r="X21" s="20">
        <f t="shared" si="7"/>
        <v>75</v>
      </c>
      <c r="Y21" s="19" t="str">
        <f t="shared" si="8"/>
        <v>白</v>
      </c>
      <c r="Z21" s="19">
        <f t="shared" si="9"/>
        <v>1.32</v>
      </c>
      <c r="AA21" s="19">
        <f t="shared" si="10"/>
        <v>1.125</v>
      </c>
      <c r="AC21" s="20">
        <f>AB21</f>
        <v>0</v>
      </c>
      <c r="AE21" s="22"/>
      <c r="AF21" s="22"/>
      <c r="AG21" s="22"/>
      <c r="AH21" s="22"/>
      <c r="AI21" s="22"/>
      <c r="AJ21" s="22"/>
      <c r="AK21" s="22"/>
      <c r="AL21" s="22"/>
    </row>
    <row r="22" spans="1:38">
      <c r="A22" s="92" t="s">
        <v>125</v>
      </c>
      <c r="B22" s="93"/>
      <c r="C22" s="93"/>
      <c r="D22" s="40" t="s">
        <v>43</v>
      </c>
      <c r="E22" s="17">
        <f>IF(D21="あり",50,0)</f>
        <v>50</v>
      </c>
      <c r="F22" s="8" t="s">
        <v>63</v>
      </c>
      <c r="G22" s="23" t="s">
        <v>4</v>
      </c>
      <c r="H22" s="8">
        <v>160</v>
      </c>
      <c r="I22" s="8">
        <v>-25</v>
      </c>
      <c r="J22" s="11" t="s">
        <v>36</v>
      </c>
      <c r="K22" s="69"/>
      <c r="L22" s="27">
        <f t="shared" si="0"/>
        <v>105.75</v>
      </c>
      <c r="M22" s="26">
        <f t="shared" si="1"/>
        <v>0</v>
      </c>
      <c r="N22" s="27">
        <f t="shared" si="2"/>
        <v>105.75</v>
      </c>
      <c r="O22" s="78"/>
      <c r="Q22" s="21">
        <f>INT($W22*14/100*$C$5/100*$C$11/100*$Z22)*(100-$X22)/100+INT($W22*14/100*$C$5/100*$C$11/100*$Z22*1.25)*$X22/100</f>
        <v>33.799999999999997</v>
      </c>
      <c r="R22" s="21">
        <f>INT($W22*16/100*$C$5/100*$C$11/100*$Z22)*(100-$X22)/100+INT($W22*16/100*$C$5/100*$C$11/100*$Z22*1.25)*$X22/100</f>
        <v>38.15</v>
      </c>
      <c r="S22" s="21">
        <f t="shared" si="3"/>
        <v>105.75</v>
      </c>
      <c r="T22" s="21">
        <f>INT($AC22*$C$6/100*$C$11/100*$AA22)</f>
        <v>0</v>
      </c>
      <c r="U22" s="21">
        <f t="shared" si="4"/>
        <v>0</v>
      </c>
      <c r="V22" s="20">
        <f t="shared" si="5"/>
        <v>352</v>
      </c>
      <c r="W22" s="20">
        <f t="shared" si="6"/>
        <v>352</v>
      </c>
      <c r="X22" s="20">
        <f t="shared" si="7"/>
        <v>35</v>
      </c>
      <c r="Y22" s="19" t="str">
        <f t="shared" si="8"/>
        <v>白</v>
      </c>
      <c r="Z22" s="19">
        <f t="shared" si="9"/>
        <v>1.32</v>
      </c>
      <c r="AA22" s="19">
        <f t="shared" si="10"/>
        <v>1.125</v>
      </c>
      <c r="AC22" s="20">
        <f>AB22</f>
        <v>0</v>
      </c>
      <c r="AE22" s="22"/>
      <c r="AF22" s="22"/>
      <c r="AG22" s="22"/>
      <c r="AH22" s="22"/>
      <c r="AI22" s="22"/>
      <c r="AJ22" s="22"/>
      <c r="AK22" s="22"/>
      <c r="AL22" s="22"/>
    </row>
    <row r="23" spans="1:38">
      <c r="A23" s="92" t="s">
        <v>158</v>
      </c>
      <c r="B23" s="92"/>
      <c r="C23" s="92"/>
      <c r="D23" s="79" t="s">
        <v>43</v>
      </c>
      <c r="E23" s="17">
        <f>IF(D22="あり",-20,0)</f>
        <v>0</v>
      </c>
      <c r="F23" s="8" t="s">
        <v>67</v>
      </c>
      <c r="G23" s="23" t="s">
        <v>4</v>
      </c>
      <c r="H23" s="8">
        <v>160</v>
      </c>
      <c r="I23" s="8">
        <v>-10</v>
      </c>
      <c r="J23" s="11" t="s">
        <v>37</v>
      </c>
      <c r="K23" s="31" t="s">
        <v>91</v>
      </c>
      <c r="L23" s="27">
        <f t="shared" si="0"/>
        <v>99</v>
      </c>
      <c r="M23" s="26">
        <f t="shared" si="1"/>
        <v>6</v>
      </c>
      <c r="N23" s="27">
        <f t="shared" si="2"/>
        <v>105</v>
      </c>
      <c r="O23" s="78"/>
      <c r="Q23" s="21">
        <f>INT($W23*14/100*$C$5/100*$C$11/100*$Z23)*(100-$X23)/100+INT($W23*14/100*$C$5/100*$C$11/100*$Z23*1.25)*$X23/100</f>
        <v>31.5</v>
      </c>
      <c r="R23" s="21">
        <f>INT($W23*16/100*$C$5/100*$C$11/100*$Z23)*(100-$X23)/100+INT($W23*16/100*$C$5/100*$C$11/100*$Z23*1.25)*$X23/100</f>
        <v>36</v>
      </c>
      <c r="S23" s="21">
        <f t="shared" si="3"/>
        <v>99</v>
      </c>
      <c r="T23" s="21">
        <f>INT($AC23*$C$10/100*$C$11/100*$AA23)</f>
        <v>2</v>
      </c>
      <c r="U23" s="21">
        <f t="shared" si="4"/>
        <v>6</v>
      </c>
      <c r="V23" s="20">
        <f t="shared" si="5"/>
        <v>352</v>
      </c>
      <c r="W23" s="20">
        <f t="shared" si="6"/>
        <v>352</v>
      </c>
      <c r="X23" s="20">
        <f t="shared" si="7"/>
        <v>50</v>
      </c>
      <c r="Y23" s="19" t="str">
        <f t="shared" si="8"/>
        <v>青</v>
      </c>
      <c r="Z23" s="19">
        <f t="shared" si="9"/>
        <v>1.2</v>
      </c>
      <c r="AA23" s="19">
        <f t="shared" si="10"/>
        <v>1.0625</v>
      </c>
      <c r="AB23" s="33">
        <v>16</v>
      </c>
      <c r="AC23" s="20">
        <f>AB23</f>
        <v>16</v>
      </c>
      <c r="AE23" s="22"/>
      <c r="AF23" s="22"/>
      <c r="AG23" s="22"/>
      <c r="AH23" s="22"/>
      <c r="AI23" s="22"/>
      <c r="AJ23" s="22"/>
    </row>
    <row r="24" spans="1:38" ht="13.8" thickBot="1">
      <c r="B24" s="6"/>
      <c r="C24" s="13"/>
      <c r="D24" s="13"/>
      <c r="F24" s="8" t="s">
        <v>68</v>
      </c>
      <c r="G24" s="23" t="s">
        <v>4</v>
      </c>
      <c r="H24" s="8">
        <v>160</v>
      </c>
      <c r="I24" s="8">
        <v>-10</v>
      </c>
      <c r="J24" s="11" t="s">
        <v>37</v>
      </c>
      <c r="K24" s="82" t="s">
        <v>92</v>
      </c>
      <c r="L24" s="27">
        <f t="shared" si="0"/>
        <v>99</v>
      </c>
      <c r="M24" s="26">
        <f t="shared" si="1"/>
        <v>6</v>
      </c>
      <c r="N24" s="27">
        <f t="shared" si="2"/>
        <v>105</v>
      </c>
      <c r="O24" s="78"/>
      <c r="Q24" s="21">
        <f>INT($W24*14/100*$C$5/100*$C$11/100*$Z24)*(100-$X24)/100+INT($W24*14/100*$C$5/100*$C$11/100*$Z24*1.25)*$X24/100</f>
        <v>31.5</v>
      </c>
      <c r="R24" s="21">
        <f>INT($W24*16/100*$C$5/100*$C$11/100*$Z24)*(100-$X24)/100+INT($W24*16/100*$C$5/100*$C$11/100*$Z24*1.25)*$X24/100</f>
        <v>36</v>
      </c>
      <c r="S24" s="21">
        <f t="shared" si="3"/>
        <v>99</v>
      </c>
      <c r="T24" s="21">
        <f>INT($AC24*$C$8/100*$C$11/100*$AA24)</f>
        <v>2</v>
      </c>
      <c r="U24" s="21">
        <f t="shared" si="4"/>
        <v>6</v>
      </c>
      <c r="V24" s="20">
        <f t="shared" si="5"/>
        <v>352</v>
      </c>
      <c r="W24" s="20">
        <f t="shared" si="6"/>
        <v>352</v>
      </c>
      <c r="X24" s="20">
        <f t="shared" si="7"/>
        <v>50</v>
      </c>
      <c r="Y24" s="19" t="str">
        <f t="shared" si="8"/>
        <v>青</v>
      </c>
      <c r="Z24" s="19">
        <f t="shared" si="9"/>
        <v>1.2</v>
      </c>
      <c r="AA24" s="19">
        <f t="shared" si="10"/>
        <v>1.0625</v>
      </c>
      <c r="AB24" s="33">
        <v>16</v>
      </c>
      <c r="AC24" s="20">
        <f>IF($D$16="あり",INT(AB24*1.1+6),AB24)</f>
        <v>16</v>
      </c>
      <c r="AE24" s="22"/>
      <c r="AF24" s="22"/>
      <c r="AG24" s="22"/>
      <c r="AH24" s="22"/>
      <c r="AI24" s="22"/>
      <c r="AJ24" s="22"/>
    </row>
    <row r="25" spans="1:38" ht="13.8" thickBot="1">
      <c r="A25" s="103" t="s">
        <v>119</v>
      </c>
      <c r="B25" s="104"/>
      <c r="C25" s="104"/>
      <c r="D25" s="105"/>
      <c r="F25" s="8" t="s">
        <v>64</v>
      </c>
      <c r="G25" s="23" t="s">
        <v>4</v>
      </c>
      <c r="H25" s="8">
        <v>185</v>
      </c>
      <c r="I25" s="8">
        <v>-15</v>
      </c>
      <c r="J25" s="11" t="s">
        <v>37</v>
      </c>
      <c r="K25" s="82"/>
      <c r="L25" s="27">
        <f t="shared" si="0"/>
        <v>105.25</v>
      </c>
      <c r="M25" s="26">
        <f t="shared" si="1"/>
        <v>0</v>
      </c>
      <c r="N25" s="27">
        <f t="shared" si="2"/>
        <v>105.25</v>
      </c>
      <c r="O25" s="78"/>
      <c r="Q25" s="21">
        <f>INT($W25*14/100*$C$5/100*$C$11/100*$Z25)*(100-$X25)/100+INT($W25*14/100*$C$5/100*$C$11/100*$Z25*1.25)*$X25/100</f>
        <v>33.6</v>
      </c>
      <c r="R25" s="21">
        <f>INT($W25*16/100*$C$5/100*$C$11/100*$Z25)*(100-$X25)/100+INT($W25*16/100*$C$5/100*$C$11/100*$Z25*1.25)*$X25/100</f>
        <v>38.049999999999997</v>
      </c>
      <c r="S25" s="21">
        <f t="shared" si="3"/>
        <v>105.25</v>
      </c>
      <c r="T25" s="21">
        <f>INT($AC25*$C$6/100*$C$11/100*$AA25)</f>
        <v>0</v>
      </c>
      <c r="U25" s="21">
        <f t="shared" si="4"/>
        <v>0</v>
      </c>
      <c r="V25" s="20">
        <f t="shared" si="5"/>
        <v>377</v>
      </c>
      <c r="W25" s="20">
        <f t="shared" si="6"/>
        <v>377</v>
      </c>
      <c r="X25" s="20">
        <f t="shared" si="7"/>
        <v>45</v>
      </c>
      <c r="Y25" s="19" t="str">
        <f t="shared" si="8"/>
        <v>青</v>
      </c>
      <c r="Z25" s="19">
        <f t="shared" si="9"/>
        <v>1.2</v>
      </c>
      <c r="AA25" s="19">
        <f t="shared" si="10"/>
        <v>1.0625</v>
      </c>
      <c r="AC25" s="20">
        <f>AB25</f>
        <v>0</v>
      </c>
      <c r="AE25" s="22"/>
      <c r="AF25" s="22"/>
      <c r="AG25" s="22"/>
      <c r="AH25" s="22"/>
      <c r="AI25" s="22"/>
      <c r="AJ25" s="22"/>
    </row>
    <row r="26" spans="1:38">
      <c r="A26" s="108" t="s">
        <v>70</v>
      </c>
      <c r="B26" s="109"/>
      <c r="C26" s="109"/>
      <c r="D26" s="110"/>
      <c r="F26" s="8" t="s">
        <v>28</v>
      </c>
      <c r="G26" s="23" t="s">
        <v>35</v>
      </c>
      <c r="H26" s="8">
        <v>170</v>
      </c>
      <c r="I26" s="8">
        <v>0</v>
      </c>
      <c r="J26" s="11" t="s">
        <v>37</v>
      </c>
      <c r="K26" s="82" t="s">
        <v>93</v>
      </c>
      <c r="L26" s="27">
        <f t="shared" si="0"/>
        <v>104.2</v>
      </c>
      <c r="M26" s="26">
        <f t="shared" si="1"/>
        <v>0</v>
      </c>
      <c r="N26" s="27">
        <f t="shared" si="2"/>
        <v>104.2</v>
      </c>
      <c r="O26" s="78"/>
      <c r="Q26" s="21">
        <f>INT($W26*14/100*$C$4/100*$C$11/100*$Z26)*(100-$X26)/100+INT($W26*14/100*$C$4/100*$C$11/100*$Z26*1.25)*$X26/100</f>
        <v>33.200000000000003</v>
      </c>
      <c r="R26" s="21">
        <f>INT($W26*16/100*$C$4/100*$C$11/100*$Z26)*(100-$X26)/100+INT($W26*16/100*$C$4/100*$C$11/100*$Z26*1.25)*$X26/100</f>
        <v>37.799999999999997</v>
      </c>
      <c r="S26" s="21">
        <f t="shared" si="3"/>
        <v>104.2</v>
      </c>
      <c r="T26" s="21">
        <f>INT($AC26*$C$6/100*$C$11/100*$AA26)</f>
        <v>0</v>
      </c>
      <c r="U26" s="21">
        <f t="shared" si="4"/>
        <v>0</v>
      </c>
      <c r="V26" s="20">
        <f t="shared" si="5"/>
        <v>362</v>
      </c>
      <c r="W26" s="20">
        <f t="shared" si="6"/>
        <v>362</v>
      </c>
      <c r="X26" s="20">
        <f t="shared" si="7"/>
        <v>60</v>
      </c>
      <c r="Y26" s="19" t="str">
        <f t="shared" si="8"/>
        <v>青</v>
      </c>
      <c r="Z26" s="19">
        <f t="shared" si="9"/>
        <v>1.2</v>
      </c>
      <c r="AA26" s="19">
        <f t="shared" si="10"/>
        <v>1.0625</v>
      </c>
      <c r="AC26" s="20">
        <f>AB26</f>
        <v>0</v>
      </c>
      <c r="AE26" s="22"/>
      <c r="AF26" s="22"/>
      <c r="AG26" s="22"/>
      <c r="AH26" s="22"/>
      <c r="AI26" s="22"/>
      <c r="AJ26" s="22"/>
    </row>
    <row r="27" spans="1:38">
      <c r="A27" s="97" t="s">
        <v>71</v>
      </c>
      <c r="B27" s="98"/>
      <c r="C27" s="98"/>
      <c r="D27" s="99"/>
      <c r="F27" s="8" t="s">
        <v>62</v>
      </c>
      <c r="G27" s="23" t="s">
        <v>35</v>
      </c>
      <c r="H27" s="8">
        <v>110</v>
      </c>
      <c r="I27" s="8">
        <v>0</v>
      </c>
      <c r="J27" s="11" t="s">
        <v>37</v>
      </c>
      <c r="K27" s="31" t="s">
        <v>89</v>
      </c>
      <c r="L27" s="27">
        <f t="shared" si="0"/>
        <v>86.4</v>
      </c>
      <c r="M27" s="26">
        <f t="shared" si="1"/>
        <v>18</v>
      </c>
      <c r="N27" s="27">
        <f t="shared" si="2"/>
        <v>104.4</v>
      </c>
      <c r="O27" s="78"/>
      <c r="Q27" s="21">
        <f>INT($W27*14/100*$C$4/100*$C$11/100*$Z27)*(100-$X27)/100+INT($W27*14/100*$C$4/100*$C$11/100*$Z27*1.25)*$X27/100</f>
        <v>27.6</v>
      </c>
      <c r="R27" s="21">
        <f>INT($W27*16/100*$C$4/100*$C$11/100*$Z27)*(100-$X27)/100+INT($W27*16/100*$C$4/100*$C$11/100*$Z27*1.25)*$X27/100</f>
        <v>31.2</v>
      </c>
      <c r="S27" s="21">
        <f t="shared" si="3"/>
        <v>86.4</v>
      </c>
      <c r="T27" s="21">
        <f>INT($AC27*$C$8/100*$C$11/100*$AA27)</f>
        <v>6</v>
      </c>
      <c r="U27" s="21">
        <f t="shared" si="4"/>
        <v>18</v>
      </c>
      <c r="V27" s="20">
        <f t="shared" si="5"/>
        <v>302</v>
      </c>
      <c r="W27" s="20">
        <f t="shared" si="6"/>
        <v>302</v>
      </c>
      <c r="X27" s="20">
        <f t="shared" si="7"/>
        <v>60</v>
      </c>
      <c r="Y27" s="19" t="str">
        <f t="shared" si="8"/>
        <v>青</v>
      </c>
      <c r="Z27" s="19">
        <f t="shared" si="9"/>
        <v>1.2</v>
      </c>
      <c r="AA27" s="19">
        <f t="shared" si="10"/>
        <v>1.0625</v>
      </c>
      <c r="AB27" s="33">
        <v>40</v>
      </c>
      <c r="AC27" s="20">
        <f>IF($D$16="あり",INT(AB27*1.1+6),AB27)</f>
        <v>40</v>
      </c>
      <c r="AE27" s="22"/>
      <c r="AF27" s="22"/>
      <c r="AG27" s="22"/>
      <c r="AH27" s="22"/>
      <c r="AI27" s="22"/>
      <c r="AJ27" s="22"/>
    </row>
    <row r="28" spans="1:38" ht="13.8" thickBot="1">
      <c r="A28" s="94" t="s">
        <v>72</v>
      </c>
      <c r="B28" s="95"/>
      <c r="C28" s="95"/>
      <c r="D28" s="96"/>
      <c r="F28" s="8" t="s">
        <v>19</v>
      </c>
      <c r="G28" s="23" t="s">
        <v>35</v>
      </c>
      <c r="H28" s="8">
        <v>135</v>
      </c>
      <c r="I28" s="8">
        <v>5</v>
      </c>
      <c r="J28" s="11" t="s">
        <v>36</v>
      </c>
      <c r="K28" s="30" t="s">
        <v>94</v>
      </c>
      <c r="L28" s="27">
        <f t="shared" si="0"/>
        <v>105.3</v>
      </c>
      <c r="M28" s="26">
        <f t="shared" si="1"/>
        <v>0</v>
      </c>
      <c r="N28" s="27">
        <f t="shared" si="2"/>
        <v>105.3</v>
      </c>
      <c r="O28" s="78"/>
      <c r="Q28" s="21">
        <f>INT($W28*14/100*$C$4/100*$C$11/100*$Z28)*(100-$X28)/100+INT($W28*14/100*$C$4/100*$C$11/100*$Z28*1.25)*$X28/100</f>
        <v>33.549999999999997</v>
      </c>
      <c r="R28" s="21">
        <f>INT($W28*16/100*$C$4/100*$C$11/100*$Z28)*(100-$X28)/100+INT($W28*16/100*$C$4/100*$C$11/100*$Z28*1.25)*$X28/100</f>
        <v>38.200000000000003</v>
      </c>
      <c r="S28" s="21">
        <f t="shared" si="3"/>
        <v>105.3</v>
      </c>
      <c r="T28" s="21">
        <f>INT($AC28*$C$6/100*$C$11/100*$AA28)</f>
        <v>0</v>
      </c>
      <c r="U28" s="21">
        <f t="shared" si="4"/>
        <v>0</v>
      </c>
      <c r="V28" s="20">
        <f t="shared" si="5"/>
        <v>327</v>
      </c>
      <c r="W28" s="20">
        <f t="shared" si="6"/>
        <v>327</v>
      </c>
      <c r="X28" s="20">
        <f t="shared" si="7"/>
        <v>65</v>
      </c>
      <c r="Y28" s="19" t="str">
        <f t="shared" si="8"/>
        <v>白</v>
      </c>
      <c r="Z28" s="19">
        <f t="shared" si="9"/>
        <v>1.32</v>
      </c>
      <c r="AA28" s="19">
        <f t="shared" si="10"/>
        <v>1.125</v>
      </c>
      <c r="AC28" s="20">
        <f>AB28</f>
        <v>0</v>
      </c>
      <c r="AE28" s="22"/>
      <c r="AF28" s="22"/>
      <c r="AG28" s="22"/>
      <c r="AH28" s="22"/>
      <c r="AI28" s="22"/>
      <c r="AJ28" s="22"/>
    </row>
    <row r="29" spans="1:38">
      <c r="F29" s="8" t="s">
        <v>61</v>
      </c>
      <c r="G29" s="23" t="s">
        <v>35</v>
      </c>
      <c r="H29" s="8">
        <v>150</v>
      </c>
      <c r="I29" s="8">
        <v>10</v>
      </c>
      <c r="J29" s="11" t="s">
        <v>123</v>
      </c>
      <c r="K29" s="69"/>
      <c r="L29" s="27">
        <f t="shared" si="0"/>
        <v>100.4</v>
      </c>
      <c r="M29" s="26">
        <f t="shared" si="1"/>
        <v>0</v>
      </c>
      <c r="N29" s="27">
        <f t="shared" si="2"/>
        <v>100.4</v>
      </c>
      <c r="O29" s="78"/>
      <c r="Q29" s="21">
        <f>INT($W29*14/100*$C$4/100*$C$11/100*$Z29)*(100-$X29)/100+INT($W29*14/100*$C$4/100*$C$11/100*$Z29*1.25)*$X29/100</f>
        <v>31.9</v>
      </c>
      <c r="R29" s="21">
        <f>INT($W29*16/100*$C$4/100*$C$11/100*$Z29)*(100-$X29)/100+INT($W29*16/100*$C$4/100*$C$11/100*$Z29*1.25)*$X29/100</f>
        <v>36.6</v>
      </c>
      <c r="S29" s="21">
        <f t="shared" si="3"/>
        <v>100.4</v>
      </c>
      <c r="T29" s="21">
        <f>INT($AC29*$C$6/100*$C$11/100*$AA29)</f>
        <v>0</v>
      </c>
      <c r="U29" s="21">
        <f t="shared" si="4"/>
        <v>0</v>
      </c>
      <c r="V29" s="20">
        <f t="shared" si="5"/>
        <v>342</v>
      </c>
      <c r="W29" s="20">
        <f t="shared" si="6"/>
        <v>342</v>
      </c>
      <c r="X29" s="20">
        <f t="shared" si="7"/>
        <v>70</v>
      </c>
      <c r="Y29" s="19" t="str">
        <f t="shared" si="8"/>
        <v>青</v>
      </c>
      <c r="Z29" s="19">
        <f t="shared" si="9"/>
        <v>1.2</v>
      </c>
      <c r="AA29" s="19">
        <f t="shared" si="10"/>
        <v>1.0625</v>
      </c>
      <c r="AC29" s="20">
        <f>AB29</f>
        <v>0</v>
      </c>
      <c r="AE29" s="22"/>
      <c r="AF29" s="22"/>
      <c r="AG29" s="22"/>
      <c r="AH29" s="22"/>
      <c r="AI29" s="22"/>
      <c r="AJ29" s="22"/>
    </row>
    <row r="31" spans="1:38">
      <c r="AC31" s="20"/>
    </row>
  </sheetData>
  <autoFilter ref="F1:AC1">
    <filterColumn colId="11" showButton="0"/>
    <filterColumn colId="12" showButton="0"/>
    <filterColumn colId="14" showButton="0"/>
    <sortState ref="F2:AC29">
      <sortCondition descending="1" ref="N1"/>
    </sortState>
  </autoFilter>
  <mergeCells count="21">
    <mergeCell ref="Q1:S1"/>
    <mergeCell ref="A25:D25"/>
    <mergeCell ref="T1:U1"/>
    <mergeCell ref="A26:D26"/>
    <mergeCell ref="A20:C20"/>
    <mergeCell ref="A16:C16"/>
    <mergeCell ref="A17:C17"/>
    <mergeCell ref="A18:C18"/>
    <mergeCell ref="A19:C19"/>
    <mergeCell ref="A2:B2"/>
    <mergeCell ref="A3:B3"/>
    <mergeCell ref="A4:A10"/>
    <mergeCell ref="A13:C13"/>
    <mergeCell ref="A14:C14"/>
    <mergeCell ref="A23:C23"/>
    <mergeCell ref="A1:E1"/>
    <mergeCell ref="A15:C15"/>
    <mergeCell ref="A21:C21"/>
    <mergeCell ref="A22:C22"/>
    <mergeCell ref="A28:D28"/>
    <mergeCell ref="A27:D27"/>
  </mergeCells>
  <phoneticPr fontId="1"/>
  <dataValidations count="1">
    <dataValidation type="list" allowBlank="1" showInputMessage="1" showErrorMessage="1" sqref="D13:D23">
      <formula1>"あり,なし"</formula1>
    </dataValidation>
  </dataValidations>
  <pageMargins left="0.7" right="0.7" top="0.75" bottom="0.75" header="0.3" footer="0.3"/>
  <pageSetup paperSize="9" orientation="portrait" r:id="rId1"/>
  <ignoredErrors>
    <ignoredError sqref="E15 W30:AD32 AD10:AD29 Q30:U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workbookViewId="0">
      <selection activeCell="K8" sqref="K8"/>
    </sheetView>
  </sheetViews>
  <sheetFormatPr defaultRowHeight="13.2"/>
  <cols>
    <col min="1" max="1" width="2.88671875" customWidth="1"/>
    <col min="2" max="2" width="3.5546875" bestFit="1" customWidth="1"/>
    <col min="3" max="3" width="4.5546875" style="4" bestFit="1" customWidth="1"/>
    <col min="4" max="4" width="4.5546875" style="4" customWidth="1"/>
    <col min="5" max="5" width="8.88671875" style="14"/>
    <col min="6" max="6" width="20.88671875" bestFit="1" customWidth="1"/>
    <col min="7" max="7" width="3" customWidth="1"/>
    <col min="8" max="8" width="4" customWidth="1"/>
    <col min="9" max="9" width="4.21875" customWidth="1"/>
    <col min="10" max="10" width="3.109375" customWidth="1"/>
    <col min="11" max="11" width="5.44140625" style="12" customWidth="1"/>
    <col min="12" max="12" width="6.77734375" style="12" customWidth="1"/>
    <col min="13" max="13" width="4.21875" style="12" customWidth="1"/>
    <col min="14" max="14" width="5.6640625" style="12" customWidth="1"/>
    <col min="15" max="16" width="6.88671875" style="67" customWidth="1"/>
    <col min="17" max="17" width="5.5546875" style="13" customWidth="1"/>
    <col min="18" max="20" width="5.88671875" customWidth="1"/>
    <col min="21" max="22" width="2.5546875" bestFit="1" customWidth="1"/>
    <col min="23" max="23" width="3.5546875" style="22" bestFit="1" customWidth="1"/>
    <col min="24" max="31" width="2.33203125" style="15" customWidth="1"/>
    <col min="32" max="33" width="11.21875" style="22" customWidth="1"/>
  </cols>
  <sheetData>
    <row r="1" spans="1:50" ht="58.2" customHeight="1">
      <c r="A1" s="120"/>
      <c r="B1" s="120"/>
      <c r="C1" s="120"/>
      <c r="D1" s="120"/>
      <c r="E1" s="121"/>
      <c r="F1" s="36"/>
      <c r="G1" s="37" t="s">
        <v>110</v>
      </c>
      <c r="H1" s="37" t="s">
        <v>111</v>
      </c>
      <c r="I1" s="37" t="s">
        <v>112</v>
      </c>
      <c r="J1" s="38" t="s">
        <v>114</v>
      </c>
      <c r="K1" s="37" t="s">
        <v>113</v>
      </c>
      <c r="L1" s="39" t="s">
        <v>115</v>
      </c>
      <c r="M1" s="39" t="s">
        <v>113</v>
      </c>
      <c r="N1" s="39" t="s">
        <v>116</v>
      </c>
      <c r="O1" s="39" t="s">
        <v>156</v>
      </c>
      <c r="P1" s="73"/>
      <c r="Q1"/>
      <c r="R1" s="128" t="s">
        <v>117</v>
      </c>
      <c r="S1" s="129"/>
      <c r="T1" s="129"/>
      <c r="U1" s="140" t="s">
        <v>118</v>
      </c>
      <c r="V1" s="140"/>
      <c r="W1" s="140"/>
      <c r="X1" s="72" t="s">
        <v>32</v>
      </c>
      <c r="Y1" s="72" t="s">
        <v>32</v>
      </c>
      <c r="Z1" s="19" t="s">
        <v>33</v>
      </c>
      <c r="AA1" s="19" t="s">
        <v>34</v>
      </c>
      <c r="AB1" s="20"/>
      <c r="AC1" s="20"/>
      <c r="AD1" s="20" t="s">
        <v>49</v>
      </c>
      <c r="AE1" s="20" t="s">
        <v>49</v>
      </c>
      <c r="AH1" s="22"/>
      <c r="AI1" s="22"/>
      <c r="AJ1" s="22"/>
      <c r="AK1" s="22"/>
      <c r="AL1" s="22"/>
      <c r="AM1" s="22"/>
    </row>
    <row r="2" spans="1:50">
      <c r="A2" s="88" t="s">
        <v>0</v>
      </c>
      <c r="B2" s="90"/>
      <c r="C2" s="70">
        <v>120</v>
      </c>
      <c r="D2" s="5"/>
      <c r="F2" s="8" t="s">
        <v>11</v>
      </c>
      <c r="G2" s="9" t="s">
        <v>35</v>
      </c>
      <c r="H2" s="9">
        <v>176</v>
      </c>
      <c r="I2" s="9">
        <v>20</v>
      </c>
      <c r="J2" s="10" t="s">
        <v>36</v>
      </c>
      <c r="K2" s="32"/>
      <c r="L2" s="34">
        <f t="shared" ref="L2:L23" si="0">T2</f>
        <v>83.699999999999989</v>
      </c>
      <c r="M2" s="35">
        <f t="shared" ref="M2:M23" si="1">W2</f>
        <v>0</v>
      </c>
      <c r="N2" s="74">
        <f t="shared" ref="N2:N23" si="2">L2+M2</f>
        <v>83.699999999999989</v>
      </c>
      <c r="O2" s="74">
        <f t="shared" ref="O2:O23" si="3">N2*2</f>
        <v>167.39999999999998</v>
      </c>
      <c r="P2" s="77"/>
      <c r="R2" s="21">
        <f>INT($Y2*$E$21/100*$C$4/100*$C$11/100*$AB2)*(100-$Z2)/100+INT($Y2*$E$21/100*$C$4/100*$C$11/100*$AB2*1.25)*$Z2/100</f>
        <v>42</v>
      </c>
      <c r="S2" s="21">
        <f>INT($Y2*$E$24/100*$C$4/100*$C$11/100*$AB2)*(100-$Z2)/100+INT($Y2*$E$24/100*$C$4/100*$C$11/100*$AB2*1.25)*$Z2/100</f>
        <v>13.899999999999999</v>
      </c>
      <c r="T2" s="21">
        <f t="shared" ref="T2:T23" si="4">R2+S2*3</f>
        <v>83.699999999999989</v>
      </c>
      <c r="U2" s="21">
        <f>INT($AE2*$C$6/100*$C$11/100*$AC2)</f>
        <v>0</v>
      </c>
      <c r="V2" s="21">
        <f>INT($AE2*$C$6/100*$C$11/100*$AC2*0.5)</f>
        <v>0</v>
      </c>
      <c r="W2" s="21">
        <f t="shared" ref="W2:W23" si="5">U2+V2*3</f>
        <v>0</v>
      </c>
      <c r="X2" s="20">
        <f t="shared" ref="X2:X23" si="6">IF($D$19="あり",INT(($D$3+H2)*1.1),$D$3+H2)</f>
        <v>382</v>
      </c>
      <c r="Y2" s="20">
        <f t="shared" ref="Y2:Y23" si="7">IF($D$25="あり",INT(X2*1.1),X2)</f>
        <v>420</v>
      </c>
      <c r="Z2" s="20">
        <f t="shared" ref="Z2:Z23" si="8">I2+$E$17+$E$18</f>
        <v>30</v>
      </c>
      <c r="AA2" s="19" t="str">
        <f t="shared" ref="AA2:AA23" si="9">IF($D$20="あり","白",J2)</f>
        <v>白</v>
      </c>
      <c r="AB2" s="19">
        <f t="shared" ref="AB2:AB23" si="10">IF(AA2="白",1.32,1.2)</f>
        <v>1.32</v>
      </c>
      <c r="AC2" s="19">
        <f t="shared" ref="AC2:AC23" si="11">IF(AA2="白",1.125,1.0625)</f>
        <v>1.125</v>
      </c>
      <c r="AD2" s="33"/>
      <c r="AE2" s="20">
        <f>AD2</f>
        <v>0</v>
      </c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>
      <c r="A3" s="88" t="s">
        <v>1</v>
      </c>
      <c r="B3" s="90"/>
      <c r="C3" s="70">
        <v>15</v>
      </c>
      <c r="D3" s="18">
        <f>C2+C3+E13+E14+E15+E23+E26</f>
        <v>172</v>
      </c>
      <c r="F3" s="8" t="s">
        <v>19</v>
      </c>
      <c r="G3" s="9" t="s">
        <v>35</v>
      </c>
      <c r="H3" s="8">
        <v>164</v>
      </c>
      <c r="I3" s="8">
        <v>5</v>
      </c>
      <c r="J3" s="11" t="s">
        <v>36</v>
      </c>
      <c r="K3" s="31" t="s">
        <v>107</v>
      </c>
      <c r="L3" s="28">
        <f t="shared" si="0"/>
        <v>77.3</v>
      </c>
      <c r="M3" s="16">
        <f t="shared" si="1"/>
        <v>0</v>
      </c>
      <c r="N3" s="74">
        <f t="shared" si="2"/>
        <v>77.3</v>
      </c>
      <c r="O3" s="74">
        <f t="shared" si="3"/>
        <v>154.6</v>
      </c>
      <c r="P3" s="77"/>
      <c r="R3" s="21">
        <f>INT($Y3*$E$21/100*$C$4/100*$C$11/100*$AB3)*(100-$Z3)/100+INT($Y3*$E$21/100*$C$4/100*$C$11/100*$AB3*1.25)*$Z3/100</f>
        <v>39.5</v>
      </c>
      <c r="S3" s="21">
        <f>INT($Y3*$E$24/100*$C$4/100*$C$11/100*$AB3)*(100-$Z3)/100+INT($Y3*$E$24/100*$C$4/100*$C$11/100*$AB3*1.25)*$Z3/100</f>
        <v>12.6</v>
      </c>
      <c r="T3" s="21">
        <f t="shared" si="4"/>
        <v>77.3</v>
      </c>
      <c r="U3" s="21">
        <f>INT($AE3*$C$6/100*$C$11/100*$AC3)</f>
        <v>0</v>
      </c>
      <c r="V3" s="21">
        <f>INT($AE3*$C$6/100*$C$11/100*$AC3*0.5)</f>
        <v>0</v>
      </c>
      <c r="W3" s="21">
        <f t="shared" si="5"/>
        <v>0</v>
      </c>
      <c r="X3" s="20">
        <f t="shared" si="6"/>
        <v>369</v>
      </c>
      <c r="Y3" s="20">
        <f t="shared" si="7"/>
        <v>405</v>
      </c>
      <c r="Z3" s="20">
        <f t="shared" si="8"/>
        <v>15</v>
      </c>
      <c r="AA3" s="19" t="str">
        <f t="shared" si="9"/>
        <v>白</v>
      </c>
      <c r="AB3" s="19">
        <f t="shared" si="10"/>
        <v>1.32</v>
      </c>
      <c r="AC3" s="19">
        <f t="shared" si="11"/>
        <v>1.125</v>
      </c>
      <c r="AD3" s="33"/>
      <c r="AE3" s="20">
        <f>AD3</f>
        <v>0</v>
      </c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0">
      <c r="A4" s="114" t="s">
        <v>2</v>
      </c>
      <c r="B4" s="1" t="s">
        <v>3</v>
      </c>
      <c r="C4" s="70">
        <v>60</v>
      </c>
      <c r="D4" s="5"/>
      <c r="F4" s="8" t="s">
        <v>12</v>
      </c>
      <c r="G4" s="9" t="s">
        <v>35</v>
      </c>
      <c r="H4" s="8">
        <v>162</v>
      </c>
      <c r="I4" s="8">
        <v>5</v>
      </c>
      <c r="J4" s="11" t="s">
        <v>37</v>
      </c>
      <c r="K4" s="83" t="s">
        <v>100</v>
      </c>
      <c r="L4" s="28">
        <f t="shared" si="0"/>
        <v>69.699999999999989</v>
      </c>
      <c r="M4" s="16">
        <f t="shared" si="1"/>
        <v>10</v>
      </c>
      <c r="N4" s="74">
        <f t="shared" si="2"/>
        <v>79.699999999999989</v>
      </c>
      <c r="O4" s="74">
        <f t="shared" si="3"/>
        <v>159.39999999999998</v>
      </c>
      <c r="P4" s="77"/>
      <c r="R4" s="21">
        <f>INT($Y4*$E$21/100*$C$4/100*$C$11/100*$AB4)*(100-$Z4)/100+INT($Y4*$E$21/100*$C$4/100*$C$11/100*$AB4*1.25)*$Z4/100</f>
        <v>35.35</v>
      </c>
      <c r="S4" s="21">
        <f>INT($Y4*$E$24/100*$C$4/100*$C$11/100*$AB4)*(100-$Z4)/100+INT($Y4*$E$24/100*$C$4/100*$C$11/100*$AB4*1.25)*$Z4/100</f>
        <v>11.45</v>
      </c>
      <c r="T4" s="21">
        <f t="shared" si="4"/>
        <v>69.699999999999989</v>
      </c>
      <c r="U4" s="21">
        <f>INT($AE4*$C$8/100*$C$11/100*$AC4)</f>
        <v>4</v>
      </c>
      <c r="V4" s="21">
        <f>INT($AE4*$C$8/100*$C$11/100*$AC4*0.5)</f>
        <v>2</v>
      </c>
      <c r="W4" s="21">
        <f t="shared" si="5"/>
        <v>10</v>
      </c>
      <c r="X4" s="20">
        <f t="shared" si="6"/>
        <v>367</v>
      </c>
      <c r="Y4" s="20">
        <f t="shared" si="7"/>
        <v>403</v>
      </c>
      <c r="Z4" s="20">
        <f t="shared" si="8"/>
        <v>15</v>
      </c>
      <c r="AA4" s="19" t="str">
        <f t="shared" si="9"/>
        <v>青</v>
      </c>
      <c r="AB4" s="19">
        <f t="shared" si="10"/>
        <v>1.2</v>
      </c>
      <c r="AC4" s="19">
        <f t="shared" si="11"/>
        <v>1.0625</v>
      </c>
      <c r="AD4" s="33">
        <v>26</v>
      </c>
      <c r="AE4" s="20">
        <f>IF($D$16="あり",INT(AD4*1.1+6),AD4)</f>
        <v>26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>
      <c r="A5" s="115"/>
      <c r="B5" s="1" t="s">
        <v>4</v>
      </c>
      <c r="C5" s="70">
        <v>60</v>
      </c>
      <c r="D5" s="5"/>
      <c r="F5" s="8" t="s">
        <v>13</v>
      </c>
      <c r="G5" s="9" t="s">
        <v>35</v>
      </c>
      <c r="H5" s="8">
        <v>154</v>
      </c>
      <c r="I5" s="8">
        <v>10</v>
      </c>
      <c r="J5" s="11" t="s">
        <v>37</v>
      </c>
      <c r="K5" s="31" t="s">
        <v>96</v>
      </c>
      <c r="L5" s="28">
        <f t="shared" si="0"/>
        <v>69.599999999999994</v>
      </c>
      <c r="M5" s="16">
        <f t="shared" si="1"/>
        <v>10</v>
      </c>
      <c r="N5" s="74">
        <f t="shared" si="2"/>
        <v>79.599999999999994</v>
      </c>
      <c r="O5" s="74">
        <f t="shared" si="3"/>
        <v>159.19999999999999</v>
      </c>
      <c r="P5" s="77"/>
      <c r="R5" s="21">
        <f>INT($Y5*$E$21/100*$C$4/100*$C$11/100*$AB5)*(100-$Z5)/100+INT($Y5*$E$21/100*$C$4/100*$C$11/100*$AB5*1.25)*$Z5/100</f>
        <v>34.799999999999997</v>
      </c>
      <c r="S5" s="21">
        <f>INT($Y5*$E$24/100*$C$4/100*$C$11/100*$AB5)*(100-$Z5)/100+INT($Y5*$E$24/100*$C$4/100*$C$11/100*$AB5*1.25)*$Z5/100</f>
        <v>11.600000000000001</v>
      </c>
      <c r="T5" s="21">
        <f t="shared" si="4"/>
        <v>69.599999999999994</v>
      </c>
      <c r="U5" s="21">
        <f>INT($AE5*$C$10/100*$C$11/100*$AC5)</f>
        <v>4</v>
      </c>
      <c r="V5" s="21">
        <f>INT($AE5*$C$10/100*$C$11/100*$AC5*0.5)</f>
        <v>2</v>
      </c>
      <c r="W5" s="21">
        <f t="shared" si="5"/>
        <v>10</v>
      </c>
      <c r="X5" s="20">
        <f t="shared" si="6"/>
        <v>358</v>
      </c>
      <c r="Y5" s="20">
        <f t="shared" si="7"/>
        <v>393</v>
      </c>
      <c r="Z5" s="20">
        <f t="shared" si="8"/>
        <v>20</v>
      </c>
      <c r="AA5" s="19" t="str">
        <f t="shared" si="9"/>
        <v>青</v>
      </c>
      <c r="AB5" s="19">
        <f t="shared" si="10"/>
        <v>1.2</v>
      </c>
      <c r="AC5" s="19">
        <f t="shared" si="11"/>
        <v>1.0625</v>
      </c>
      <c r="AD5" s="33">
        <v>24</v>
      </c>
      <c r="AE5" s="20">
        <f>AD5</f>
        <v>24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>
      <c r="A6" s="115"/>
      <c r="B6" s="1" t="s">
        <v>5</v>
      </c>
      <c r="C6" s="70">
        <v>20</v>
      </c>
      <c r="D6" s="5"/>
      <c r="F6" s="8" t="s">
        <v>14</v>
      </c>
      <c r="G6" s="9" t="s">
        <v>35</v>
      </c>
      <c r="H6" s="8">
        <v>162</v>
      </c>
      <c r="I6" s="8">
        <v>0</v>
      </c>
      <c r="J6" s="11" t="s">
        <v>37</v>
      </c>
      <c r="K6" s="80" t="s">
        <v>95</v>
      </c>
      <c r="L6" s="28">
        <f t="shared" si="0"/>
        <v>68.800000000000011</v>
      </c>
      <c r="M6" s="16">
        <f t="shared" si="1"/>
        <v>10</v>
      </c>
      <c r="N6" s="74">
        <f t="shared" si="2"/>
        <v>78.800000000000011</v>
      </c>
      <c r="O6" s="74">
        <f t="shared" si="3"/>
        <v>157.60000000000002</v>
      </c>
      <c r="P6" s="77"/>
      <c r="R6" s="21">
        <f>INT($Y6*$E$21/100*$C$4/100*$C$11/100*$AB6)*(100-$Z6)/100+INT($Y6*$E$21/100*$C$4/100*$C$11/100*$AB6*1.25)*$Z6/100</f>
        <v>34.9</v>
      </c>
      <c r="S6" s="21">
        <f>INT($Y6*$E$24/100*$C$4/100*$C$11/100*$AB6)*(100-$Z6)/100+INT($Y6*$E$24/100*$C$4/100*$C$11/100*$AB6*1.25)*$Z6/100</f>
        <v>11.3</v>
      </c>
      <c r="T6" s="21">
        <f t="shared" si="4"/>
        <v>68.800000000000011</v>
      </c>
      <c r="U6" s="21">
        <f>INT($AE6*$C$6/100*$C$11/100*$AC6)</f>
        <v>4</v>
      </c>
      <c r="V6" s="21">
        <f>INT($AE6*$C$6/100*$C$11/100*$AC6*0.5)</f>
        <v>2</v>
      </c>
      <c r="W6" s="21">
        <f t="shared" si="5"/>
        <v>10</v>
      </c>
      <c r="X6" s="20">
        <f t="shared" si="6"/>
        <v>367</v>
      </c>
      <c r="Y6" s="20">
        <f t="shared" si="7"/>
        <v>403</v>
      </c>
      <c r="Z6" s="20">
        <f t="shared" si="8"/>
        <v>10</v>
      </c>
      <c r="AA6" s="19" t="str">
        <f t="shared" si="9"/>
        <v>青</v>
      </c>
      <c r="AB6" s="19">
        <f t="shared" si="10"/>
        <v>1.2</v>
      </c>
      <c r="AC6" s="19">
        <f t="shared" si="11"/>
        <v>1.0625</v>
      </c>
      <c r="AD6" s="33">
        <v>24</v>
      </c>
      <c r="AE6" s="20">
        <f>IF($D$16="あり",INT(AD6*1.1+6),AD6)</f>
        <v>24</v>
      </c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>
      <c r="A7" s="115"/>
      <c r="B7" s="1" t="s">
        <v>6</v>
      </c>
      <c r="C7" s="70">
        <v>20</v>
      </c>
      <c r="D7" s="5"/>
      <c r="F7" s="8" t="s">
        <v>15</v>
      </c>
      <c r="G7" s="9" t="s">
        <v>4</v>
      </c>
      <c r="H7" s="8">
        <v>146</v>
      </c>
      <c r="I7" s="8">
        <v>0</v>
      </c>
      <c r="J7" s="11" t="s">
        <v>37</v>
      </c>
      <c r="K7" s="31" t="s">
        <v>104</v>
      </c>
      <c r="L7" s="28">
        <f t="shared" si="0"/>
        <v>67.400000000000006</v>
      </c>
      <c r="M7" s="16">
        <f t="shared" si="1"/>
        <v>11</v>
      </c>
      <c r="N7" s="74">
        <f t="shared" si="2"/>
        <v>78.400000000000006</v>
      </c>
      <c r="O7" s="74">
        <f t="shared" si="3"/>
        <v>156.80000000000001</v>
      </c>
      <c r="P7" s="77"/>
      <c r="R7" s="21">
        <f>INT($Y7*$E$21/100*$C$5/100*$C$11/100*$AB7)*(100-$Z7)/100+INT($Y7*$E$21/100*$C$5/100*$C$11/100*$AB7*1.25)*$Z7/100</f>
        <v>33.799999999999997</v>
      </c>
      <c r="S7" s="21">
        <f>INT($Y7*$E$24/100*$C$5/100*$C$11/100*$AB7)*(100-$Z7)/100+INT($Y7*$E$24/100*$C$5/100*$C$11/100*$AB7*1.25)*$Z7/100</f>
        <v>11.200000000000001</v>
      </c>
      <c r="T7" s="21">
        <f t="shared" si="4"/>
        <v>67.400000000000006</v>
      </c>
      <c r="U7" s="21">
        <f>INT($AE7*$C$9/100*$C$11/100*$AC7)</f>
        <v>5</v>
      </c>
      <c r="V7" s="21">
        <f>INT($AE7*$C$9/100*$C$11/100*$AC7*0.5)</f>
        <v>2</v>
      </c>
      <c r="W7" s="21">
        <f t="shared" si="5"/>
        <v>11</v>
      </c>
      <c r="X7" s="20">
        <f t="shared" si="6"/>
        <v>349</v>
      </c>
      <c r="Y7" s="20">
        <f t="shared" si="7"/>
        <v>383</v>
      </c>
      <c r="Z7" s="20">
        <f t="shared" si="8"/>
        <v>10</v>
      </c>
      <c r="AA7" s="19" t="str">
        <f t="shared" si="9"/>
        <v>青</v>
      </c>
      <c r="AB7" s="19">
        <f t="shared" si="10"/>
        <v>1.2</v>
      </c>
      <c r="AC7" s="19">
        <f t="shared" si="11"/>
        <v>1.0625</v>
      </c>
      <c r="AD7" s="33">
        <v>32</v>
      </c>
      <c r="AE7" s="20">
        <f>AD7</f>
        <v>32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>
      <c r="A8" s="115"/>
      <c r="B8" s="1" t="s">
        <v>8</v>
      </c>
      <c r="C8" s="70">
        <v>20</v>
      </c>
      <c r="F8" s="8" t="s">
        <v>17</v>
      </c>
      <c r="G8" s="9" t="s">
        <v>35</v>
      </c>
      <c r="H8" s="8">
        <v>175</v>
      </c>
      <c r="I8" s="8">
        <v>-10</v>
      </c>
      <c r="J8" s="11" t="s">
        <v>37</v>
      </c>
      <c r="K8" s="80" t="s">
        <v>103</v>
      </c>
      <c r="L8" s="28">
        <f t="shared" si="0"/>
        <v>72</v>
      </c>
      <c r="M8" s="16">
        <f t="shared" si="1"/>
        <v>6</v>
      </c>
      <c r="N8" s="74">
        <f t="shared" si="2"/>
        <v>78</v>
      </c>
      <c r="O8" s="74">
        <f t="shared" si="3"/>
        <v>156</v>
      </c>
      <c r="P8" s="77"/>
      <c r="R8" s="21">
        <f>INT($Y8*$E$21/100*$C$4/100*$C$11/100*$AB8)*(100-$Z8)/100+INT($Y8*$E$21/100*$C$4/100*$C$11/100*$AB8*1.25)*$Z8/100</f>
        <v>36</v>
      </c>
      <c r="S8" s="21">
        <f>INT($Y8*$E$24/100*$C$4/100*$C$11/100*$AB8)*(100-$Z8)/100+INT($Y8*$E$24/100*$C$4/100*$C$11/100*$AB8*1.25)*$Z8/100</f>
        <v>12</v>
      </c>
      <c r="T8" s="21">
        <f t="shared" si="4"/>
        <v>72</v>
      </c>
      <c r="U8" s="21">
        <f>INT($AE8*$C$7/100*$C$11/100*$AC8)</f>
        <v>3</v>
      </c>
      <c r="V8" s="21">
        <f>INT($AE8*$C$7/100*$C$11/100*$AC8*0.5)</f>
        <v>1</v>
      </c>
      <c r="W8" s="21">
        <f t="shared" si="5"/>
        <v>6</v>
      </c>
      <c r="X8" s="20">
        <f t="shared" si="6"/>
        <v>381</v>
      </c>
      <c r="Y8" s="20">
        <f t="shared" si="7"/>
        <v>419</v>
      </c>
      <c r="Z8" s="20">
        <f t="shared" si="8"/>
        <v>0</v>
      </c>
      <c r="AA8" s="19" t="str">
        <f t="shared" si="9"/>
        <v>青</v>
      </c>
      <c r="AB8" s="19">
        <f t="shared" si="10"/>
        <v>1.2</v>
      </c>
      <c r="AC8" s="19">
        <f t="shared" si="11"/>
        <v>1.0625</v>
      </c>
      <c r="AD8" s="33">
        <v>22</v>
      </c>
      <c r="AE8" s="20">
        <f>AD8</f>
        <v>22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0">
      <c r="A9" s="115"/>
      <c r="B9" s="1" t="s">
        <v>7</v>
      </c>
      <c r="C9" s="70">
        <v>20</v>
      </c>
      <c r="D9" s="5"/>
      <c r="F9" s="24" t="s">
        <v>159</v>
      </c>
      <c r="G9" s="87" t="s">
        <v>160</v>
      </c>
      <c r="H9" s="24">
        <v>146</v>
      </c>
      <c r="I9" s="24">
        <v>5</v>
      </c>
      <c r="J9" s="25" t="s">
        <v>161</v>
      </c>
      <c r="K9" s="31" t="s">
        <v>162</v>
      </c>
      <c r="L9" s="28">
        <f t="shared" si="0"/>
        <v>68.099999999999994</v>
      </c>
      <c r="M9" s="16">
        <f t="shared" si="1"/>
        <v>10</v>
      </c>
      <c r="N9" s="74">
        <f t="shared" si="2"/>
        <v>78.099999999999994</v>
      </c>
      <c r="O9" s="74">
        <f t="shared" si="3"/>
        <v>156.19999999999999</v>
      </c>
      <c r="P9" s="77"/>
      <c r="R9" s="21">
        <f>INT($Y9*$E$21/100*$C$5/100*$C$11/100*$AB9)*(100-$Z9)/100+INT($Y9*$E$21/100*$C$5/100*$C$11/100*$AB9*1.25)*$Z9/100</f>
        <v>34.200000000000003</v>
      </c>
      <c r="S9" s="21">
        <f>INT($Y9*$E$24/100*$C$5/100*$C$11/100*$AB9)*(100-$Z9)/100+INT($Y9*$E$24/100*$C$5/100*$C$11/100*$AB9*1.25)*$Z9/100</f>
        <v>11.299999999999999</v>
      </c>
      <c r="T9" s="21">
        <f t="shared" si="4"/>
        <v>68.099999999999994</v>
      </c>
      <c r="U9" s="21">
        <f>INT($AE9*$C$10/100*$C$11/100*$AC9)</f>
        <v>4</v>
      </c>
      <c r="V9" s="21">
        <f>INT($AE9*$C$10/100*$C$11/100*$AC9*0.5)</f>
        <v>2</v>
      </c>
      <c r="W9" s="21">
        <f t="shared" si="5"/>
        <v>10</v>
      </c>
      <c r="X9" s="20">
        <f t="shared" si="6"/>
        <v>349</v>
      </c>
      <c r="Y9" s="20">
        <f t="shared" si="7"/>
        <v>383</v>
      </c>
      <c r="Z9" s="20">
        <f t="shared" si="8"/>
        <v>15</v>
      </c>
      <c r="AA9" s="19" t="str">
        <f t="shared" si="9"/>
        <v>青</v>
      </c>
      <c r="AB9" s="19">
        <f t="shared" si="10"/>
        <v>1.2</v>
      </c>
      <c r="AC9" s="19">
        <f t="shared" si="11"/>
        <v>1.0625</v>
      </c>
      <c r="AD9" s="33">
        <v>26</v>
      </c>
      <c r="AE9" s="20">
        <f>AD9</f>
        <v>26</v>
      </c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>
      <c r="A10" s="116"/>
      <c r="B10" s="1" t="s">
        <v>9</v>
      </c>
      <c r="C10" s="70">
        <v>20</v>
      </c>
      <c r="D10" s="5"/>
      <c r="F10" s="8" t="s">
        <v>16</v>
      </c>
      <c r="G10" s="9" t="s">
        <v>35</v>
      </c>
      <c r="H10" s="8">
        <v>150</v>
      </c>
      <c r="I10" s="8">
        <v>0</v>
      </c>
      <c r="J10" s="11" t="s">
        <v>37</v>
      </c>
      <c r="K10" s="83" t="s">
        <v>97</v>
      </c>
      <c r="L10" s="28">
        <f t="shared" si="0"/>
        <v>67.800000000000011</v>
      </c>
      <c r="M10" s="16">
        <f t="shared" si="1"/>
        <v>10</v>
      </c>
      <c r="N10" s="74">
        <f t="shared" si="2"/>
        <v>77.800000000000011</v>
      </c>
      <c r="O10" s="74">
        <f t="shared" si="3"/>
        <v>155.60000000000002</v>
      </c>
      <c r="P10" s="77"/>
      <c r="R10" s="21">
        <f>INT($Y10*$E$21/100*$C$4/100*$C$11/100*$AB10)*(100-$Z10)/100+INT($Y10*$E$21/100*$C$4/100*$C$11/100*$AB10*1.25)*$Z10/100</f>
        <v>33.9</v>
      </c>
      <c r="S10" s="21">
        <f>INT($Y10*$E$24/100*$C$4/100*$C$11/100*$AB10)*(100-$Z10)/100+INT($Y10*$E$24/100*$C$4/100*$C$11/100*$AB10*1.25)*$Z10/100</f>
        <v>11.3</v>
      </c>
      <c r="T10" s="21">
        <f t="shared" si="4"/>
        <v>67.800000000000011</v>
      </c>
      <c r="U10" s="21">
        <f>INT($AE10*$C$6/100*$C$11/100*$AC10)</f>
        <v>4</v>
      </c>
      <c r="V10" s="21">
        <f>INT($AE10*$C$6/100*$C$11/100*$AC10*0.5)</f>
        <v>2</v>
      </c>
      <c r="W10" s="21">
        <f t="shared" si="5"/>
        <v>10</v>
      </c>
      <c r="X10" s="20">
        <f t="shared" si="6"/>
        <v>354</v>
      </c>
      <c r="Y10" s="20">
        <f t="shared" si="7"/>
        <v>389</v>
      </c>
      <c r="Z10" s="20">
        <f t="shared" si="8"/>
        <v>10</v>
      </c>
      <c r="AA10" s="19" t="str">
        <f t="shared" si="9"/>
        <v>青</v>
      </c>
      <c r="AB10" s="19">
        <f t="shared" si="10"/>
        <v>1.2</v>
      </c>
      <c r="AC10" s="19">
        <f t="shared" si="11"/>
        <v>1.0625</v>
      </c>
      <c r="AD10" s="33">
        <v>26</v>
      </c>
      <c r="AE10" s="20">
        <f>IF($D$16="あり",INT(AD10*1.1+6),AD10)</f>
        <v>26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>
      <c r="A11" s="2" t="s">
        <v>10</v>
      </c>
      <c r="B11" s="3"/>
      <c r="C11" s="70">
        <v>80</v>
      </c>
      <c r="D11" s="5"/>
      <c r="F11" s="8" t="s">
        <v>18</v>
      </c>
      <c r="G11" s="9" t="s">
        <v>4</v>
      </c>
      <c r="H11" s="8">
        <v>138</v>
      </c>
      <c r="I11" s="8">
        <v>0</v>
      </c>
      <c r="J11" s="11" t="s">
        <v>37</v>
      </c>
      <c r="K11" s="31" t="s">
        <v>86</v>
      </c>
      <c r="L11" s="28">
        <f t="shared" si="0"/>
        <v>63.7</v>
      </c>
      <c r="M11" s="16">
        <f t="shared" si="1"/>
        <v>10</v>
      </c>
      <c r="N11" s="74">
        <f t="shared" si="2"/>
        <v>73.7</v>
      </c>
      <c r="O11" s="74">
        <f t="shared" si="3"/>
        <v>147.4</v>
      </c>
      <c r="P11" s="77"/>
      <c r="R11" s="21">
        <f>INT($Y11*$E$21/100*$C$5/100*$C$11/100*$AB11)*(100-$Z11)/100+INT($Y11*$E$21/100*$C$5/100*$C$11/100*$AB11*1.25)*$Z11/100</f>
        <v>32.799999999999997</v>
      </c>
      <c r="S11" s="21">
        <f>INT($Y11*$E$24/100*$C$5/100*$C$11/100*$AB11)*(100-$Z11)/100+INT($Y11*$E$24/100*$C$5/100*$C$11/100*$AB11*1.25)*$Z11/100</f>
        <v>10.3</v>
      </c>
      <c r="T11" s="21">
        <f t="shared" si="4"/>
        <v>63.7</v>
      </c>
      <c r="U11" s="21">
        <f>INT($AE11*$C$7/100*$C$11/100*$AC11)</f>
        <v>4</v>
      </c>
      <c r="V11" s="21">
        <f>INT($AE11*$C$7/100*$C$11/100*$AC11*0.5)</f>
        <v>2</v>
      </c>
      <c r="W11" s="21">
        <f t="shared" si="5"/>
        <v>10</v>
      </c>
      <c r="X11" s="20">
        <f t="shared" si="6"/>
        <v>341</v>
      </c>
      <c r="Y11" s="20">
        <f t="shared" si="7"/>
        <v>375</v>
      </c>
      <c r="Z11" s="20">
        <f t="shared" si="8"/>
        <v>10</v>
      </c>
      <c r="AA11" s="19" t="str">
        <f t="shared" si="9"/>
        <v>青</v>
      </c>
      <c r="AB11" s="19">
        <f t="shared" si="10"/>
        <v>1.2</v>
      </c>
      <c r="AC11" s="19">
        <f t="shared" si="11"/>
        <v>1.0625</v>
      </c>
      <c r="AD11" s="33">
        <v>26</v>
      </c>
      <c r="AE11" s="20">
        <f>AD11</f>
        <v>26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50">
      <c r="F12" s="8" t="s">
        <v>20</v>
      </c>
      <c r="G12" s="9" t="s">
        <v>35</v>
      </c>
      <c r="H12" s="8">
        <v>144</v>
      </c>
      <c r="I12" s="8">
        <v>10</v>
      </c>
      <c r="J12" s="11" t="s">
        <v>36</v>
      </c>
      <c r="K12" s="80"/>
      <c r="L12" s="28">
        <f t="shared" si="0"/>
        <v>75.599999999999994</v>
      </c>
      <c r="M12" s="16">
        <f t="shared" si="1"/>
        <v>0</v>
      </c>
      <c r="N12" s="74">
        <f t="shared" si="2"/>
        <v>75.599999999999994</v>
      </c>
      <c r="O12" s="74">
        <f t="shared" si="3"/>
        <v>151.19999999999999</v>
      </c>
      <c r="P12" s="77"/>
      <c r="R12" s="21">
        <f t="shared" ref="R12:R18" si="12">INT($Y12*$E$21/100*$C$4/100*$C$11/100*$AB12)*(100-$Z12)/100+INT($Y12*$E$21/100*$C$4/100*$C$11/100*$AB12*1.25)*$Z12/100</f>
        <v>37.799999999999997</v>
      </c>
      <c r="S12" s="21">
        <f t="shared" ref="S12:S18" si="13">INT($Y12*$E$24/100*$C$4/100*$C$11/100*$AB12)*(100-$Z12)/100+INT($Y12*$E$24/100*$C$4/100*$C$11/100*$AB12*1.25)*$Z12/100</f>
        <v>12.6</v>
      </c>
      <c r="T12" s="21">
        <f t="shared" si="4"/>
        <v>75.599999999999994</v>
      </c>
      <c r="U12" s="21">
        <f>INT($AE12*$C$6/100*$C$11/100*$AC12)</f>
        <v>0</v>
      </c>
      <c r="V12" s="21">
        <f>INT($AE12*$C$6/100*$C$11/100*$AC12*0.5)</f>
        <v>0</v>
      </c>
      <c r="W12" s="21">
        <f t="shared" si="5"/>
        <v>0</v>
      </c>
      <c r="X12" s="20">
        <f t="shared" si="6"/>
        <v>347</v>
      </c>
      <c r="Y12" s="20">
        <f t="shared" si="7"/>
        <v>381</v>
      </c>
      <c r="Z12" s="20">
        <f t="shared" si="8"/>
        <v>20</v>
      </c>
      <c r="AA12" s="19" t="str">
        <f t="shared" si="9"/>
        <v>白</v>
      </c>
      <c r="AB12" s="19">
        <f t="shared" si="10"/>
        <v>1.32</v>
      </c>
      <c r="AC12" s="19">
        <f t="shared" si="11"/>
        <v>1.125</v>
      </c>
      <c r="AD12" s="33"/>
      <c r="AE12" s="20">
        <f>AD12</f>
        <v>0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>
      <c r="A13" s="88" t="s">
        <v>40</v>
      </c>
      <c r="B13" s="89"/>
      <c r="C13" s="90"/>
      <c r="D13" s="7" t="s">
        <v>43</v>
      </c>
      <c r="E13" s="17">
        <f>IF(D13="あり",40,0)</f>
        <v>0</v>
      </c>
      <c r="F13" s="8" t="s">
        <v>21</v>
      </c>
      <c r="G13" s="9" t="s">
        <v>35</v>
      </c>
      <c r="H13" s="8">
        <v>124</v>
      </c>
      <c r="I13" s="8">
        <v>10</v>
      </c>
      <c r="J13" s="11" t="s">
        <v>36</v>
      </c>
      <c r="K13" s="83" t="s">
        <v>99</v>
      </c>
      <c r="L13" s="28">
        <f t="shared" si="0"/>
        <v>69.599999999999994</v>
      </c>
      <c r="M13" s="16">
        <f t="shared" si="1"/>
        <v>5</v>
      </c>
      <c r="N13" s="74">
        <f t="shared" si="2"/>
        <v>74.599999999999994</v>
      </c>
      <c r="O13" s="74">
        <f t="shared" si="3"/>
        <v>149.19999999999999</v>
      </c>
      <c r="P13" s="77"/>
      <c r="R13" s="21">
        <f t="shared" si="12"/>
        <v>34.799999999999997</v>
      </c>
      <c r="S13" s="21">
        <f t="shared" si="13"/>
        <v>11.600000000000001</v>
      </c>
      <c r="T13" s="21">
        <f t="shared" si="4"/>
        <v>69.599999999999994</v>
      </c>
      <c r="U13" s="21">
        <f>INT($AE13*$C$10/100*$C$11/100*$AC13)</f>
        <v>2</v>
      </c>
      <c r="V13" s="21">
        <f>INT($AE13*$C$10/100*$C$11/100*$AC13*0.5)</f>
        <v>1</v>
      </c>
      <c r="W13" s="21">
        <f t="shared" si="5"/>
        <v>5</v>
      </c>
      <c r="X13" s="20">
        <f t="shared" si="6"/>
        <v>325</v>
      </c>
      <c r="Y13" s="20">
        <f t="shared" si="7"/>
        <v>357</v>
      </c>
      <c r="Z13" s="20">
        <f t="shared" si="8"/>
        <v>20</v>
      </c>
      <c r="AA13" s="19" t="str">
        <f t="shared" si="9"/>
        <v>白</v>
      </c>
      <c r="AB13" s="19">
        <f t="shared" si="10"/>
        <v>1.32</v>
      </c>
      <c r="AC13" s="19">
        <f t="shared" si="11"/>
        <v>1.125</v>
      </c>
      <c r="AD13" s="33">
        <v>16</v>
      </c>
      <c r="AE13" s="20">
        <f>AD13</f>
        <v>16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>
      <c r="A14" s="117" t="s">
        <v>41</v>
      </c>
      <c r="B14" s="118"/>
      <c r="C14" s="119"/>
      <c r="D14" s="7" t="s">
        <v>39</v>
      </c>
      <c r="E14" s="17">
        <f>IF(D14="あり",30,0)</f>
        <v>30</v>
      </c>
      <c r="F14" s="8" t="s">
        <v>22</v>
      </c>
      <c r="G14" s="9" t="s">
        <v>35</v>
      </c>
      <c r="H14" s="8">
        <v>152</v>
      </c>
      <c r="I14" s="8">
        <v>0</v>
      </c>
      <c r="J14" s="11" t="s">
        <v>37</v>
      </c>
      <c r="K14" s="31" t="s">
        <v>98</v>
      </c>
      <c r="L14" s="28">
        <f t="shared" si="0"/>
        <v>67.800000000000011</v>
      </c>
      <c r="M14" s="16">
        <f t="shared" si="1"/>
        <v>6</v>
      </c>
      <c r="N14" s="74">
        <f t="shared" si="2"/>
        <v>73.800000000000011</v>
      </c>
      <c r="O14" s="74">
        <f t="shared" si="3"/>
        <v>147.60000000000002</v>
      </c>
      <c r="P14" s="77"/>
      <c r="R14" s="21">
        <f t="shared" si="12"/>
        <v>33.9</v>
      </c>
      <c r="S14" s="21">
        <f t="shared" si="13"/>
        <v>11.3</v>
      </c>
      <c r="T14" s="21">
        <f t="shared" si="4"/>
        <v>67.800000000000011</v>
      </c>
      <c r="U14" s="21">
        <f>INT($AE14*$C$10/100*$C$11/100*$AC14)</f>
        <v>3</v>
      </c>
      <c r="V14" s="21">
        <f>INT($AE14*$C$10/100*$C$11/100*$AC14*0.5)</f>
        <v>1</v>
      </c>
      <c r="W14" s="21">
        <f t="shared" si="5"/>
        <v>6</v>
      </c>
      <c r="X14" s="20">
        <f t="shared" si="6"/>
        <v>356</v>
      </c>
      <c r="Y14" s="20">
        <f t="shared" si="7"/>
        <v>391</v>
      </c>
      <c r="Z14" s="20">
        <f t="shared" si="8"/>
        <v>10</v>
      </c>
      <c r="AA14" s="19" t="str">
        <f t="shared" si="9"/>
        <v>青</v>
      </c>
      <c r="AB14" s="19">
        <f t="shared" si="10"/>
        <v>1.2</v>
      </c>
      <c r="AC14" s="19">
        <f t="shared" si="11"/>
        <v>1.0625</v>
      </c>
      <c r="AD14" s="33">
        <v>20</v>
      </c>
      <c r="AE14" s="20">
        <f>AD14</f>
        <v>20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>
      <c r="A15" s="88" t="s">
        <v>42</v>
      </c>
      <c r="B15" s="89"/>
      <c r="C15" s="90"/>
      <c r="D15" s="7" t="s">
        <v>43</v>
      </c>
      <c r="E15" s="17">
        <f>IF(D15="あり",C2*0.5,0)</f>
        <v>0</v>
      </c>
      <c r="F15" s="8" t="s">
        <v>27</v>
      </c>
      <c r="G15" s="9" t="s">
        <v>35</v>
      </c>
      <c r="H15" s="8">
        <v>138</v>
      </c>
      <c r="I15" s="8">
        <v>0</v>
      </c>
      <c r="J15" s="11" t="s">
        <v>36</v>
      </c>
      <c r="K15" s="29" t="s">
        <v>102</v>
      </c>
      <c r="L15" s="28">
        <f t="shared" si="0"/>
        <v>69.800000000000011</v>
      </c>
      <c r="M15" s="16">
        <f t="shared" si="1"/>
        <v>1</v>
      </c>
      <c r="N15" s="74">
        <f t="shared" si="2"/>
        <v>70.800000000000011</v>
      </c>
      <c r="O15" s="74">
        <f t="shared" si="3"/>
        <v>141.60000000000002</v>
      </c>
      <c r="P15" s="77"/>
      <c r="R15" s="21">
        <f t="shared" si="12"/>
        <v>35.9</v>
      </c>
      <c r="S15" s="21">
        <f t="shared" si="13"/>
        <v>11.3</v>
      </c>
      <c r="T15" s="21">
        <f t="shared" si="4"/>
        <v>69.800000000000011</v>
      </c>
      <c r="U15" s="21">
        <f>INT($AE15*$C$6/100*$C$11/100*$AC15)</f>
        <v>1</v>
      </c>
      <c r="V15" s="21">
        <f>INT($AE15*$C$6/100*$C$11/100*$AC15*0.5)</f>
        <v>0</v>
      </c>
      <c r="W15" s="21">
        <f t="shared" si="5"/>
        <v>1</v>
      </c>
      <c r="X15" s="20">
        <f t="shared" si="6"/>
        <v>341</v>
      </c>
      <c r="Y15" s="20">
        <f t="shared" si="7"/>
        <v>375</v>
      </c>
      <c r="Z15" s="20">
        <f t="shared" si="8"/>
        <v>10</v>
      </c>
      <c r="AA15" s="19" t="str">
        <f t="shared" si="9"/>
        <v>白</v>
      </c>
      <c r="AB15" s="19">
        <f t="shared" si="10"/>
        <v>1.32</v>
      </c>
      <c r="AC15" s="19">
        <f t="shared" si="11"/>
        <v>1.125</v>
      </c>
      <c r="AD15" s="33">
        <v>8</v>
      </c>
      <c r="AE15" s="20">
        <f>IF($D$16="あり",INT(AD15*1.1+6),AD15)</f>
        <v>8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>
      <c r="A16" s="88" t="s">
        <v>45</v>
      </c>
      <c r="B16" s="89"/>
      <c r="C16" s="90"/>
      <c r="D16" s="7" t="s">
        <v>43</v>
      </c>
      <c r="E16" s="17">
        <f>IF(D16="あり",30,0)</f>
        <v>0</v>
      </c>
      <c r="F16" s="8" t="s">
        <v>23</v>
      </c>
      <c r="G16" s="9" t="s">
        <v>35</v>
      </c>
      <c r="H16" s="8">
        <v>166</v>
      </c>
      <c r="I16" s="8">
        <v>0</v>
      </c>
      <c r="J16" s="11" t="s">
        <v>37</v>
      </c>
      <c r="K16" s="31"/>
      <c r="L16" s="28">
        <f t="shared" si="0"/>
        <v>69.800000000000011</v>
      </c>
      <c r="M16" s="16">
        <f t="shared" si="1"/>
        <v>0</v>
      </c>
      <c r="N16" s="74">
        <f t="shared" si="2"/>
        <v>69.800000000000011</v>
      </c>
      <c r="O16" s="74">
        <f t="shared" si="3"/>
        <v>139.60000000000002</v>
      </c>
      <c r="P16" s="77"/>
      <c r="R16" s="21">
        <f t="shared" si="12"/>
        <v>35.9</v>
      </c>
      <c r="S16" s="21">
        <f t="shared" si="13"/>
        <v>11.3</v>
      </c>
      <c r="T16" s="21">
        <f t="shared" si="4"/>
        <v>69.800000000000011</v>
      </c>
      <c r="U16" s="21">
        <f>INT($AE16*$C$6/100*$C$11/100*$AC16)</f>
        <v>0</v>
      </c>
      <c r="V16" s="21">
        <f>INT($AE16*$C$6/100*$C$11/100*$AC16*0.5)</f>
        <v>0</v>
      </c>
      <c r="W16" s="21">
        <f t="shared" si="5"/>
        <v>0</v>
      </c>
      <c r="X16" s="20">
        <f t="shared" si="6"/>
        <v>371</v>
      </c>
      <c r="Y16" s="20">
        <f t="shared" si="7"/>
        <v>408</v>
      </c>
      <c r="Z16" s="20">
        <f t="shared" si="8"/>
        <v>10</v>
      </c>
      <c r="AA16" s="19" t="str">
        <f t="shared" si="9"/>
        <v>青</v>
      </c>
      <c r="AB16" s="19">
        <f t="shared" si="10"/>
        <v>1.2</v>
      </c>
      <c r="AC16" s="19">
        <f t="shared" si="11"/>
        <v>1.0625</v>
      </c>
      <c r="AD16" s="33"/>
      <c r="AE16" s="20">
        <f>AD16</f>
        <v>0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>
      <c r="A17" s="111" t="s">
        <v>44</v>
      </c>
      <c r="B17" s="112"/>
      <c r="C17" s="113"/>
      <c r="D17" s="7" t="s">
        <v>43</v>
      </c>
      <c r="E17" s="17">
        <f>IF(D17="あり",20,0)</f>
        <v>0</v>
      </c>
      <c r="F17" s="8" t="s">
        <v>25</v>
      </c>
      <c r="G17" s="9" t="s">
        <v>35</v>
      </c>
      <c r="H17" s="8">
        <v>135</v>
      </c>
      <c r="I17" s="8">
        <v>-15</v>
      </c>
      <c r="J17" s="11" t="s">
        <v>36</v>
      </c>
      <c r="K17" s="83" t="s">
        <v>84</v>
      </c>
      <c r="L17" s="28">
        <f t="shared" si="0"/>
        <v>67.150000000000006</v>
      </c>
      <c r="M17" s="16">
        <f t="shared" si="1"/>
        <v>5</v>
      </c>
      <c r="N17" s="74">
        <f t="shared" si="2"/>
        <v>72.150000000000006</v>
      </c>
      <c r="O17" s="74">
        <f t="shared" si="3"/>
        <v>144.30000000000001</v>
      </c>
      <c r="P17" s="77"/>
      <c r="R17" s="21">
        <f t="shared" si="12"/>
        <v>34.6</v>
      </c>
      <c r="S17" s="21">
        <f t="shared" si="13"/>
        <v>10.850000000000001</v>
      </c>
      <c r="T17" s="21">
        <f t="shared" si="4"/>
        <v>67.150000000000006</v>
      </c>
      <c r="U17" s="21">
        <f>INT($AE17*$C$8/100*$C$11/100*$AC17)</f>
        <v>2</v>
      </c>
      <c r="V17" s="21">
        <f>INT($AE17*$C$8/100*$C$11/100*$AC17*0.5)</f>
        <v>1</v>
      </c>
      <c r="W17" s="21">
        <f t="shared" si="5"/>
        <v>5</v>
      </c>
      <c r="X17" s="20">
        <f t="shared" si="6"/>
        <v>337</v>
      </c>
      <c r="Y17" s="20">
        <f t="shared" si="7"/>
        <v>370</v>
      </c>
      <c r="Z17" s="20">
        <f t="shared" si="8"/>
        <v>-5</v>
      </c>
      <c r="AA17" s="19" t="str">
        <f t="shared" si="9"/>
        <v>白</v>
      </c>
      <c r="AB17" s="19">
        <f t="shared" si="10"/>
        <v>1.32</v>
      </c>
      <c r="AC17" s="19">
        <f t="shared" si="11"/>
        <v>1.125</v>
      </c>
      <c r="AD17" s="33">
        <v>16</v>
      </c>
      <c r="AE17" s="20">
        <f>IF($D$16="あり",INT(AD17*1.1+6),AD17)</f>
        <v>16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>
      <c r="A18" s="111" t="s">
        <v>46</v>
      </c>
      <c r="B18" s="112"/>
      <c r="C18" s="113"/>
      <c r="D18" s="7" t="s">
        <v>39</v>
      </c>
      <c r="E18" s="17">
        <f>IF(D18="あり",10,0)</f>
        <v>10</v>
      </c>
      <c r="F18" s="8" t="s">
        <v>26</v>
      </c>
      <c r="G18" s="9" t="s">
        <v>35</v>
      </c>
      <c r="H18" s="8">
        <v>144</v>
      </c>
      <c r="I18" s="8">
        <v>20</v>
      </c>
      <c r="J18" s="11" t="s">
        <v>37</v>
      </c>
      <c r="K18" s="31" t="s">
        <v>101</v>
      </c>
      <c r="L18" s="28">
        <f t="shared" si="0"/>
        <v>67.400000000000006</v>
      </c>
      <c r="M18" s="16">
        <f t="shared" si="1"/>
        <v>1</v>
      </c>
      <c r="N18" s="74">
        <f t="shared" si="2"/>
        <v>68.400000000000006</v>
      </c>
      <c r="O18" s="74">
        <f t="shared" si="3"/>
        <v>136.80000000000001</v>
      </c>
      <c r="P18" s="77"/>
      <c r="R18" s="21">
        <f t="shared" si="12"/>
        <v>34.700000000000003</v>
      </c>
      <c r="S18" s="21">
        <f t="shared" si="13"/>
        <v>10.9</v>
      </c>
      <c r="T18" s="21">
        <f t="shared" si="4"/>
        <v>67.400000000000006</v>
      </c>
      <c r="U18" s="21">
        <f>INT($AE18*$C$10/100*$C$11/100*$AC18)</f>
        <v>1</v>
      </c>
      <c r="V18" s="21">
        <f>INT($AE18*$C$10/100*$C$11/100*$AC18*0.5)</f>
        <v>0</v>
      </c>
      <c r="W18" s="21">
        <f t="shared" si="5"/>
        <v>1</v>
      </c>
      <c r="X18" s="20">
        <f t="shared" si="6"/>
        <v>347</v>
      </c>
      <c r="Y18" s="20">
        <f t="shared" si="7"/>
        <v>381</v>
      </c>
      <c r="Z18" s="20">
        <f t="shared" si="8"/>
        <v>30</v>
      </c>
      <c r="AA18" s="19" t="str">
        <f t="shared" si="9"/>
        <v>青</v>
      </c>
      <c r="AB18" s="19">
        <f t="shared" si="10"/>
        <v>1.2</v>
      </c>
      <c r="AC18" s="19">
        <f t="shared" si="11"/>
        <v>1.0625</v>
      </c>
      <c r="AD18" s="33">
        <v>10</v>
      </c>
      <c r="AE18" s="20">
        <f t="shared" ref="AE18:AE23" si="14">AD18</f>
        <v>10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>
      <c r="A19" s="88" t="s">
        <v>47</v>
      </c>
      <c r="B19" s="89"/>
      <c r="C19" s="90"/>
      <c r="D19" s="7" t="s">
        <v>39</v>
      </c>
      <c r="E19" s="17"/>
      <c r="F19" s="8" t="s">
        <v>24</v>
      </c>
      <c r="G19" s="9" t="s">
        <v>4</v>
      </c>
      <c r="H19" s="8">
        <v>134</v>
      </c>
      <c r="I19" s="8">
        <v>0</v>
      </c>
      <c r="J19" s="11" t="s">
        <v>37</v>
      </c>
      <c r="K19" s="83" t="s">
        <v>81</v>
      </c>
      <c r="L19" s="28">
        <f t="shared" si="0"/>
        <v>62.7</v>
      </c>
      <c r="M19" s="16">
        <f t="shared" si="1"/>
        <v>6</v>
      </c>
      <c r="N19" s="74">
        <f t="shared" si="2"/>
        <v>68.7</v>
      </c>
      <c r="O19" s="74">
        <f t="shared" si="3"/>
        <v>137.4</v>
      </c>
      <c r="P19" s="77"/>
      <c r="R19" s="21">
        <f>INT($Y19*$E$21/100*$C$5/100*$C$11/100*$AB19)*(100-$Z19)/100+INT($Y19*$E$21/100*$C$5/100*$C$11/100*$AB19*1.25)*$Z19/100</f>
        <v>31.799999999999997</v>
      </c>
      <c r="S19" s="21">
        <f>INT($Y19*$E$24/100*$C$5/100*$C$11/100*$AB19)*(100-$Z19)/100+INT($Y19*$E$24/100*$C$5/100*$C$11/100*$AB19*1.25)*$Z19/100</f>
        <v>10.3</v>
      </c>
      <c r="T19" s="21">
        <f t="shared" si="4"/>
        <v>62.7</v>
      </c>
      <c r="U19" s="21">
        <f>INT($AE19*$C$6/100*$C$11/100*$AC19)</f>
        <v>3</v>
      </c>
      <c r="V19" s="21">
        <f>INT($AE19*$C$6/100*$C$11/100*$AC19*0.5)</f>
        <v>1</v>
      </c>
      <c r="W19" s="21">
        <f t="shared" si="5"/>
        <v>6</v>
      </c>
      <c r="X19" s="20">
        <f t="shared" si="6"/>
        <v>336</v>
      </c>
      <c r="Y19" s="20">
        <f t="shared" si="7"/>
        <v>369</v>
      </c>
      <c r="Z19" s="20">
        <f t="shared" si="8"/>
        <v>10</v>
      </c>
      <c r="AA19" s="19" t="str">
        <f t="shared" si="9"/>
        <v>青</v>
      </c>
      <c r="AB19" s="19">
        <f t="shared" si="10"/>
        <v>1.2</v>
      </c>
      <c r="AC19" s="19">
        <f t="shared" si="11"/>
        <v>1.0625</v>
      </c>
      <c r="AD19" s="33">
        <v>22</v>
      </c>
      <c r="AE19" s="20">
        <f t="shared" si="14"/>
        <v>22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>
      <c r="A20" s="88" t="s">
        <v>48</v>
      </c>
      <c r="B20" s="89"/>
      <c r="C20" s="90"/>
      <c r="D20" s="7" t="s">
        <v>43</v>
      </c>
      <c r="E20" s="17"/>
      <c r="F20" s="8" t="s">
        <v>28</v>
      </c>
      <c r="G20" s="9" t="s">
        <v>35</v>
      </c>
      <c r="H20" s="8">
        <v>160</v>
      </c>
      <c r="I20" s="8">
        <v>0</v>
      </c>
      <c r="J20" s="11" t="s">
        <v>37</v>
      </c>
      <c r="K20" s="31" t="s">
        <v>108</v>
      </c>
      <c r="L20" s="28">
        <f t="shared" si="0"/>
        <v>68.800000000000011</v>
      </c>
      <c r="M20" s="16">
        <f t="shared" si="1"/>
        <v>0</v>
      </c>
      <c r="N20" s="74">
        <f t="shared" si="2"/>
        <v>68.800000000000011</v>
      </c>
      <c r="O20" s="74">
        <f t="shared" si="3"/>
        <v>137.60000000000002</v>
      </c>
      <c r="P20" s="77"/>
      <c r="R20" s="21">
        <f>INT($Y20*$E$21/100*$C$4/100*$C$11/100*$AB20)*(100-$Z20)/100+INT($Y20*$E$21/100*$C$4/100*$C$11/100*$AB20*1.25)*$Z20/100</f>
        <v>34.9</v>
      </c>
      <c r="S20" s="21">
        <f>INT($Y20*$E$24/100*$C$4/100*$C$11/100*$AB20)*(100-$Z20)/100+INT($Y20*$E$24/100*$C$4/100*$C$11/100*$AB20*1.25)*$Z20/100</f>
        <v>11.3</v>
      </c>
      <c r="T20" s="21">
        <f t="shared" si="4"/>
        <v>68.800000000000011</v>
      </c>
      <c r="U20" s="21">
        <f>INT($AE20*$C$6/100*$C$11/100*$AC20)</f>
        <v>0</v>
      </c>
      <c r="V20" s="21">
        <f>INT($AE20*$C$6/100*$C$11/100*$AC20*0.5)</f>
        <v>0</v>
      </c>
      <c r="W20" s="21">
        <f t="shared" si="5"/>
        <v>0</v>
      </c>
      <c r="X20" s="20">
        <f t="shared" si="6"/>
        <v>365</v>
      </c>
      <c r="Y20" s="20">
        <f t="shared" si="7"/>
        <v>401</v>
      </c>
      <c r="Z20" s="20">
        <f t="shared" si="8"/>
        <v>10</v>
      </c>
      <c r="AA20" s="19" t="str">
        <f t="shared" si="9"/>
        <v>青</v>
      </c>
      <c r="AB20" s="19">
        <f t="shared" si="10"/>
        <v>1.2</v>
      </c>
      <c r="AC20" s="19">
        <f t="shared" si="11"/>
        <v>1.0625</v>
      </c>
      <c r="AD20" s="33"/>
      <c r="AE20" s="20">
        <f t="shared" si="14"/>
        <v>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>
      <c r="A21" s="88" t="s">
        <v>38</v>
      </c>
      <c r="B21" s="89"/>
      <c r="C21" s="90"/>
      <c r="D21" s="7" t="s">
        <v>39</v>
      </c>
      <c r="E21" s="17">
        <f>IF($D$21="あり",INT(8*1.5*1.2*E22),INT(8*1.5*E22))</f>
        <v>15</v>
      </c>
      <c r="F21" s="8" t="s">
        <v>29</v>
      </c>
      <c r="G21" s="9" t="s">
        <v>35</v>
      </c>
      <c r="H21" s="8">
        <v>138</v>
      </c>
      <c r="I21" s="8">
        <v>15</v>
      </c>
      <c r="J21" s="11" t="s">
        <v>37</v>
      </c>
      <c r="K21" s="29" t="s">
        <v>109</v>
      </c>
      <c r="L21" s="28">
        <f t="shared" si="0"/>
        <v>66.25</v>
      </c>
      <c r="M21" s="16">
        <f t="shared" si="1"/>
        <v>0</v>
      </c>
      <c r="N21" s="74">
        <f t="shared" si="2"/>
        <v>66.25</v>
      </c>
      <c r="O21" s="74">
        <f t="shared" si="3"/>
        <v>132.5</v>
      </c>
      <c r="P21" s="77"/>
      <c r="R21" s="21">
        <f>INT($Y21*$E$21/100*$C$4/100*$C$11/100*$AB21)*(100-$Z21)/100+INT($Y21*$E$21/100*$C$4/100*$C$11/100*$AB21*1.25)*$Z21/100</f>
        <v>34</v>
      </c>
      <c r="S21" s="21">
        <f>INT($Y21*$E$24/100*$C$4/100*$C$11/100*$AB21)*(100-$Z21)/100+INT($Y21*$E$24/100*$C$4/100*$C$11/100*$AB21*1.25)*$Z21/100</f>
        <v>10.75</v>
      </c>
      <c r="T21" s="21">
        <f t="shared" si="4"/>
        <v>66.25</v>
      </c>
      <c r="U21" s="21">
        <f>INT($AE21*$C$6/100*$C$11/100*$AC21)</f>
        <v>0</v>
      </c>
      <c r="V21" s="21">
        <f>INT($AE21*$C$6/100*$C$11/100*$AC21*0.5)</f>
        <v>0</v>
      </c>
      <c r="W21" s="21">
        <f t="shared" si="5"/>
        <v>0</v>
      </c>
      <c r="X21" s="20">
        <f t="shared" si="6"/>
        <v>341</v>
      </c>
      <c r="Y21" s="20">
        <f t="shared" si="7"/>
        <v>375</v>
      </c>
      <c r="Z21" s="20">
        <f t="shared" si="8"/>
        <v>25</v>
      </c>
      <c r="AA21" s="19" t="str">
        <f t="shared" si="9"/>
        <v>青</v>
      </c>
      <c r="AB21" s="19">
        <f t="shared" si="10"/>
        <v>1.2</v>
      </c>
      <c r="AC21" s="19">
        <f t="shared" si="11"/>
        <v>1.0625</v>
      </c>
      <c r="AD21" s="33"/>
      <c r="AE21" s="20">
        <f t="shared" si="14"/>
        <v>0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>
      <c r="A22" s="88" t="s">
        <v>50</v>
      </c>
      <c r="B22" s="89"/>
      <c r="C22" s="90"/>
      <c r="D22" s="7" t="s">
        <v>39</v>
      </c>
      <c r="E22" s="17">
        <f>IF(D22="あり",1.1,1)</f>
        <v>1.1000000000000001</v>
      </c>
      <c r="F22" s="8" t="s">
        <v>30</v>
      </c>
      <c r="G22" s="9" t="s">
        <v>4</v>
      </c>
      <c r="H22" s="8">
        <v>112</v>
      </c>
      <c r="I22" s="8">
        <v>15</v>
      </c>
      <c r="J22" s="11" t="s">
        <v>37</v>
      </c>
      <c r="K22" s="32" t="s">
        <v>106</v>
      </c>
      <c r="L22" s="28">
        <f t="shared" si="0"/>
        <v>60.25</v>
      </c>
      <c r="M22" s="16">
        <f t="shared" si="1"/>
        <v>0</v>
      </c>
      <c r="N22" s="74">
        <f t="shared" si="2"/>
        <v>60.25</v>
      </c>
      <c r="O22" s="74">
        <f t="shared" si="3"/>
        <v>120.5</v>
      </c>
      <c r="P22" s="77"/>
      <c r="R22" s="21">
        <f>INT($Y22*$E$21/100*$C$5/100*$C$11/100*$AB22)*(100-$Z22)/100+INT($Y22*$E$21/100*$C$5/100*$C$11/100*$AB22*1.25)*$Z22/100</f>
        <v>31</v>
      </c>
      <c r="S22" s="21">
        <f>INT($Y22*$E$24/100*$C$5/100*$C$11/100*$AB22)*(100-$Z22)/100+INT($Y22*$E$24/100*$C$5/100*$C$11/100*$AB22*1.25)*$Z22/100</f>
        <v>9.75</v>
      </c>
      <c r="T22" s="21">
        <f t="shared" si="4"/>
        <v>60.25</v>
      </c>
      <c r="U22" s="21">
        <f>INT($AE22*$C$6/100*$C$11/100*$AC22)</f>
        <v>0</v>
      </c>
      <c r="V22" s="21">
        <f>INT($AE22*$C$6/100*$C$11/100*$AC22*0.5)</f>
        <v>0</v>
      </c>
      <c r="W22" s="21">
        <f t="shared" si="5"/>
        <v>0</v>
      </c>
      <c r="X22" s="20">
        <f t="shared" si="6"/>
        <v>312</v>
      </c>
      <c r="Y22" s="20">
        <f t="shared" si="7"/>
        <v>343</v>
      </c>
      <c r="Z22" s="20">
        <f t="shared" si="8"/>
        <v>25</v>
      </c>
      <c r="AA22" s="19" t="str">
        <f t="shared" si="9"/>
        <v>青</v>
      </c>
      <c r="AB22" s="19">
        <f t="shared" si="10"/>
        <v>1.2</v>
      </c>
      <c r="AC22" s="19">
        <f t="shared" si="11"/>
        <v>1.0625</v>
      </c>
      <c r="AD22" s="33"/>
      <c r="AE22" s="20">
        <f t="shared" si="14"/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>
      <c r="A23" s="91" t="s">
        <v>51</v>
      </c>
      <c r="B23" s="91"/>
      <c r="C23" s="91"/>
      <c r="D23" s="7" t="s">
        <v>39</v>
      </c>
      <c r="E23" s="17">
        <f>IF(D23="あり",7,0)</f>
        <v>7</v>
      </c>
      <c r="F23" s="8" t="s">
        <v>31</v>
      </c>
      <c r="G23" s="8" t="s">
        <v>4</v>
      </c>
      <c r="H23" s="8">
        <v>102</v>
      </c>
      <c r="I23" s="8">
        <v>5</v>
      </c>
      <c r="J23" s="8" t="s">
        <v>37</v>
      </c>
      <c r="K23" s="84" t="s">
        <v>105</v>
      </c>
      <c r="L23" s="28">
        <f t="shared" si="0"/>
        <v>56.95</v>
      </c>
      <c r="M23" s="16">
        <f t="shared" si="1"/>
        <v>0</v>
      </c>
      <c r="N23" s="74">
        <f t="shared" si="2"/>
        <v>56.95</v>
      </c>
      <c r="O23" s="74">
        <f t="shared" si="3"/>
        <v>113.9</v>
      </c>
      <c r="P23" s="77"/>
      <c r="R23" s="21">
        <f>INT($Y23*$E$21/100*$C$5/100*$C$11/100*$AB23)*(100-$Z23)/100+INT($Y23*$E$21/100*$C$5/100*$C$11/100*$AB23*1.25)*$Z23/100</f>
        <v>29.05</v>
      </c>
      <c r="S23" s="21">
        <f>INT($Y23*$E$24/100*$C$5/100*$C$11/100*$AB23)*(100-$Z23)/100+INT($Y23*$E$24/100*$C$5/100*$C$11/100*$AB23*1.25)*$Z23/100</f>
        <v>9.3000000000000007</v>
      </c>
      <c r="T23" s="21">
        <f t="shared" si="4"/>
        <v>56.95</v>
      </c>
      <c r="U23" s="21">
        <f>INT($AE23*$C$6/100*$C$11/100*$AC23)</f>
        <v>0</v>
      </c>
      <c r="V23" s="21">
        <f>INT($AE23*$C$6/100*$C$11/100*$AC23*0.5)</f>
        <v>0</v>
      </c>
      <c r="W23" s="21">
        <f t="shared" si="5"/>
        <v>0</v>
      </c>
      <c r="X23" s="20">
        <f t="shared" si="6"/>
        <v>301</v>
      </c>
      <c r="Y23" s="20">
        <f t="shared" si="7"/>
        <v>331</v>
      </c>
      <c r="Z23" s="20">
        <f t="shared" si="8"/>
        <v>15</v>
      </c>
      <c r="AA23" s="19" t="str">
        <f t="shared" si="9"/>
        <v>青</v>
      </c>
      <c r="AB23" s="19">
        <f t="shared" si="10"/>
        <v>1.2</v>
      </c>
      <c r="AC23" s="19">
        <f t="shared" si="11"/>
        <v>1.0625</v>
      </c>
      <c r="AD23" s="33"/>
      <c r="AE23" s="20">
        <f t="shared" si="14"/>
        <v>0</v>
      </c>
    </row>
    <row r="24" spans="1:50">
      <c r="A24" s="92" t="s">
        <v>125</v>
      </c>
      <c r="B24" s="93"/>
      <c r="C24" s="93"/>
      <c r="D24" s="40" t="s">
        <v>43</v>
      </c>
      <c r="E24" s="17">
        <f>IF($D$21="あり",INT(3*1.3*1.2*E22),INT(3*1.3*E22))</f>
        <v>5</v>
      </c>
      <c r="R24" s="22"/>
      <c r="S24" s="22"/>
      <c r="T24" s="22"/>
      <c r="U24" s="22"/>
      <c r="V24" s="22"/>
    </row>
    <row r="25" spans="1:50">
      <c r="A25" s="92" t="s">
        <v>158</v>
      </c>
      <c r="B25" s="92"/>
      <c r="C25" s="92"/>
      <c r="D25" s="79" t="s">
        <v>39</v>
      </c>
      <c r="E25" s="17"/>
      <c r="K25" s="81"/>
      <c r="L25" s="81"/>
      <c r="M25" s="81"/>
      <c r="N25" s="81"/>
      <c r="O25" s="81"/>
      <c r="P25" s="81"/>
      <c r="R25" s="22"/>
      <c r="S25" s="22"/>
      <c r="T25" s="22"/>
      <c r="U25" s="22"/>
      <c r="V25" s="22"/>
    </row>
    <row r="26" spans="1:50" ht="13.8" thickBot="1">
      <c r="B26" s="6"/>
      <c r="C26" s="5"/>
      <c r="D26" s="5"/>
      <c r="E26" s="17">
        <f>IF($D$24="あり",-20,0)</f>
        <v>0</v>
      </c>
      <c r="R26" s="22"/>
      <c r="S26" s="22"/>
      <c r="T26" s="22"/>
      <c r="U26" s="22"/>
      <c r="V26" s="22"/>
    </row>
    <row r="27" spans="1:50" ht="13.8" thickBot="1">
      <c r="A27" s="103" t="s">
        <v>120</v>
      </c>
      <c r="B27" s="104"/>
      <c r="C27" s="104"/>
      <c r="D27" s="105"/>
      <c r="R27" s="22"/>
      <c r="S27" s="22"/>
      <c r="T27" s="22"/>
      <c r="U27" s="22"/>
      <c r="V27" s="22"/>
    </row>
    <row r="28" spans="1:50">
      <c r="A28" s="122" t="s">
        <v>121</v>
      </c>
      <c r="B28" s="123"/>
      <c r="C28" s="123"/>
      <c r="D28" s="124"/>
      <c r="R28" s="22"/>
      <c r="S28" s="22"/>
      <c r="T28" s="22"/>
      <c r="U28" s="22"/>
      <c r="V28" s="22"/>
    </row>
    <row r="29" spans="1:50" ht="13.8" thickBot="1">
      <c r="A29" s="125" t="s">
        <v>122</v>
      </c>
      <c r="B29" s="126"/>
      <c r="C29" s="126"/>
      <c r="D29" s="127"/>
      <c r="R29" s="22"/>
      <c r="S29" s="22"/>
      <c r="T29" s="22"/>
      <c r="U29" s="22"/>
      <c r="V29" s="22"/>
    </row>
    <row r="30" spans="1:50">
      <c r="R30" s="22"/>
      <c r="S30" s="22"/>
      <c r="T30" s="22"/>
      <c r="U30" s="22"/>
      <c r="V30" s="22"/>
    </row>
  </sheetData>
  <autoFilter ref="F1:AE1">
    <filterColumn colId="12" showButton="0"/>
    <filterColumn colId="13" showButton="0"/>
    <filterColumn colId="15" showButton="0"/>
    <filterColumn colId="16" showButton="0"/>
    <sortState ref="F2:AE29">
      <sortCondition descending="1" ref="O1"/>
    </sortState>
  </autoFilter>
  <mergeCells count="22">
    <mergeCell ref="A25:C25"/>
    <mergeCell ref="A16:C16"/>
    <mergeCell ref="A17:C17"/>
    <mergeCell ref="A19:C19"/>
    <mergeCell ref="A20:C20"/>
    <mergeCell ref="A24:C24"/>
    <mergeCell ref="A27:D27"/>
    <mergeCell ref="A28:D28"/>
    <mergeCell ref="A29:D29"/>
    <mergeCell ref="U1:W1"/>
    <mergeCell ref="A2:B2"/>
    <mergeCell ref="A3:B3"/>
    <mergeCell ref="A4:A10"/>
    <mergeCell ref="A1:E1"/>
    <mergeCell ref="A18:C18"/>
    <mergeCell ref="A23:C23"/>
    <mergeCell ref="A14:C14"/>
    <mergeCell ref="A13:C13"/>
    <mergeCell ref="R1:T1"/>
    <mergeCell ref="A21:C21"/>
    <mergeCell ref="A22:C22"/>
    <mergeCell ref="A15:C15"/>
  </mergeCells>
  <phoneticPr fontId="1"/>
  <dataValidations count="1">
    <dataValidation type="list" allowBlank="1" showInputMessage="1" showErrorMessage="1" sqref="D13:D25">
      <formula1>"あり,なし"</formula1>
    </dataValidation>
  </dataValidations>
  <pageMargins left="0.7" right="0.7" top="0.75" bottom="0.75" header="0.3" footer="0.3"/>
  <pageSetup paperSize="9" orientation="portrait" r:id="rId1"/>
  <ignoredErrors>
    <ignoredError sqref="A4:B7 A10:B10 A8 A9 D9:E9 A20:E21 A18:C18 E18 A17:E17 A16:C16 E16 A15:C15 E15 A14:C14 E14 A12:E13 A11:B11 D11:E11 A22:C22 E22 D4:E7 D10:E10 A19:C19 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workbookViewId="0">
      <selection activeCell="E24" sqref="E24"/>
    </sheetView>
  </sheetViews>
  <sheetFormatPr defaultRowHeight="13.2"/>
  <cols>
    <col min="1" max="1" width="2.88671875" customWidth="1"/>
    <col min="2" max="2" width="3.5546875" bestFit="1" customWidth="1"/>
    <col min="3" max="3" width="4.5546875" style="44" bestFit="1" customWidth="1"/>
    <col min="4" max="4" width="4.5546875" style="44" customWidth="1"/>
    <col min="5" max="5" width="8.88671875" style="17"/>
    <col min="6" max="6" width="20.88671875" bestFit="1" customWidth="1"/>
    <col min="7" max="7" width="3" customWidth="1"/>
    <col min="8" max="8" width="4" customWidth="1"/>
    <col min="9" max="9" width="4.21875" customWidth="1"/>
    <col min="10" max="13" width="5.44140625" style="44" customWidth="1"/>
    <col min="14" max="14" width="3.109375" customWidth="1"/>
    <col min="15" max="15" width="6.77734375" customWidth="1"/>
    <col min="16" max="16" width="4.21875" customWidth="1"/>
    <col min="17" max="17" width="6.88671875" customWidth="1"/>
    <col min="18" max="18" width="5.77734375" customWidth="1"/>
    <col min="19" max="20" width="6.5546875" customWidth="1"/>
    <col min="22" max="22" width="5.88671875" customWidth="1"/>
    <col min="23" max="23" width="3.5546875" customWidth="1"/>
    <col min="24" max="24" width="5.88671875" customWidth="1"/>
    <col min="25" max="25" width="3.77734375" customWidth="1"/>
    <col min="26" max="32" width="2" style="20" customWidth="1"/>
    <col min="33" max="33" width="2" style="33" customWidth="1"/>
    <col min="34" max="38" width="2" style="20" customWidth="1"/>
  </cols>
  <sheetData>
    <row r="1" spans="1:44" ht="57" customHeight="1">
      <c r="A1" s="133"/>
      <c r="B1" s="133"/>
      <c r="C1" s="133"/>
      <c r="D1" s="133"/>
      <c r="E1" s="134"/>
      <c r="F1" s="46"/>
      <c r="G1" s="47" t="s">
        <v>110</v>
      </c>
      <c r="H1" s="47" t="s">
        <v>126</v>
      </c>
      <c r="I1" s="47" t="s">
        <v>127</v>
      </c>
      <c r="J1" s="47" t="s">
        <v>131</v>
      </c>
      <c r="K1" s="47" t="s">
        <v>128</v>
      </c>
      <c r="L1" s="47" t="s">
        <v>129</v>
      </c>
      <c r="M1" s="47" t="s">
        <v>130</v>
      </c>
      <c r="N1" s="48" t="s">
        <v>114</v>
      </c>
      <c r="O1" s="49" t="s">
        <v>115</v>
      </c>
      <c r="P1" s="49" t="s">
        <v>113</v>
      </c>
      <c r="Q1" s="49" t="s">
        <v>157</v>
      </c>
      <c r="R1" s="49" t="s">
        <v>155</v>
      </c>
      <c r="S1" s="49" t="s">
        <v>116</v>
      </c>
      <c r="T1" s="71"/>
      <c r="U1" s="22"/>
      <c r="V1" s="48" t="s">
        <v>151</v>
      </c>
      <c r="W1" s="48" t="s">
        <v>131</v>
      </c>
      <c r="X1" s="48" t="s">
        <v>152</v>
      </c>
      <c r="Y1" s="48" t="s">
        <v>130</v>
      </c>
      <c r="Z1" s="63" t="s">
        <v>126</v>
      </c>
      <c r="AA1" s="63" t="s">
        <v>126</v>
      </c>
      <c r="AB1" s="63" t="s">
        <v>127</v>
      </c>
      <c r="AC1" s="63" t="s">
        <v>131</v>
      </c>
      <c r="AD1" s="63" t="s">
        <v>131</v>
      </c>
      <c r="AE1" s="63" t="s">
        <v>128</v>
      </c>
      <c r="AF1" s="63" t="s">
        <v>128</v>
      </c>
      <c r="AG1" s="63" t="s">
        <v>129</v>
      </c>
      <c r="AH1" s="63" t="s">
        <v>130</v>
      </c>
      <c r="AI1" s="63" t="s">
        <v>130</v>
      </c>
      <c r="AJ1" s="19" t="s">
        <v>34</v>
      </c>
      <c r="AM1" s="22"/>
      <c r="AN1" s="22"/>
      <c r="AO1" s="22"/>
      <c r="AP1" s="22"/>
      <c r="AQ1" s="22"/>
      <c r="AR1" s="22"/>
    </row>
    <row r="2" spans="1:44">
      <c r="A2" s="130" t="s">
        <v>0</v>
      </c>
      <c r="B2" s="132"/>
      <c r="C2" s="51">
        <v>120</v>
      </c>
      <c r="D2" s="52"/>
      <c r="F2" s="21" t="s">
        <v>11</v>
      </c>
      <c r="G2" s="53" t="s">
        <v>35</v>
      </c>
      <c r="H2" s="21">
        <v>144</v>
      </c>
      <c r="I2" s="21">
        <v>25</v>
      </c>
      <c r="J2" s="85"/>
      <c r="K2" s="61">
        <v>176</v>
      </c>
      <c r="L2" s="61">
        <v>20</v>
      </c>
      <c r="M2" s="85"/>
      <c r="N2" s="21" t="s">
        <v>36</v>
      </c>
      <c r="O2" s="27">
        <f t="shared" ref="O2:O38" si="0">IF($D$25="あり",V2+X2*3,V2+X2)</f>
        <v>139.85000000000002</v>
      </c>
      <c r="P2" s="26">
        <f t="shared" ref="P2:P38" si="1">IF($D$25="あり",W2+Y2*3,W2+Y2)</f>
        <v>0</v>
      </c>
      <c r="Q2" s="27">
        <f t="shared" ref="Q2:Q38" si="2">O2+P2</f>
        <v>139.85000000000002</v>
      </c>
      <c r="R2" s="75">
        <f t="shared" ref="R2:R11" si="3">INT($AA2*16/100*$C$4/100*$C$11/100*$AK2)*(100-$AB2)/100+INT($AA2*16/100*$C$4/100*$C$11/100*$AK2*1.25)*$AB2/100</f>
        <v>33.799999999999997</v>
      </c>
      <c r="S2" s="75">
        <f t="shared" ref="S2:S38" si="4">Q2+R2</f>
        <v>173.65000000000003</v>
      </c>
      <c r="T2" s="76"/>
      <c r="U2" s="22"/>
      <c r="V2" s="64">
        <f t="shared" ref="V2:V11" si="5">INT($AA2*26/100*$C$4/100*$C$11/100*$AK2)*(100-$AB2)/100+INT($AA2*26/100*$C$4/100*$C$11/100*$AK2*1.25)*$AB2/100</f>
        <v>55.55</v>
      </c>
      <c r="W2" s="65">
        <f>INT($AD2*$C$6/100*$C$11/100*$AL2)</f>
        <v>0</v>
      </c>
      <c r="X2" s="64">
        <f t="shared" ref="X2:X11" si="6">INT($AF2*$E$24/100*$C$4/100*$C$11/100*$AK2)*(100-$AG2)/100+INT($AF2*$E$24/100*$C$4/100*$C$11/100*$AK2*1.25)*$AG2/100</f>
        <v>28.1</v>
      </c>
      <c r="Y2" s="65">
        <f>INT($AI2*$C$6/100*$C$11/100*$AL2)</f>
        <v>0</v>
      </c>
      <c r="Z2" s="62">
        <f t="shared" ref="Z2:Z38" si="7">$D$3+H2</f>
        <v>286</v>
      </c>
      <c r="AA2" s="62">
        <f t="shared" ref="AA2:AA38" si="8">IF($D$26="あり",INT(Z2*1.1),Z2)</f>
        <v>314</v>
      </c>
      <c r="AB2" s="20">
        <f t="shared" ref="AB2:AB38" si="9">I2+$E$17+$E$18+$E$22</f>
        <v>35</v>
      </c>
      <c r="AC2" s="33">
        <v>0</v>
      </c>
      <c r="AD2" s="20">
        <f>AC2</f>
        <v>0</v>
      </c>
      <c r="AE2" s="20">
        <f t="shared" ref="AE2:AE38" si="10">IF($D$23="あり",INT(($D$3+K2)*1.1),$D$3+K2)</f>
        <v>318</v>
      </c>
      <c r="AF2" s="20">
        <f t="shared" ref="AF2:AF38" si="11">IF($D$26="あり",INT(AE2*1.1),AE2)</f>
        <v>349</v>
      </c>
      <c r="AG2" s="20">
        <f t="shared" ref="AG2:AG38" si="12">L2+$E$17+$E$18</f>
        <v>30</v>
      </c>
      <c r="AI2" s="20">
        <f>AH2</f>
        <v>0</v>
      </c>
      <c r="AJ2" s="19" t="str">
        <f t="shared" ref="AJ2:AJ38" si="13">IF($D$19="あり","白",N2)</f>
        <v>白</v>
      </c>
      <c r="AK2" s="19">
        <f t="shared" ref="AK2:AK38" si="14">IF(AJ2="白",1.32,1.2)</f>
        <v>1.32</v>
      </c>
      <c r="AL2" s="19">
        <f t="shared" ref="AL2:AL38" si="15">IF(AJ2="白",1.125,1.0625)</f>
        <v>1.125</v>
      </c>
      <c r="AM2" s="22"/>
      <c r="AN2" s="22"/>
      <c r="AO2" s="22"/>
      <c r="AP2" s="22"/>
      <c r="AQ2" s="22"/>
      <c r="AR2" s="22"/>
    </row>
    <row r="3" spans="1:44" ht="13.2" customHeight="1">
      <c r="A3" s="130" t="s">
        <v>1</v>
      </c>
      <c r="B3" s="132"/>
      <c r="C3" s="51">
        <v>15</v>
      </c>
      <c r="D3" s="72">
        <f>C2+C3+E13+E14+E15+E20+E21+E23</f>
        <v>142</v>
      </c>
      <c r="F3" s="8" t="s">
        <v>16</v>
      </c>
      <c r="G3" s="8" t="s">
        <v>35</v>
      </c>
      <c r="H3" s="57">
        <v>160</v>
      </c>
      <c r="I3" s="57">
        <v>0</v>
      </c>
      <c r="J3" s="68" t="s">
        <v>136</v>
      </c>
      <c r="K3" s="60">
        <v>150</v>
      </c>
      <c r="L3" s="60">
        <v>0</v>
      </c>
      <c r="M3" s="43" t="s">
        <v>97</v>
      </c>
      <c r="N3" s="8" t="s">
        <v>37</v>
      </c>
      <c r="O3" s="27">
        <f t="shared" si="0"/>
        <v>117.80000000000001</v>
      </c>
      <c r="P3" s="26">
        <f t="shared" si="1"/>
        <v>17</v>
      </c>
      <c r="Q3" s="27">
        <f t="shared" si="2"/>
        <v>134.80000000000001</v>
      </c>
      <c r="R3" s="75">
        <f t="shared" si="3"/>
        <v>30.8</v>
      </c>
      <c r="S3" s="75">
        <f t="shared" si="4"/>
        <v>165.60000000000002</v>
      </c>
      <c r="T3" s="76"/>
      <c r="V3" s="64">
        <f t="shared" si="5"/>
        <v>50.300000000000004</v>
      </c>
      <c r="W3" s="65">
        <f>INT($AD3*$C$6/100*$C$11/100*$AL3)</f>
        <v>5</v>
      </c>
      <c r="X3" s="64">
        <f t="shared" si="6"/>
        <v>22.5</v>
      </c>
      <c r="Y3" s="65">
        <f>INT($AI3*$C$6/100*$C$11/100*$AL3)</f>
        <v>4</v>
      </c>
      <c r="Z3" s="62">
        <f t="shared" si="7"/>
        <v>302</v>
      </c>
      <c r="AA3" s="62">
        <f t="shared" si="8"/>
        <v>332</v>
      </c>
      <c r="AB3" s="20">
        <f t="shared" si="9"/>
        <v>10</v>
      </c>
      <c r="AC3" s="33">
        <v>32</v>
      </c>
      <c r="AD3" s="20">
        <f>IF($D$16="あり",INT(AC3*1.1+6),AC3)</f>
        <v>32</v>
      </c>
      <c r="AE3" s="20">
        <f t="shared" si="10"/>
        <v>292</v>
      </c>
      <c r="AF3" s="20">
        <f t="shared" si="11"/>
        <v>321</v>
      </c>
      <c r="AG3" s="20">
        <f t="shared" si="12"/>
        <v>10</v>
      </c>
      <c r="AH3" s="20">
        <v>26</v>
      </c>
      <c r="AI3" s="20">
        <f>IF($D$16="あり",INT(AH3*1.1+6),AH3)</f>
        <v>26</v>
      </c>
      <c r="AJ3" s="19" t="str">
        <f t="shared" si="13"/>
        <v>青</v>
      </c>
      <c r="AK3" s="19">
        <f t="shared" si="14"/>
        <v>1.2</v>
      </c>
      <c r="AL3" s="19">
        <f t="shared" si="15"/>
        <v>1.0625</v>
      </c>
      <c r="AM3" s="22"/>
      <c r="AN3" s="22"/>
      <c r="AO3" s="22"/>
      <c r="AP3" s="22"/>
      <c r="AQ3" s="22"/>
      <c r="AR3" s="22"/>
    </row>
    <row r="4" spans="1:44">
      <c r="A4" s="135" t="s">
        <v>2</v>
      </c>
      <c r="B4" s="51" t="s">
        <v>3</v>
      </c>
      <c r="C4" s="51">
        <v>60</v>
      </c>
      <c r="D4" s="52"/>
      <c r="F4" s="8" t="s">
        <v>14</v>
      </c>
      <c r="G4" s="8" t="s">
        <v>35</v>
      </c>
      <c r="H4" s="57">
        <v>132</v>
      </c>
      <c r="I4" s="57">
        <v>0</v>
      </c>
      <c r="J4" s="84" t="s">
        <v>134</v>
      </c>
      <c r="K4" s="60">
        <v>162</v>
      </c>
      <c r="L4" s="60">
        <v>0</v>
      </c>
      <c r="M4" s="45" t="s">
        <v>95</v>
      </c>
      <c r="N4" s="8" t="s">
        <v>69</v>
      </c>
      <c r="O4" s="27">
        <f t="shared" si="0"/>
        <v>116.6</v>
      </c>
      <c r="P4" s="26">
        <f t="shared" si="1"/>
        <v>17</v>
      </c>
      <c r="Q4" s="27">
        <f t="shared" si="2"/>
        <v>133.6</v>
      </c>
      <c r="R4" s="75">
        <f t="shared" si="3"/>
        <v>27.7</v>
      </c>
      <c r="S4" s="75">
        <f t="shared" si="4"/>
        <v>161.29999999999998</v>
      </c>
      <c r="T4" s="76"/>
      <c r="V4" s="64">
        <f t="shared" si="5"/>
        <v>46.1</v>
      </c>
      <c r="W4" s="65">
        <f>INT($AD4*$C$6/100*$C$11/100*$AL4)</f>
        <v>5</v>
      </c>
      <c r="X4" s="64">
        <f t="shared" si="6"/>
        <v>23.5</v>
      </c>
      <c r="Y4" s="65">
        <f>INT($AI4*$C$6/100*$C$11/100*$AL4)</f>
        <v>4</v>
      </c>
      <c r="Z4" s="62">
        <f t="shared" si="7"/>
        <v>274</v>
      </c>
      <c r="AA4" s="62">
        <f t="shared" si="8"/>
        <v>301</v>
      </c>
      <c r="AB4" s="20">
        <f t="shared" si="9"/>
        <v>10</v>
      </c>
      <c r="AC4" s="33">
        <v>30</v>
      </c>
      <c r="AD4" s="20">
        <f>IF($D$16="あり",INT(AC4*1.1+6),AC4)</f>
        <v>30</v>
      </c>
      <c r="AE4" s="20">
        <f t="shared" si="10"/>
        <v>304</v>
      </c>
      <c r="AF4" s="20">
        <f t="shared" si="11"/>
        <v>334</v>
      </c>
      <c r="AG4" s="20">
        <f t="shared" si="12"/>
        <v>10</v>
      </c>
      <c r="AH4" s="20">
        <v>24</v>
      </c>
      <c r="AI4" s="20">
        <f>IF($D$16="あり",INT(AH4*1.1+6),AH4)</f>
        <v>24</v>
      </c>
      <c r="AJ4" s="19" t="str">
        <f t="shared" si="13"/>
        <v>青</v>
      </c>
      <c r="AK4" s="19">
        <f t="shared" si="14"/>
        <v>1.2</v>
      </c>
      <c r="AL4" s="19">
        <f t="shared" si="15"/>
        <v>1.0625</v>
      </c>
      <c r="AM4" s="22"/>
      <c r="AN4" s="22"/>
      <c r="AO4" s="22"/>
      <c r="AP4" s="22"/>
      <c r="AQ4" s="22"/>
      <c r="AR4" s="22"/>
    </row>
    <row r="5" spans="1:44">
      <c r="A5" s="136"/>
      <c r="B5" s="51" t="s">
        <v>4</v>
      </c>
      <c r="C5" s="51">
        <v>60</v>
      </c>
      <c r="D5" s="52"/>
      <c r="F5" s="8" t="s">
        <v>12</v>
      </c>
      <c r="G5" s="8" t="s">
        <v>35</v>
      </c>
      <c r="H5" s="21">
        <v>133</v>
      </c>
      <c r="I5" s="21">
        <v>5</v>
      </c>
      <c r="J5" s="70" t="s">
        <v>133</v>
      </c>
      <c r="K5" s="60">
        <v>162</v>
      </c>
      <c r="L5" s="60">
        <v>5</v>
      </c>
      <c r="M5" s="45" t="s">
        <v>76</v>
      </c>
      <c r="N5" s="8" t="s">
        <v>37</v>
      </c>
      <c r="O5" s="27">
        <f t="shared" si="0"/>
        <v>117.9</v>
      </c>
      <c r="P5" s="26">
        <f t="shared" si="1"/>
        <v>14</v>
      </c>
      <c r="Q5" s="27">
        <f t="shared" si="2"/>
        <v>131.9</v>
      </c>
      <c r="R5" s="75">
        <f t="shared" si="3"/>
        <v>28.049999999999997</v>
      </c>
      <c r="S5" s="75">
        <f t="shared" si="4"/>
        <v>159.94999999999999</v>
      </c>
      <c r="T5" s="76"/>
      <c r="U5" s="22"/>
      <c r="V5" s="64">
        <f t="shared" si="5"/>
        <v>46.65</v>
      </c>
      <c r="W5" s="65">
        <f>INT($AD5*$C$8/100*$C$11/100*$AL5)</f>
        <v>2</v>
      </c>
      <c r="X5" s="64">
        <f t="shared" si="6"/>
        <v>23.75</v>
      </c>
      <c r="Y5" s="65">
        <f>INT($AI5*$C$8/100*$C$11/100*$AL5)</f>
        <v>4</v>
      </c>
      <c r="Z5" s="62">
        <f t="shared" si="7"/>
        <v>275</v>
      </c>
      <c r="AA5" s="62">
        <f t="shared" si="8"/>
        <v>302</v>
      </c>
      <c r="AB5" s="20">
        <f t="shared" si="9"/>
        <v>15</v>
      </c>
      <c r="AC5" s="33">
        <v>16</v>
      </c>
      <c r="AD5" s="20">
        <f>IF($D$16="あり",INT(AC5*1.1+6),AC5)</f>
        <v>16</v>
      </c>
      <c r="AE5" s="20">
        <f t="shared" si="10"/>
        <v>304</v>
      </c>
      <c r="AF5" s="20">
        <f t="shared" si="11"/>
        <v>334</v>
      </c>
      <c r="AG5" s="20">
        <f t="shared" si="12"/>
        <v>15</v>
      </c>
      <c r="AH5" s="20">
        <v>26</v>
      </c>
      <c r="AI5" s="20">
        <f>IF($D$16="あり",INT(AH5*1.1+6),AH5)</f>
        <v>26</v>
      </c>
      <c r="AJ5" s="19" t="str">
        <f t="shared" si="13"/>
        <v>青</v>
      </c>
      <c r="AK5" s="19">
        <f t="shared" si="14"/>
        <v>1.2</v>
      </c>
      <c r="AL5" s="19">
        <f t="shared" si="15"/>
        <v>1.0625</v>
      </c>
      <c r="AM5" s="22"/>
      <c r="AN5" s="22"/>
      <c r="AO5" s="22"/>
      <c r="AP5" s="22"/>
      <c r="AQ5" s="22"/>
      <c r="AR5" s="22"/>
    </row>
    <row r="6" spans="1:44">
      <c r="A6" s="136"/>
      <c r="B6" s="51" t="s">
        <v>5</v>
      </c>
      <c r="C6" s="51">
        <v>20</v>
      </c>
      <c r="D6" s="52"/>
      <c r="F6" s="21" t="s">
        <v>25</v>
      </c>
      <c r="G6" s="53" t="s">
        <v>35</v>
      </c>
      <c r="H6" s="21">
        <v>142</v>
      </c>
      <c r="I6" s="21">
        <v>-15</v>
      </c>
      <c r="J6" s="58" t="s">
        <v>76</v>
      </c>
      <c r="K6" s="60">
        <v>135</v>
      </c>
      <c r="L6" s="60">
        <v>-15</v>
      </c>
      <c r="M6" s="84" t="s">
        <v>84</v>
      </c>
      <c r="N6" s="21" t="s">
        <v>36</v>
      </c>
      <c r="O6" s="27">
        <f t="shared" si="0"/>
        <v>118.6</v>
      </c>
      <c r="P6" s="26">
        <f t="shared" si="1"/>
        <v>10</v>
      </c>
      <c r="Q6" s="27">
        <f t="shared" si="2"/>
        <v>128.6</v>
      </c>
      <c r="R6" s="75">
        <f t="shared" si="3"/>
        <v>30.599999999999998</v>
      </c>
      <c r="S6" s="75">
        <f t="shared" si="4"/>
        <v>159.19999999999999</v>
      </c>
      <c r="T6" s="76"/>
      <c r="U6" s="22"/>
      <c r="V6" s="64">
        <f t="shared" si="5"/>
        <v>50.349999999999994</v>
      </c>
      <c r="W6" s="65">
        <f>INT($AD6*$C$8/100*$C$11/100*$AL6)</f>
        <v>4</v>
      </c>
      <c r="X6" s="64">
        <f t="shared" si="6"/>
        <v>22.75</v>
      </c>
      <c r="Y6" s="65">
        <f>INT($AI6*$C$8/100*$C$11/100*$AL6)</f>
        <v>2</v>
      </c>
      <c r="Z6" s="62">
        <f t="shared" si="7"/>
        <v>284</v>
      </c>
      <c r="AA6" s="62">
        <f t="shared" si="8"/>
        <v>312</v>
      </c>
      <c r="AB6" s="20">
        <f t="shared" si="9"/>
        <v>-5</v>
      </c>
      <c r="AC6" s="33">
        <v>26</v>
      </c>
      <c r="AD6" s="20">
        <f>IF($D$16="あり",INT(AC6*1.1+6),AC6)</f>
        <v>26</v>
      </c>
      <c r="AE6" s="20">
        <f t="shared" si="10"/>
        <v>277</v>
      </c>
      <c r="AF6" s="20">
        <f t="shared" si="11"/>
        <v>304</v>
      </c>
      <c r="AG6" s="20">
        <f t="shared" si="12"/>
        <v>-5</v>
      </c>
      <c r="AH6" s="20">
        <v>16</v>
      </c>
      <c r="AI6" s="20">
        <f>IF($D$16="あり",INT(AH6*1.1+6),AH6)</f>
        <v>16</v>
      </c>
      <c r="AJ6" s="19" t="str">
        <f t="shared" si="13"/>
        <v>白</v>
      </c>
      <c r="AK6" s="19">
        <f t="shared" si="14"/>
        <v>1.32</v>
      </c>
      <c r="AL6" s="19">
        <f t="shared" si="15"/>
        <v>1.125</v>
      </c>
      <c r="AM6" s="22"/>
      <c r="AN6" s="22"/>
      <c r="AO6" s="22"/>
      <c r="AP6" s="22"/>
      <c r="AQ6" s="22"/>
      <c r="AR6" s="22"/>
    </row>
    <row r="7" spans="1:44">
      <c r="A7" s="136"/>
      <c r="B7" s="51" t="s">
        <v>6</v>
      </c>
      <c r="C7" s="51">
        <v>20</v>
      </c>
      <c r="D7" s="52"/>
      <c r="F7" s="21" t="s">
        <v>22</v>
      </c>
      <c r="G7" s="53" t="s">
        <v>35</v>
      </c>
      <c r="H7" s="21">
        <v>160</v>
      </c>
      <c r="I7" s="21">
        <v>0</v>
      </c>
      <c r="J7" s="51" t="s">
        <v>77</v>
      </c>
      <c r="K7" s="60">
        <v>152</v>
      </c>
      <c r="L7" s="60">
        <v>0</v>
      </c>
      <c r="M7" s="45" t="s">
        <v>80</v>
      </c>
      <c r="N7" s="21" t="s">
        <v>37</v>
      </c>
      <c r="O7" s="27">
        <f t="shared" si="0"/>
        <v>117.80000000000001</v>
      </c>
      <c r="P7" s="26">
        <f t="shared" si="1"/>
        <v>13</v>
      </c>
      <c r="Q7" s="27">
        <f t="shared" si="2"/>
        <v>130.80000000000001</v>
      </c>
      <c r="R7" s="75">
        <f t="shared" si="3"/>
        <v>30.8</v>
      </c>
      <c r="S7" s="75">
        <f t="shared" si="4"/>
        <v>161.60000000000002</v>
      </c>
      <c r="T7" s="76"/>
      <c r="U7" s="22"/>
      <c r="V7" s="64">
        <f t="shared" si="5"/>
        <v>50.300000000000004</v>
      </c>
      <c r="W7" s="65">
        <f>INT($AD7*$C$10/100*$C$11/100*$AL7)</f>
        <v>4</v>
      </c>
      <c r="X7" s="64">
        <f t="shared" si="6"/>
        <v>22.5</v>
      </c>
      <c r="Y7" s="65">
        <f>INT($AI7*$C$10/100*$C$11/100*$AL7)</f>
        <v>3</v>
      </c>
      <c r="Z7" s="62">
        <f t="shared" si="7"/>
        <v>302</v>
      </c>
      <c r="AA7" s="62">
        <f t="shared" si="8"/>
        <v>332</v>
      </c>
      <c r="AB7" s="20">
        <f t="shared" si="9"/>
        <v>10</v>
      </c>
      <c r="AC7" s="33">
        <v>26</v>
      </c>
      <c r="AD7" s="20">
        <f>AC7</f>
        <v>26</v>
      </c>
      <c r="AE7" s="20">
        <f t="shared" si="10"/>
        <v>294</v>
      </c>
      <c r="AF7" s="20">
        <f t="shared" si="11"/>
        <v>323</v>
      </c>
      <c r="AG7" s="20">
        <f t="shared" si="12"/>
        <v>10</v>
      </c>
      <c r="AH7" s="20">
        <v>20</v>
      </c>
      <c r="AI7" s="20">
        <f>AH7</f>
        <v>20</v>
      </c>
      <c r="AJ7" s="19" t="str">
        <f t="shared" si="13"/>
        <v>青</v>
      </c>
      <c r="AK7" s="19">
        <f t="shared" si="14"/>
        <v>1.2</v>
      </c>
      <c r="AL7" s="19">
        <f t="shared" si="15"/>
        <v>1.0625</v>
      </c>
      <c r="AM7" s="22"/>
      <c r="AN7" s="22"/>
      <c r="AO7" s="22"/>
      <c r="AP7" s="22"/>
      <c r="AQ7" s="22"/>
      <c r="AR7" s="22"/>
    </row>
    <row r="8" spans="1:44">
      <c r="A8" s="136"/>
      <c r="B8" s="51" t="s">
        <v>8</v>
      </c>
      <c r="C8" s="51">
        <v>20</v>
      </c>
      <c r="D8" s="54"/>
      <c r="F8" s="21" t="s">
        <v>17</v>
      </c>
      <c r="G8" s="53" t="s">
        <v>35</v>
      </c>
      <c r="H8" s="57">
        <v>144</v>
      </c>
      <c r="I8" s="57">
        <v>-10</v>
      </c>
      <c r="J8" s="59" t="s">
        <v>82</v>
      </c>
      <c r="K8" s="60">
        <v>175</v>
      </c>
      <c r="L8" s="60">
        <v>-10</v>
      </c>
      <c r="M8" s="45" t="s">
        <v>103</v>
      </c>
      <c r="N8" s="57" t="s">
        <v>69</v>
      </c>
      <c r="O8" s="27">
        <f t="shared" si="0"/>
        <v>119</v>
      </c>
      <c r="P8" s="26">
        <f t="shared" si="1"/>
        <v>14</v>
      </c>
      <c r="Q8" s="27">
        <f t="shared" si="2"/>
        <v>133</v>
      </c>
      <c r="R8" s="75">
        <f t="shared" si="3"/>
        <v>28</v>
      </c>
      <c r="S8" s="75">
        <f t="shared" si="4"/>
        <v>161</v>
      </c>
      <c r="T8" s="76"/>
      <c r="U8" s="22"/>
      <c r="V8" s="64">
        <f t="shared" si="5"/>
        <v>47</v>
      </c>
      <c r="W8" s="65">
        <f>INT($AD8*$C$7/100*$C$11/100*$AL8)</f>
        <v>5</v>
      </c>
      <c r="X8" s="64">
        <f t="shared" si="6"/>
        <v>24</v>
      </c>
      <c r="Y8" s="65">
        <f>INT($AI8*$C$7/100*$C$11/100*$AL8)</f>
        <v>3</v>
      </c>
      <c r="Z8" s="62">
        <f t="shared" si="7"/>
        <v>286</v>
      </c>
      <c r="AA8" s="62">
        <f t="shared" si="8"/>
        <v>314</v>
      </c>
      <c r="AB8" s="20">
        <f t="shared" si="9"/>
        <v>0</v>
      </c>
      <c r="AC8" s="33">
        <v>30</v>
      </c>
      <c r="AD8" s="20">
        <f>AC8</f>
        <v>30</v>
      </c>
      <c r="AE8" s="20">
        <f t="shared" si="10"/>
        <v>317</v>
      </c>
      <c r="AF8" s="20">
        <f t="shared" si="11"/>
        <v>348</v>
      </c>
      <c r="AG8" s="20">
        <f t="shared" si="12"/>
        <v>0</v>
      </c>
      <c r="AH8" s="20">
        <v>22</v>
      </c>
      <c r="AI8" s="20">
        <f>AH8</f>
        <v>22</v>
      </c>
      <c r="AJ8" s="19" t="str">
        <f t="shared" si="13"/>
        <v>青</v>
      </c>
      <c r="AK8" s="19">
        <f t="shared" si="14"/>
        <v>1.2</v>
      </c>
      <c r="AL8" s="19">
        <f t="shared" si="15"/>
        <v>1.0625</v>
      </c>
      <c r="AM8" s="22"/>
      <c r="AN8" s="22"/>
      <c r="AO8" s="22"/>
      <c r="AP8" s="22"/>
      <c r="AQ8" s="22"/>
      <c r="AR8" s="22"/>
    </row>
    <row r="9" spans="1:44">
      <c r="A9" s="136"/>
      <c r="B9" s="51" t="s">
        <v>7</v>
      </c>
      <c r="C9" s="51">
        <v>20</v>
      </c>
      <c r="D9" s="52"/>
      <c r="F9" s="8" t="s">
        <v>13</v>
      </c>
      <c r="G9" s="8" t="s">
        <v>35</v>
      </c>
      <c r="H9" s="21">
        <v>126</v>
      </c>
      <c r="I9" s="21">
        <v>10</v>
      </c>
      <c r="J9" s="58" t="s">
        <v>132</v>
      </c>
      <c r="K9" s="60">
        <v>154</v>
      </c>
      <c r="L9" s="60">
        <v>10</v>
      </c>
      <c r="M9" s="84" t="s">
        <v>96</v>
      </c>
      <c r="N9" s="8" t="s">
        <v>37</v>
      </c>
      <c r="O9" s="27">
        <f t="shared" si="0"/>
        <v>115.80000000000001</v>
      </c>
      <c r="P9" s="26">
        <f t="shared" si="1"/>
        <v>14</v>
      </c>
      <c r="Q9" s="27">
        <f t="shared" si="2"/>
        <v>129.80000000000001</v>
      </c>
      <c r="R9" s="75">
        <f t="shared" si="3"/>
        <v>28.200000000000003</v>
      </c>
      <c r="S9" s="75">
        <f t="shared" si="4"/>
        <v>158</v>
      </c>
      <c r="T9" s="76"/>
      <c r="U9" s="22"/>
      <c r="V9" s="64">
        <f t="shared" si="5"/>
        <v>46.2</v>
      </c>
      <c r="W9" s="65">
        <f>INT($AD9*$C$10/100*$C$11/100*$AL9)</f>
        <v>2</v>
      </c>
      <c r="X9" s="64">
        <f t="shared" si="6"/>
        <v>23.200000000000003</v>
      </c>
      <c r="Y9" s="65">
        <f>INT($AI9*$C$10/100*$C$11/100*$AL9)</f>
        <v>4</v>
      </c>
      <c r="Z9" s="62">
        <f t="shared" si="7"/>
        <v>268</v>
      </c>
      <c r="AA9" s="62">
        <f t="shared" si="8"/>
        <v>294</v>
      </c>
      <c r="AB9" s="20">
        <f t="shared" si="9"/>
        <v>20</v>
      </c>
      <c r="AC9" s="33">
        <v>14</v>
      </c>
      <c r="AD9" s="20">
        <f>AC9</f>
        <v>14</v>
      </c>
      <c r="AE9" s="20">
        <f t="shared" si="10"/>
        <v>296</v>
      </c>
      <c r="AF9" s="20">
        <f t="shared" si="11"/>
        <v>325</v>
      </c>
      <c r="AG9" s="20">
        <f t="shared" si="12"/>
        <v>20</v>
      </c>
      <c r="AH9" s="20">
        <v>24</v>
      </c>
      <c r="AI9" s="20">
        <f>AH9</f>
        <v>24</v>
      </c>
      <c r="AJ9" s="19" t="str">
        <f t="shared" si="13"/>
        <v>青</v>
      </c>
      <c r="AK9" s="19">
        <f t="shared" si="14"/>
        <v>1.2</v>
      </c>
      <c r="AL9" s="19">
        <f t="shared" si="15"/>
        <v>1.0625</v>
      </c>
      <c r="AM9" s="22"/>
      <c r="AN9" s="22"/>
      <c r="AO9" s="22"/>
      <c r="AP9" s="22"/>
      <c r="AQ9" s="22"/>
      <c r="AR9" s="22"/>
    </row>
    <row r="10" spans="1:44">
      <c r="A10" s="137"/>
      <c r="B10" s="51" t="s">
        <v>9</v>
      </c>
      <c r="C10" s="51">
        <v>20</v>
      </c>
      <c r="D10" s="52"/>
      <c r="F10" s="21" t="s">
        <v>27</v>
      </c>
      <c r="G10" s="53" t="s">
        <v>35</v>
      </c>
      <c r="H10" s="21">
        <v>145</v>
      </c>
      <c r="I10" s="21">
        <v>0</v>
      </c>
      <c r="J10" s="70" t="s">
        <v>88</v>
      </c>
      <c r="K10" s="60">
        <v>138</v>
      </c>
      <c r="L10" s="60">
        <v>0</v>
      </c>
      <c r="M10" s="84" t="s">
        <v>88</v>
      </c>
      <c r="N10" s="21" t="s">
        <v>36</v>
      </c>
      <c r="O10" s="27">
        <f t="shared" si="0"/>
        <v>123.1</v>
      </c>
      <c r="P10" s="26">
        <f t="shared" si="1"/>
        <v>4</v>
      </c>
      <c r="Q10" s="27">
        <f t="shared" si="2"/>
        <v>127.1</v>
      </c>
      <c r="R10" s="75">
        <f t="shared" si="3"/>
        <v>31.799999999999997</v>
      </c>
      <c r="S10" s="75">
        <f t="shared" si="4"/>
        <v>158.89999999999998</v>
      </c>
      <c r="T10" s="76"/>
      <c r="U10" s="22"/>
      <c r="V10" s="64">
        <f t="shared" si="5"/>
        <v>52.3</v>
      </c>
      <c r="W10" s="65">
        <f>INT($AD10*$C$6/100*$C$11/100*$AL10)</f>
        <v>1</v>
      </c>
      <c r="X10" s="64">
        <f t="shared" si="6"/>
        <v>23.599999999999998</v>
      </c>
      <c r="Y10" s="65">
        <f>INT($AI10*$C$6/100*$C$11/100*$AL10)</f>
        <v>1</v>
      </c>
      <c r="Z10" s="62">
        <f t="shared" si="7"/>
        <v>287</v>
      </c>
      <c r="AA10" s="62">
        <f t="shared" si="8"/>
        <v>315</v>
      </c>
      <c r="AB10" s="20">
        <f t="shared" si="9"/>
        <v>10</v>
      </c>
      <c r="AC10" s="33">
        <v>8</v>
      </c>
      <c r="AD10" s="20">
        <f>IF($D$16="あり",INT(AC10*1.1+6),AC10)</f>
        <v>8</v>
      </c>
      <c r="AE10" s="20">
        <f t="shared" si="10"/>
        <v>280</v>
      </c>
      <c r="AF10" s="20">
        <f t="shared" si="11"/>
        <v>308</v>
      </c>
      <c r="AG10" s="20">
        <f t="shared" si="12"/>
        <v>10</v>
      </c>
      <c r="AH10" s="20">
        <v>8</v>
      </c>
      <c r="AI10" s="20">
        <f>IF($D$16="あり",INT(AH10*1.1+6),AH10)</f>
        <v>8</v>
      </c>
      <c r="AJ10" s="19" t="str">
        <f t="shared" si="13"/>
        <v>白</v>
      </c>
      <c r="AK10" s="19">
        <f t="shared" si="14"/>
        <v>1.32</v>
      </c>
      <c r="AL10" s="19">
        <f t="shared" si="15"/>
        <v>1.125</v>
      </c>
      <c r="AM10" s="22"/>
      <c r="AN10" s="22"/>
      <c r="AO10" s="22"/>
      <c r="AP10" s="22"/>
      <c r="AQ10" s="22"/>
      <c r="AR10" s="22"/>
    </row>
    <row r="11" spans="1:44">
      <c r="A11" s="55" t="s">
        <v>10</v>
      </c>
      <c r="B11" s="56"/>
      <c r="C11" s="51">
        <v>80</v>
      </c>
      <c r="D11" s="52"/>
      <c r="F11" s="21" t="s">
        <v>19</v>
      </c>
      <c r="G11" s="53" t="s">
        <v>35</v>
      </c>
      <c r="H11" s="21">
        <v>135</v>
      </c>
      <c r="I11" s="21">
        <v>5</v>
      </c>
      <c r="J11" s="58" t="s">
        <v>94</v>
      </c>
      <c r="K11" s="60">
        <v>164</v>
      </c>
      <c r="L11" s="60">
        <v>5</v>
      </c>
      <c r="M11" s="45" t="s">
        <v>94</v>
      </c>
      <c r="N11" s="21" t="s">
        <v>36</v>
      </c>
      <c r="O11" s="27">
        <f t="shared" si="0"/>
        <v>129.5</v>
      </c>
      <c r="P11" s="26">
        <f t="shared" si="1"/>
        <v>0</v>
      </c>
      <c r="Q11" s="27">
        <f t="shared" si="2"/>
        <v>129.5</v>
      </c>
      <c r="R11" s="75">
        <f t="shared" si="3"/>
        <v>31.2</v>
      </c>
      <c r="S11" s="75">
        <f t="shared" si="4"/>
        <v>160.69999999999999</v>
      </c>
      <c r="T11" s="76"/>
      <c r="U11" s="22"/>
      <c r="V11" s="64">
        <f t="shared" si="5"/>
        <v>51.8</v>
      </c>
      <c r="W11" s="65">
        <f>INT($AD11*$C$6/100*$C$11/100*$AL11)</f>
        <v>0</v>
      </c>
      <c r="X11" s="64">
        <f t="shared" si="6"/>
        <v>25.9</v>
      </c>
      <c r="Y11" s="65">
        <f>INT($AI11*$C$6/100*$C$11/100*$AL11)</f>
        <v>0</v>
      </c>
      <c r="Z11" s="62">
        <f t="shared" si="7"/>
        <v>277</v>
      </c>
      <c r="AA11" s="62">
        <f t="shared" si="8"/>
        <v>304</v>
      </c>
      <c r="AB11" s="20">
        <f t="shared" si="9"/>
        <v>15</v>
      </c>
      <c r="AC11" s="33">
        <v>0</v>
      </c>
      <c r="AD11" s="20">
        <f t="shared" ref="AD11:AD16" si="16">AC11</f>
        <v>0</v>
      </c>
      <c r="AE11" s="20">
        <f t="shared" si="10"/>
        <v>306</v>
      </c>
      <c r="AF11" s="20">
        <f t="shared" si="11"/>
        <v>336</v>
      </c>
      <c r="AG11" s="20">
        <f t="shared" si="12"/>
        <v>15</v>
      </c>
      <c r="AI11" s="20">
        <f t="shared" ref="AI11:AI16" si="17">AH11</f>
        <v>0</v>
      </c>
      <c r="AJ11" s="19" t="str">
        <f t="shared" si="13"/>
        <v>白</v>
      </c>
      <c r="AK11" s="19">
        <f t="shared" si="14"/>
        <v>1.32</v>
      </c>
      <c r="AL11" s="19">
        <f t="shared" si="15"/>
        <v>1.125</v>
      </c>
      <c r="AM11" s="22"/>
      <c r="AN11" s="22"/>
      <c r="AO11" s="22"/>
      <c r="AP11" s="22"/>
      <c r="AQ11" s="22"/>
      <c r="AR11" s="22"/>
    </row>
    <row r="12" spans="1:44">
      <c r="A12" s="22"/>
      <c r="B12" s="22"/>
      <c r="C12" s="54"/>
      <c r="D12" s="54"/>
      <c r="F12" s="8" t="s">
        <v>15</v>
      </c>
      <c r="G12" s="8" t="s">
        <v>4</v>
      </c>
      <c r="H12" s="57">
        <v>120</v>
      </c>
      <c r="I12" s="57">
        <v>0</v>
      </c>
      <c r="J12" s="84" t="s">
        <v>135</v>
      </c>
      <c r="K12" s="60">
        <v>146</v>
      </c>
      <c r="L12" s="60">
        <v>0</v>
      </c>
      <c r="M12" s="84" t="s">
        <v>104</v>
      </c>
      <c r="N12" s="8" t="s">
        <v>69</v>
      </c>
      <c r="O12" s="27">
        <f t="shared" si="0"/>
        <v>108.8</v>
      </c>
      <c r="P12" s="26">
        <f t="shared" si="1"/>
        <v>19</v>
      </c>
      <c r="Q12" s="27">
        <f t="shared" si="2"/>
        <v>127.8</v>
      </c>
      <c r="R12" s="75">
        <f>INT($AA12*16/100*$C$5/100*$C$11/100*$AK12)*(100-$AB12)/100+INT($AA12*16/100*$C$5/100*$C$11/100*$AK12*1.25)*$AB12/100</f>
        <v>26.7</v>
      </c>
      <c r="S12" s="75">
        <f t="shared" si="4"/>
        <v>154.5</v>
      </c>
      <c r="T12" s="76"/>
      <c r="V12" s="64">
        <f>INT($AA12*26/100*$C$5/100*$C$11/100*$AK12)*(100-$AB12)/100+INT($AA12*26/100*$C$5/100*$C$11/100*$AK12*1.25)*$AB12/100</f>
        <v>44</v>
      </c>
      <c r="W12" s="65">
        <f>INT($AD12*$C$9/100*$C$11/100*$AL12)</f>
        <v>4</v>
      </c>
      <c r="X12" s="64">
        <f>INT($AF12*$E$24/100*$C$5/100*$C$11/100*$AK12)*(100-$AG12)/100+INT($AF12*$E$24/100*$C$5/100*$C$11/100*$AK12*1.25)*$AG12/100</f>
        <v>21.599999999999998</v>
      </c>
      <c r="Y12" s="65">
        <f>INT($AI12*$C$9/100*$C$11/100*$AL12)</f>
        <v>5</v>
      </c>
      <c r="Z12" s="62">
        <f t="shared" si="7"/>
        <v>262</v>
      </c>
      <c r="AA12" s="62">
        <f t="shared" si="8"/>
        <v>288</v>
      </c>
      <c r="AB12" s="20">
        <f t="shared" si="9"/>
        <v>10</v>
      </c>
      <c r="AC12" s="33">
        <v>26</v>
      </c>
      <c r="AD12" s="20">
        <f t="shared" si="16"/>
        <v>26</v>
      </c>
      <c r="AE12" s="20">
        <f t="shared" si="10"/>
        <v>288</v>
      </c>
      <c r="AF12" s="20">
        <f t="shared" si="11"/>
        <v>316</v>
      </c>
      <c r="AG12" s="20">
        <f t="shared" si="12"/>
        <v>10</v>
      </c>
      <c r="AH12" s="20">
        <v>32</v>
      </c>
      <c r="AI12" s="20">
        <f t="shared" si="17"/>
        <v>32</v>
      </c>
      <c r="AJ12" s="19" t="str">
        <f t="shared" si="13"/>
        <v>青</v>
      </c>
      <c r="AK12" s="19">
        <f t="shared" si="14"/>
        <v>1.2</v>
      </c>
      <c r="AL12" s="19">
        <f t="shared" si="15"/>
        <v>1.0625</v>
      </c>
      <c r="AM12" s="22"/>
      <c r="AN12" s="22"/>
      <c r="AO12" s="22"/>
      <c r="AP12" s="22"/>
      <c r="AQ12" s="22"/>
      <c r="AR12" s="22"/>
    </row>
    <row r="13" spans="1:44">
      <c r="A13" s="130" t="s">
        <v>40</v>
      </c>
      <c r="B13" s="131"/>
      <c r="C13" s="132"/>
      <c r="D13" s="51" t="s">
        <v>43</v>
      </c>
      <c r="E13" s="17">
        <f>IF(D13="あり",40,0)</f>
        <v>0</v>
      </c>
      <c r="F13" s="21" t="s">
        <v>20</v>
      </c>
      <c r="G13" s="53" t="s">
        <v>35</v>
      </c>
      <c r="H13" s="21">
        <v>152</v>
      </c>
      <c r="I13" s="21">
        <v>10</v>
      </c>
      <c r="J13" s="58"/>
      <c r="K13" s="60">
        <v>144</v>
      </c>
      <c r="L13" s="60">
        <v>10</v>
      </c>
      <c r="M13" s="45"/>
      <c r="N13" s="21" t="s">
        <v>36</v>
      </c>
      <c r="O13" s="27">
        <f t="shared" si="0"/>
        <v>128.19999999999999</v>
      </c>
      <c r="P13" s="26">
        <f t="shared" si="1"/>
        <v>0</v>
      </c>
      <c r="Q13" s="27">
        <f t="shared" si="2"/>
        <v>128.19999999999999</v>
      </c>
      <c r="R13" s="75">
        <f>INT($AA13*16/100*$C$4/100*$C$11/100*$AK13)*(100-$AB13)/100+INT($AA13*16/100*$C$4/100*$C$11/100*$AK13*1.25)*$AB13/100</f>
        <v>33.6</v>
      </c>
      <c r="S13" s="75">
        <f t="shared" si="4"/>
        <v>161.79999999999998</v>
      </c>
      <c r="T13" s="76"/>
      <c r="U13" s="22"/>
      <c r="V13" s="64">
        <f>INT($AA13*26/100*$C$4/100*$C$11/100*$AK13)*(100-$AB13)/100+INT($AA13*26/100*$C$4/100*$C$11/100*$AK13*1.25)*$AB13/100</f>
        <v>55.599999999999994</v>
      </c>
      <c r="W13" s="65">
        <f>INT($AD13*$C$6/100*$C$11/100*$AL13)</f>
        <v>0</v>
      </c>
      <c r="X13" s="64">
        <f>INT($AF13*$E$24/100*$C$4/100*$C$11/100*$AK13)*(100-$AG13)/100+INT($AF13*$E$24/100*$C$4/100*$C$11/100*$AK13*1.25)*$AG13/100</f>
        <v>24.2</v>
      </c>
      <c r="Y13" s="65">
        <f>INT($AI13*$C$6/100*$C$11/100*$AL13)</f>
        <v>0</v>
      </c>
      <c r="Z13" s="62">
        <f t="shared" si="7"/>
        <v>294</v>
      </c>
      <c r="AA13" s="62">
        <f t="shared" si="8"/>
        <v>323</v>
      </c>
      <c r="AB13" s="20">
        <f t="shared" si="9"/>
        <v>20</v>
      </c>
      <c r="AC13" s="33">
        <v>0</v>
      </c>
      <c r="AD13" s="20">
        <f t="shared" si="16"/>
        <v>0</v>
      </c>
      <c r="AE13" s="20">
        <f t="shared" si="10"/>
        <v>286</v>
      </c>
      <c r="AF13" s="20">
        <f t="shared" si="11"/>
        <v>314</v>
      </c>
      <c r="AG13" s="20">
        <f t="shared" si="12"/>
        <v>20</v>
      </c>
      <c r="AI13" s="20">
        <f t="shared" si="17"/>
        <v>0</v>
      </c>
      <c r="AJ13" s="19" t="str">
        <f t="shared" si="13"/>
        <v>白</v>
      </c>
      <c r="AK13" s="19">
        <f t="shared" si="14"/>
        <v>1.32</v>
      </c>
      <c r="AL13" s="19">
        <f t="shared" si="15"/>
        <v>1.125</v>
      </c>
      <c r="AM13" s="22"/>
      <c r="AN13" s="22"/>
      <c r="AO13" s="22"/>
      <c r="AP13" s="22"/>
      <c r="AQ13" s="22"/>
      <c r="AR13" s="22"/>
    </row>
    <row r="14" spans="1:44">
      <c r="A14" s="130" t="s">
        <v>41</v>
      </c>
      <c r="B14" s="131"/>
      <c r="C14" s="132"/>
      <c r="D14" s="51" t="s">
        <v>43</v>
      </c>
      <c r="E14" s="17">
        <f>IF(D14="あり",30,0)</f>
        <v>0</v>
      </c>
      <c r="F14" s="24" t="s">
        <v>159</v>
      </c>
      <c r="G14" s="8" t="s">
        <v>4</v>
      </c>
      <c r="H14" s="8">
        <v>120</v>
      </c>
      <c r="I14" s="8">
        <v>5</v>
      </c>
      <c r="J14" s="68" t="s">
        <v>163</v>
      </c>
      <c r="K14" s="60">
        <v>146</v>
      </c>
      <c r="L14" s="60">
        <v>5</v>
      </c>
      <c r="M14" s="45" t="s">
        <v>164</v>
      </c>
      <c r="N14" s="8" t="s">
        <v>123</v>
      </c>
      <c r="O14" s="27">
        <f t="shared" si="0"/>
        <v>110.2</v>
      </c>
      <c r="P14" s="26">
        <f t="shared" si="1"/>
        <v>15</v>
      </c>
      <c r="Q14" s="27">
        <f t="shared" si="2"/>
        <v>125.2</v>
      </c>
      <c r="R14" s="75">
        <f>INT($AA14*16/100*$C$5/100*$C$11/100*$AK14)*(100-$AB14)/100+INT($AA14*16/100*$C$5/100*$C$11/100*$AK14*1.25)*$AB14/100</f>
        <v>27.05</v>
      </c>
      <c r="S14" s="75">
        <f t="shared" si="4"/>
        <v>152.25</v>
      </c>
      <c r="T14" s="76"/>
      <c r="V14" s="64">
        <f>INT($AA14*26/100*$C$5/100*$C$11/100*$AK14)*(100-$AB14)/100+INT($AA14*26/100*$C$5/100*$C$11/100*$AK14*1.25)*$AB14/100</f>
        <v>44.5</v>
      </c>
      <c r="W14" s="65">
        <f>INT($AD14*$C$9/100*$C$11/100*$AL14)</f>
        <v>3</v>
      </c>
      <c r="X14" s="64">
        <f>INT($AF14*$E$24/100*$C$5/100*$C$11/100*$AK14)*(100-$AG14)/100+INT($AF14*$E$24/100*$C$5/100*$C$11/100*$AK14*1.25)*$AG14/100</f>
        <v>21.900000000000002</v>
      </c>
      <c r="Y14" s="65">
        <f>INT($AI14*$C$10/100*$C$11/100*$AL14)</f>
        <v>4</v>
      </c>
      <c r="Z14" s="62">
        <f t="shared" si="7"/>
        <v>262</v>
      </c>
      <c r="AA14" s="62">
        <f t="shared" si="8"/>
        <v>288</v>
      </c>
      <c r="AB14" s="20">
        <f t="shared" si="9"/>
        <v>15</v>
      </c>
      <c r="AC14" s="33">
        <v>20</v>
      </c>
      <c r="AD14" s="20">
        <f t="shared" si="16"/>
        <v>20</v>
      </c>
      <c r="AE14" s="20">
        <f t="shared" si="10"/>
        <v>288</v>
      </c>
      <c r="AF14" s="20">
        <f t="shared" si="11"/>
        <v>316</v>
      </c>
      <c r="AG14" s="20">
        <f t="shared" si="12"/>
        <v>15</v>
      </c>
      <c r="AH14" s="20">
        <v>26</v>
      </c>
      <c r="AI14" s="20">
        <f t="shared" si="17"/>
        <v>26</v>
      </c>
      <c r="AJ14" s="19" t="str">
        <f t="shared" si="13"/>
        <v>青</v>
      </c>
      <c r="AK14" s="19">
        <f t="shared" si="14"/>
        <v>1.2</v>
      </c>
      <c r="AL14" s="19">
        <f t="shared" si="15"/>
        <v>1.0625</v>
      </c>
      <c r="AM14" s="22"/>
      <c r="AN14" s="22"/>
      <c r="AO14" s="22"/>
      <c r="AP14" s="22"/>
      <c r="AQ14" s="22"/>
      <c r="AR14" s="22"/>
    </row>
    <row r="15" spans="1:44">
      <c r="A15" s="130" t="s">
        <v>42</v>
      </c>
      <c r="B15" s="131"/>
      <c r="C15" s="132"/>
      <c r="D15" s="51" t="s">
        <v>43</v>
      </c>
      <c r="E15" s="17">
        <f>IF(D15="あり",C2*0.5,0)</f>
        <v>0</v>
      </c>
      <c r="F15" s="21" t="s">
        <v>21</v>
      </c>
      <c r="G15" s="53" t="s">
        <v>35</v>
      </c>
      <c r="H15" s="21">
        <v>130</v>
      </c>
      <c r="I15" s="21">
        <v>10</v>
      </c>
      <c r="J15" s="58" t="s">
        <v>85</v>
      </c>
      <c r="K15" s="60">
        <v>124</v>
      </c>
      <c r="L15" s="60">
        <v>10</v>
      </c>
      <c r="M15" s="68" t="s">
        <v>85</v>
      </c>
      <c r="N15" s="21" t="s">
        <v>36</v>
      </c>
      <c r="O15" s="27">
        <f t="shared" si="0"/>
        <v>120.4</v>
      </c>
      <c r="P15" s="26">
        <f t="shared" si="1"/>
        <v>8</v>
      </c>
      <c r="Q15" s="27">
        <f t="shared" si="2"/>
        <v>128.4</v>
      </c>
      <c r="R15" s="75">
        <f>INT($AA15*16/100*$C$4/100*$C$11/100*$AK15)*(100-$AB15)/100+INT($AA15*16/100*$C$4/100*$C$11/100*$AK15*1.25)*$AB15/100</f>
        <v>31.4</v>
      </c>
      <c r="S15" s="75">
        <f t="shared" si="4"/>
        <v>159.80000000000001</v>
      </c>
      <c r="T15" s="76"/>
      <c r="U15" s="22"/>
      <c r="V15" s="64">
        <f>INT($AA15*26/100*$C$4/100*$C$11/100*$AK15)*(100-$AB15)/100+INT($AA15*26/100*$C$4/100*$C$11/100*$AK15*1.25)*$AB15/100</f>
        <v>51.400000000000006</v>
      </c>
      <c r="W15" s="65">
        <f>INT($AD15*$C$10/100*$C$11/100*$AL15)</f>
        <v>2</v>
      </c>
      <c r="X15" s="64">
        <f>INT($AF15*$E$24/100*$C$4/100*$C$11/100*$AK15)*(100-$AG15)/100+INT($AF15*$E$24/100*$C$4/100*$C$11/100*$AK15*1.25)*$AG15/100</f>
        <v>23</v>
      </c>
      <c r="Y15" s="65">
        <f>INT($AI15*$C$10/100*$C$11/100*$AL15)</f>
        <v>2</v>
      </c>
      <c r="Z15" s="62">
        <f t="shared" si="7"/>
        <v>272</v>
      </c>
      <c r="AA15" s="62">
        <f t="shared" si="8"/>
        <v>299</v>
      </c>
      <c r="AB15" s="20">
        <f t="shared" si="9"/>
        <v>20</v>
      </c>
      <c r="AC15" s="33">
        <v>16</v>
      </c>
      <c r="AD15" s="20">
        <f t="shared" si="16"/>
        <v>16</v>
      </c>
      <c r="AE15" s="20">
        <f t="shared" si="10"/>
        <v>266</v>
      </c>
      <c r="AF15" s="20">
        <f t="shared" si="11"/>
        <v>292</v>
      </c>
      <c r="AG15" s="20">
        <f t="shared" si="12"/>
        <v>20</v>
      </c>
      <c r="AH15" s="20">
        <v>16</v>
      </c>
      <c r="AI15" s="20">
        <f t="shared" si="17"/>
        <v>16</v>
      </c>
      <c r="AJ15" s="19" t="str">
        <f t="shared" si="13"/>
        <v>白</v>
      </c>
      <c r="AK15" s="19">
        <f t="shared" si="14"/>
        <v>1.32</v>
      </c>
      <c r="AL15" s="19">
        <f t="shared" si="15"/>
        <v>1.125</v>
      </c>
      <c r="AM15" s="22"/>
      <c r="AN15" s="22"/>
      <c r="AO15" s="22"/>
      <c r="AP15" s="22"/>
      <c r="AQ15" s="22"/>
      <c r="AR15" s="22"/>
    </row>
    <row r="16" spans="1:44">
      <c r="A16" s="130" t="s">
        <v>45</v>
      </c>
      <c r="B16" s="131"/>
      <c r="C16" s="132"/>
      <c r="D16" s="51" t="s">
        <v>43</v>
      </c>
      <c r="E16" s="17">
        <f>IF(D16="あり",30,0)</f>
        <v>0</v>
      </c>
      <c r="F16" s="21" t="s">
        <v>26</v>
      </c>
      <c r="G16" s="53" t="s">
        <v>35</v>
      </c>
      <c r="H16" s="21">
        <v>152</v>
      </c>
      <c r="I16" s="21">
        <v>20</v>
      </c>
      <c r="J16" s="58" t="s">
        <v>85</v>
      </c>
      <c r="K16" s="60">
        <v>144</v>
      </c>
      <c r="L16" s="60">
        <v>20</v>
      </c>
      <c r="M16" s="45" t="s">
        <v>101</v>
      </c>
      <c r="N16" s="21" t="s">
        <v>37</v>
      </c>
      <c r="O16" s="27">
        <f t="shared" si="0"/>
        <v>120</v>
      </c>
      <c r="P16" s="26">
        <f t="shared" si="1"/>
        <v>5</v>
      </c>
      <c r="Q16" s="27">
        <f t="shared" si="2"/>
        <v>125</v>
      </c>
      <c r="R16" s="75">
        <f>INT($AA16*16/100*$C$4/100*$C$11/100*$AK16)*(100-$AB16)/100+INT($AA16*16/100*$C$4/100*$C$11/100*$AK16*1.25)*$AB16/100</f>
        <v>31.4</v>
      </c>
      <c r="S16" s="75">
        <f t="shared" si="4"/>
        <v>156.4</v>
      </c>
      <c r="T16" s="76"/>
      <c r="U16" s="22"/>
      <c r="V16" s="64">
        <f>INT($AA16*26/100*$C$4/100*$C$11/100*$AK16)*(100-$AB16)/100+INT($AA16*26/100*$C$4/100*$C$11/100*$AK16*1.25)*$AB16/100</f>
        <v>51.6</v>
      </c>
      <c r="W16" s="65">
        <f>INT($AD16*$C$10/100*$C$11/100*$AL16)</f>
        <v>2</v>
      </c>
      <c r="X16" s="64">
        <f>INT($AF16*$E$24/100*$C$4/100*$C$11/100*$AK16)*(100-$AG16)/100+INT($AF16*$E$24/100*$C$4/100*$C$11/100*$AK16*1.25)*$AG16/100</f>
        <v>22.799999999999997</v>
      </c>
      <c r="Y16" s="65">
        <f>INT($AI16*$C$10/100*$C$11/100*$AL16)</f>
        <v>1</v>
      </c>
      <c r="Z16" s="62">
        <f t="shared" si="7"/>
        <v>294</v>
      </c>
      <c r="AA16" s="62">
        <f t="shared" si="8"/>
        <v>323</v>
      </c>
      <c r="AB16" s="20">
        <f t="shared" si="9"/>
        <v>30</v>
      </c>
      <c r="AC16" s="33">
        <v>16</v>
      </c>
      <c r="AD16" s="20">
        <f t="shared" si="16"/>
        <v>16</v>
      </c>
      <c r="AE16" s="20">
        <f t="shared" si="10"/>
        <v>286</v>
      </c>
      <c r="AF16" s="20">
        <f t="shared" si="11"/>
        <v>314</v>
      </c>
      <c r="AG16" s="20">
        <f t="shared" si="12"/>
        <v>30</v>
      </c>
      <c r="AH16" s="20">
        <v>10</v>
      </c>
      <c r="AI16" s="20">
        <f t="shared" si="17"/>
        <v>10</v>
      </c>
      <c r="AJ16" s="19" t="str">
        <f t="shared" si="13"/>
        <v>青</v>
      </c>
      <c r="AK16" s="19">
        <f t="shared" si="14"/>
        <v>1.2</v>
      </c>
      <c r="AL16" s="19">
        <f t="shared" si="15"/>
        <v>1.0625</v>
      </c>
      <c r="AM16" s="22"/>
      <c r="AN16" s="22"/>
      <c r="AO16" s="22"/>
      <c r="AP16" s="22"/>
      <c r="AQ16" s="22"/>
      <c r="AR16" s="22"/>
    </row>
    <row r="17" spans="1:44">
      <c r="A17" s="130" t="s">
        <v>44</v>
      </c>
      <c r="B17" s="131"/>
      <c r="C17" s="132"/>
      <c r="D17" s="51" t="s">
        <v>43</v>
      </c>
      <c r="E17" s="17">
        <f>IF(D17="あり",20,0)</f>
        <v>0</v>
      </c>
      <c r="F17" s="21" t="s">
        <v>52</v>
      </c>
      <c r="G17" s="53" t="s">
        <v>35</v>
      </c>
      <c r="H17" s="21">
        <v>175</v>
      </c>
      <c r="I17" s="21">
        <v>0</v>
      </c>
      <c r="J17" s="70" t="s">
        <v>73</v>
      </c>
      <c r="K17" s="61">
        <v>110</v>
      </c>
      <c r="L17" s="61">
        <v>0</v>
      </c>
      <c r="M17" s="85" t="s">
        <v>146</v>
      </c>
      <c r="N17" s="21" t="s">
        <v>37</v>
      </c>
      <c r="O17" s="27">
        <f t="shared" si="0"/>
        <v>111.5</v>
      </c>
      <c r="P17" s="26">
        <f t="shared" si="1"/>
        <v>10</v>
      </c>
      <c r="Q17" s="27">
        <f t="shared" si="2"/>
        <v>121.5</v>
      </c>
      <c r="R17" s="75">
        <f>INT($AA17*16/100*$C$4/100*$C$11/100*$AK17)*(100-$AB17)/100+INT($AA17*16/100*$C$4/100*$C$11/100*$AK17*1.25)*$AB17/100</f>
        <v>32.799999999999997</v>
      </c>
      <c r="S17" s="75">
        <f t="shared" si="4"/>
        <v>154.30000000000001</v>
      </c>
      <c r="T17" s="76"/>
      <c r="U17" s="22"/>
      <c r="V17" s="64">
        <f>INT($AA17*26/100*$C$4/100*$C$11/100*$AK17)*(100-$AB17)/100+INT($AA17*26/100*$C$4/100*$C$11/100*$AK17*1.25)*$AB17/100</f>
        <v>53.3</v>
      </c>
      <c r="W17" s="65">
        <f>INT($AD17*$C$8/100*$C$11/100*$AL17)</f>
        <v>4</v>
      </c>
      <c r="X17" s="64">
        <f>INT($AF17*$E$24/100*$C$4/100*$C$11/100*$AK17)*(100-$AG17)/100+INT($AF17*$E$24/100*$C$4/100*$C$11/100*$AK17*1.25)*$AG17/100</f>
        <v>19.400000000000002</v>
      </c>
      <c r="Y17" s="65">
        <f>INT($AI17*$C$8/100*$C$11/100*$AL17)</f>
        <v>2</v>
      </c>
      <c r="Z17" s="62">
        <f t="shared" si="7"/>
        <v>317</v>
      </c>
      <c r="AA17" s="62">
        <f t="shared" si="8"/>
        <v>348</v>
      </c>
      <c r="AB17" s="20">
        <f t="shared" si="9"/>
        <v>10</v>
      </c>
      <c r="AC17" s="33">
        <v>24</v>
      </c>
      <c r="AD17" s="20">
        <f>IF($D$16="あり",INT(AC17*1.1+6),AC17)</f>
        <v>24</v>
      </c>
      <c r="AE17" s="20">
        <f t="shared" si="10"/>
        <v>252</v>
      </c>
      <c r="AF17" s="20">
        <f t="shared" si="11"/>
        <v>277</v>
      </c>
      <c r="AG17" s="20">
        <f t="shared" si="12"/>
        <v>10</v>
      </c>
      <c r="AH17" s="20">
        <v>12</v>
      </c>
      <c r="AI17" s="20">
        <f>IF($D$16="あり",INT(AH17*1.1+6),AH17)</f>
        <v>12</v>
      </c>
      <c r="AJ17" s="19" t="str">
        <f t="shared" si="13"/>
        <v>青</v>
      </c>
      <c r="AK17" s="19">
        <f t="shared" si="14"/>
        <v>1.2</v>
      </c>
      <c r="AL17" s="19">
        <f t="shared" si="15"/>
        <v>1.0625</v>
      </c>
      <c r="AM17" s="22"/>
      <c r="AN17" s="22"/>
      <c r="AO17" s="22"/>
      <c r="AP17" s="22"/>
      <c r="AQ17" s="22"/>
      <c r="AR17" s="22"/>
    </row>
    <row r="18" spans="1:44">
      <c r="A18" s="130" t="s">
        <v>46</v>
      </c>
      <c r="B18" s="131"/>
      <c r="C18" s="132"/>
      <c r="D18" s="51" t="s">
        <v>39</v>
      </c>
      <c r="E18" s="17">
        <f>IF(D18="あり",10,0)</f>
        <v>10</v>
      </c>
      <c r="F18" s="21" t="s">
        <v>58</v>
      </c>
      <c r="G18" s="53" t="s">
        <v>35</v>
      </c>
      <c r="H18" s="21">
        <v>148</v>
      </c>
      <c r="I18" s="21">
        <v>0</v>
      </c>
      <c r="J18" s="70" t="s">
        <v>83</v>
      </c>
      <c r="K18" s="61">
        <v>140</v>
      </c>
      <c r="L18" s="61">
        <v>0</v>
      </c>
      <c r="M18" s="70" t="s">
        <v>148</v>
      </c>
      <c r="N18" s="21" t="s">
        <v>37</v>
      </c>
      <c r="O18" s="27">
        <f t="shared" si="0"/>
        <v>112.69999999999999</v>
      </c>
      <c r="P18" s="26">
        <f t="shared" si="1"/>
        <v>10</v>
      </c>
      <c r="Q18" s="27">
        <f t="shared" si="2"/>
        <v>122.69999999999999</v>
      </c>
      <c r="R18" s="75">
        <f>INT($AA18*16/100*$C$4/100*$C$11/100*$AK18)*(100-$AB18)/100+INT($AA18*16/100*$C$4/100*$C$11/100*$AK18*1.25)*$AB18/100</f>
        <v>29.700000000000003</v>
      </c>
      <c r="S18" s="75">
        <f t="shared" si="4"/>
        <v>152.39999999999998</v>
      </c>
      <c r="T18" s="76"/>
      <c r="U18" s="22"/>
      <c r="V18" s="64">
        <f>INT($AA18*26/100*$C$4/100*$C$11/100*$AK18)*(100-$AB18)/100+INT($AA18*26/100*$C$4/100*$C$11/100*$AK18*1.25)*$AB18/100</f>
        <v>48.199999999999996</v>
      </c>
      <c r="W18" s="65">
        <f>INT($AD18*$C$9/100*$C$11/100*$AL18)</f>
        <v>4</v>
      </c>
      <c r="X18" s="64">
        <f>INT($AF18*$E$24/100*$C$4/100*$C$11/100*$AK18)*(100-$AG18)/100+INT($AF18*$E$24/100*$C$4/100*$C$11/100*$AK18*1.25)*$AG18/100</f>
        <v>21.5</v>
      </c>
      <c r="Y18" s="65">
        <f>INT($AI18*$C$9/100*$C$11/100*$AL18)</f>
        <v>2</v>
      </c>
      <c r="Z18" s="62">
        <f t="shared" si="7"/>
        <v>290</v>
      </c>
      <c r="AA18" s="62">
        <f t="shared" si="8"/>
        <v>319</v>
      </c>
      <c r="AB18" s="20">
        <f t="shared" si="9"/>
        <v>10</v>
      </c>
      <c r="AC18" s="33">
        <v>28</v>
      </c>
      <c r="AD18" s="20">
        <f t="shared" ref="AD18:AD25" si="18">AC18</f>
        <v>28</v>
      </c>
      <c r="AE18" s="20">
        <f t="shared" si="10"/>
        <v>282</v>
      </c>
      <c r="AF18" s="20">
        <f t="shared" si="11"/>
        <v>310</v>
      </c>
      <c r="AG18" s="20">
        <f t="shared" si="12"/>
        <v>10</v>
      </c>
      <c r="AH18" s="20">
        <v>16</v>
      </c>
      <c r="AI18" s="20">
        <f t="shared" ref="AI18:AI25" si="19">AH18</f>
        <v>16</v>
      </c>
      <c r="AJ18" s="19" t="str">
        <f t="shared" si="13"/>
        <v>青</v>
      </c>
      <c r="AK18" s="19">
        <f t="shared" si="14"/>
        <v>1.2</v>
      </c>
      <c r="AL18" s="19">
        <f t="shared" si="15"/>
        <v>1.0625</v>
      </c>
      <c r="AM18" s="22"/>
      <c r="AN18" s="22"/>
      <c r="AO18" s="22"/>
      <c r="AP18" s="22"/>
      <c r="AQ18" s="22"/>
      <c r="AR18" s="22"/>
    </row>
    <row r="19" spans="1:44">
      <c r="A19" s="130" t="s">
        <v>48</v>
      </c>
      <c r="B19" s="131"/>
      <c r="C19" s="132"/>
      <c r="D19" s="51" t="s">
        <v>43</v>
      </c>
      <c r="F19" s="21" t="s">
        <v>65</v>
      </c>
      <c r="G19" s="53" t="s">
        <v>35</v>
      </c>
      <c r="H19" s="21">
        <v>135</v>
      </c>
      <c r="I19" s="21">
        <v>15</v>
      </c>
      <c r="J19" s="58"/>
      <c r="K19" s="61">
        <v>128</v>
      </c>
      <c r="L19" s="61">
        <v>15</v>
      </c>
      <c r="M19" s="85"/>
      <c r="N19" s="21" t="s">
        <v>36</v>
      </c>
      <c r="O19" s="27">
        <f t="shared" si="0"/>
        <v>123.5</v>
      </c>
      <c r="P19" s="26">
        <f t="shared" si="1"/>
        <v>0</v>
      </c>
      <c r="Q19" s="27">
        <f t="shared" si="2"/>
        <v>123.5</v>
      </c>
      <c r="R19" s="75">
        <f>INT($AA19*16/100*$C$4/100*$C$11/100*$AK19)*(100-$AB19)/100+INT($AA19*16/100*$C$4/100*$C$11/100*$AK19*1.25)*$AB19/100</f>
        <v>32</v>
      </c>
      <c r="S19" s="75">
        <f t="shared" si="4"/>
        <v>155.5</v>
      </c>
      <c r="T19" s="76"/>
      <c r="U19" s="22"/>
      <c r="V19" s="64">
        <f>INT($AA19*26/100*$C$4/100*$C$11/100*$AK19)*(100-$AB19)/100+INT($AA19*26/100*$C$4/100*$C$11/100*$AK19*1.25)*$AB19/100</f>
        <v>53</v>
      </c>
      <c r="W19" s="65">
        <f>INT($AD19*$C$6/100*$C$11/100*$AL19)</f>
        <v>0</v>
      </c>
      <c r="X19" s="64">
        <f>INT($AF19*$E$24/100*$C$4/100*$C$11/100*$AK19)*(100-$AG19)/100+INT($AF19*$E$24/100*$C$4/100*$C$11/100*$AK19*1.25)*$AG19/100</f>
        <v>23.5</v>
      </c>
      <c r="Y19" s="65">
        <f>INT($AI19*$C$6/100*$C$11/100*$AL19)</f>
        <v>0</v>
      </c>
      <c r="Z19" s="62">
        <f t="shared" si="7"/>
        <v>277</v>
      </c>
      <c r="AA19" s="62">
        <f t="shared" si="8"/>
        <v>304</v>
      </c>
      <c r="AB19" s="20">
        <f t="shared" si="9"/>
        <v>25</v>
      </c>
      <c r="AC19" s="33">
        <v>0</v>
      </c>
      <c r="AD19" s="20">
        <f t="shared" si="18"/>
        <v>0</v>
      </c>
      <c r="AE19" s="20">
        <f t="shared" si="10"/>
        <v>270</v>
      </c>
      <c r="AF19" s="20">
        <f t="shared" si="11"/>
        <v>297</v>
      </c>
      <c r="AG19" s="20">
        <f t="shared" si="12"/>
        <v>25</v>
      </c>
      <c r="AI19" s="20">
        <f t="shared" si="19"/>
        <v>0</v>
      </c>
      <c r="AJ19" s="19" t="str">
        <f t="shared" si="13"/>
        <v>白</v>
      </c>
      <c r="AK19" s="19">
        <f t="shared" si="14"/>
        <v>1.32</v>
      </c>
      <c r="AL19" s="19">
        <f t="shared" si="15"/>
        <v>1.125</v>
      </c>
      <c r="AM19" s="22"/>
      <c r="AN19" s="22"/>
      <c r="AO19" s="22"/>
      <c r="AP19" s="22"/>
      <c r="AQ19" s="22"/>
      <c r="AR19" s="22"/>
    </row>
    <row r="20" spans="1:44">
      <c r="A20" s="138" t="s">
        <v>51</v>
      </c>
      <c r="B20" s="138"/>
      <c r="C20" s="138"/>
      <c r="D20" s="51" t="s">
        <v>39</v>
      </c>
      <c r="E20" s="17">
        <f>IF(D20="あり",7,0)</f>
        <v>7</v>
      </c>
      <c r="F20" s="8" t="s">
        <v>18</v>
      </c>
      <c r="G20" s="8" t="s">
        <v>4</v>
      </c>
      <c r="H20" s="8">
        <v>114</v>
      </c>
      <c r="I20" s="8">
        <v>0</v>
      </c>
      <c r="J20" s="84" t="s">
        <v>143</v>
      </c>
      <c r="K20" s="60">
        <v>138</v>
      </c>
      <c r="L20" s="60">
        <v>0</v>
      </c>
      <c r="M20" s="84" t="s">
        <v>86</v>
      </c>
      <c r="N20" s="8" t="s">
        <v>37</v>
      </c>
      <c r="O20" s="27">
        <f t="shared" si="0"/>
        <v>107.5</v>
      </c>
      <c r="P20" s="26">
        <f t="shared" si="1"/>
        <v>14</v>
      </c>
      <c r="Q20" s="27">
        <f t="shared" si="2"/>
        <v>121.5</v>
      </c>
      <c r="R20" s="75">
        <f>INT($AA20*16/100*$C$5/100*$C$11/100*$AK20)*(100-$AB20)/100+INT($AA20*16/100*$C$5/100*$C$11/100*$AK20*1.25)*$AB20/100</f>
        <v>25.7</v>
      </c>
      <c r="S20" s="75">
        <f t="shared" si="4"/>
        <v>147.19999999999999</v>
      </c>
      <c r="T20" s="76"/>
      <c r="V20" s="64">
        <f>INT($AA20*26/100*$C$5/100*$C$11/100*$AK20)*(100-$AB20)/100+INT($AA20*26/100*$C$5/100*$C$11/100*$AK20*1.25)*$AB20/100</f>
        <v>43</v>
      </c>
      <c r="W20" s="65">
        <f>INT($AD20*$C$6/100*$C$11/100*$AL20)</f>
        <v>2</v>
      </c>
      <c r="X20" s="64">
        <f>INT($AF20*$E$24/100*$C$5/100*$C$11/100*$AK20)*(100-$AG20)/100+INT($AF20*$E$24/100*$C$5/100*$C$11/100*$AK20*1.25)*$AG20/100</f>
        <v>21.5</v>
      </c>
      <c r="Y20" s="65">
        <f>INT($AI20*$C$6/100*$C$11/100*$AL20)</f>
        <v>4</v>
      </c>
      <c r="Z20" s="62">
        <f t="shared" si="7"/>
        <v>256</v>
      </c>
      <c r="AA20" s="62">
        <f t="shared" si="8"/>
        <v>281</v>
      </c>
      <c r="AB20" s="20">
        <f t="shared" si="9"/>
        <v>10</v>
      </c>
      <c r="AC20" s="33">
        <v>16</v>
      </c>
      <c r="AD20" s="20">
        <f t="shared" si="18"/>
        <v>16</v>
      </c>
      <c r="AE20" s="20">
        <f t="shared" si="10"/>
        <v>280</v>
      </c>
      <c r="AF20" s="20">
        <f t="shared" si="11"/>
        <v>308</v>
      </c>
      <c r="AG20" s="20">
        <f t="shared" si="12"/>
        <v>10</v>
      </c>
      <c r="AH20" s="20">
        <v>26</v>
      </c>
      <c r="AI20" s="20">
        <f t="shared" si="19"/>
        <v>26</v>
      </c>
      <c r="AJ20" s="19" t="str">
        <f t="shared" si="13"/>
        <v>青</v>
      </c>
      <c r="AK20" s="19">
        <f t="shared" si="14"/>
        <v>1.2</v>
      </c>
      <c r="AL20" s="19">
        <f t="shared" si="15"/>
        <v>1.0625</v>
      </c>
      <c r="AM20" s="22"/>
      <c r="AN20" s="22"/>
      <c r="AO20" s="22"/>
      <c r="AP20" s="22"/>
      <c r="AQ20" s="22"/>
      <c r="AR20" s="22"/>
    </row>
    <row r="21" spans="1:44">
      <c r="A21" s="138" t="s">
        <v>124</v>
      </c>
      <c r="B21" s="138"/>
      <c r="C21" s="138"/>
      <c r="D21" s="51" t="s">
        <v>43</v>
      </c>
      <c r="E21" s="17">
        <f>IF(D21="あり",20,0)</f>
        <v>0</v>
      </c>
      <c r="F21" s="21" t="s">
        <v>28</v>
      </c>
      <c r="G21" s="53" t="s">
        <v>35</v>
      </c>
      <c r="H21" s="21">
        <v>170</v>
      </c>
      <c r="I21" s="21">
        <v>0</v>
      </c>
      <c r="J21" s="51" t="s">
        <v>93</v>
      </c>
      <c r="K21" s="60">
        <v>160</v>
      </c>
      <c r="L21" s="60">
        <v>0</v>
      </c>
      <c r="M21" s="84" t="s">
        <v>108</v>
      </c>
      <c r="N21" s="21" t="s">
        <v>37</v>
      </c>
      <c r="O21" s="27">
        <f t="shared" si="0"/>
        <v>120.10000000000001</v>
      </c>
      <c r="P21" s="26">
        <f t="shared" si="1"/>
        <v>0</v>
      </c>
      <c r="Q21" s="27">
        <f t="shared" si="2"/>
        <v>120.10000000000001</v>
      </c>
      <c r="R21" s="75">
        <f>INT($AA21*16/100*$C$4/100*$C$11/100*$AK21)*(100-$AB21)/100+INT($AA21*16/100*$C$4/100*$C$11/100*$AK21*1.25)*$AB21/100</f>
        <v>31.799999999999997</v>
      </c>
      <c r="S21" s="75">
        <f t="shared" si="4"/>
        <v>151.9</v>
      </c>
      <c r="T21" s="76"/>
      <c r="U21" s="22"/>
      <c r="V21" s="64">
        <f>INT($AA21*26/100*$C$4/100*$C$11/100*$AK21)*(100-$AB21)/100+INT($AA21*26/100*$C$4/100*$C$11/100*$AK21*1.25)*$AB21/100</f>
        <v>52.3</v>
      </c>
      <c r="W21" s="65">
        <f>INT($AD21*$C$6/100*$C$11/100*$AL21)</f>
        <v>0</v>
      </c>
      <c r="X21" s="64">
        <f>INT($AF21*$E$24/100*$C$4/100*$C$11/100*$AK21)*(100-$AG21)/100+INT($AF21*$E$24/100*$C$4/100*$C$11/100*$AK21*1.25)*$AG21/100</f>
        <v>22.6</v>
      </c>
      <c r="Y21" s="65">
        <f>INT($AI21*$C$6/100*$C$11/100*$AL21)</f>
        <v>0</v>
      </c>
      <c r="Z21" s="62">
        <f t="shared" si="7"/>
        <v>312</v>
      </c>
      <c r="AA21" s="62">
        <f t="shared" si="8"/>
        <v>343</v>
      </c>
      <c r="AB21" s="20">
        <f t="shared" si="9"/>
        <v>10</v>
      </c>
      <c r="AC21" s="33">
        <v>0</v>
      </c>
      <c r="AD21" s="20">
        <f t="shared" si="18"/>
        <v>0</v>
      </c>
      <c r="AE21" s="20">
        <f t="shared" si="10"/>
        <v>302</v>
      </c>
      <c r="AF21" s="20">
        <f t="shared" si="11"/>
        <v>332</v>
      </c>
      <c r="AG21" s="20">
        <f t="shared" si="12"/>
        <v>10</v>
      </c>
      <c r="AI21" s="20">
        <f t="shared" si="19"/>
        <v>0</v>
      </c>
      <c r="AJ21" s="19" t="str">
        <f t="shared" si="13"/>
        <v>青</v>
      </c>
      <c r="AK21" s="19">
        <f t="shared" si="14"/>
        <v>1.2</v>
      </c>
      <c r="AL21" s="19">
        <f t="shared" si="15"/>
        <v>1.0625</v>
      </c>
      <c r="AM21" s="22"/>
      <c r="AN21" s="22"/>
      <c r="AO21" s="22"/>
      <c r="AP21" s="22"/>
      <c r="AQ21" s="22"/>
      <c r="AR21" s="22"/>
    </row>
    <row r="22" spans="1:44">
      <c r="A22" s="139" t="s">
        <v>125</v>
      </c>
      <c r="B22" s="139"/>
      <c r="C22" s="139"/>
      <c r="D22" s="51" t="s">
        <v>43</v>
      </c>
      <c r="E22" s="17">
        <f>IF(D21="あり",50,0)</f>
        <v>0</v>
      </c>
      <c r="F22" s="21" t="s">
        <v>60</v>
      </c>
      <c r="G22" s="53" t="s">
        <v>35</v>
      </c>
      <c r="H22" s="21">
        <v>140</v>
      </c>
      <c r="I22" s="21">
        <v>0</v>
      </c>
      <c r="J22" s="51" t="s">
        <v>86</v>
      </c>
      <c r="K22" s="61">
        <v>132</v>
      </c>
      <c r="L22" s="61">
        <v>0</v>
      </c>
      <c r="M22" s="58" t="s">
        <v>143</v>
      </c>
      <c r="N22" s="21" t="s">
        <v>37</v>
      </c>
      <c r="O22" s="27">
        <f t="shared" si="0"/>
        <v>109</v>
      </c>
      <c r="P22" s="26">
        <f t="shared" si="1"/>
        <v>10</v>
      </c>
      <c r="Q22" s="27">
        <f t="shared" si="2"/>
        <v>119</v>
      </c>
      <c r="R22" s="75">
        <f>INT($AA22*16/100*$C$4/100*$C$11/100*$AK22)*(100-$AB22)/100+INT($AA22*16/100*$C$4/100*$C$11/100*$AK22*1.25)*$AB22/100</f>
        <v>28.7</v>
      </c>
      <c r="S22" s="75">
        <f t="shared" si="4"/>
        <v>147.69999999999999</v>
      </c>
      <c r="T22" s="76"/>
      <c r="U22" s="22"/>
      <c r="V22" s="64">
        <f>INT($AA22*26/100*$C$4/100*$C$11/100*$AK22)*(100-$AB22)/100+INT($AA22*26/100*$C$4/100*$C$11/100*$AK22*1.25)*$AB22/100</f>
        <v>47.199999999999996</v>
      </c>
      <c r="W22" s="65">
        <f>INT($AD22*$C$6/100*$C$11/100*$AL22)</f>
        <v>4</v>
      </c>
      <c r="X22" s="64">
        <f>INT($AF22*$E$24/100*$C$4/100*$C$11/100*$AK22)*(100-$AG22)/100+INT($AF22*$E$24/100*$C$4/100*$C$11/100*$AK22*1.25)*$AG22/100</f>
        <v>20.6</v>
      </c>
      <c r="Y22" s="65">
        <f>INT($AI22*$C$6/100*$C$11/100*$AL22)</f>
        <v>2</v>
      </c>
      <c r="Z22" s="62">
        <f t="shared" si="7"/>
        <v>282</v>
      </c>
      <c r="AA22" s="62">
        <f t="shared" si="8"/>
        <v>310</v>
      </c>
      <c r="AB22" s="20">
        <f t="shared" si="9"/>
        <v>10</v>
      </c>
      <c r="AC22" s="33">
        <v>26</v>
      </c>
      <c r="AD22" s="20">
        <f t="shared" si="18"/>
        <v>26</v>
      </c>
      <c r="AE22" s="20">
        <f t="shared" si="10"/>
        <v>274</v>
      </c>
      <c r="AF22" s="20">
        <f t="shared" si="11"/>
        <v>301</v>
      </c>
      <c r="AG22" s="20">
        <f t="shared" si="12"/>
        <v>10</v>
      </c>
      <c r="AH22" s="20">
        <v>16</v>
      </c>
      <c r="AI22" s="20">
        <f t="shared" si="19"/>
        <v>16</v>
      </c>
      <c r="AJ22" s="19" t="str">
        <f t="shared" si="13"/>
        <v>青</v>
      </c>
      <c r="AK22" s="19">
        <f t="shared" si="14"/>
        <v>1.2</v>
      </c>
      <c r="AL22" s="19">
        <f t="shared" si="15"/>
        <v>1.0625</v>
      </c>
      <c r="AM22" s="22"/>
      <c r="AN22" s="22"/>
      <c r="AO22" s="22"/>
      <c r="AP22" s="22"/>
    </row>
    <row r="23" spans="1:44">
      <c r="A23" s="88" t="s">
        <v>47</v>
      </c>
      <c r="B23" s="89"/>
      <c r="C23" s="90"/>
      <c r="D23" s="43" t="s">
        <v>43</v>
      </c>
      <c r="E23" s="17">
        <f>IF(D22="あり",-20,0)</f>
        <v>0</v>
      </c>
      <c r="F23" s="21" t="s">
        <v>55</v>
      </c>
      <c r="G23" s="53" t="s">
        <v>4</v>
      </c>
      <c r="H23" s="21">
        <v>126</v>
      </c>
      <c r="I23" s="21">
        <v>0</v>
      </c>
      <c r="J23" s="85" t="s">
        <v>79</v>
      </c>
      <c r="K23" s="61">
        <v>120</v>
      </c>
      <c r="L23" s="61">
        <v>0</v>
      </c>
      <c r="M23" s="85" t="s">
        <v>142</v>
      </c>
      <c r="N23" s="21" t="s">
        <v>37</v>
      </c>
      <c r="O23" s="27">
        <f t="shared" si="0"/>
        <v>103.6</v>
      </c>
      <c r="P23" s="26">
        <f t="shared" si="1"/>
        <v>15</v>
      </c>
      <c r="Q23" s="27">
        <f t="shared" si="2"/>
        <v>118.6</v>
      </c>
      <c r="R23" s="75">
        <f>INT($AA23*16/100*$C$5/100*$C$11/100*$AK23)*(100-$AB23)/100+INT($AA23*16/100*$C$5/100*$C$11/100*$AK23*1.25)*$AB23/100</f>
        <v>27.6</v>
      </c>
      <c r="S23" s="75">
        <f t="shared" si="4"/>
        <v>146.19999999999999</v>
      </c>
      <c r="T23" s="76"/>
      <c r="U23" s="22"/>
      <c r="V23" s="64">
        <f>INT($AA23*26/100*$C$5/100*$C$11/100*$AK23)*(100-$AB23)/100+INT($AA23*26/100*$C$5/100*$C$11/100*$AK23*1.25)*$AB23/100</f>
        <v>45.1</v>
      </c>
      <c r="W23" s="65">
        <f>INT($AD23*$C$7/100*$C$11/100*$AL23)</f>
        <v>6</v>
      </c>
      <c r="X23" s="64">
        <f>INT($AF23*$E$24/100*$C$5/100*$C$11/100*$AK23)*(100-$AG23)/100+INT($AF23*$E$24/100*$C$5/100*$C$11/100*$AK23*1.25)*$AG23/100</f>
        <v>19.5</v>
      </c>
      <c r="Y23" s="65">
        <f>INT($AI23*$C$7/100*$C$11/100*$AL23)</f>
        <v>3</v>
      </c>
      <c r="Z23" s="62">
        <f t="shared" si="7"/>
        <v>268</v>
      </c>
      <c r="AA23" s="62">
        <f t="shared" si="8"/>
        <v>294</v>
      </c>
      <c r="AB23" s="20">
        <f t="shared" si="9"/>
        <v>10</v>
      </c>
      <c r="AC23" s="33">
        <v>36</v>
      </c>
      <c r="AD23" s="20">
        <f t="shared" si="18"/>
        <v>36</v>
      </c>
      <c r="AE23" s="20">
        <f t="shared" si="10"/>
        <v>262</v>
      </c>
      <c r="AF23" s="20">
        <f t="shared" si="11"/>
        <v>288</v>
      </c>
      <c r="AG23" s="20">
        <f t="shared" si="12"/>
        <v>10</v>
      </c>
      <c r="AH23" s="20">
        <v>18</v>
      </c>
      <c r="AI23" s="20">
        <f t="shared" si="19"/>
        <v>18</v>
      </c>
      <c r="AJ23" s="19" t="str">
        <f t="shared" si="13"/>
        <v>青</v>
      </c>
      <c r="AK23" s="19">
        <f t="shared" si="14"/>
        <v>1.2</v>
      </c>
      <c r="AL23" s="19">
        <f t="shared" si="15"/>
        <v>1.0625</v>
      </c>
      <c r="AM23" s="22"/>
      <c r="AN23" s="22"/>
      <c r="AO23" s="22"/>
      <c r="AP23" s="22"/>
    </row>
    <row r="24" spans="1:44">
      <c r="A24" s="138" t="s">
        <v>153</v>
      </c>
      <c r="B24" s="138"/>
      <c r="C24" s="138"/>
      <c r="D24" s="43" t="s">
        <v>39</v>
      </c>
      <c r="E24" s="17">
        <f>IF(D24="あり",12,8)</f>
        <v>12</v>
      </c>
      <c r="F24" s="21" t="s">
        <v>56</v>
      </c>
      <c r="G24" s="53" t="s">
        <v>35</v>
      </c>
      <c r="H24" s="21">
        <v>162</v>
      </c>
      <c r="I24" s="21">
        <v>10</v>
      </c>
      <c r="J24" s="85" t="s">
        <v>80</v>
      </c>
      <c r="K24" s="61">
        <v>104</v>
      </c>
      <c r="L24" s="61">
        <v>10</v>
      </c>
      <c r="M24" s="85" t="s">
        <v>147</v>
      </c>
      <c r="N24" s="21" t="s">
        <v>37</v>
      </c>
      <c r="O24" s="27">
        <f t="shared" si="0"/>
        <v>109.4</v>
      </c>
      <c r="P24" s="26">
        <f t="shared" si="1"/>
        <v>9</v>
      </c>
      <c r="Q24" s="27">
        <f t="shared" si="2"/>
        <v>118.4</v>
      </c>
      <c r="R24" s="75">
        <f>INT($AA24*16/100*$C$4/100*$C$11/100*$AK24)*(100-$AB24)/100+INT($AA24*16/100*$C$4/100*$C$11/100*$AK24*1.25)*$AB24/100</f>
        <v>31.6</v>
      </c>
      <c r="S24" s="75">
        <f t="shared" si="4"/>
        <v>150</v>
      </c>
      <c r="T24" s="76"/>
      <c r="U24" s="22"/>
      <c r="V24" s="64">
        <f>INT($AA24*26/100*$C$4/100*$C$11/100*$AK24)*(100-$AB24)/100+INT($AA24*26/100*$C$4/100*$C$11/100*$AK24*1.25)*$AB24/100</f>
        <v>52.4</v>
      </c>
      <c r="W24" s="65">
        <f>INT($AD24*$C$10/100*$C$11/100*$AL24)</f>
        <v>3</v>
      </c>
      <c r="X24" s="64">
        <f>INT($AF24*$E$24/100*$C$4/100*$C$11/100*$AK24)*(100-$AG24)/100+INT($AF24*$E$24/100*$C$4/100*$C$11/100*$AK24*1.25)*$AG24/100</f>
        <v>19</v>
      </c>
      <c r="Y24" s="65">
        <f>INT($AI24*$C$10/100*$C$11/100*$AL24)</f>
        <v>2</v>
      </c>
      <c r="Z24" s="62">
        <f t="shared" si="7"/>
        <v>304</v>
      </c>
      <c r="AA24" s="62">
        <f t="shared" si="8"/>
        <v>334</v>
      </c>
      <c r="AB24" s="20">
        <f t="shared" si="9"/>
        <v>20</v>
      </c>
      <c r="AC24" s="33">
        <v>20</v>
      </c>
      <c r="AD24" s="20">
        <f t="shared" si="18"/>
        <v>20</v>
      </c>
      <c r="AE24" s="20">
        <f t="shared" si="10"/>
        <v>246</v>
      </c>
      <c r="AF24" s="20">
        <f t="shared" si="11"/>
        <v>270</v>
      </c>
      <c r="AG24" s="20">
        <f t="shared" si="12"/>
        <v>20</v>
      </c>
      <c r="AH24" s="20">
        <v>16</v>
      </c>
      <c r="AI24" s="20">
        <f t="shared" si="19"/>
        <v>16</v>
      </c>
      <c r="AJ24" s="19" t="str">
        <f t="shared" si="13"/>
        <v>青</v>
      </c>
      <c r="AK24" s="19">
        <f t="shared" si="14"/>
        <v>1.2</v>
      </c>
      <c r="AL24" s="19">
        <f t="shared" si="15"/>
        <v>1.0625</v>
      </c>
      <c r="AM24" s="22"/>
      <c r="AN24" s="22"/>
      <c r="AO24" s="22"/>
      <c r="AP24" s="22"/>
    </row>
    <row r="25" spans="1:44">
      <c r="A25" s="138" t="s">
        <v>154</v>
      </c>
      <c r="B25" s="138"/>
      <c r="C25" s="138"/>
      <c r="D25" s="43" t="s">
        <v>39</v>
      </c>
      <c r="F25" s="8" t="s">
        <v>24</v>
      </c>
      <c r="G25" s="8" t="s">
        <v>4</v>
      </c>
      <c r="H25" s="8">
        <v>110</v>
      </c>
      <c r="I25" s="8">
        <v>0</v>
      </c>
      <c r="J25" s="84" t="s">
        <v>144</v>
      </c>
      <c r="K25" s="60">
        <v>134</v>
      </c>
      <c r="L25" s="60">
        <v>0</v>
      </c>
      <c r="M25" s="84" t="s">
        <v>81</v>
      </c>
      <c r="N25" s="8" t="s">
        <v>138</v>
      </c>
      <c r="O25" s="27">
        <f t="shared" si="0"/>
        <v>103.80000000000001</v>
      </c>
      <c r="P25" s="26">
        <f t="shared" si="1"/>
        <v>14</v>
      </c>
      <c r="Q25" s="27">
        <f t="shared" si="2"/>
        <v>117.80000000000001</v>
      </c>
      <c r="R25" s="75">
        <f>INT($AA25*16/100*$C$5/100*$C$11/100*$AK25)*(100-$AB25)/100+INT($AA25*16/100*$C$5/100*$C$11/100*$AK25*1.25)*$AB25/100</f>
        <v>25.6</v>
      </c>
      <c r="S25" s="75">
        <f t="shared" si="4"/>
        <v>143.4</v>
      </c>
      <c r="T25" s="76"/>
      <c r="V25" s="64">
        <f>INT($AA25*26/100*$C$5/100*$C$11/100*$AK25)*(100-$AB25)/100+INT($AA25*26/100*$C$5/100*$C$11/100*$AK25*1.25)*$AB25/100</f>
        <v>42</v>
      </c>
      <c r="W25" s="65">
        <f>INT($AD25*$C$9/100*$C$11/100*$AL25)</f>
        <v>5</v>
      </c>
      <c r="X25" s="64">
        <f>INT($AF25*$E$24/100*$C$5/100*$C$11/100*$AK25)*(100-$AG25)/100+INT($AF25*$E$24/100*$C$5/100*$C$11/100*$AK25*1.25)*$AG25/100</f>
        <v>20.6</v>
      </c>
      <c r="Y25" s="65">
        <f>INT($AI25*$C$9/100*$C$11/100*$AL25)</f>
        <v>3</v>
      </c>
      <c r="Z25" s="62">
        <f t="shared" si="7"/>
        <v>252</v>
      </c>
      <c r="AA25" s="62">
        <f t="shared" si="8"/>
        <v>277</v>
      </c>
      <c r="AB25" s="20">
        <f t="shared" si="9"/>
        <v>10</v>
      </c>
      <c r="AC25" s="33">
        <v>32</v>
      </c>
      <c r="AD25" s="20">
        <f t="shared" si="18"/>
        <v>32</v>
      </c>
      <c r="AE25" s="20">
        <f t="shared" si="10"/>
        <v>276</v>
      </c>
      <c r="AF25" s="20">
        <f t="shared" si="11"/>
        <v>303</v>
      </c>
      <c r="AG25" s="20">
        <f t="shared" si="12"/>
        <v>10</v>
      </c>
      <c r="AH25" s="20">
        <v>22</v>
      </c>
      <c r="AI25" s="20">
        <f t="shared" si="19"/>
        <v>22</v>
      </c>
      <c r="AJ25" s="19" t="str">
        <f t="shared" si="13"/>
        <v>青</v>
      </c>
      <c r="AK25" s="19">
        <f t="shared" si="14"/>
        <v>1.2</v>
      </c>
      <c r="AL25" s="19">
        <f t="shared" si="15"/>
        <v>1.0625</v>
      </c>
      <c r="AM25" s="22"/>
      <c r="AN25" s="22"/>
      <c r="AO25" s="22"/>
      <c r="AP25" s="22"/>
    </row>
    <row r="26" spans="1:44">
      <c r="A26" s="92" t="s">
        <v>158</v>
      </c>
      <c r="B26" s="92"/>
      <c r="C26" s="92"/>
      <c r="D26" s="79" t="s">
        <v>39</v>
      </c>
      <c r="F26" s="21" t="s">
        <v>62</v>
      </c>
      <c r="G26" s="53" t="s">
        <v>35</v>
      </c>
      <c r="H26" s="21">
        <v>110</v>
      </c>
      <c r="I26" s="21">
        <v>0</v>
      </c>
      <c r="J26" s="58" t="s">
        <v>89</v>
      </c>
      <c r="K26" s="61">
        <v>104</v>
      </c>
      <c r="L26" s="61">
        <v>0</v>
      </c>
      <c r="M26" s="58" t="s">
        <v>149</v>
      </c>
      <c r="N26" s="21" t="s">
        <v>37</v>
      </c>
      <c r="O26" s="27">
        <f t="shared" si="0"/>
        <v>97.5</v>
      </c>
      <c r="P26" s="26">
        <f t="shared" si="1"/>
        <v>15</v>
      </c>
      <c r="Q26" s="27">
        <f t="shared" si="2"/>
        <v>112.5</v>
      </c>
      <c r="R26" s="75">
        <f>INT($AA26*16/100*$C$4/100*$C$11/100*$AK26)*(100-$AB26)/100+INT($AA26*16/100*$C$4/100*$C$11/100*$AK26*1.25)*$AB26/100</f>
        <v>25.6</v>
      </c>
      <c r="S26" s="75">
        <f t="shared" si="4"/>
        <v>138.1</v>
      </c>
      <c r="T26" s="76"/>
      <c r="U26" s="22"/>
      <c r="V26" s="64">
        <f>INT($AA26*26/100*$C$4/100*$C$11/100*$AK26)*(100-$AB26)/100+INT($AA26*26/100*$C$4/100*$C$11/100*$AK26*1.25)*$AB26/100</f>
        <v>42</v>
      </c>
      <c r="W26" s="65">
        <f>INT($AD26*$C$8/100*$C$11/100*$AL26)</f>
        <v>6</v>
      </c>
      <c r="X26" s="64">
        <f>INT($AF26*$E$24/100*$C$4/100*$C$11/100*$AK26)*(100-$AG26)/100+INT($AF26*$E$24/100*$C$4/100*$C$11/100*$AK26*1.25)*$AG26/100</f>
        <v>18.5</v>
      </c>
      <c r="Y26" s="65">
        <f>INT($AI26*$C$8/100*$C$11/100*$AL26)</f>
        <v>3</v>
      </c>
      <c r="Z26" s="62">
        <f t="shared" si="7"/>
        <v>252</v>
      </c>
      <c r="AA26" s="62">
        <f t="shared" si="8"/>
        <v>277</v>
      </c>
      <c r="AB26" s="20">
        <f t="shared" si="9"/>
        <v>10</v>
      </c>
      <c r="AC26" s="33">
        <v>40</v>
      </c>
      <c r="AD26" s="20">
        <f>IF($D$16="あり",INT(AC26*1.1+6),AC26)</f>
        <v>40</v>
      </c>
      <c r="AE26" s="20">
        <f t="shared" si="10"/>
        <v>246</v>
      </c>
      <c r="AF26" s="20">
        <f t="shared" si="11"/>
        <v>270</v>
      </c>
      <c r="AG26" s="20">
        <f t="shared" si="12"/>
        <v>10</v>
      </c>
      <c r="AH26" s="20">
        <v>20</v>
      </c>
      <c r="AI26" s="20">
        <f>IF($D$16="あり",INT(AH26*1.1+6),AH26)</f>
        <v>20</v>
      </c>
      <c r="AJ26" s="19" t="str">
        <f t="shared" si="13"/>
        <v>青</v>
      </c>
      <c r="AK26" s="19">
        <f t="shared" si="14"/>
        <v>1.2</v>
      </c>
      <c r="AL26" s="19">
        <f t="shared" si="15"/>
        <v>1.0625</v>
      </c>
      <c r="AM26" s="22"/>
      <c r="AN26" s="22"/>
      <c r="AO26" s="22"/>
      <c r="AP26" s="22"/>
    </row>
    <row r="27" spans="1:44">
      <c r="A27" s="50"/>
      <c r="B27" s="50"/>
      <c r="C27" s="50"/>
      <c r="D27" s="50"/>
      <c r="F27" s="21" t="s">
        <v>59</v>
      </c>
      <c r="G27" s="53" t="s">
        <v>35</v>
      </c>
      <c r="H27" s="21">
        <v>162</v>
      </c>
      <c r="I27" s="21">
        <v>15</v>
      </c>
      <c r="J27" s="51" t="s">
        <v>84</v>
      </c>
      <c r="K27" s="61">
        <v>104</v>
      </c>
      <c r="L27" s="61">
        <v>0</v>
      </c>
      <c r="M27" s="58" t="s">
        <v>140</v>
      </c>
      <c r="N27" s="21" t="s">
        <v>37</v>
      </c>
      <c r="O27" s="27">
        <f t="shared" si="0"/>
        <v>108.5</v>
      </c>
      <c r="P27" s="26">
        <f t="shared" si="1"/>
        <v>5</v>
      </c>
      <c r="Q27" s="27">
        <f t="shared" si="2"/>
        <v>113.5</v>
      </c>
      <c r="R27" s="75">
        <f>INT($AA27*16/100*$C$4/100*$C$11/100*$AK27)*(100-$AB27)/100+INT($AA27*16/100*$C$4/100*$C$11/100*$AK27*1.25)*$AB27/100</f>
        <v>32</v>
      </c>
      <c r="S27" s="75">
        <f t="shared" si="4"/>
        <v>145.5</v>
      </c>
      <c r="T27" s="76"/>
      <c r="U27" s="22"/>
      <c r="V27" s="64">
        <f>INT($AA27*26/100*$C$4/100*$C$11/100*$AK27)*(100-$AB27)/100+INT($AA27*26/100*$C$4/100*$C$11/100*$AK27*1.25)*$AB27/100</f>
        <v>53</v>
      </c>
      <c r="W27" s="65">
        <f>INT($AD27*$C$8/100*$C$11/100*$AL27)</f>
        <v>2</v>
      </c>
      <c r="X27" s="64">
        <f>INT($AF27*$E$24/100*$C$4/100*$C$11/100*$AK27)*(100-$AG27)/100+INT($AF27*$E$24/100*$C$4/100*$C$11/100*$AK27*1.25)*$AG27/100</f>
        <v>18.5</v>
      </c>
      <c r="Y27" s="65">
        <f>INT($AI27*$C$8/100*$C$11/100*$AL27)</f>
        <v>1</v>
      </c>
      <c r="Z27" s="62">
        <f t="shared" si="7"/>
        <v>304</v>
      </c>
      <c r="AA27" s="62">
        <f t="shared" si="8"/>
        <v>334</v>
      </c>
      <c r="AB27" s="20">
        <f t="shared" si="9"/>
        <v>25</v>
      </c>
      <c r="AC27" s="33">
        <v>16</v>
      </c>
      <c r="AD27" s="20">
        <f>IF($D$16="あり",INT(AC27*1.1+6),AC27)</f>
        <v>16</v>
      </c>
      <c r="AE27" s="20">
        <f t="shared" si="10"/>
        <v>246</v>
      </c>
      <c r="AF27" s="20">
        <f t="shared" si="11"/>
        <v>270</v>
      </c>
      <c r="AG27" s="20">
        <f t="shared" si="12"/>
        <v>10</v>
      </c>
      <c r="AH27" s="20">
        <v>6</v>
      </c>
      <c r="AI27" s="20">
        <f>IF($D$16="あり",INT(AH27*1.1+6),AH27)</f>
        <v>6</v>
      </c>
      <c r="AJ27" s="19" t="str">
        <f t="shared" si="13"/>
        <v>青</v>
      </c>
      <c r="AK27" s="19">
        <f t="shared" si="14"/>
        <v>1.2</v>
      </c>
      <c r="AL27" s="19">
        <f t="shared" si="15"/>
        <v>1.0625</v>
      </c>
      <c r="AM27" s="22"/>
      <c r="AN27" s="22"/>
      <c r="AO27" s="22"/>
    </row>
    <row r="28" spans="1:44">
      <c r="A28" s="50"/>
      <c r="B28" s="50"/>
      <c r="C28" s="50"/>
      <c r="D28" s="50"/>
      <c r="F28" s="8" t="s">
        <v>23</v>
      </c>
      <c r="G28" s="8" t="s">
        <v>35</v>
      </c>
      <c r="H28" s="8">
        <v>136</v>
      </c>
      <c r="I28" s="8">
        <v>0</v>
      </c>
      <c r="J28" s="84"/>
      <c r="K28" s="60">
        <v>166</v>
      </c>
      <c r="L28" s="60">
        <v>0</v>
      </c>
      <c r="M28" s="84"/>
      <c r="N28" s="24" t="s">
        <v>69</v>
      </c>
      <c r="O28" s="27">
        <f t="shared" si="0"/>
        <v>117</v>
      </c>
      <c r="P28" s="26">
        <f t="shared" si="1"/>
        <v>0</v>
      </c>
      <c r="Q28" s="27">
        <f t="shared" si="2"/>
        <v>117</v>
      </c>
      <c r="R28" s="75">
        <f>INT($AA28*16/100*$C$4/100*$C$11/100*$AK28)*(100-$AB28)/100+INT($AA28*16/100*$C$4/100*$C$11/100*$AK28*1.25)*$AB28/100</f>
        <v>28.7</v>
      </c>
      <c r="S28" s="75">
        <f t="shared" si="4"/>
        <v>145.69999999999999</v>
      </c>
      <c r="T28" s="76"/>
      <c r="V28" s="64">
        <f>INT($AA28*26/100*$C$4/100*$C$11/100*$AK28)*(100-$AB28)/100+INT($AA28*26/100*$C$4/100*$C$11/100*$AK28*1.25)*$AB28/100</f>
        <v>46.2</v>
      </c>
      <c r="W28" s="66">
        <v>0</v>
      </c>
      <c r="X28" s="64">
        <f>INT($AF28*$E$24/100*$C$4/100*$C$11/100*$AK28)*(100-$AG28)/100+INT($AF28*$E$24/100*$C$4/100*$C$11/100*$AK28*1.25)*$AG28/100</f>
        <v>23.599999999999998</v>
      </c>
      <c r="Y28" s="66">
        <v>0</v>
      </c>
      <c r="Z28" s="62">
        <f t="shared" si="7"/>
        <v>278</v>
      </c>
      <c r="AA28" s="62">
        <f t="shared" si="8"/>
        <v>305</v>
      </c>
      <c r="AB28" s="20">
        <f t="shared" si="9"/>
        <v>10</v>
      </c>
      <c r="AC28" s="33">
        <v>0</v>
      </c>
      <c r="AD28" s="20">
        <f>AC28</f>
        <v>0</v>
      </c>
      <c r="AE28" s="20">
        <f t="shared" si="10"/>
        <v>308</v>
      </c>
      <c r="AF28" s="20">
        <f t="shared" si="11"/>
        <v>338</v>
      </c>
      <c r="AG28" s="20">
        <f t="shared" si="12"/>
        <v>10</v>
      </c>
      <c r="AI28" s="20">
        <f>AH28</f>
        <v>0</v>
      </c>
      <c r="AJ28" s="19" t="str">
        <f t="shared" si="13"/>
        <v>青</v>
      </c>
      <c r="AK28" s="19">
        <f t="shared" si="14"/>
        <v>1.2</v>
      </c>
      <c r="AL28" s="19">
        <f t="shared" si="15"/>
        <v>1.0625</v>
      </c>
      <c r="AM28" s="22"/>
      <c r="AN28" s="22"/>
    </row>
    <row r="29" spans="1:44">
      <c r="A29" s="50"/>
      <c r="B29" s="50"/>
      <c r="C29" s="50"/>
      <c r="D29" s="50"/>
      <c r="F29" s="21" t="s">
        <v>54</v>
      </c>
      <c r="G29" s="53" t="s">
        <v>4</v>
      </c>
      <c r="H29" s="21">
        <v>150</v>
      </c>
      <c r="I29" s="21">
        <v>0</v>
      </c>
      <c r="J29" s="58" t="s">
        <v>78</v>
      </c>
      <c r="K29" s="61">
        <v>95</v>
      </c>
      <c r="L29" s="61">
        <v>0</v>
      </c>
      <c r="M29" s="58" t="s">
        <v>145</v>
      </c>
      <c r="N29" s="21" t="s">
        <v>36</v>
      </c>
      <c r="O29" s="27">
        <f t="shared" si="0"/>
        <v>111.9</v>
      </c>
      <c r="P29" s="26">
        <f t="shared" si="1"/>
        <v>5</v>
      </c>
      <c r="Q29" s="27">
        <f t="shared" si="2"/>
        <v>116.9</v>
      </c>
      <c r="R29" s="75">
        <f>INT($AA29*16/100*$C$5/100*$C$11/100*$AK29)*(100-$AB29)/100+INT($AA29*16/100*$C$5/100*$C$11/100*$AK29*1.25)*$AB29/100</f>
        <v>32.799999999999997</v>
      </c>
      <c r="S29" s="75">
        <f t="shared" si="4"/>
        <v>149.69999999999999</v>
      </c>
      <c r="T29" s="76"/>
      <c r="U29" s="22"/>
      <c r="V29" s="64">
        <f>INT($AA29*26/100*$C$5/100*$C$11/100*$AK29)*(100-$AB29)/100+INT($AA29*26/100*$C$5/100*$C$11/100*$AK29*1.25)*$AB29/100</f>
        <v>53.4</v>
      </c>
      <c r="W29" s="65">
        <f>INT($AD29*$C$7/100*$C$11/100*$AL29)</f>
        <v>2</v>
      </c>
      <c r="X29" s="64">
        <f>INT($AF29*$E$24/100*$C$5/100*$C$11/100*$AK29)*(100-$AG29)/100+INT($AF29*$E$24/100*$C$5/100*$C$11/100*$AK29*1.25)*$AG29/100</f>
        <v>19.5</v>
      </c>
      <c r="Y29" s="65">
        <f>INT($AI29*$C$7/100*$C$11/100*$AL29)</f>
        <v>1</v>
      </c>
      <c r="Z29" s="62">
        <f t="shared" si="7"/>
        <v>292</v>
      </c>
      <c r="AA29" s="62">
        <f t="shared" si="8"/>
        <v>321</v>
      </c>
      <c r="AB29" s="20">
        <f t="shared" si="9"/>
        <v>10</v>
      </c>
      <c r="AC29" s="33">
        <v>15</v>
      </c>
      <c r="AD29" s="20">
        <f>AC29</f>
        <v>15</v>
      </c>
      <c r="AE29" s="20">
        <f t="shared" si="10"/>
        <v>237</v>
      </c>
      <c r="AF29" s="20">
        <f t="shared" si="11"/>
        <v>260</v>
      </c>
      <c r="AG29" s="20">
        <f t="shared" si="12"/>
        <v>10</v>
      </c>
      <c r="AH29" s="20">
        <v>10</v>
      </c>
      <c r="AI29" s="20">
        <f>AH29</f>
        <v>10</v>
      </c>
      <c r="AJ29" s="19" t="str">
        <f t="shared" si="13"/>
        <v>白</v>
      </c>
      <c r="AK29" s="19">
        <f t="shared" si="14"/>
        <v>1.32</v>
      </c>
      <c r="AL29" s="19">
        <f t="shared" si="15"/>
        <v>1.125</v>
      </c>
      <c r="AM29" s="22"/>
      <c r="AN29" s="22"/>
    </row>
    <row r="30" spans="1:44">
      <c r="A30" s="22"/>
      <c r="B30" s="22"/>
      <c r="C30" s="54"/>
      <c r="D30" s="54"/>
      <c r="F30" s="21" t="s">
        <v>53</v>
      </c>
      <c r="G30" s="53" t="s">
        <v>35</v>
      </c>
      <c r="H30" s="21">
        <v>144</v>
      </c>
      <c r="I30" s="21">
        <v>0</v>
      </c>
      <c r="J30" s="51" t="s">
        <v>75</v>
      </c>
      <c r="K30" s="61">
        <v>92</v>
      </c>
      <c r="L30" s="61">
        <v>0</v>
      </c>
      <c r="M30" s="51" t="s">
        <v>141</v>
      </c>
      <c r="N30" s="21" t="s">
        <v>37</v>
      </c>
      <c r="O30" s="27">
        <f t="shared" si="0"/>
        <v>100.6</v>
      </c>
      <c r="P30" s="26">
        <f t="shared" si="1"/>
        <v>12</v>
      </c>
      <c r="Q30" s="27">
        <f t="shared" si="2"/>
        <v>112.6</v>
      </c>
      <c r="R30" s="75">
        <f>INT($AA30*16/100*$C$4/100*$C$11/100*$AK30)*(100-$AB30)/100+INT($AA30*16/100*$C$4/100*$C$11/100*$AK30*1.25)*$AB30/100</f>
        <v>28.8</v>
      </c>
      <c r="S30" s="75">
        <f t="shared" si="4"/>
        <v>141.4</v>
      </c>
      <c r="T30" s="76"/>
      <c r="U30" s="22"/>
      <c r="V30" s="64">
        <f>INT($AA30*26/100*$C$4/100*$C$11/100*$AK30)*(100-$AB30)/100+INT($AA30*26/100*$C$4/100*$C$11/100*$AK30*1.25)*$AB30/100</f>
        <v>48.099999999999994</v>
      </c>
      <c r="W30" s="65">
        <f>INT($AD30*$C$6/100*$C$11/100*$AL30)</f>
        <v>6</v>
      </c>
      <c r="X30" s="64">
        <f>INT($AF30*$E$24/100*$C$4/100*$C$11/100*$AK30)*(100-$AG30)/100+INT($AF30*$E$24/100*$C$4/100*$C$11/100*$AK30*1.25)*$AG30/100</f>
        <v>17.5</v>
      </c>
      <c r="Y30" s="65">
        <f>INT($AI30*$C$6/100*$C$11/100*$AL30)</f>
        <v>2</v>
      </c>
      <c r="Z30" s="62">
        <f t="shared" si="7"/>
        <v>286</v>
      </c>
      <c r="AA30" s="62">
        <f t="shared" si="8"/>
        <v>314</v>
      </c>
      <c r="AB30" s="20">
        <f t="shared" si="9"/>
        <v>10</v>
      </c>
      <c r="AC30" s="33">
        <v>36</v>
      </c>
      <c r="AD30" s="20">
        <f>IF($D$16="あり",INT(AC30*1.1+6),AC30)</f>
        <v>36</v>
      </c>
      <c r="AE30" s="20">
        <f t="shared" si="10"/>
        <v>234</v>
      </c>
      <c r="AF30" s="20">
        <f t="shared" si="11"/>
        <v>257</v>
      </c>
      <c r="AG30" s="20">
        <f t="shared" si="12"/>
        <v>10</v>
      </c>
      <c r="AH30" s="20">
        <v>12</v>
      </c>
      <c r="AI30" s="20">
        <f>IF($D$16="あり",INT(AH30*1.1+6),AH30)</f>
        <v>12</v>
      </c>
      <c r="AJ30" s="19" t="str">
        <f t="shared" si="13"/>
        <v>青</v>
      </c>
      <c r="AK30" s="19">
        <f t="shared" si="14"/>
        <v>1.2</v>
      </c>
      <c r="AL30" s="19">
        <f t="shared" si="15"/>
        <v>1.0625</v>
      </c>
      <c r="AM30" s="22"/>
      <c r="AN30" s="22"/>
    </row>
    <row r="31" spans="1:44">
      <c r="A31" s="22"/>
      <c r="B31" s="22"/>
      <c r="C31" s="54"/>
      <c r="D31" s="54"/>
      <c r="F31" s="21" t="s">
        <v>68</v>
      </c>
      <c r="G31" s="53" t="s">
        <v>4</v>
      </c>
      <c r="H31" s="21">
        <v>160</v>
      </c>
      <c r="I31" s="21">
        <v>-10</v>
      </c>
      <c r="J31" s="85" t="s">
        <v>84</v>
      </c>
      <c r="K31" s="61">
        <v>101</v>
      </c>
      <c r="L31" s="61">
        <v>-10</v>
      </c>
      <c r="M31" s="85" t="s">
        <v>146</v>
      </c>
      <c r="N31" s="21" t="s">
        <v>37</v>
      </c>
      <c r="O31" s="27">
        <f t="shared" si="0"/>
        <v>103</v>
      </c>
      <c r="P31" s="26">
        <f t="shared" si="1"/>
        <v>8</v>
      </c>
      <c r="Q31" s="27">
        <f t="shared" si="2"/>
        <v>111</v>
      </c>
      <c r="R31" s="75">
        <f>INT($AA31*16/100*$C$5/100*$C$11/100*$AK31)*(100-$AB31)/100+INT($AA31*16/100*$C$5/100*$C$11/100*$AK31*1.25)*$AB31/100</f>
        <v>30</v>
      </c>
      <c r="S31" s="75">
        <f t="shared" si="4"/>
        <v>141</v>
      </c>
      <c r="T31" s="76"/>
      <c r="U31" s="22"/>
      <c r="V31" s="64">
        <f>INT($AA31*26/100*$C$5/100*$C$11/100*$AK31)*(100-$AB31)/100+INT($AA31*26/100*$C$5/100*$C$11/100*$AK31*1.25)*$AB31/100</f>
        <v>49</v>
      </c>
      <c r="W31" s="65">
        <f>INT($AD31*$C$8/100*$C$11/100*$AL31)</f>
        <v>2</v>
      </c>
      <c r="X31" s="64">
        <f>INT($AF31*$E$24/100*$C$5/100*$C$11/100*$AK31)*(100-$AG31)/100+INT($AF31*$E$24/100*$C$5/100*$C$11/100*$AK31*1.25)*$AG31/100</f>
        <v>18</v>
      </c>
      <c r="Y31" s="65">
        <f>INT($AI31*$C$8/100*$C$11/100*$AL31)</f>
        <v>2</v>
      </c>
      <c r="Z31" s="62">
        <f t="shared" si="7"/>
        <v>302</v>
      </c>
      <c r="AA31" s="62">
        <f t="shared" si="8"/>
        <v>332</v>
      </c>
      <c r="AB31" s="20">
        <f t="shared" si="9"/>
        <v>0</v>
      </c>
      <c r="AC31" s="33">
        <v>16</v>
      </c>
      <c r="AD31" s="20">
        <f>IF($D$16="あり",INT(AC31*1.1+6),AC31)</f>
        <v>16</v>
      </c>
      <c r="AE31" s="20">
        <f t="shared" si="10"/>
        <v>243</v>
      </c>
      <c r="AF31" s="20">
        <f t="shared" si="11"/>
        <v>267</v>
      </c>
      <c r="AG31" s="20">
        <f t="shared" si="12"/>
        <v>0</v>
      </c>
      <c r="AH31" s="20">
        <v>12</v>
      </c>
      <c r="AI31" s="20">
        <f>IF($D$16="あり",INT(AH31*1.1+6),AH31)</f>
        <v>12</v>
      </c>
      <c r="AJ31" s="19" t="str">
        <f t="shared" si="13"/>
        <v>青</v>
      </c>
      <c r="AK31" s="19">
        <f t="shared" si="14"/>
        <v>1.2</v>
      </c>
      <c r="AL31" s="19">
        <f t="shared" si="15"/>
        <v>1.0625</v>
      </c>
      <c r="AM31" s="22"/>
      <c r="AN31" s="22"/>
    </row>
    <row r="32" spans="1:44">
      <c r="A32" s="22"/>
      <c r="B32" s="22"/>
      <c r="C32" s="54"/>
      <c r="D32" s="54"/>
      <c r="F32" s="21" t="s">
        <v>57</v>
      </c>
      <c r="G32" s="53" t="s">
        <v>35</v>
      </c>
      <c r="H32" s="21">
        <v>168</v>
      </c>
      <c r="I32" s="21">
        <v>-10</v>
      </c>
      <c r="J32" s="51" t="s">
        <v>81</v>
      </c>
      <c r="K32" s="61">
        <v>106</v>
      </c>
      <c r="L32" s="61">
        <v>-10</v>
      </c>
      <c r="M32" s="51" t="s">
        <v>139</v>
      </c>
      <c r="N32" s="21" t="s">
        <v>37</v>
      </c>
      <c r="O32" s="27">
        <f t="shared" si="0"/>
        <v>105</v>
      </c>
      <c r="P32" s="26">
        <f t="shared" si="1"/>
        <v>6</v>
      </c>
      <c r="Q32" s="27">
        <f t="shared" si="2"/>
        <v>111</v>
      </c>
      <c r="R32" s="75">
        <f>INT($AA32*16/100*$C$4/100*$C$11/100*$AK32)*(100-$AB32)/100+INT($AA32*16/100*$C$4/100*$C$11/100*$AK32*1.25)*$AB32/100</f>
        <v>31</v>
      </c>
      <c r="S32" s="75">
        <f t="shared" si="4"/>
        <v>142</v>
      </c>
      <c r="T32" s="76"/>
      <c r="U32" s="22"/>
      <c r="V32" s="64">
        <f>INT($AA32*26/100*$C$4/100*$C$11/100*$AK32)*(100-$AB32)/100+INT($AA32*26/100*$C$4/100*$C$11/100*$AK32*1.25)*$AB32/100</f>
        <v>51</v>
      </c>
      <c r="W32" s="65">
        <f>INT($AD32*$C$9/100*$C$11/100*$AL32)</f>
        <v>3</v>
      </c>
      <c r="X32" s="64">
        <f>INT($AF32*$E$24/100*$C$4/100*$C$11/100*$AK32)*(100-$AG32)/100+INT($AF32*$E$24/100*$C$4/100*$C$11/100*$AK32*1.25)*$AG32/100</f>
        <v>18</v>
      </c>
      <c r="Y32" s="65">
        <f>INT($AI32*$C$9/100*$C$11/100*$AL32)</f>
        <v>1</v>
      </c>
      <c r="Z32" s="62">
        <f t="shared" si="7"/>
        <v>310</v>
      </c>
      <c r="AA32" s="62">
        <f t="shared" si="8"/>
        <v>341</v>
      </c>
      <c r="AB32" s="20">
        <f t="shared" si="9"/>
        <v>0</v>
      </c>
      <c r="AC32" s="33">
        <v>22</v>
      </c>
      <c r="AD32" s="20">
        <f t="shared" ref="AD32:AD38" si="20">AC32</f>
        <v>22</v>
      </c>
      <c r="AE32" s="20">
        <f t="shared" si="10"/>
        <v>248</v>
      </c>
      <c r="AF32" s="20">
        <f t="shared" si="11"/>
        <v>272</v>
      </c>
      <c r="AG32" s="20">
        <f t="shared" si="12"/>
        <v>0</v>
      </c>
      <c r="AH32" s="20">
        <v>6</v>
      </c>
      <c r="AI32" s="20">
        <f t="shared" ref="AI32:AI38" si="21">AH32</f>
        <v>6</v>
      </c>
      <c r="AJ32" s="19" t="str">
        <f t="shared" si="13"/>
        <v>青</v>
      </c>
      <c r="AK32" s="19">
        <f t="shared" si="14"/>
        <v>1.2</v>
      </c>
      <c r="AL32" s="19">
        <f t="shared" si="15"/>
        <v>1.0625</v>
      </c>
      <c r="AM32" s="22"/>
      <c r="AN32" s="22"/>
    </row>
    <row r="33" spans="1:40">
      <c r="A33" s="22"/>
      <c r="B33" s="22"/>
      <c r="C33" s="54"/>
      <c r="D33" s="54"/>
      <c r="F33" s="21" t="s">
        <v>67</v>
      </c>
      <c r="G33" s="53" t="s">
        <v>4</v>
      </c>
      <c r="H33" s="21">
        <v>160</v>
      </c>
      <c r="I33" s="21">
        <v>-10</v>
      </c>
      <c r="J33" s="85" t="s">
        <v>85</v>
      </c>
      <c r="K33" s="61">
        <v>101</v>
      </c>
      <c r="L33" s="61">
        <v>-20</v>
      </c>
      <c r="M33" s="85" t="s">
        <v>132</v>
      </c>
      <c r="N33" s="21" t="s">
        <v>37</v>
      </c>
      <c r="O33" s="27">
        <f t="shared" si="0"/>
        <v>101.5</v>
      </c>
      <c r="P33" s="26">
        <f t="shared" si="1"/>
        <v>8</v>
      </c>
      <c r="Q33" s="27">
        <f t="shared" si="2"/>
        <v>109.5</v>
      </c>
      <c r="R33" s="75">
        <f>INT($AA33*16/100*$C$5/100*$C$11/100*$AK33)*(100-$AB33)/100+INT($AA33*16/100*$C$5/100*$C$11/100*$AK33*1.25)*$AB33/100</f>
        <v>30</v>
      </c>
      <c r="S33" s="75">
        <f t="shared" si="4"/>
        <v>139.5</v>
      </c>
      <c r="T33" s="76"/>
      <c r="U33" s="22"/>
      <c r="V33" s="64">
        <f>INT($AA33*26/100*$C$5/100*$C$11/100*$AK33)*(100-$AB33)/100+INT($AA33*26/100*$C$5/100*$C$11/100*$AK33*1.25)*$AB33/100</f>
        <v>49</v>
      </c>
      <c r="W33" s="65">
        <f>INT($AD33*$C$10/100*$C$11/100*$AL33)</f>
        <v>2</v>
      </c>
      <c r="X33" s="64">
        <f>INT($AF33*$E$24/100*$C$5/100*$C$11/100*$AK33)*(100-$AG33)/100+INT($AF33*$E$24/100*$C$5/100*$C$11/100*$AK33*1.25)*$AG33/100</f>
        <v>17.5</v>
      </c>
      <c r="Y33" s="65">
        <f>INT($AI33*$C$10/100*$C$11/100*$AL33)</f>
        <v>2</v>
      </c>
      <c r="Z33" s="62">
        <f t="shared" si="7"/>
        <v>302</v>
      </c>
      <c r="AA33" s="62">
        <f t="shared" si="8"/>
        <v>332</v>
      </c>
      <c r="AB33" s="20">
        <f t="shared" si="9"/>
        <v>0</v>
      </c>
      <c r="AC33" s="33">
        <v>16</v>
      </c>
      <c r="AD33" s="20">
        <f t="shared" si="20"/>
        <v>16</v>
      </c>
      <c r="AE33" s="20">
        <f t="shared" si="10"/>
        <v>243</v>
      </c>
      <c r="AF33" s="20">
        <f t="shared" si="11"/>
        <v>267</v>
      </c>
      <c r="AG33" s="20">
        <f t="shared" si="12"/>
        <v>-10</v>
      </c>
      <c r="AH33" s="20">
        <v>14</v>
      </c>
      <c r="AI33" s="20">
        <f t="shared" si="21"/>
        <v>14</v>
      </c>
      <c r="AJ33" s="19" t="str">
        <f t="shared" si="13"/>
        <v>青</v>
      </c>
      <c r="AK33" s="19">
        <f t="shared" si="14"/>
        <v>1.2</v>
      </c>
      <c r="AL33" s="19">
        <f t="shared" si="15"/>
        <v>1.0625</v>
      </c>
      <c r="AM33" s="22"/>
      <c r="AN33" s="22"/>
    </row>
    <row r="34" spans="1:40">
      <c r="F34" s="21" t="s">
        <v>64</v>
      </c>
      <c r="G34" s="53" t="s">
        <v>4</v>
      </c>
      <c r="H34" s="21">
        <v>185</v>
      </c>
      <c r="I34" s="21">
        <v>-15</v>
      </c>
      <c r="J34" s="58"/>
      <c r="K34" s="61">
        <v>118</v>
      </c>
      <c r="L34" s="61">
        <v>-15</v>
      </c>
      <c r="M34" s="58"/>
      <c r="N34" s="21" t="s">
        <v>37</v>
      </c>
      <c r="O34" s="27">
        <f t="shared" si="0"/>
        <v>108.55</v>
      </c>
      <c r="P34" s="26">
        <f t="shared" si="1"/>
        <v>0</v>
      </c>
      <c r="Q34" s="27">
        <f t="shared" si="2"/>
        <v>108.55</v>
      </c>
      <c r="R34" s="75">
        <f>INT($AA34*16/100*$C$5/100*$C$11/100*$AK34)*(100-$AB34)/100+INT($AA34*16/100*$C$5/100*$C$11/100*$AK34*1.25)*$AB34/100</f>
        <v>32.6</v>
      </c>
      <c r="S34" s="75">
        <f t="shared" si="4"/>
        <v>141.15</v>
      </c>
      <c r="T34" s="76"/>
      <c r="U34" s="22"/>
      <c r="V34" s="64">
        <f>INT($AA34*26/100*$C$5/100*$C$11/100*$AK34)*(100-$AB34)/100+INT($AA34*26/100*$C$5/100*$C$11/100*$AK34*1.25)*$AB34/100</f>
        <v>52.3</v>
      </c>
      <c r="W34" s="65">
        <f>INT($AD34*$C$6/100*$C$11/100*$AL34)</f>
        <v>0</v>
      </c>
      <c r="X34" s="64">
        <f>INT($AF34*$E$24/100*$C$5/100*$C$11/100*$AK34)*(100-$AG34)/100+INT($AF34*$E$24/100*$C$5/100*$C$11/100*$AK34*1.25)*$AG34/100</f>
        <v>18.75</v>
      </c>
      <c r="Y34" s="65">
        <f>INT($AI34*$C$6/100*$C$11/100*$AL34)</f>
        <v>0</v>
      </c>
      <c r="Z34" s="62">
        <f t="shared" si="7"/>
        <v>327</v>
      </c>
      <c r="AA34" s="62">
        <f t="shared" si="8"/>
        <v>359</v>
      </c>
      <c r="AB34" s="20">
        <f t="shared" si="9"/>
        <v>-5</v>
      </c>
      <c r="AC34" s="33">
        <v>0</v>
      </c>
      <c r="AD34" s="20">
        <f t="shared" si="20"/>
        <v>0</v>
      </c>
      <c r="AE34" s="20">
        <f t="shared" si="10"/>
        <v>260</v>
      </c>
      <c r="AF34" s="20">
        <f t="shared" si="11"/>
        <v>286</v>
      </c>
      <c r="AG34" s="20">
        <f t="shared" si="12"/>
        <v>-5</v>
      </c>
      <c r="AI34" s="20">
        <f t="shared" si="21"/>
        <v>0</v>
      </c>
      <c r="AJ34" s="19" t="str">
        <f t="shared" si="13"/>
        <v>青</v>
      </c>
      <c r="AK34" s="19">
        <f t="shared" si="14"/>
        <v>1.2</v>
      </c>
      <c r="AL34" s="19">
        <f t="shared" si="15"/>
        <v>1.0625</v>
      </c>
      <c r="AM34" s="22"/>
      <c r="AN34" s="22"/>
    </row>
    <row r="35" spans="1:40">
      <c r="F35" s="21" t="s">
        <v>63</v>
      </c>
      <c r="G35" s="53" t="s">
        <v>4</v>
      </c>
      <c r="H35" s="21">
        <v>160</v>
      </c>
      <c r="I35" s="21">
        <v>-25</v>
      </c>
      <c r="J35" s="85"/>
      <c r="K35" s="61">
        <v>102</v>
      </c>
      <c r="L35" s="61">
        <v>-25</v>
      </c>
      <c r="M35" s="85"/>
      <c r="N35" s="21" t="s">
        <v>36</v>
      </c>
      <c r="O35" s="27">
        <f t="shared" si="0"/>
        <v>109.65</v>
      </c>
      <c r="P35" s="26">
        <f t="shared" si="1"/>
        <v>0</v>
      </c>
      <c r="Q35" s="27">
        <f t="shared" si="2"/>
        <v>109.65</v>
      </c>
      <c r="R35" s="75">
        <f>INT($AA35*16/100*$C$5/100*$C$11/100*$AK35)*(100-$AB35)/100+INT($AA35*16/100*$C$5/100*$C$11/100*$AK35*1.25)*$AB35/100</f>
        <v>31.650000000000002</v>
      </c>
      <c r="S35" s="75">
        <f t="shared" si="4"/>
        <v>141.30000000000001</v>
      </c>
      <c r="T35" s="76"/>
      <c r="U35" s="22"/>
      <c r="V35" s="64">
        <f>INT($AA35*26/100*$C$5/100*$C$11/100*$AK35)*(100-$AB35)/100+INT($AA35*26/100*$C$5/100*$C$11/100*$AK35*1.25)*$AB35/100</f>
        <v>51.900000000000006</v>
      </c>
      <c r="W35" s="65">
        <f>INT($AD35*$C$6/100*$C$11/100*$AL35)</f>
        <v>0</v>
      </c>
      <c r="X35" s="64">
        <f>INT($AF35*$E$24/100*$C$5/100*$C$11/100*$AK35)*(100-$AG35)/100+INT($AF35*$E$24/100*$C$5/100*$C$11/100*$AK35*1.25)*$AG35/100</f>
        <v>19.25</v>
      </c>
      <c r="Y35" s="65">
        <f>INT($AI35*$C$6/100*$C$11/100*$AL35)</f>
        <v>0</v>
      </c>
      <c r="Z35" s="62">
        <f t="shared" si="7"/>
        <v>302</v>
      </c>
      <c r="AA35" s="62">
        <f t="shared" si="8"/>
        <v>332</v>
      </c>
      <c r="AB35" s="20">
        <f t="shared" si="9"/>
        <v>-15</v>
      </c>
      <c r="AC35" s="33">
        <v>0</v>
      </c>
      <c r="AD35" s="20">
        <f t="shared" si="20"/>
        <v>0</v>
      </c>
      <c r="AE35" s="20">
        <f t="shared" si="10"/>
        <v>244</v>
      </c>
      <c r="AF35" s="20">
        <f t="shared" si="11"/>
        <v>268</v>
      </c>
      <c r="AG35" s="20">
        <f t="shared" si="12"/>
        <v>-15</v>
      </c>
      <c r="AI35" s="20">
        <f t="shared" si="21"/>
        <v>0</v>
      </c>
      <c r="AJ35" s="19" t="str">
        <f t="shared" si="13"/>
        <v>白</v>
      </c>
      <c r="AK35" s="19">
        <f t="shared" si="14"/>
        <v>1.32</v>
      </c>
      <c r="AL35" s="19">
        <f t="shared" si="15"/>
        <v>1.125</v>
      </c>
      <c r="AM35" s="22"/>
      <c r="AN35" s="22"/>
    </row>
    <row r="36" spans="1:40">
      <c r="F36" s="8" t="s">
        <v>30</v>
      </c>
      <c r="G36" s="8" t="s">
        <v>4</v>
      </c>
      <c r="H36" s="8">
        <v>116</v>
      </c>
      <c r="I36" s="8">
        <v>15</v>
      </c>
      <c r="J36" s="84" t="s">
        <v>106</v>
      </c>
      <c r="K36" s="60">
        <v>112</v>
      </c>
      <c r="L36" s="60">
        <v>15</v>
      </c>
      <c r="M36" s="84" t="s">
        <v>106</v>
      </c>
      <c r="N36" s="8" t="s">
        <v>37</v>
      </c>
      <c r="O36" s="27">
        <f t="shared" si="0"/>
        <v>105.25</v>
      </c>
      <c r="P36" s="26">
        <f t="shared" si="1"/>
        <v>0</v>
      </c>
      <c r="Q36" s="27">
        <f t="shared" si="2"/>
        <v>105.25</v>
      </c>
      <c r="R36" s="75">
        <f>INT($AA36*16/100*$C$5/100*$C$11/100*$AK36)*(100-$AB36)/100+INT($AA36*16/100*$C$5/100*$C$11/100*$AK36*1.25)*$AB36/100</f>
        <v>27.5</v>
      </c>
      <c r="S36" s="75">
        <f t="shared" si="4"/>
        <v>132.75</v>
      </c>
      <c r="T36" s="76"/>
      <c r="V36" s="64">
        <f>INT($AA36*26/100*$C$5/100*$C$11/100*$AK36)*(100-$AB36)/100+INT($AA36*26/100*$C$5/100*$C$11/100*$AK36*1.25)*$AB36/100</f>
        <v>44.5</v>
      </c>
      <c r="W36" s="66">
        <v>0</v>
      </c>
      <c r="X36" s="64">
        <f>INT($AF36*$E$24/100*$C$5/100*$C$11/100*$AK36)*(100-$AG36)/100+INT($AF36*$E$24/100*$C$5/100*$C$11/100*$AK36*1.25)*$AG36/100</f>
        <v>20.25</v>
      </c>
      <c r="Y36" s="66">
        <v>0</v>
      </c>
      <c r="Z36" s="62">
        <f t="shared" si="7"/>
        <v>258</v>
      </c>
      <c r="AA36" s="62">
        <f t="shared" si="8"/>
        <v>283</v>
      </c>
      <c r="AB36" s="20">
        <f t="shared" si="9"/>
        <v>25</v>
      </c>
      <c r="AC36" s="33">
        <v>0</v>
      </c>
      <c r="AD36" s="20">
        <f t="shared" si="20"/>
        <v>0</v>
      </c>
      <c r="AE36" s="20">
        <f t="shared" si="10"/>
        <v>254</v>
      </c>
      <c r="AF36" s="20">
        <f t="shared" si="11"/>
        <v>279</v>
      </c>
      <c r="AG36" s="20">
        <f t="shared" si="12"/>
        <v>25</v>
      </c>
      <c r="AI36" s="20">
        <f t="shared" si="21"/>
        <v>0</v>
      </c>
      <c r="AJ36" s="19" t="str">
        <f t="shared" si="13"/>
        <v>青</v>
      </c>
      <c r="AK36" s="19">
        <f t="shared" si="14"/>
        <v>1.2</v>
      </c>
      <c r="AL36" s="19">
        <f t="shared" si="15"/>
        <v>1.0625</v>
      </c>
      <c r="AM36" s="22"/>
      <c r="AN36" s="22"/>
    </row>
    <row r="37" spans="1:40">
      <c r="F37" s="21" t="s">
        <v>61</v>
      </c>
      <c r="G37" s="53" t="s">
        <v>35</v>
      </c>
      <c r="H37" s="21">
        <v>150</v>
      </c>
      <c r="I37" s="21">
        <v>10</v>
      </c>
      <c r="J37" s="85"/>
      <c r="K37" s="61">
        <v>96</v>
      </c>
      <c r="L37" s="61">
        <v>10</v>
      </c>
      <c r="M37" s="85"/>
      <c r="N37" s="21" t="s">
        <v>69</v>
      </c>
      <c r="O37" s="27">
        <f t="shared" si="0"/>
        <v>106.80000000000001</v>
      </c>
      <c r="P37" s="26">
        <f t="shared" si="1"/>
        <v>0</v>
      </c>
      <c r="Q37" s="27">
        <f t="shared" si="2"/>
        <v>106.80000000000001</v>
      </c>
      <c r="R37" s="75">
        <f>INT($AA37*16/100*$C$4/100*$C$11/100*$AK37)*(100-$AB37)/100+INT($AA37*16/100*$C$4/100*$C$11/100*$AK37*1.25)*$AB37/100</f>
        <v>30.4</v>
      </c>
      <c r="S37" s="75">
        <f t="shared" si="4"/>
        <v>137.20000000000002</v>
      </c>
      <c r="T37" s="76"/>
      <c r="U37" s="22"/>
      <c r="V37" s="64">
        <f>INT($AA37*26/100*$C$4/100*$C$11/100*$AK37)*(100-$AB37)/100+INT($AA37*26/100*$C$4/100*$C$11/100*$AK37*1.25)*$AB37/100</f>
        <v>50.4</v>
      </c>
      <c r="W37" s="65">
        <f>INT($AD37*$C$6/100*$C$11/100*$AL37)</f>
        <v>0</v>
      </c>
      <c r="X37" s="64">
        <f>INT($AF37*$E$24/100*$C$4/100*$C$11/100*$AK37)*(100-$AG37)/100+INT($AF37*$E$24/100*$C$4/100*$C$11/100*$AK37*1.25)*$AG37/100</f>
        <v>18.8</v>
      </c>
      <c r="Y37" s="65">
        <f>INT($AI37*$C$6/100*$C$11/100*$AL37)</f>
        <v>0</v>
      </c>
      <c r="Z37" s="62">
        <f t="shared" si="7"/>
        <v>292</v>
      </c>
      <c r="AA37" s="62">
        <f t="shared" si="8"/>
        <v>321</v>
      </c>
      <c r="AB37" s="20">
        <f t="shared" si="9"/>
        <v>20</v>
      </c>
      <c r="AC37" s="33">
        <v>0</v>
      </c>
      <c r="AD37" s="20">
        <f t="shared" si="20"/>
        <v>0</v>
      </c>
      <c r="AE37" s="20">
        <f t="shared" si="10"/>
        <v>238</v>
      </c>
      <c r="AF37" s="20">
        <f t="shared" si="11"/>
        <v>261</v>
      </c>
      <c r="AG37" s="20">
        <f t="shared" si="12"/>
        <v>20</v>
      </c>
      <c r="AI37" s="20">
        <f t="shared" si="21"/>
        <v>0</v>
      </c>
      <c r="AJ37" s="19" t="str">
        <f t="shared" si="13"/>
        <v>青</v>
      </c>
      <c r="AK37" s="19">
        <f t="shared" si="14"/>
        <v>1.2</v>
      </c>
      <c r="AL37" s="19">
        <f t="shared" si="15"/>
        <v>1.0625</v>
      </c>
      <c r="AM37" s="22"/>
      <c r="AN37" s="22"/>
    </row>
    <row r="38" spans="1:40">
      <c r="F38" s="8" t="s">
        <v>31</v>
      </c>
      <c r="G38" s="8" t="s">
        <v>4</v>
      </c>
      <c r="H38" s="8">
        <v>108</v>
      </c>
      <c r="I38" s="8">
        <v>5</v>
      </c>
      <c r="J38" s="84" t="s">
        <v>150</v>
      </c>
      <c r="K38" s="60">
        <v>102</v>
      </c>
      <c r="L38" s="60">
        <v>5</v>
      </c>
      <c r="M38" s="84" t="s">
        <v>105</v>
      </c>
      <c r="N38" s="8" t="s">
        <v>137</v>
      </c>
      <c r="O38" s="27">
        <f t="shared" si="0"/>
        <v>98.75</v>
      </c>
      <c r="P38" s="26">
        <f t="shared" si="1"/>
        <v>0</v>
      </c>
      <c r="Q38" s="27">
        <f t="shared" si="2"/>
        <v>98.75</v>
      </c>
      <c r="R38" s="75">
        <f>INT($AA38*16/100*$C$5/100*$C$11/100*$AK38)*(100-$AB38)/100+INT($AA38*16/100*$C$5/100*$C$11/100*$AK38*1.25)*$AB38/100</f>
        <v>25.9</v>
      </c>
      <c r="S38" s="75">
        <f t="shared" si="4"/>
        <v>124.65</v>
      </c>
      <c r="T38" s="76"/>
      <c r="V38" s="64">
        <f>INT($AA38*26/100*$C$5/100*$C$11/100*$AK38)*(100-$AB38)/100+INT($AA38*26/100*$C$5/100*$C$11/100*$AK38*1.25)*$AB38/100</f>
        <v>42.5</v>
      </c>
      <c r="W38" s="66">
        <v>0</v>
      </c>
      <c r="X38" s="64">
        <f>INT($AF38*$E$24/100*$C$5/100*$C$11/100*$AK38)*(100-$AG38)/100+INT($AF38*$E$24/100*$C$5/100*$C$11/100*$AK38*1.25)*$AG38/100</f>
        <v>18.75</v>
      </c>
      <c r="Y38" s="66">
        <v>0</v>
      </c>
      <c r="Z38" s="62">
        <f t="shared" si="7"/>
        <v>250</v>
      </c>
      <c r="AA38" s="62">
        <f t="shared" si="8"/>
        <v>275</v>
      </c>
      <c r="AB38" s="20">
        <f t="shared" si="9"/>
        <v>15</v>
      </c>
      <c r="AC38" s="33">
        <v>0</v>
      </c>
      <c r="AD38" s="20">
        <f t="shared" si="20"/>
        <v>0</v>
      </c>
      <c r="AE38" s="20">
        <f t="shared" si="10"/>
        <v>244</v>
      </c>
      <c r="AF38" s="20">
        <f t="shared" si="11"/>
        <v>268</v>
      </c>
      <c r="AG38" s="20">
        <f t="shared" si="12"/>
        <v>15</v>
      </c>
      <c r="AI38" s="20">
        <f t="shared" si="21"/>
        <v>0</v>
      </c>
      <c r="AJ38" s="19" t="str">
        <f t="shared" si="13"/>
        <v>青</v>
      </c>
      <c r="AK38" s="19">
        <f t="shared" si="14"/>
        <v>1.2</v>
      </c>
      <c r="AL38" s="19">
        <f t="shared" si="15"/>
        <v>1.0625</v>
      </c>
    </row>
    <row r="39" spans="1:40">
      <c r="AG39" s="20"/>
      <c r="AL39" s="33"/>
    </row>
    <row r="40" spans="1:40">
      <c r="AG40" s="20"/>
      <c r="AL40" s="33"/>
    </row>
    <row r="41" spans="1:40">
      <c r="AG41" s="20"/>
      <c r="AL41" s="33"/>
    </row>
    <row r="42" spans="1:40">
      <c r="AG42" s="20"/>
      <c r="AL42" s="33"/>
    </row>
    <row r="43" spans="1:40">
      <c r="AG43" s="20"/>
      <c r="AL43" s="33"/>
    </row>
    <row r="44" spans="1:40">
      <c r="AG44" s="20"/>
      <c r="AL44" s="33"/>
    </row>
  </sheetData>
  <autoFilter ref="F1:AL1">
    <sortState ref="F2:AL38">
      <sortCondition descending="1" ref="Q1"/>
    </sortState>
  </autoFilter>
  <mergeCells count="18">
    <mergeCell ref="A19:C19"/>
    <mergeCell ref="A20:C20"/>
    <mergeCell ref="A21:C21"/>
    <mergeCell ref="A22:C22"/>
    <mergeCell ref="A26:C26"/>
    <mergeCell ref="A23:C23"/>
    <mergeCell ref="A24:C24"/>
    <mergeCell ref="A25:C25"/>
    <mergeCell ref="A18:C18"/>
    <mergeCell ref="A1:E1"/>
    <mergeCell ref="A2:B2"/>
    <mergeCell ref="A3:B3"/>
    <mergeCell ref="A4:A10"/>
    <mergeCell ref="A13:C13"/>
    <mergeCell ref="A14:C14"/>
    <mergeCell ref="A15:C15"/>
    <mergeCell ref="A16:C16"/>
    <mergeCell ref="A17:C17"/>
  </mergeCells>
  <phoneticPr fontId="1"/>
  <dataValidations count="1">
    <dataValidation type="list" allowBlank="1" showInputMessage="1" showErrorMessage="1" sqref="D13:D26">
      <formula1>"あり,なし"</formula1>
    </dataValidation>
  </dataValidations>
  <pageMargins left="0.7" right="0.7" top="0.75" bottom="0.75" header="0.3" footer="0.3"/>
  <pageSetup paperSize="9" orientation="portrait" r:id="rId1"/>
  <ignoredErrors>
    <ignoredError sqref="AF1:AI1 A3:E3 A27:D33 A23:C23 A2:B2 D2:E2 A15:C15 A14:C14 A24:C24 A25:C25 A17:E18 A16:C16 A21:E22 A20:C20 E20 A1:P1 E14:E16 A12:E13 A4:B4 A5:B5 A6:B6 A7:B7 A8:B8 A9:B9 A10:B10 A11:B11 D4:E11 E23:E32 U1:Y1 AA1:AD1 A19:C19 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近接</vt:lpstr>
      <vt:lpstr>ブーメラン</vt:lpstr>
      <vt:lpstr>ブーメラン連撃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yuichi</cp:lastModifiedBy>
  <dcterms:created xsi:type="dcterms:W3CDTF">2016-03-14T11:47:39Z</dcterms:created>
  <dcterms:modified xsi:type="dcterms:W3CDTF">2016-07-06T12:19:42Z</dcterms:modified>
</cp:coreProperties>
</file>