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3410" windowHeight="709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E24" authorId="0">
      <text>
        <r>
          <rPr>
            <b/>
            <sz val="9"/>
            <rFont val="ＭＳ Ｐゴシック"/>
            <family val="3"/>
          </rPr>
          <t>L1:1
L2:1.2
L3:1.4
L4:1.6
L5:2.0</t>
        </r>
      </text>
    </comment>
  </commentList>
</comments>
</file>

<file path=xl/sharedStrings.xml><?xml version="1.0" encoding="utf-8"?>
<sst xmlns="http://schemas.openxmlformats.org/spreadsheetml/2006/main" count="277" uniqueCount="87">
  <si>
    <t>剣兵</t>
  </si>
  <si>
    <t>武将</t>
  </si>
  <si>
    <t>槍兵</t>
  </si>
  <si>
    <t>弓兵</t>
  </si>
  <si>
    <t>騎馬兵</t>
  </si>
  <si>
    <t>兵数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</si>
  <si>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</si>
  <si>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</si>
  <si>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</si>
  <si>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</si>
  <si>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</si>
  <si>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</si>
  <si>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</si>
  <si>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</si>
  <si>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</si>
  <si>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</si>
  <si>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</si>
  <si>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</si>
  <si>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</si>
  <si>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</si>
  <si>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</si>
  <si>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</si>
  <si>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</si>
  <si>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</si>
  <si>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</si>
  <si>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</si>
  <si>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</si>
  <si>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</si>
  <si>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</si>
  <si>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</si>
  <si>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</si>
  <si>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</si>
  <si>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</si>
  <si>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</si>
  <si>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</si>
  <si>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</si>
  <si>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</si>
  <si>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</si>
  <si>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</si>
  <si>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</si>
  <si>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</si>
  <si>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</si>
  <si>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</si>
  <si>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</si>
  <si>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</si>
  <si>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</si>
  <si>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</si>
  <si>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</si>
  <si>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</si>
  <si>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</si>
  <si>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</si>
  <si>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</si>
  <si>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</si>
  <si>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</si>
  <si>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</si>
  <si>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</si>
  <si>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</si>
  <si>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</si>
  <si>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</si>
  <si>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</si>
  <si>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</si>
  <si>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</si>
  <si>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</si>
  <si>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</si>
  <si>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</si>
  <si>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</si>
  <si>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</si>
  <si>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</si>
  <si>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</si>
  <si>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</si>
  <si>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</si>
  <si>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</si>
  <si>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</si>
  <si>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</si>
  <si>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</si>
  <si>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</si>
  <si>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</si>
  <si>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</si>
  <si>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</si>
  <si>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</si>
  <si>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</si>
  <si>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</si>
  <si>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資源合計</t>
  </si>
  <si>
    <t>防御補正</t>
  </si>
  <si>
    <t>領土の防御補正</t>
  </si>
  <si>
    <t>課金</t>
  </si>
  <si>
    <t>無し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</si>
</sst>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  <numFmt numFmtId="181" formatCode="0.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FF000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>
        <color indexed="39"/>
      </bottom>
    </border>
    <border>
      <left>
        <color indexed="63"/>
      </left>
      <right>
        <color indexed="63"/>
      </right>
      <top style="thin"/>
      <bottom style="medium">
        <color indexed="39"/>
      </bottom>
    </border>
    <border>
      <left>
        <color indexed="63"/>
      </left>
      <right style="thin"/>
      <top style="thin"/>
      <bottom style="medium">
        <color indexed="39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6" xfId="0" applyNumberFormat="1" applyFont="1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0" borderId="49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5" fillId="0" borderId="66" xfId="0" applyNumberFormat="1" applyFont="1" applyFill="1" applyBorder="1" applyAlignment="1">
      <alignment vertical="center"/>
    </xf>
    <xf numFmtId="0" fontId="5" fillId="0" borderId="67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0" fontId="5" fillId="0" borderId="69" xfId="0" applyNumberFormat="1" applyFont="1" applyFill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32" xfId="0" applyNumberFormat="1" applyFont="1" applyFill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6" fillId="0" borderId="90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NumberFormat="1" applyFont="1" applyBorder="1" applyAlignment="1">
      <alignment vertical="center" shrinkToFi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101" xfId="0" applyNumberFormat="1" applyFont="1" applyFill="1" applyBorder="1" applyAlignment="1">
      <alignment vertical="center"/>
    </xf>
    <xf numFmtId="0" fontId="4" fillId="0" borderId="69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7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33" xfId="0" applyNumberFormat="1" applyFont="1" applyFill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9" fillId="0" borderId="113" xfId="0" applyFont="1" applyBorder="1" applyAlignment="1">
      <alignment vertical="center"/>
    </xf>
    <xf numFmtId="0" fontId="9" fillId="0" borderId="114" xfId="0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vertical="center"/>
    </xf>
    <xf numFmtId="180" fontId="4" fillId="0" borderId="116" xfId="0" applyNumberFormat="1" applyFont="1" applyBorder="1" applyAlignment="1">
      <alignment horizontal="right" vertical="center"/>
    </xf>
    <xf numFmtId="180" fontId="4" fillId="0" borderId="117" xfId="0" applyNumberFormat="1" applyFont="1" applyBorder="1" applyAlignment="1">
      <alignment horizontal="right" vertical="center"/>
    </xf>
    <xf numFmtId="180" fontId="4" fillId="0" borderId="116" xfId="0" applyNumberFormat="1" applyFont="1" applyBorder="1" applyAlignment="1">
      <alignment vertical="center"/>
    </xf>
    <xf numFmtId="180" fontId="4" fillId="0" borderId="117" xfId="0" applyNumberFormat="1" applyFont="1" applyBorder="1" applyAlignment="1">
      <alignment vertical="center"/>
    </xf>
    <xf numFmtId="180" fontId="4" fillId="0" borderId="118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119" xfId="0" applyNumberFormat="1" applyFont="1" applyBorder="1" applyAlignment="1">
      <alignment vertical="center"/>
    </xf>
    <xf numFmtId="180" fontId="4" fillId="0" borderId="120" xfId="0" applyNumberFormat="1" applyFont="1" applyBorder="1" applyAlignment="1">
      <alignment vertical="center"/>
    </xf>
    <xf numFmtId="180" fontId="4" fillId="0" borderId="111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77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0" fontId="4" fillId="34" borderId="37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Border="1" applyAlignment="1">
      <alignment horizontal="center" vertical="center"/>
    </xf>
    <xf numFmtId="0" fontId="4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4" fillId="0" borderId="1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9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141" xfId="0" applyNumberFormat="1" applyFont="1" applyFill="1" applyBorder="1" applyAlignment="1">
      <alignment vertical="center" shrinkToFit="1"/>
    </xf>
    <xf numFmtId="0" fontId="4" fillId="0" borderId="142" xfId="0" applyNumberFormat="1" applyFont="1" applyFill="1" applyBorder="1" applyAlignment="1">
      <alignment vertical="center" shrinkToFit="1"/>
    </xf>
    <xf numFmtId="0" fontId="4" fillId="0" borderId="143" xfId="0" applyNumberFormat="1" applyFont="1" applyFill="1" applyBorder="1" applyAlignment="1">
      <alignment vertical="center" shrinkToFit="1"/>
    </xf>
    <xf numFmtId="0" fontId="4" fillId="0" borderId="144" xfId="0" applyNumberFormat="1" applyFont="1" applyFill="1" applyBorder="1" applyAlignment="1">
      <alignment vertical="center"/>
    </xf>
    <xf numFmtId="0" fontId="4" fillId="0" borderId="145" xfId="0" applyNumberFormat="1" applyFont="1" applyBorder="1" applyAlignment="1">
      <alignment vertical="center"/>
    </xf>
    <xf numFmtId="0" fontId="4" fillId="0" borderId="146" xfId="0" applyNumberFormat="1" applyFont="1" applyBorder="1" applyAlignment="1">
      <alignment vertical="center"/>
    </xf>
    <xf numFmtId="0" fontId="4" fillId="0" borderId="147" xfId="0" applyNumberFormat="1" applyFont="1" applyBorder="1" applyAlignment="1">
      <alignment vertical="center"/>
    </xf>
    <xf numFmtId="0" fontId="0" fillId="0" borderId="148" xfId="0" applyNumberForma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6" fillId="0" borderId="155" xfId="0" applyNumberFormat="1" applyFont="1" applyFill="1" applyBorder="1" applyAlignment="1">
      <alignment horizontal="center" vertical="center"/>
    </xf>
    <xf numFmtId="0" fontId="6" fillId="0" borderId="156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0" fontId="4" fillId="0" borderId="162" xfId="0" applyFont="1" applyBorder="1" applyAlignment="1">
      <alignment vertical="center"/>
    </xf>
    <xf numFmtId="0" fontId="6" fillId="0" borderId="95" xfId="0" applyNumberFormat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176" fontId="4" fillId="0" borderId="95" xfId="0" applyNumberFormat="1" applyFont="1" applyBorder="1" applyAlignment="1">
      <alignment vertical="center"/>
    </xf>
    <xf numFmtId="176" fontId="0" fillId="0" borderId="96" xfId="0" applyNumberFormat="1" applyBorder="1" applyAlignment="1">
      <alignment vertical="center"/>
    </xf>
    <xf numFmtId="0" fontId="6" fillId="0" borderId="157" xfId="0" applyNumberFormat="1" applyFont="1" applyBorder="1" applyAlignment="1">
      <alignment vertical="center"/>
    </xf>
    <xf numFmtId="0" fontId="0" fillId="0" borderId="16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4" fillId="0" borderId="16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11" fillId="0" borderId="166" xfId="0" applyFont="1" applyBorder="1" applyAlignment="1">
      <alignment vertical="center"/>
    </xf>
    <xf numFmtId="0" fontId="11" fillId="0" borderId="167" xfId="0" applyFont="1" applyBorder="1" applyAlignment="1">
      <alignment vertical="center"/>
    </xf>
    <xf numFmtId="0" fontId="0" fillId="0" borderId="168" xfId="0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157" xfId="0" applyFont="1" applyBorder="1" applyAlignment="1">
      <alignment vertical="center"/>
    </xf>
    <xf numFmtId="0" fontId="6" fillId="0" borderId="163" xfId="0" applyFont="1" applyBorder="1" applyAlignment="1">
      <alignment vertical="center"/>
    </xf>
    <xf numFmtId="0" fontId="6" fillId="0" borderId="169" xfId="0" applyFont="1" applyBorder="1" applyAlignment="1">
      <alignment vertical="center"/>
    </xf>
    <xf numFmtId="0" fontId="6" fillId="0" borderId="170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7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" fillId="0" borderId="157" xfId="0" applyNumberFormat="1" applyFont="1" applyFill="1" applyBorder="1" applyAlignment="1">
      <alignment vertical="center" shrinkToFit="1"/>
    </xf>
    <xf numFmtId="0" fontId="0" fillId="0" borderId="163" xfId="0" applyBorder="1" applyAlignment="1">
      <alignment vertical="center" shrinkToFit="1"/>
    </xf>
    <xf numFmtId="0" fontId="4" fillId="0" borderId="169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1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6" fillId="0" borderId="172" xfId="0" applyFont="1" applyBorder="1" applyAlignment="1">
      <alignment vertical="center"/>
    </xf>
    <xf numFmtId="0" fontId="6" fillId="0" borderId="173" xfId="0" applyFont="1" applyBorder="1" applyAlignment="1">
      <alignment vertical="center"/>
    </xf>
    <xf numFmtId="0" fontId="4" fillId="0" borderId="174" xfId="0" applyFont="1" applyBorder="1" applyAlignment="1">
      <alignment vertical="center"/>
    </xf>
    <xf numFmtId="0" fontId="4" fillId="0" borderId="17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A1">
      <selection activeCell="G32" sqref="G32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40" t="s">
        <v>65</v>
      </c>
      <c r="C2" s="254"/>
    </row>
    <row r="3" spans="2:3" ht="12.75" customHeight="1" thickBot="1">
      <c r="B3" s="255"/>
      <c r="C3" s="256"/>
    </row>
    <row r="4" spans="2:3" ht="12.75" customHeight="1">
      <c r="B4" s="36"/>
      <c r="C4" s="36"/>
    </row>
    <row r="5" ht="12.75" customHeight="1" thickBot="1">
      <c r="E5" s="1"/>
    </row>
    <row r="6" spans="2:23" ht="12.75" customHeight="1" thickTop="1">
      <c r="B6" s="268" t="s">
        <v>51</v>
      </c>
      <c r="C6" s="269"/>
      <c r="D6" s="33"/>
      <c r="E6" s="24"/>
      <c r="F6" s="24"/>
      <c r="G6" s="23"/>
      <c r="H6" s="23"/>
      <c r="I6" s="24"/>
      <c r="J6" s="25"/>
      <c r="M6" s="240" t="s">
        <v>50</v>
      </c>
      <c r="N6" s="241"/>
      <c r="O6" s="11"/>
      <c r="P6" s="11"/>
      <c r="Q6" s="11"/>
      <c r="R6" s="11"/>
      <c r="S6" s="11"/>
      <c r="T6" s="11"/>
      <c r="U6" s="11"/>
      <c r="V6" s="75"/>
      <c r="W6" s="7"/>
    </row>
    <row r="7" spans="2:23" ht="12.75" customHeight="1" thickBot="1">
      <c r="B7" s="270"/>
      <c r="C7" s="271"/>
      <c r="D7" s="20"/>
      <c r="E7" s="26"/>
      <c r="F7" s="26"/>
      <c r="G7" s="277" t="s">
        <v>60</v>
      </c>
      <c r="H7" s="278"/>
      <c r="I7" s="278"/>
      <c r="J7" s="27"/>
      <c r="M7" s="242"/>
      <c r="N7" s="243"/>
      <c r="O7" s="7"/>
      <c r="P7" s="7"/>
      <c r="Q7" s="7"/>
      <c r="R7" s="7"/>
      <c r="S7" s="7"/>
      <c r="T7" s="7"/>
      <c r="U7" s="7"/>
      <c r="V7" s="72"/>
      <c r="W7" s="7"/>
    </row>
    <row r="8" spans="2:23" ht="12.75" customHeight="1" thickBot="1" thickTop="1">
      <c r="B8" s="34"/>
      <c r="C8" s="19"/>
      <c r="D8" s="20"/>
      <c r="E8" s="26"/>
      <c r="F8" s="26"/>
      <c r="G8" s="264" t="s">
        <v>43</v>
      </c>
      <c r="H8" s="262"/>
      <c r="I8" s="265"/>
      <c r="J8" s="27"/>
      <c r="M8" s="76"/>
      <c r="N8" s="22"/>
      <c r="O8" s="7"/>
      <c r="P8" s="7"/>
      <c r="Q8" s="7"/>
      <c r="R8" s="7"/>
      <c r="S8" s="7"/>
      <c r="T8" s="7"/>
      <c r="U8" s="7"/>
      <c r="V8" s="72"/>
      <c r="W8" s="7"/>
    </row>
    <row r="9" spans="2:23" ht="12.75" customHeight="1">
      <c r="B9" s="276" t="s">
        <v>37</v>
      </c>
      <c r="C9" s="267"/>
      <c r="D9" s="26"/>
      <c r="E9" s="26"/>
      <c r="F9" s="26"/>
      <c r="G9" s="272" t="s">
        <v>74</v>
      </c>
      <c r="H9" s="273"/>
      <c r="I9" s="12">
        <v>100</v>
      </c>
      <c r="J9" s="27"/>
      <c r="M9" s="97"/>
      <c r="N9" s="100" t="s">
        <v>0</v>
      </c>
      <c r="O9" s="8" t="s">
        <v>2</v>
      </c>
      <c r="P9" s="8" t="s">
        <v>3</v>
      </c>
      <c r="Q9" s="8" t="s">
        <v>4</v>
      </c>
      <c r="R9" s="8" t="s">
        <v>18</v>
      </c>
      <c r="S9" s="21" t="s">
        <v>49</v>
      </c>
      <c r="T9" s="101" t="s">
        <v>19</v>
      </c>
      <c r="U9" s="1"/>
      <c r="V9" s="77" t="s">
        <v>28</v>
      </c>
      <c r="W9" s="7"/>
    </row>
    <row r="10" spans="2:23" ht="12.75" customHeight="1" thickBot="1">
      <c r="B10" s="28"/>
      <c r="C10" s="26"/>
      <c r="D10" s="26"/>
      <c r="E10" s="26"/>
      <c r="F10" s="26"/>
      <c r="G10" s="229" t="s">
        <v>38</v>
      </c>
      <c r="H10" s="230"/>
      <c r="I10" s="5">
        <v>11636</v>
      </c>
      <c r="J10" s="27"/>
      <c r="M10" s="98" t="s">
        <v>30</v>
      </c>
      <c r="N10" s="159">
        <f>C12</f>
        <v>0</v>
      </c>
      <c r="O10" s="160">
        <f>C13</f>
        <v>0</v>
      </c>
      <c r="P10" s="160">
        <f>C14</f>
        <v>0</v>
      </c>
      <c r="Q10" s="160">
        <f>C15</f>
        <v>0</v>
      </c>
      <c r="R10" s="160">
        <f>C16</f>
        <v>0</v>
      </c>
      <c r="S10" s="160">
        <f>C17</f>
        <v>0</v>
      </c>
      <c r="T10" s="161">
        <f>C18</f>
        <v>200</v>
      </c>
      <c r="U10" s="7"/>
      <c r="V10" s="177">
        <f>I9</f>
        <v>100</v>
      </c>
      <c r="W10" s="7"/>
    </row>
    <row r="11" spans="2:23" ht="12.75" customHeight="1" thickBot="1">
      <c r="B11" s="109" t="s">
        <v>25</v>
      </c>
      <c r="C11" s="110" t="s">
        <v>5</v>
      </c>
      <c r="D11" s="111" t="s">
        <v>35</v>
      </c>
      <c r="E11" s="112" t="s">
        <v>5</v>
      </c>
      <c r="F11" s="26"/>
      <c r="G11" s="229" t="s">
        <v>33</v>
      </c>
      <c r="H11" s="230"/>
      <c r="I11" s="35" t="s">
        <v>9</v>
      </c>
      <c r="J11" s="27"/>
      <c r="M11" s="98" t="s">
        <v>31</v>
      </c>
      <c r="N11" s="162">
        <f aca="true" t="shared" si="0" ref="N11:T11">IF($T$113&gt;=$Q$113,N10,N10*$U$113/100)</f>
        <v>0</v>
      </c>
      <c r="O11" s="163">
        <f t="shared" si="0"/>
        <v>0</v>
      </c>
      <c r="P11" s="163">
        <f t="shared" si="0"/>
        <v>0</v>
      </c>
      <c r="Q11" s="163">
        <f t="shared" si="0"/>
        <v>0</v>
      </c>
      <c r="R11" s="163">
        <f t="shared" si="0"/>
        <v>0</v>
      </c>
      <c r="S11" s="163">
        <f t="shared" si="0"/>
        <v>0</v>
      </c>
      <c r="T11" s="164">
        <f t="shared" si="0"/>
        <v>114.31562833797692</v>
      </c>
      <c r="U11" s="7"/>
      <c r="V11" s="177">
        <f>IF(Q113&gt;T113,U113*V10/100,100)</f>
        <v>57.15781416898846</v>
      </c>
      <c r="W11" s="7"/>
    </row>
    <row r="12" spans="2:23" ht="12.75" customHeight="1" thickBot="1">
      <c r="B12" s="113" t="s">
        <v>0</v>
      </c>
      <c r="C12" s="114">
        <v>0</v>
      </c>
      <c r="D12" s="115" t="s">
        <v>0</v>
      </c>
      <c r="E12" s="116">
        <v>0</v>
      </c>
      <c r="F12" s="2"/>
      <c r="G12" s="274" t="s">
        <v>59</v>
      </c>
      <c r="H12" s="275"/>
      <c r="I12" s="13">
        <v>300</v>
      </c>
      <c r="J12" s="27"/>
      <c r="M12" s="99" t="s">
        <v>32</v>
      </c>
      <c r="N12" s="162">
        <f aca="true" t="shared" si="1" ref="N12:T12">N10-N11</f>
        <v>0</v>
      </c>
      <c r="O12" s="163">
        <f t="shared" si="1"/>
        <v>0</v>
      </c>
      <c r="P12" s="163">
        <f t="shared" si="1"/>
        <v>0</v>
      </c>
      <c r="Q12" s="163">
        <f t="shared" si="1"/>
        <v>0</v>
      </c>
      <c r="R12" s="163">
        <f t="shared" si="1"/>
        <v>0</v>
      </c>
      <c r="S12" s="163">
        <f t="shared" si="1"/>
        <v>0</v>
      </c>
      <c r="T12" s="164">
        <f t="shared" si="1"/>
        <v>85.68437166202308</v>
      </c>
      <c r="U12" s="7"/>
      <c r="V12" s="178">
        <f>ROUNDUP(V10-V11,0)</f>
        <v>43</v>
      </c>
      <c r="W12" s="7"/>
    </row>
    <row r="13" spans="2:23" ht="12.75" customHeight="1" thickBot="1">
      <c r="B13" s="113" t="s">
        <v>2</v>
      </c>
      <c r="C13" s="114">
        <v>0</v>
      </c>
      <c r="D13" s="115" t="s">
        <v>2</v>
      </c>
      <c r="E13" s="116">
        <v>0</v>
      </c>
      <c r="F13" s="2"/>
      <c r="G13" s="261" t="s">
        <v>42</v>
      </c>
      <c r="H13" s="262"/>
      <c r="I13" s="262"/>
      <c r="J13" s="263"/>
      <c r="M13" s="78"/>
      <c r="N13" s="7"/>
      <c r="O13" s="7"/>
      <c r="P13" s="7"/>
      <c r="Q13" s="7"/>
      <c r="R13" s="7"/>
      <c r="S13" s="7"/>
      <c r="T13" s="7"/>
      <c r="U13" s="7"/>
      <c r="V13" s="72"/>
      <c r="W13" s="7"/>
    </row>
    <row r="14" spans="2:23" ht="12.75" customHeight="1">
      <c r="B14" s="113" t="s">
        <v>3</v>
      </c>
      <c r="C14" s="114">
        <v>0</v>
      </c>
      <c r="D14" s="115" t="s">
        <v>3</v>
      </c>
      <c r="E14" s="116">
        <v>0</v>
      </c>
      <c r="F14" s="2"/>
      <c r="G14" s="257" t="s">
        <v>1</v>
      </c>
      <c r="H14" s="258"/>
      <c r="I14" s="12">
        <v>0.825</v>
      </c>
      <c r="J14" s="27"/>
      <c r="M14" s="79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18</v>
      </c>
      <c r="S14" s="10" t="s">
        <v>49</v>
      </c>
      <c r="T14" s="10" t="s">
        <v>19</v>
      </c>
      <c r="U14" s="10" t="s">
        <v>7</v>
      </c>
      <c r="V14" s="80" t="s">
        <v>20</v>
      </c>
      <c r="W14" s="1"/>
    </row>
    <row r="15" spans="2:23" ht="12.75" customHeight="1">
      <c r="B15" s="113" t="s">
        <v>4</v>
      </c>
      <c r="C15" s="114">
        <v>0</v>
      </c>
      <c r="D15" s="115" t="s">
        <v>4</v>
      </c>
      <c r="E15" s="116">
        <v>0</v>
      </c>
      <c r="F15" s="2"/>
      <c r="G15" s="225" t="s">
        <v>40</v>
      </c>
      <c r="H15" s="226"/>
      <c r="I15" s="5">
        <v>0.825</v>
      </c>
      <c r="J15" s="27"/>
      <c r="M15" s="81" t="s">
        <v>30</v>
      </c>
      <c r="N15" s="153">
        <f>E12</f>
        <v>0</v>
      </c>
      <c r="O15" s="153">
        <f>E13</f>
        <v>0</v>
      </c>
      <c r="P15" s="153">
        <f>E14</f>
        <v>0</v>
      </c>
      <c r="Q15" s="153">
        <f>E15</f>
        <v>0</v>
      </c>
      <c r="R15" s="153">
        <f>E16</f>
        <v>171</v>
      </c>
      <c r="S15" s="153">
        <f>E17</f>
        <v>69</v>
      </c>
      <c r="T15" s="153">
        <f>E18</f>
        <v>143</v>
      </c>
      <c r="U15" s="153">
        <f>E19</f>
        <v>0</v>
      </c>
      <c r="V15" s="154">
        <f>E20</f>
        <v>0</v>
      </c>
      <c r="W15" s="7"/>
    </row>
    <row r="16" spans="2:23" ht="12.75" customHeight="1" thickBot="1">
      <c r="B16" s="113" t="s">
        <v>18</v>
      </c>
      <c r="C16" s="114">
        <v>0</v>
      </c>
      <c r="D16" s="115" t="s">
        <v>75</v>
      </c>
      <c r="E16" s="116">
        <v>171</v>
      </c>
      <c r="F16" s="2"/>
      <c r="G16" s="225" t="s">
        <v>39</v>
      </c>
      <c r="H16" s="226"/>
      <c r="I16" s="5"/>
      <c r="J16" s="27"/>
      <c r="M16" s="81" t="s">
        <v>31</v>
      </c>
      <c r="N16" s="155">
        <f aca="true" t="shared" si="2" ref="N16:V16">IF($Q$113&gt;=$T$113,N15,N15*$U$113/100)</f>
        <v>0</v>
      </c>
      <c r="O16" s="155">
        <f t="shared" si="2"/>
        <v>0</v>
      </c>
      <c r="P16" s="155">
        <f t="shared" si="2"/>
        <v>0</v>
      </c>
      <c r="Q16" s="155">
        <f t="shared" si="2"/>
        <v>0</v>
      </c>
      <c r="R16" s="155">
        <f t="shared" si="2"/>
        <v>171</v>
      </c>
      <c r="S16" s="155">
        <f t="shared" si="2"/>
        <v>69</v>
      </c>
      <c r="T16" s="155">
        <f t="shared" si="2"/>
        <v>143</v>
      </c>
      <c r="U16" s="155">
        <f t="shared" si="2"/>
        <v>0</v>
      </c>
      <c r="V16" s="156">
        <f t="shared" si="2"/>
        <v>0</v>
      </c>
      <c r="W16" s="7"/>
    </row>
    <row r="17" spans="2:23" ht="12.75" customHeight="1" thickBot="1">
      <c r="B17" s="117" t="s">
        <v>49</v>
      </c>
      <c r="C17" s="114">
        <v>0</v>
      </c>
      <c r="D17" s="118" t="s">
        <v>76</v>
      </c>
      <c r="E17" s="116">
        <v>69</v>
      </c>
      <c r="F17" s="2"/>
      <c r="G17" s="225" t="s">
        <v>2</v>
      </c>
      <c r="H17" s="226"/>
      <c r="I17" s="5"/>
      <c r="J17" s="27"/>
      <c r="M17" s="82" t="s">
        <v>32</v>
      </c>
      <c r="N17" s="157">
        <f aca="true" t="shared" si="3" ref="N17:V17">N15-N16</f>
        <v>0</v>
      </c>
      <c r="O17" s="157">
        <f t="shared" si="3"/>
        <v>0</v>
      </c>
      <c r="P17" s="157">
        <f t="shared" si="3"/>
        <v>0</v>
      </c>
      <c r="Q17" s="157">
        <f t="shared" si="3"/>
        <v>0</v>
      </c>
      <c r="R17" s="157">
        <f t="shared" si="3"/>
        <v>0</v>
      </c>
      <c r="S17" s="157">
        <f t="shared" si="3"/>
        <v>0</v>
      </c>
      <c r="T17" s="157">
        <f t="shared" si="3"/>
        <v>0</v>
      </c>
      <c r="U17" s="157">
        <f t="shared" si="3"/>
        <v>0</v>
      </c>
      <c r="V17" s="158">
        <f t="shared" si="3"/>
        <v>0</v>
      </c>
      <c r="W17" s="7"/>
    </row>
    <row r="18" spans="2:23" ht="12.75" customHeight="1">
      <c r="B18" s="113" t="s">
        <v>19</v>
      </c>
      <c r="C18" s="114">
        <v>200</v>
      </c>
      <c r="D18" s="115" t="s">
        <v>77</v>
      </c>
      <c r="E18" s="116">
        <v>143</v>
      </c>
      <c r="F18" s="2"/>
      <c r="G18" s="225" t="s">
        <v>3</v>
      </c>
      <c r="H18" s="226"/>
      <c r="I18" s="5"/>
      <c r="J18" s="27"/>
      <c r="M18" s="78"/>
      <c r="N18" s="7"/>
      <c r="O18" s="7"/>
      <c r="P18" s="7"/>
      <c r="Q18" s="7"/>
      <c r="R18" s="7"/>
      <c r="S18" s="7"/>
      <c r="T18" s="7"/>
      <c r="U18" s="7"/>
      <c r="V18" s="72"/>
      <c r="W18" s="7"/>
    </row>
    <row r="19" spans="2:23" ht="12.75" customHeight="1" thickBot="1">
      <c r="B19" s="119"/>
      <c r="C19" s="120">
        <v>0</v>
      </c>
      <c r="D19" s="115" t="s">
        <v>7</v>
      </c>
      <c r="E19" s="116">
        <v>0</v>
      </c>
      <c r="F19" s="2"/>
      <c r="G19" s="259" t="s">
        <v>4</v>
      </c>
      <c r="H19" s="260"/>
      <c r="I19" s="13"/>
      <c r="J19" s="27"/>
      <c r="M19" s="78"/>
      <c r="N19" s="7"/>
      <c r="O19" s="7"/>
      <c r="P19" s="7"/>
      <c r="Q19" s="7"/>
      <c r="R19" s="7"/>
      <c r="S19" s="7"/>
      <c r="T19" s="7"/>
      <c r="U19" s="7"/>
      <c r="V19" s="72"/>
      <c r="W19" s="7"/>
    </row>
    <row r="20" spans="2:23" ht="12.75" customHeight="1" thickBot="1">
      <c r="B20" s="119"/>
      <c r="C20" s="120">
        <v>0</v>
      </c>
      <c r="D20" s="115" t="s">
        <v>15</v>
      </c>
      <c r="E20" s="116"/>
      <c r="F20" s="2"/>
      <c r="G20" s="17" t="s">
        <v>41</v>
      </c>
      <c r="H20" s="18"/>
      <c r="I20" s="121"/>
      <c r="J20" s="30"/>
      <c r="M20" s="78"/>
      <c r="N20" s="279" t="s">
        <v>58</v>
      </c>
      <c r="O20" s="280"/>
      <c r="P20" s="232">
        <f>((N16+U16)*1+(SUM(O16:Q16)+V16)*2+SUM(R16:T16)*4)*I12/100</f>
        <v>4596</v>
      </c>
      <c r="Q20" s="233"/>
      <c r="R20" s="7"/>
      <c r="S20" s="7"/>
      <c r="T20" s="7"/>
      <c r="U20" s="7"/>
      <c r="V20" s="72"/>
      <c r="W20" s="7"/>
    </row>
    <row r="21" spans="2:23" ht="12.75" customHeight="1" thickBot="1">
      <c r="B21" s="122" t="s">
        <v>8</v>
      </c>
      <c r="C21" s="123"/>
      <c r="D21" s="124" t="s">
        <v>8</v>
      </c>
      <c r="E21" s="125"/>
      <c r="F21" s="2"/>
      <c r="G21" s="234" t="s">
        <v>44</v>
      </c>
      <c r="H21" s="235"/>
      <c r="I21" s="71">
        <v>7</v>
      </c>
      <c r="J21" s="27"/>
      <c r="M21" s="83"/>
      <c r="N21" s="73"/>
      <c r="O21" s="73"/>
      <c r="P21" s="73"/>
      <c r="Q21" s="73"/>
      <c r="R21" s="73"/>
      <c r="S21" s="73"/>
      <c r="T21" s="73"/>
      <c r="U21" s="73"/>
      <c r="V21" s="74"/>
      <c r="W21" s="7"/>
    </row>
    <row r="22" spans="2:22" ht="12.75" customHeight="1" thickBot="1">
      <c r="B22" s="37"/>
      <c r="C22" s="2"/>
      <c r="D22" s="2"/>
      <c r="E22" s="2"/>
      <c r="F22" s="2"/>
      <c r="G22" s="229" t="s">
        <v>45</v>
      </c>
      <c r="H22" s="230"/>
      <c r="I22" s="71">
        <v>2</v>
      </c>
      <c r="J22" s="27"/>
      <c r="M22" s="240" t="s">
        <v>72</v>
      </c>
      <c r="N22" s="241"/>
      <c r="O22" s="11"/>
      <c r="P22" s="11"/>
      <c r="Q22" s="11"/>
      <c r="R22" s="11"/>
      <c r="S22" s="11"/>
      <c r="T22" s="11"/>
      <c r="U22" s="11"/>
      <c r="V22" s="75"/>
    </row>
    <row r="23" spans="2:22" ht="12.75" customHeight="1" thickBot="1">
      <c r="B23" s="266"/>
      <c r="C23" s="267"/>
      <c r="D23" s="227" t="s">
        <v>84</v>
      </c>
      <c r="E23" s="228"/>
      <c r="F23" s="2"/>
      <c r="G23" s="229" t="s">
        <v>46</v>
      </c>
      <c r="H23" s="230"/>
      <c r="I23" s="71">
        <v>2</v>
      </c>
      <c r="J23" s="27"/>
      <c r="M23" s="242"/>
      <c r="N23" s="243"/>
      <c r="O23" s="7"/>
      <c r="P23" s="7"/>
      <c r="Q23" s="7"/>
      <c r="R23" s="7"/>
      <c r="S23" s="7"/>
      <c r="T23" s="7"/>
      <c r="U23" s="7"/>
      <c r="V23" s="72"/>
    </row>
    <row r="24" spans="2:22" ht="12.75" customHeight="1" thickBot="1">
      <c r="B24" s="29"/>
      <c r="C24" s="7"/>
      <c r="D24" s="181" t="s">
        <v>83</v>
      </c>
      <c r="E24" s="182">
        <v>1</v>
      </c>
      <c r="F24" s="26"/>
      <c r="G24" s="225" t="s">
        <v>47</v>
      </c>
      <c r="H24" s="226"/>
      <c r="I24" s="71">
        <v>4</v>
      </c>
      <c r="J24" s="27"/>
      <c r="M24" s="78"/>
      <c r="N24" s="7"/>
      <c r="O24" s="7"/>
      <c r="P24" s="7"/>
      <c r="Q24" s="7"/>
      <c r="R24" s="7"/>
      <c r="S24" s="7"/>
      <c r="T24" s="7"/>
      <c r="U24" s="7"/>
      <c r="V24" s="72"/>
    </row>
    <row r="25" spans="2:22" ht="12.75" customHeight="1" thickBot="1">
      <c r="B25" s="70"/>
      <c r="C25" s="1"/>
      <c r="D25" s="26"/>
      <c r="E25" s="26"/>
      <c r="F25" s="26"/>
      <c r="G25" s="225" t="s">
        <v>48</v>
      </c>
      <c r="H25" s="226"/>
      <c r="I25" s="71">
        <v>3</v>
      </c>
      <c r="J25" s="27"/>
      <c r="M25" s="106"/>
      <c r="N25" s="102" t="s">
        <v>0</v>
      </c>
      <c r="O25" s="103" t="s">
        <v>2</v>
      </c>
      <c r="P25" s="103" t="s">
        <v>3</v>
      </c>
      <c r="Q25" s="103" t="s">
        <v>4</v>
      </c>
      <c r="R25" s="103" t="s">
        <v>18</v>
      </c>
      <c r="S25" s="104" t="s">
        <v>49</v>
      </c>
      <c r="T25" s="105" t="s">
        <v>19</v>
      </c>
      <c r="U25" s="180" t="s">
        <v>82</v>
      </c>
      <c r="V25" s="72"/>
    </row>
    <row r="26" spans="2:22" ht="12.75" customHeight="1">
      <c r="B26" s="29"/>
      <c r="C26" s="26"/>
      <c r="D26" s="26"/>
      <c r="E26" s="26"/>
      <c r="F26" s="26"/>
      <c r="G26" s="126" t="s">
        <v>61</v>
      </c>
      <c r="H26" s="127"/>
      <c r="I26" s="71">
        <v>7</v>
      </c>
      <c r="J26" s="27"/>
      <c r="M26" s="107" t="s">
        <v>68</v>
      </c>
      <c r="N26" s="165">
        <f aca="true" t="shared" si="4" ref="N26:T29">N142*N$11</f>
        <v>0</v>
      </c>
      <c r="O26" s="166">
        <f t="shared" si="4"/>
        <v>0</v>
      </c>
      <c r="P26" s="166">
        <f t="shared" si="4"/>
        <v>0</v>
      </c>
      <c r="Q26" s="166">
        <f t="shared" si="4"/>
        <v>0</v>
      </c>
      <c r="R26" s="166">
        <f t="shared" si="4"/>
        <v>0</v>
      </c>
      <c r="S26" s="166">
        <f t="shared" si="4"/>
        <v>0</v>
      </c>
      <c r="T26" s="167">
        <f t="shared" si="4"/>
        <v>0</v>
      </c>
      <c r="U26" s="167">
        <f>SUM(N26:T26)</f>
        <v>0</v>
      </c>
      <c r="V26" s="72"/>
    </row>
    <row r="27" spans="2:22" ht="12.75" customHeight="1">
      <c r="B27" s="29"/>
      <c r="C27" s="26"/>
      <c r="D27" s="26"/>
      <c r="E27" s="26"/>
      <c r="F27" s="26"/>
      <c r="G27" s="126" t="s">
        <v>62</v>
      </c>
      <c r="H27" s="127"/>
      <c r="I27" s="71">
        <v>7</v>
      </c>
      <c r="J27" s="27"/>
      <c r="M27" s="107" t="s">
        <v>69</v>
      </c>
      <c r="N27" s="168">
        <f t="shared" si="4"/>
        <v>0</v>
      </c>
      <c r="O27" s="169">
        <f t="shared" si="4"/>
        <v>0</v>
      </c>
      <c r="P27" s="169">
        <f t="shared" si="4"/>
        <v>0</v>
      </c>
      <c r="Q27" s="169">
        <f t="shared" si="4"/>
        <v>0</v>
      </c>
      <c r="R27" s="169">
        <f t="shared" si="4"/>
        <v>0</v>
      </c>
      <c r="S27" s="169">
        <f t="shared" si="4"/>
        <v>0</v>
      </c>
      <c r="T27" s="170">
        <f t="shared" si="4"/>
        <v>43897.201281783135</v>
      </c>
      <c r="U27" s="167">
        <f>SUM(N27:T27)</f>
        <v>43897.201281783135</v>
      </c>
      <c r="V27" s="72"/>
    </row>
    <row r="28" spans="2:22" ht="12.75" customHeight="1" thickBot="1">
      <c r="B28" s="29"/>
      <c r="C28" s="26"/>
      <c r="D28" s="26"/>
      <c r="E28" s="26"/>
      <c r="F28" s="26"/>
      <c r="G28" s="283" t="s">
        <v>63</v>
      </c>
      <c r="H28" s="284"/>
      <c r="I28" s="287">
        <v>0</v>
      </c>
      <c r="J28" s="27"/>
      <c r="M28" s="107" t="s">
        <v>70</v>
      </c>
      <c r="N28" s="168">
        <f t="shared" si="4"/>
        <v>0</v>
      </c>
      <c r="O28" s="169">
        <f t="shared" si="4"/>
        <v>0</v>
      </c>
      <c r="P28" s="169">
        <f t="shared" si="4"/>
        <v>0</v>
      </c>
      <c r="Q28" s="169">
        <f t="shared" si="4"/>
        <v>0</v>
      </c>
      <c r="R28" s="169">
        <f t="shared" si="4"/>
        <v>0</v>
      </c>
      <c r="S28" s="169">
        <f t="shared" si="4"/>
        <v>0</v>
      </c>
      <c r="T28" s="170">
        <f t="shared" si="4"/>
        <v>65845.8019226747</v>
      </c>
      <c r="U28" s="167">
        <f>SUM(N28:T28)</f>
        <v>65845.8019226747</v>
      </c>
      <c r="V28" s="72"/>
    </row>
    <row r="29" spans="2:22" ht="12.75" customHeight="1" thickBot="1">
      <c r="B29" s="31"/>
      <c r="C29" s="32"/>
      <c r="D29" s="32"/>
      <c r="E29" s="32"/>
      <c r="F29" s="32"/>
      <c r="G29" s="285" t="s">
        <v>85</v>
      </c>
      <c r="H29" s="286"/>
      <c r="I29" s="288" t="s">
        <v>86</v>
      </c>
      <c r="J29" s="185"/>
      <c r="M29" s="107" t="s">
        <v>71</v>
      </c>
      <c r="N29" s="171">
        <f t="shared" si="4"/>
        <v>0</v>
      </c>
      <c r="O29" s="172">
        <f t="shared" si="4"/>
        <v>0</v>
      </c>
      <c r="P29" s="172">
        <f t="shared" si="4"/>
        <v>0</v>
      </c>
      <c r="Q29" s="172">
        <f t="shared" si="4"/>
        <v>0</v>
      </c>
      <c r="R29" s="172">
        <f t="shared" si="4"/>
        <v>0</v>
      </c>
      <c r="S29" s="172">
        <f t="shared" si="4"/>
        <v>0</v>
      </c>
      <c r="T29" s="173">
        <f t="shared" si="4"/>
        <v>13717.87540055723</v>
      </c>
      <c r="U29" s="167">
        <f>SUM(N29:T29)</f>
        <v>13717.87540055723</v>
      </c>
      <c r="V29" s="72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106" t="s">
        <v>17</v>
      </c>
      <c r="N30" s="174">
        <f>SUM(N26:N29)</f>
        <v>0</v>
      </c>
      <c r="O30" s="175">
        <f aca="true" t="shared" si="5" ref="O30:T30">SUM(O26:O29)</f>
        <v>0</v>
      </c>
      <c r="P30" s="175">
        <f t="shared" si="5"/>
        <v>0</v>
      </c>
      <c r="Q30" s="175">
        <f t="shared" si="5"/>
        <v>0</v>
      </c>
      <c r="R30" s="175">
        <f t="shared" si="5"/>
        <v>0</v>
      </c>
      <c r="S30" s="175">
        <f t="shared" si="5"/>
        <v>0</v>
      </c>
      <c r="T30" s="176">
        <f t="shared" si="5"/>
        <v>123460.87860501507</v>
      </c>
      <c r="U30" s="176">
        <f>SUM(U26:U29)</f>
        <v>123460.87860501507</v>
      </c>
      <c r="V30" s="72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78"/>
      <c r="N31" s="7"/>
      <c r="O31" s="7"/>
      <c r="P31" s="7"/>
      <c r="Q31" s="7"/>
      <c r="R31" s="7"/>
      <c r="S31" s="7"/>
      <c r="T31" s="7"/>
      <c r="U31" s="7"/>
      <c r="V31" s="72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78"/>
      <c r="N32" s="244" t="s">
        <v>73</v>
      </c>
      <c r="O32" s="244"/>
      <c r="P32" s="245">
        <f>SUM(N30:T30)</f>
        <v>123460.87860501507</v>
      </c>
      <c r="Q32" s="245"/>
      <c r="R32" s="7"/>
      <c r="S32" s="7"/>
      <c r="T32" s="7"/>
      <c r="U32" s="7"/>
      <c r="V32" s="72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3"/>
      <c r="N33" s="73"/>
      <c r="O33" s="73"/>
      <c r="P33" s="73"/>
      <c r="Q33" s="73"/>
      <c r="R33" s="73"/>
      <c r="S33" s="73"/>
      <c r="T33" s="73"/>
      <c r="U33" s="73"/>
      <c r="V33" s="74"/>
    </row>
    <row r="34" spans="2:15" ht="12.75" customHeight="1" thickBot="1">
      <c r="B34" s="184"/>
      <c r="C34" s="184"/>
      <c r="D34" s="184"/>
      <c r="E34" s="26"/>
      <c r="F34" s="26"/>
      <c r="G34" s="26"/>
      <c r="H34" s="26"/>
      <c r="I34" s="7"/>
      <c r="J34" s="7"/>
      <c r="M34" s="135" t="s">
        <v>53</v>
      </c>
      <c r="N34" s="136"/>
      <c r="O34" s="137"/>
    </row>
    <row r="35" spans="2:21" ht="12.75" customHeight="1" thickBot="1">
      <c r="B35" s="236" t="s">
        <v>54</v>
      </c>
      <c r="C35" s="237"/>
      <c r="D35" s="238"/>
      <c r="E35" s="108"/>
      <c r="F35" s="108"/>
      <c r="G35" s="184"/>
      <c r="H35" s="184"/>
      <c r="I35" s="184"/>
      <c r="J35" s="184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2:21" ht="12.75" customHeight="1" thickBot="1">
      <c r="B36" s="183" t="s">
        <v>1</v>
      </c>
      <c r="C36" s="216" t="s">
        <v>0</v>
      </c>
      <c r="D36" s="220"/>
      <c r="E36" s="216" t="s">
        <v>2</v>
      </c>
      <c r="F36" s="217"/>
      <c r="G36" s="216" t="s">
        <v>3</v>
      </c>
      <c r="H36" s="217"/>
      <c r="I36" s="216" t="s">
        <v>4</v>
      </c>
      <c r="J36" s="217"/>
      <c r="M36" s="179" t="s">
        <v>0</v>
      </c>
      <c r="N36" s="88" t="s">
        <v>64</v>
      </c>
      <c r="O36" s="88" t="s">
        <v>36</v>
      </c>
      <c r="P36" s="89" t="s">
        <v>21</v>
      </c>
      <c r="Q36" s="89" t="s">
        <v>52</v>
      </c>
      <c r="R36" s="89" t="s">
        <v>26</v>
      </c>
      <c r="S36" s="89" t="s">
        <v>27</v>
      </c>
      <c r="T36" s="90" t="s">
        <v>16</v>
      </c>
      <c r="U36" s="91"/>
    </row>
    <row r="37" spans="2:21" ht="12.75" customHeight="1">
      <c r="B37" s="186">
        <f>I10</f>
        <v>11636</v>
      </c>
      <c r="C37" s="218">
        <v>15</v>
      </c>
      <c r="D37" s="221"/>
      <c r="E37" s="218">
        <v>40</v>
      </c>
      <c r="F37" s="219"/>
      <c r="G37" s="218">
        <v>42</v>
      </c>
      <c r="H37" s="219"/>
      <c r="I37" s="218">
        <v>44</v>
      </c>
      <c r="J37" s="219"/>
      <c r="M37" s="87" t="s">
        <v>11</v>
      </c>
      <c r="N37" s="52">
        <f aca="true" t="shared" si="6" ref="N37:N45">$C$12*I49</f>
        <v>0</v>
      </c>
      <c r="O37" s="52">
        <f aca="true" t="shared" si="7" ref="O37:O45">$C$49*I49</f>
        <v>0</v>
      </c>
      <c r="P37" s="53">
        <f aca="true" t="shared" si="8" ref="P37:P46">$D$49*I49</f>
        <v>0</v>
      </c>
      <c r="Q37" s="53">
        <f aca="true" t="shared" si="9" ref="Q37:Q46">O37+P37</f>
        <v>0</v>
      </c>
      <c r="R37" s="41">
        <f>15</f>
        <v>15</v>
      </c>
      <c r="S37" s="42">
        <f aca="true" t="shared" si="10" ref="S37:S45">H49*$E$49</f>
        <v>0</v>
      </c>
      <c r="T37" s="55">
        <f aca="true" t="shared" si="11" ref="T37:T45">R37*S37*$E$24</f>
        <v>0</v>
      </c>
      <c r="U37" s="86">
        <f aca="true" t="shared" si="12" ref="U37:U46">IF(T37&lt;=Q37,0,100*(T37/Q37)^(3/2))+IF(T37&gt;=Q37,0,100*(Q37/T37)^(3/2))</f>
        <v>0</v>
      </c>
    </row>
    <row r="38" spans="2:21" ht="12.75" customHeight="1">
      <c r="B38" s="187">
        <f>I10*I14*I9/100</f>
        <v>9599.699999999999</v>
      </c>
      <c r="C38" s="151">
        <f>$C37*VLOOKUP($I$22,$B$142:$J$152,3)</f>
        <v>4.3500000000000005</v>
      </c>
      <c r="D38" s="188">
        <f>$C37*(I16+$I$15)</f>
        <v>12.375</v>
      </c>
      <c r="E38" s="151">
        <f>$E37*VLOOKUP($I$23,$B$142:$J$152,4)</f>
        <v>7.6</v>
      </c>
      <c r="F38" s="152">
        <f>$E37*(I17+$I$15)</f>
        <v>33</v>
      </c>
      <c r="G38" s="151">
        <f>$G37*VLOOKUP($I$24,$B$142:$J$152,5)</f>
        <v>13.02</v>
      </c>
      <c r="H38" s="152">
        <f>$G37*(I18+$I$15)</f>
        <v>34.65</v>
      </c>
      <c r="I38" s="151">
        <f>$I37*VLOOKUP($I$25,$B$142:$J$152,6)</f>
        <v>11</v>
      </c>
      <c r="J38" s="152">
        <f>$I37*(I19+$I$15)</f>
        <v>36.3</v>
      </c>
      <c r="M38" s="43" t="s">
        <v>12</v>
      </c>
      <c r="N38" s="44">
        <f t="shared" si="6"/>
        <v>0</v>
      </c>
      <c r="O38" s="44">
        <f t="shared" si="7"/>
        <v>0</v>
      </c>
      <c r="P38" s="45">
        <f t="shared" si="8"/>
        <v>0</v>
      </c>
      <c r="Q38" s="45">
        <f t="shared" si="9"/>
        <v>0</v>
      </c>
      <c r="R38" s="46">
        <v>50</v>
      </c>
      <c r="S38" s="47">
        <f t="shared" si="10"/>
        <v>0</v>
      </c>
      <c r="T38" s="55">
        <f t="shared" si="11"/>
        <v>0</v>
      </c>
      <c r="U38" s="86">
        <f t="shared" si="12"/>
        <v>0</v>
      </c>
    </row>
    <row r="39" spans="2:21" ht="12.75" customHeight="1" thickBot="1">
      <c r="B39" s="191"/>
      <c r="C39" s="205">
        <f>C37+C38+D38</f>
        <v>31.725</v>
      </c>
      <c r="D39" s="206"/>
      <c r="E39" s="205">
        <f>E37+E38+F38</f>
        <v>80.6</v>
      </c>
      <c r="F39" s="206"/>
      <c r="G39" s="205">
        <f>G37+G38+H38</f>
        <v>89.66999999999999</v>
      </c>
      <c r="H39" s="206"/>
      <c r="I39" s="207">
        <f>I37+I38+J38</f>
        <v>91.3</v>
      </c>
      <c r="J39" s="208"/>
      <c r="M39" s="43" t="s">
        <v>13</v>
      </c>
      <c r="N39" s="44">
        <f t="shared" si="6"/>
        <v>0</v>
      </c>
      <c r="O39" s="44">
        <f t="shared" si="7"/>
        <v>0</v>
      </c>
      <c r="P39" s="45">
        <f t="shared" si="8"/>
        <v>0</v>
      </c>
      <c r="Q39" s="45">
        <f t="shared" si="9"/>
        <v>0</v>
      </c>
      <c r="R39" s="46">
        <v>52</v>
      </c>
      <c r="S39" s="47">
        <f t="shared" si="10"/>
        <v>0</v>
      </c>
      <c r="T39" s="55">
        <f t="shared" si="11"/>
        <v>0</v>
      </c>
      <c r="U39" s="86">
        <f t="shared" si="12"/>
        <v>0</v>
      </c>
    </row>
    <row r="40" spans="2:21" ht="12.75" customHeight="1">
      <c r="B40" s="192"/>
      <c r="C40" s="281"/>
      <c r="D40" s="282"/>
      <c r="E40" s="216" t="s">
        <v>75</v>
      </c>
      <c r="F40" s="217"/>
      <c r="G40" s="214" t="s">
        <v>76</v>
      </c>
      <c r="H40" s="215"/>
      <c r="I40" s="212" t="s">
        <v>77</v>
      </c>
      <c r="J40" s="213"/>
      <c r="M40" s="43" t="s">
        <v>9</v>
      </c>
      <c r="N40" s="44">
        <f t="shared" si="6"/>
        <v>0</v>
      </c>
      <c r="O40" s="44">
        <f t="shared" si="7"/>
        <v>0</v>
      </c>
      <c r="P40" s="45">
        <f t="shared" si="8"/>
        <v>0</v>
      </c>
      <c r="Q40" s="45">
        <f t="shared" si="9"/>
        <v>0</v>
      </c>
      <c r="R40" s="46">
        <v>54</v>
      </c>
      <c r="S40" s="47">
        <f t="shared" si="10"/>
        <v>0</v>
      </c>
      <c r="T40" s="55">
        <f t="shared" si="11"/>
        <v>0</v>
      </c>
      <c r="U40" s="86">
        <f t="shared" si="12"/>
        <v>0</v>
      </c>
    </row>
    <row r="41" spans="2:21" ht="12.75" customHeight="1">
      <c r="B41" s="192"/>
      <c r="C41" s="78"/>
      <c r="D41" s="189"/>
      <c r="E41" s="218">
        <v>100</v>
      </c>
      <c r="F41" s="219"/>
      <c r="G41" s="218">
        <v>105</v>
      </c>
      <c r="H41" s="219"/>
      <c r="I41" s="218">
        <v>110</v>
      </c>
      <c r="J41" s="219"/>
      <c r="M41" s="43" t="s">
        <v>6</v>
      </c>
      <c r="N41" s="44">
        <f t="shared" si="6"/>
        <v>0</v>
      </c>
      <c r="O41" s="44">
        <f t="shared" si="7"/>
        <v>0</v>
      </c>
      <c r="P41" s="45">
        <f t="shared" si="8"/>
        <v>0</v>
      </c>
      <c r="Q41" s="45">
        <f t="shared" si="9"/>
        <v>0</v>
      </c>
      <c r="R41" s="46">
        <v>200</v>
      </c>
      <c r="S41" s="47">
        <f t="shared" si="10"/>
        <v>0</v>
      </c>
      <c r="T41" s="55">
        <f t="shared" si="11"/>
        <v>0</v>
      </c>
      <c r="U41" s="86">
        <f t="shared" si="12"/>
        <v>0</v>
      </c>
    </row>
    <row r="42" spans="2:21" ht="12.75" customHeight="1">
      <c r="B42" s="192"/>
      <c r="C42" s="190"/>
      <c r="D42" s="7"/>
      <c r="E42" s="151">
        <f>$E41*VLOOKUP($I$26,$B$142:$J$152,7)</f>
        <v>37</v>
      </c>
      <c r="F42" s="152">
        <f>$E41*(I17+$I$15)</f>
        <v>82.5</v>
      </c>
      <c r="G42" s="151">
        <f>$G41*VLOOKUP($I$27,$B$142:$J$152,8)</f>
        <v>38.85</v>
      </c>
      <c r="H42" s="152">
        <f>$G41*(I18+$I$15)</f>
        <v>86.625</v>
      </c>
      <c r="I42" s="151">
        <f>$I41*VLOOKUP($I$28,$B$142:$J$152,9)</f>
        <v>9.9</v>
      </c>
      <c r="J42" s="152">
        <f>$I41*(I19+$I$15)</f>
        <v>90.75</v>
      </c>
      <c r="M42" s="43" t="s">
        <v>14</v>
      </c>
      <c r="N42" s="44">
        <f t="shared" si="6"/>
        <v>0</v>
      </c>
      <c r="O42" s="44">
        <f t="shared" si="7"/>
        <v>0</v>
      </c>
      <c r="P42" s="45">
        <f t="shared" si="8"/>
        <v>0</v>
      </c>
      <c r="Q42" s="45">
        <f t="shared" si="9"/>
        <v>0</v>
      </c>
      <c r="R42" s="46">
        <v>208</v>
      </c>
      <c r="S42" s="47">
        <f t="shared" si="10"/>
        <v>0</v>
      </c>
      <c r="T42" s="55">
        <f t="shared" si="11"/>
        <v>0</v>
      </c>
      <c r="U42" s="86">
        <f t="shared" si="12"/>
        <v>0</v>
      </c>
    </row>
    <row r="43" spans="2:21" ht="12.75" customHeight="1" thickBot="1">
      <c r="B43" s="193"/>
      <c r="C43" s="203"/>
      <c r="D43" s="204"/>
      <c r="E43" s="207">
        <f>E41+E42+F42</f>
        <v>219.5</v>
      </c>
      <c r="F43" s="208"/>
      <c r="G43" s="207">
        <f>G41+G42+H42</f>
        <v>230.475</v>
      </c>
      <c r="H43" s="208"/>
      <c r="I43" s="207">
        <f>I41+I42+J42</f>
        <v>210.65</v>
      </c>
      <c r="J43" s="208"/>
      <c r="M43" s="43" t="s">
        <v>10</v>
      </c>
      <c r="N43" s="44">
        <f t="shared" si="6"/>
        <v>0</v>
      </c>
      <c r="O43" s="44">
        <f t="shared" si="7"/>
        <v>0</v>
      </c>
      <c r="P43" s="45">
        <f t="shared" si="8"/>
        <v>0</v>
      </c>
      <c r="Q43" s="45">
        <f t="shared" si="9"/>
        <v>0</v>
      </c>
      <c r="R43" s="46">
        <v>216</v>
      </c>
      <c r="S43" s="47">
        <f t="shared" si="10"/>
        <v>0</v>
      </c>
      <c r="T43" s="55">
        <f t="shared" si="11"/>
        <v>0</v>
      </c>
      <c r="U43" s="86">
        <f t="shared" si="12"/>
        <v>0</v>
      </c>
    </row>
    <row r="44" spans="2:21" ht="12.75" customHeight="1">
      <c r="B44" s="7"/>
      <c r="C44" s="7"/>
      <c r="D44" s="7"/>
      <c r="E44" s="7"/>
      <c r="F44" s="7"/>
      <c r="G44" s="7"/>
      <c r="H44" s="7"/>
      <c r="I44" s="7"/>
      <c r="M44" s="43" t="s">
        <v>7</v>
      </c>
      <c r="N44" s="44">
        <f t="shared" si="6"/>
        <v>0</v>
      </c>
      <c r="O44" s="44">
        <f t="shared" si="7"/>
        <v>0</v>
      </c>
      <c r="P44" s="45">
        <f t="shared" si="8"/>
        <v>0</v>
      </c>
      <c r="Q44" s="45">
        <f t="shared" si="9"/>
        <v>0</v>
      </c>
      <c r="R44" s="46">
        <v>10</v>
      </c>
      <c r="S44" s="47">
        <f t="shared" si="10"/>
        <v>0</v>
      </c>
      <c r="T44" s="55">
        <f t="shared" si="11"/>
        <v>0</v>
      </c>
      <c r="U44" s="86">
        <f t="shared" si="12"/>
        <v>0</v>
      </c>
    </row>
    <row r="45" spans="6:21" ht="12.75" customHeight="1" thickBot="1">
      <c r="F45" s="142"/>
      <c r="M45" s="48" t="s">
        <v>15</v>
      </c>
      <c r="N45" s="84">
        <f t="shared" si="6"/>
        <v>0</v>
      </c>
      <c r="O45" s="84">
        <f t="shared" si="7"/>
        <v>0</v>
      </c>
      <c r="P45" s="85">
        <f t="shared" si="8"/>
        <v>0</v>
      </c>
      <c r="Q45" s="85">
        <f t="shared" si="9"/>
        <v>0</v>
      </c>
      <c r="R45" s="49">
        <v>30</v>
      </c>
      <c r="S45" s="50">
        <f t="shared" si="10"/>
        <v>0</v>
      </c>
      <c r="T45" s="55">
        <f t="shared" si="11"/>
        <v>0</v>
      </c>
      <c r="U45" s="86">
        <f t="shared" si="12"/>
        <v>0</v>
      </c>
    </row>
    <row r="46" spans="6:21" ht="12.75" customHeight="1" thickBot="1">
      <c r="F46" s="7"/>
      <c r="M46" s="51" t="s">
        <v>17</v>
      </c>
      <c r="N46" s="128">
        <f>SUM(N37:N45)</f>
        <v>0</v>
      </c>
      <c r="O46" s="69">
        <f>SUM(O37:O45)</f>
        <v>0</v>
      </c>
      <c r="P46" s="69">
        <f t="shared" si="8"/>
        <v>0</v>
      </c>
      <c r="Q46" s="129">
        <f t="shared" si="9"/>
        <v>0</v>
      </c>
      <c r="R46" s="130"/>
      <c r="S46" s="131">
        <f>SUM(S37:S45)</f>
        <v>0</v>
      </c>
      <c r="T46" s="132">
        <f>SUM(T37:T45)</f>
        <v>0</v>
      </c>
      <c r="U46" s="133">
        <f t="shared" si="12"/>
        <v>0</v>
      </c>
    </row>
    <row r="47" spans="2:21" ht="12.75" customHeight="1" thickBot="1">
      <c r="B47" s="222" t="s">
        <v>55</v>
      </c>
      <c r="C47" s="223"/>
      <c r="D47" s="223"/>
      <c r="E47" s="224"/>
      <c r="F47" s="7"/>
      <c r="G47" s="209" t="s">
        <v>56</v>
      </c>
      <c r="H47" s="210"/>
      <c r="I47" s="211"/>
      <c r="M47" s="179" t="s">
        <v>2</v>
      </c>
      <c r="N47" s="88" t="s">
        <v>64</v>
      </c>
      <c r="O47" s="88" t="s">
        <v>36</v>
      </c>
      <c r="P47" s="89" t="s">
        <v>21</v>
      </c>
      <c r="Q47" s="89" t="s">
        <v>52</v>
      </c>
      <c r="R47" s="89" t="s">
        <v>26</v>
      </c>
      <c r="S47" s="89" t="s">
        <v>27</v>
      </c>
      <c r="T47" s="90" t="s">
        <v>16</v>
      </c>
      <c r="U47" s="91"/>
    </row>
    <row r="48" spans="2:21" ht="12.75" customHeight="1">
      <c r="B48" s="139" t="s">
        <v>25</v>
      </c>
      <c r="C48" s="140" t="s">
        <v>34</v>
      </c>
      <c r="D48" s="140" t="s">
        <v>29</v>
      </c>
      <c r="E48" s="141" t="s">
        <v>22</v>
      </c>
      <c r="F48" s="7"/>
      <c r="G48" s="194" t="s">
        <v>35</v>
      </c>
      <c r="H48" s="195" t="s">
        <v>5</v>
      </c>
      <c r="I48" s="196" t="s">
        <v>23</v>
      </c>
      <c r="M48" s="87" t="s">
        <v>11</v>
      </c>
      <c r="N48" s="52">
        <f aca="true" t="shared" si="13" ref="N48:N56">$C$13*I49</f>
        <v>0</v>
      </c>
      <c r="O48" s="52">
        <f aca="true" t="shared" si="14" ref="O48:O56">$C$50*I49</f>
        <v>0</v>
      </c>
      <c r="P48" s="53">
        <f aca="true" t="shared" si="15" ref="P48:P56">$D$50*I49</f>
        <v>0</v>
      </c>
      <c r="Q48" s="53">
        <f aca="true" t="shared" si="16" ref="Q48:Q56">O48+P48</f>
        <v>0</v>
      </c>
      <c r="R48" s="41">
        <v>10</v>
      </c>
      <c r="S48" s="42">
        <f aca="true" t="shared" si="17" ref="S48:S56">H49*$E$50</f>
        <v>0</v>
      </c>
      <c r="T48" s="54">
        <f aca="true" t="shared" si="18" ref="T48:T56">R48*S48*$E$24</f>
        <v>0</v>
      </c>
      <c r="U48" s="67">
        <f aca="true" t="shared" si="19" ref="U48:U57">IF(T48&lt;=Q48,0,100*(T48/Q48)^(3/2))+IF(T48&gt;=Q48,0,100*(Q48/T48)^(3/2))</f>
        <v>0</v>
      </c>
    </row>
    <row r="49" spans="2:21" ht="12.75" customHeight="1">
      <c r="B49" s="143" t="s">
        <v>0</v>
      </c>
      <c r="C49" s="144">
        <f>C12*C37+C12*C38+C12*D38+IF(I29="有り",C12*C37*0.1,0)</f>
        <v>0</v>
      </c>
      <c r="D49" s="138">
        <f>IF($I$11="剣",$B$38,0)</f>
        <v>0</v>
      </c>
      <c r="E49" s="145">
        <f aca="true" t="shared" si="20" ref="E49:E55">(C49+D49)/($C$56+$D$56)</f>
        <v>0</v>
      </c>
      <c r="F49" s="7"/>
      <c r="G49" s="197" t="s">
        <v>0</v>
      </c>
      <c r="H49" s="146">
        <f aca="true" t="shared" si="21" ref="H49:H57">E12</f>
        <v>0</v>
      </c>
      <c r="I49" s="198">
        <f aca="true" t="shared" si="22" ref="I49:I57">H49/$H$58</f>
        <v>0</v>
      </c>
      <c r="M49" s="43" t="s">
        <v>12</v>
      </c>
      <c r="N49" s="44">
        <f t="shared" si="13"/>
        <v>0</v>
      </c>
      <c r="O49" s="44">
        <f t="shared" si="14"/>
        <v>0</v>
      </c>
      <c r="P49" s="45">
        <f t="shared" si="15"/>
        <v>0</v>
      </c>
      <c r="Q49" s="45">
        <f t="shared" si="16"/>
        <v>0</v>
      </c>
      <c r="R49" s="46">
        <v>40</v>
      </c>
      <c r="S49" s="47">
        <f t="shared" si="17"/>
        <v>0</v>
      </c>
      <c r="T49" s="55">
        <f t="shared" si="18"/>
        <v>0</v>
      </c>
      <c r="U49" s="67">
        <f t="shared" si="19"/>
        <v>0</v>
      </c>
    </row>
    <row r="50" spans="2:21" ht="12.75" customHeight="1">
      <c r="B50" s="143" t="s">
        <v>2</v>
      </c>
      <c r="C50" s="144">
        <f>C13*E37+C13*E38+C13*F38+IF(I29="有り",C13*E37*0.1,0)</f>
        <v>0</v>
      </c>
      <c r="D50" s="138">
        <f>IF($I$11="槍",$B$37+$B$38,0)</f>
        <v>0</v>
      </c>
      <c r="E50" s="145">
        <f t="shared" si="20"/>
        <v>0</v>
      </c>
      <c r="F50" s="7"/>
      <c r="G50" s="197" t="s">
        <v>2</v>
      </c>
      <c r="H50" s="146">
        <f t="shared" si="21"/>
        <v>0</v>
      </c>
      <c r="I50" s="198">
        <f t="shared" si="22"/>
        <v>0</v>
      </c>
      <c r="M50" s="43" t="s">
        <v>13</v>
      </c>
      <c r="N50" s="44">
        <f t="shared" si="13"/>
        <v>0</v>
      </c>
      <c r="O50" s="44">
        <f t="shared" si="14"/>
        <v>0</v>
      </c>
      <c r="P50" s="45">
        <f t="shared" si="15"/>
        <v>0</v>
      </c>
      <c r="Q50" s="45">
        <f t="shared" si="16"/>
        <v>0</v>
      </c>
      <c r="R50" s="46">
        <v>58</v>
      </c>
      <c r="S50" s="47">
        <f t="shared" si="17"/>
        <v>0</v>
      </c>
      <c r="T50" s="55">
        <f t="shared" si="18"/>
        <v>0</v>
      </c>
      <c r="U50" s="67">
        <f t="shared" si="19"/>
        <v>0</v>
      </c>
    </row>
    <row r="51" spans="2:21" ht="12.75" customHeight="1">
      <c r="B51" s="143" t="s">
        <v>3</v>
      </c>
      <c r="C51" s="144">
        <f>C14*G37+C14*G38+C14*H38+IF(I29="有り",C14*G37*0.1,0)</f>
        <v>0</v>
      </c>
      <c r="D51" s="138">
        <f>IF($I$11="弓",$B$37+$B$38,0)</f>
        <v>0</v>
      </c>
      <c r="E51" s="145">
        <f t="shared" si="20"/>
        <v>0</v>
      </c>
      <c r="F51" s="7"/>
      <c r="G51" s="197" t="s">
        <v>3</v>
      </c>
      <c r="H51" s="146">
        <f t="shared" si="21"/>
        <v>0</v>
      </c>
      <c r="I51" s="198">
        <f t="shared" si="22"/>
        <v>0</v>
      </c>
      <c r="L51" s="7"/>
      <c r="M51" s="43" t="s">
        <v>9</v>
      </c>
      <c r="N51" s="44">
        <f t="shared" si="13"/>
        <v>0</v>
      </c>
      <c r="O51" s="44">
        <f t="shared" si="14"/>
        <v>0</v>
      </c>
      <c r="P51" s="45">
        <f t="shared" si="15"/>
        <v>0</v>
      </c>
      <c r="Q51" s="45">
        <f t="shared" si="16"/>
        <v>0</v>
      </c>
      <c r="R51" s="46">
        <v>28</v>
      </c>
      <c r="S51" s="47">
        <f t="shared" si="17"/>
        <v>0</v>
      </c>
      <c r="T51" s="55">
        <f t="shared" si="18"/>
        <v>0</v>
      </c>
      <c r="U51" s="67">
        <f t="shared" si="19"/>
        <v>0</v>
      </c>
    </row>
    <row r="52" spans="2:21" ht="12.75" customHeight="1">
      <c r="B52" s="143" t="s">
        <v>4</v>
      </c>
      <c r="C52" s="144">
        <f>C15*I37+C15*I38+C15*J38+IF(I29="有り",C15*I37*0.1,0)</f>
        <v>0</v>
      </c>
      <c r="D52" s="138">
        <f>IF($I$11="騎馬",$B$37+$B$38,0)</f>
        <v>21235.699999999997</v>
      </c>
      <c r="E52" s="145">
        <f t="shared" si="20"/>
        <v>0.3351292576267602</v>
      </c>
      <c r="F52" s="7"/>
      <c r="G52" s="197" t="s">
        <v>4</v>
      </c>
      <c r="H52" s="146">
        <f t="shared" si="21"/>
        <v>0</v>
      </c>
      <c r="I52" s="198">
        <f t="shared" si="22"/>
        <v>0</v>
      </c>
      <c r="L52" s="7"/>
      <c r="M52" s="43" t="s">
        <v>6</v>
      </c>
      <c r="N52" s="44">
        <f t="shared" si="13"/>
        <v>0</v>
      </c>
      <c r="O52" s="44">
        <f t="shared" si="14"/>
        <v>0</v>
      </c>
      <c r="P52" s="45">
        <f t="shared" si="15"/>
        <v>0</v>
      </c>
      <c r="Q52" s="45">
        <f t="shared" si="16"/>
        <v>0</v>
      </c>
      <c r="R52" s="46">
        <v>100</v>
      </c>
      <c r="S52" s="47">
        <f t="shared" si="17"/>
        <v>0</v>
      </c>
      <c r="T52" s="55">
        <f t="shared" si="18"/>
        <v>0</v>
      </c>
      <c r="U52" s="67">
        <f t="shared" si="19"/>
        <v>0</v>
      </c>
    </row>
    <row r="53" spans="2:21" ht="12.75" customHeight="1">
      <c r="B53" s="143" t="s">
        <v>75</v>
      </c>
      <c r="C53" s="144">
        <f>C16*E41+C16*E42+C16*F42+IF(I29="有り",C16*E41*0.1,0)</f>
        <v>0</v>
      </c>
      <c r="D53" s="147"/>
      <c r="E53" s="145">
        <f t="shared" si="20"/>
        <v>0</v>
      </c>
      <c r="F53" s="7"/>
      <c r="G53" s="197" t="s">
        <v>75</v>
      </c>
      <c r="H53" s="146">
        <f t="shared" si="21"/>
        <v>171</v>
      </c>
      <c r="I53" s="198">
        <f t="shared" si="22"/>
        <v>0.4464751958224543</v>
      </c>
      <c r="M53" s="43" t="s">
        <v>14</v>
      </c>
      <c r="N53" s="44">
        <f t="shared" si="13"/>
        <v>0</v>
      </c>
      <c r="O53" s="44">
        <f t="shared" si="14"/>
        <v>0</v>
      </c>
      <c r="P53" s="45">
        <f t="shared" si="15"/>
        <v>0</v>
      </c>
      <c r="Q53" s="45">
        <f t="shared" si="16"/>
        <v>0</v>
      </c>
      <c r="R53" s="46">
        <v>145</v>
      </c>
      <c r="S53" s="47">
        <f t="shared" si="17"/>
        <v>0</v>
      </c>
      <c r="T53" s="55">
        <f t="shared" si="18"/>
        <v>0</v>
      </c>
      <c r="U53" s="67">
        <f t="shared" si="19"/>
        <v>0</v>
      </c>
    </row>
    <row r="54" spans="2:21" ht="12.75" customHeight="1">
      <c r="B54" s="143" t="s">
        <v>80</v>
      </c>
      <c r="C54" s="144">
        <f>C17*G41+C17*G42+C17*H42+IF(I29="有り",C17*G41*0.1,0)</f>
        <v>0</v>
      </c>
      <c r="D54" s="147"/>
      <c r="E54" s="145">
        <f t="shared" si="20"/>
        <v>0</v>
      </c>
      <c r="F54" s="7"/>
      <c r="G54" s="197" t="s">
        <v>79</v>
      </c>
      <c r="H54" s="146">
        <f t="shared" si="21"/>
        <v>69</v>
      </c>
      <c r="I54" s="198">
        <f t="shared" si="22"/>
        <v>0.1801566579634465</v>
      </c>
      <c r="M54" s="43" t="s">
        <v>10</v>
      </c>
      <c r="N54" s="44">
        <f t="shared" si="13"/>
        <v>0</v>
      </c>
      <c r="O54" s="44">
        <f t="shared" si="14"/>
        <v>0</v>
      </c>
      <c r="P54" s="45">
        <f t="shared" si="15"/>
        <v>0</v>
      </c>
      <c r="Q54" s="45">
        <f t="shared" si="16"/>
        <v>0</v>
      </c>
      <c r="R54" s="46">
        <v>70</v>
      </c>
      <c r="S54" s="47">
        <f t="shared" si="17"/>
        <v>0</v>
      </c>
      <c r="T54" s="55">
        <f t="shared" si="18"/>
        <v>0</v>
      </c>
      <c r="U54" s="67">
        <f t="shared" si="19"/>
        <v>0</v>
      </c>
    </row>
    <row r="55" spans="2:21" ht="12.75" customHeight="1">
      <c r="B55" s="143" t="s">
        <v>77</v>
      </c>
      <c r="C55" s="144">
        <f>C18*I41+C18*I42+C18*J42+IF(I29="有り",C18*I41*0.1,0)</f>
        <v>42130</v>
      </c>
      <c r="D55" s="147"/>
      <c r="E55" s="145">
        <f t="shared" si="20"/>
        <v>0.6648707423732398</v>
      </c>
      <c r="F55" s="7"/>
      <c r="G55" s="197" t="s">
        <v>19</v>
      </c>
      <c r="H55" s="146">
        <f t="shared" si="21"/>
        <v>143</v>
      </c>
      <c r="I55" s="198">
        <f t="shared" si="22"/>
        <v>0.3733681462140992</v>
      </c>
      <c r="M55" s="43" t="s">
        <v>7</v>
      </c>
      <c r="N55" s="44">
        <f t="shared" si="13"/>
        <v>0</v>
      </c>
      <c r="O55" s="44">
        <f t="shared" si="14"/>
        <v>0</v>
      </c>
      <c r="P55" s="45">
        <f t="shared" si="15"/>
        <v>0</v>
      </c>
      <c r="Q55" s="45">
        <f t="shared" si="16"/>
        <v>0</v>
      </c>
      <c r="R55" s="46">
        <v>10</v>
      </c>
      <c r="S55" s="47">
        <f t="shared" si="17"/>
        <v>0</v>
      </c>
      <c r="T55" s="55">
        <f t="shared" si="18"/>
        <v>0</v>
      </c>
      <c r="U55" s="67">
        <f t="shared" si="19"/>
        <v>0</v>
      </c>
    </row>
    <row r="56" spans="2:21" ht="12.75" customHeight="1" thickBot="1">
      <c r="B56" s="148"/>
      <c r="C56" s="149">
        <f>SUM(C49:C55)</f>
        <v>42130</v>
      </c>
      <c r="D56" s="149">
        <f>SUM(D49:D55)</f>
        <v>21235.699999999997</v>
      </c>
      <c r="E56" s="150">
        <f>SUM(E49:E55)</f>
        <v>1</v>
      </c>
      <c r="G56" s="197" t="s">
        <v>7</v>
      </c>
      <c r="H56" s="146">
        <f t="shared" si="21"/>
        <v>0</v>
      </c>
      <c r="I56" s="198">
        <f t="shared" si="22"/>
        <v>0</v>
      </c>
      <c r="M56" s="48" t="s">
        <v>15</v>
      </c>
      <c r="N56" s="84">
        <f t="shared" si="13"/>
        <v>0</v>
      </c>
      <c r="O56" s="84">
        <f t="shared" si="14"/>
        <v>0</v>
      </c>
      <c r="P56" s="85">
        <f t="shared" si="15"/>
        <v>0</v>
      </c>
      <c r="Q56" s="85">
        <f t="shared" si="16"/>
        <v>0</v>
      </c>
      <c r="R56" s="49">
        <v>10</v>
      </c>
      <c r="S56" s="50">
        <f t="shared" si="17"/>
        <v>0</v>
      </c>
      <c r="T56" s="56">
        <f t="shared" si="18"/>
        <v>0</v>
      </c>
      <c r="U56" s="67">
        <f t="shared" si="19"/>
        <v>0</v>
      </c>
    </row>
    <row r="57" spans="7:21" ht="12.75" customHeight="1" thickBot="1">
      <c r="G57" s="197" t="s">
        <v>15</v>
      </c>
      <c r="H57" s="146">
        <f t="shared" si="21"/>
        <v>0</v>
      </c>
      <c r="I57" s="198">
        <f t="shared" si="22"/>
        <v>0</v>
      </c>
      <c r="M57" s="51" t="s">
        <v>17</v>
      </c>
      <c r="N57" s="128"/>
      <c r="O57" s="69">
        <f>SUM(O48:O56)</f>
        <v>0</v>
      </c>
      <c r="P57" s="69">
        <f>SUM(P48:P56)</f>
        <v>0</v>
      </c>
      <c r="Q57" s="129">
        <f>SUM(Q47:Q56)</f>
        <v>0</v>
      </c>
      <c r="R57" s="130"/>
      <c r="S57" s="131">
        <f>SUM(S48:S56)</f>
        <v>0</v>
      </c>
      <c r="T57" s="132">
        <f>SUM(T47:T56)</f>
        <v>0</v>
      </c>
      <c r="U57" s="133">
        <f t="shared" si="19"/>
        <v>0</v>
      </c>
    </row>
    <row r="58" spans="7:21" ht="12.75" customHeight="1" thickBot="1">
      <c r="G58" s="199" t="s">
        <v>8</v>
      </c>
      <c r="H58" s="200">
        <f>SUM(H49:H57)</f>
        <v>383</v>
      </c>
      <c r="I58" s="201">
        <f>SUM(I49:I57)</f>
        <v>1</v>
      </c>
      <c r="M58" s="179" t="s">
        <v>3</v>
      </c>
      <c r="N58" s="88" t="s">
        <v>64</v>
      </c>
      <c r="O58" s="88" t="s">
        <v>36</v>
      </c>
      <c r="P58" s="89" t="s">
        <v>21</v>
      </c>
      <c r="Q58" s="89" t="s">
        <v>52</v>
      </c>
      <c r="R58" s="89" t="s">
        <v>26</v>
      </c>
      <c r="S58" s="89" t="s">
        <v>27</v>
      </c>
      <c r="T58" s="90" t="s">
        <v>16</v>
      </c>
      <c r="U58" s="91"/>
    </row>
    <row r="59" spans="13:21" ht="12.75" customHeight="1">
      <c r="M59" s="87" t="s">
        <v>11</v>
      </c>
      <c r="N59" s="52">
        <f aca="true" t="shared" si="23" ref="N59:N67">$C$14*I49</f>
        <v>0</v>
      </c>
      <c r="O59" s="52">
        <f aca="true" t="shared" si="24" ref="O59:O67">$C$51*I49</f>
        <v>0</v>
      </c>
      <c r="P59" s="53">
        <f aca="true" t="shared" si="25" ref="P59:P67">$D$51*I49</f>
        <v>0</v>
      </c>
      <c r="Q59" s="53">
        <f aca="true" t="shared" si="26" ref="Q59:Q67">O59+P59</f>
        <v>0</v>
      </c>
      <c r="R59" s="41">
        <v>10</v>
      </c>
      <c r="S59" s="42">
        <f aca="true" t="shared" si="27" ref="S59:S67">H49*$E$51</f>
        <v>0</v>
      </c>
      <c r="T59" s="54">
        <f aca="true" t="shared" si="28" ref="T59:T67">R59*S59*$E$24</f>
        <v>0</v>
      </c>
      <c r="U59" s="86">
        <f aca="true" t="shared" si="29" ref="U59:U68">IF(T59&lt;=Q59,0,100*(T59/Q59)^(3/2))+IF(T59&gt;=Q59,0,100*(Q59/T59)^(3/2))</f>
        <v>0</v>
      </c>
    </row>
    <row r="60" spans="13:21" ht="12.75" customHeight="1">
      <c r="M60" s="43" t="s">
        <v>12</v>
      </c>
      <c r="N60" s="44">
        <f t="shared" si="23"/>
        <v>0</v>
      </c>
      <c r="O60" s="44">
        <f t="shared" si="24"/>
        <v>0</v>
      </c>
      <c r="P60" s="45">
        <f t="shared" si="25"/>
        <v>0</v>
      </c>
      <c r="Q60" s="45">
        <f t="shared" si="26"/>
        <v>0</v>
      </c>
      <c r="R60" s="46">
        <v>25</v>
      </c>
      <c r="S60" s="47">
        <f t="shared" si="27"/>
        <v>0</v>
      </c>
      <c r="T60" s="55">
        <f t="shared" si="28"/>
        <v>0</v>
      </c>
      <c r="U60" s="86">
        <f t="shared" si="29"/>
        <v>0</v>
      </c>
    </row>
    <row r="61" spans="2:21" ht="12.75" customHeight="1">
      <c r="B61" s="184"/>
      <c r="C61" s="184"/>
      <c r="D61" s="184"/>
      <c r="E61" s="184"/>
      <c r="M61" s="43" t="s">
        <v>13</v>
      </c>
      <c r="N61" s="44">
        <f t="shared" si="23"/>
        <v>0</v>
      </c>
      <c r="O61" s="44">
        <f t="shared" si="24"/>
        <v>0</v>
      </c>
      <c r="P61" s="45">
        <f t="shared" si="25"/>
        <v>0</v>
      </c>
      <c r="Q61" s="45">
        <f t="shared" si="26"/>
        <v>0</v>
      </c>
      <c r="R61" s="46">
        <v>42</v>
      </c>
      <c r="S61" s="47">
        <f t="shared" si="27"/>
        <v>0</v>
      </c>
      <c r="T61" s="55">
        <f t="shared" si="28"/>
        <v>0</v>
      </c>
      <c r="U61" s="86">
        <f t="shared" si="29"/>
        <v>0</v>
      </c>
    </row>
    <row r="62" spans="2:21" ht="12.75" customHeight="1">
      <c r="B62" s="7"/>
      <c r="C62" s="7"/>
      <c r="D62" s="7"/>
      <c r="E62" s="7"/>
      <c r="M62" s="43" t="s">
        <v>9</v>
      </c>
      <c r="N62" s="44">
        <f t="shared" si="23"/>
        <v>0</v>
      </c>
      <c r="O62" s="44">
        <f t="shared" si="24"/>
        <v>0</v>
      </c>
      <c r="P62" s="45">
        <f t="shared" si="25"/>
        <v>0</v>
      </c>
      <c r="Q62" s="45">
        <f t="shared" si="26"/>
        <v>0</v>
      </c>
      <c r="R62" s="46">
        <v>60</v>
      </c>
      <c r="S62" s="47">
        <f t="shared" si="27"/>
        <v>0</v>
      </c>
      <c r="T62" s="55">
        <f t="shared" si="28"/>
        <v>0</v>
      </c>
      <c r="U62" s="86">
        <f t="shared" si="29"/>
        <v>0</v>
      </c>
    </row>
    <row r="63" spans="2:21" ht="12.75" customHeight="1">
      <c r="B63" s="7"/>
      <c r="C63" s="7"/>
      <c r="D63" s="7"/>
      <c r="E63" s="7"/>
      <c r="M63" s="43" t="s">
        <v>6</v>
      </c>
      <c r="N63" s="44">
        <f t="shared" si="23"/>
        <v>0</v>
      </c>
      <c r="O63" s="44">
        <f t="shared" si="24"/>
        <v>0</v>
      </c>
      <c r="P63" s="45">
        <f t="shared" si="25"/>
        <v>0</v>
      </c>
      <c r="Q63" s="45">
        <f t="shared" si="26"/>
        <v>0</v>
      </c>
      <c r="R63" s="46">
        <v>63</v>
      </c>
      <c r="S63" s="47">
        <f t="shared" si="27"/>
        <v>0</v>
      </c>
      <c r="T63" s="55">
        <f t="shared" si="28"/>
        <v>0</v>
      </c>
      <c r="U63" s="86">
        <f t="shared" si="29"/>
        <v>0</v>
      </c>
    </row>
    <row r="64" spans="2:21" ht="12.75" customHeight="1">
      <c r="B64" s="189"/>
      <c r="C64" s="189"/>
      <c r="D64" s="189"/>
      <c r="E64" s="189"/>
      <c r="M64" s="43" t="s">
        <v>14</v>
      </c>
      <c r="N64" s="44">
        <f t="shared" si="23"/>
        <v>0</v>
      </c>
      <c r="O64" s="44">
        <f t="shared" si="24"/>
        <v>0</v>
      </c>
      <c r="P64" s="45">
        <f t="shared" si="25"/>
        <v>0</v>
      </c>
      <c r="Q64" s="45">
        <f t="shared" si="26"/>
        <v>0</v>
      </c>
      <c r="R64" s="46">
        <v>105</v>
      </c>
      <c r="S64" s="47">
        <f t="shared" si="27"/>
        <v>0</v>
      </c>
      <c r="T64" s="55">
        <f t="shared" si="28"/>
        <v>0</v>
      </c>
      <c r="U64" s="86">
        <f t="shared" si="29"/>
        <v>0</v>
      </c>
    </row>
    <row r="65" spans="2:21" ht="12.75" customHeight="1">
      <c r="B65" s="7"/>
      <c r="C65" s="7"/>
      <c r="D65" s="26"/>
      <c r="E65" s="202"/>
      <c r="M65" s="43" t="s">
        <v>10</v>
      </c>
      <c r="N65" s="44">
        <f t="shared" si="23"/>
        <v>0</v>
      </c>
      <c r="O65" s="44">
        <f t="shared" si="24"/>
        <v>0</v>
      </c>
      <c r="P65" s="45">
        <f t="shared" si="25"/>
        <v>0</v>
      </c>
      <c r="Q65" s="45">
        <f t="shared" si="26"/>
        <v>0</v>
      </c>
      <c r="R65" s="46">
        <v>150</v>
      </c>
      <c r="S65" s="47">
        <f t="shared" si="27"/>
        <v>0</v>
      </c>
      <c r="T65" s="55">
        <f t="shared" si="28"/>
        <v>0</v>
      </c>
      <c r="U65" s="86">
        <f t="shared" si="29"/>
        <v>0</v>
      </c>
    </row>
    <row r="66" spans="2:21" ht="12.75" customHeight="1">
      <c r="B66" s="7"/>
      <c r="C66" s="7"/>
      <c r="D66" s="7"/>
      <c r="E66" s="7"/>
      <c r="M66" s="43" t="s">
        <v>7</v>
      </c>
      <c r="N66" s="44">
        <f t="shared" si="23"/>
        <v>0</v>
      </c>
      <c r="O66" s="44">
        <f t="shared" si="24"/>
        <v>0</v>
      </c>
      <c r="P66" s="45">
        <f t="shared" si="25"/>
        <v>0</v>
      </c>
      <c r="Q66" s="45">
        <f t="shared" si="26"/>
        <v>0</v>
      </c>
      <c r="R66" s="46">
        <v>5</v>
      </c>
      <c r="S66" s="47">
        <f t="shared" si="27"/>
        <v>0</v>
      </c>
      <c r="T66" s="55">
        <f t="shared" si="28"/>
        <v>0</v>
      </c>
      <c r="U66" s="86">
        <f t="shared" si="29"/>
        <v>0</v>
      </c>
    </row>
    <row r="67" spans="2:21" ht="12.75" customHeight="1" thickBot="1">
      <c r="B67" s="7"/>
      <c r="C67" s="189"/>
      <c r="D67" s="189"/>
      <c r="E67" s="189"/>
      <c r="M67" s="48" t="s">
        <v>15</v>
      </c>
      <c r="N67" s="84">
        <f t="shared" si="23"/>
        <v>0</v>
      </c>
      <c r="O67" s="84">
        <f t="shared" si="24"/>
        <v>0</v>
      </c>
      <c r="P67" s="85">
        <f t="shared" si="25"/>
        <v>0</v>
      </c>
      <c r="Q67" s="85">
        <f t="shared" si="26"/>
        <v>0</v>
      </c>
      <c r="R67" s="49">
        <v>40</v>
      </c>
      <c r="S67" s="50">
        <f t="shared" si="27"/>
        <v>0</v>
      </c>
      <c r="T67" s="56">
        <f t="shared" si="28"/>
        <v>0</v>
      </c>
      <c r="U67" s="86">
        <f t="shared" si="29"/>
        <v>0</v>
      </c>
    </row>
    <row r="68" spans="13:21" ht="12.75" customHeight="1" thickBot="1">
      <c r="M68" s="51" t="s">
        <v>17</v>
      </c>
      <c r="N68" s="128"/>
      <c r="O68" s="69">
        <f>SUM(O59:O67)</f>
        <v>0</v>
      </c>
      <c r="P68" s="69">
        <f>SUM(P59:P67)</f>
        <v>0</v>
      </c>
      <c r="Q68" s="129">
        <f>SUM(Q59:Q67)</f>
        <v>0</v>
      </c>
      <c r="R68" s="130"/>
      <c r="S68" s="131">
        <f>SUM(S59:S67)</f>
        <v>0</v>
      </c>
      <c r="T68" s="132">
        <f>SUM(T58:T67)</f>
        <v>0</v>
      </c>
      <c r="U68" s="133">
        <f t="shared" si="29"/>
        <v>0</v>
      </c>
    </row>
    <row r="69" spans="13:21" ht="12.75" customHeight="1" thickBot="1">
      <c r="M69" s="179" t="s">
        <v>9</v>
      </c>
      <c r="N69" s="88" t="s">
        <v>64</v>
      </c>
      <c r="O69" s="88" t="s">
        <v>36</v>
      </c>
      <c r="P69" s="89" t="s">
        <v>21</v>
      </c>
      <c r="Q69" s="89" t="s">
        <v>52</v>
      </c>
      <c r="R69" s="89" t="s">
        <v>26</v>
      </c>
      <c r="S69" s="89" t="s">
        <v>27</v>
      </c>
      <c r="T69" s="90" t="s">
        <v>16</v>
      </c>
      <c r="U69" s="91"/>
    </row>
    <row r="70" spans="13:21" ht="12.75" customHeight="1">
      <c r="M70" s="87" t="s">
        <v>11</v>
      </c>
      <c r="N70" s="52">
        <f aca="true" t="shared" si="30" ref="N70:N78">$C$15*I49</f>
        <v>0</v>
      </c>
      <c r="O70" s="52">
        <f aca="true" t="shared" si="31" ref="O70:O78">$C$52*I49</f>
        <v>0</v>
      </c>
      <c r="P70" s="53">
        <f aca="true" t="shared" si="32" ref="P70:P78">$D$52*I49</f>
        <v>0</v>
      </c>
      <c r="Q70" s="53">
        <f aca="true" t="shared" si="33" ref="Q70:Q78">O70+P70</f>
        <v>0</v>
      </c>
      <c r="R70" s="41">
        <v>10</v>
      </c>
      <c r="S70" s="42">
        <f aca="true" t="shared" si="34" ref="S70:S78">H49*$E$52</f>
        <v>0</v>
      </c>
      <c r="T70" s="54">
        <f aca="true" t="shared" si="35" ref="T70:T78">R70*S70*$E$24</f>
        <v>0</v>
      </c>
      <c r="U70" s="86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3" t="s">
        <v>12</v>
      </c>
      <c r="N71" s="44">
        <f t="shared" si="30"/>
        <v>0</v>
      </c>
      <c r="O71" s="44">
        <f t="shared" si="31"/>
        <v>0</v>
      </c>
      <c r="P71" s="45">
        <f t="shared" si="32"/>
        <v>0</v>
      </c>
      <c r="Q71" s="45">
        <f t="shared" si="33"/>
        <v>0</v>
      </c>
      <c r="R71" s="46">
        <v>55</v>
      </c>
      <c r="S71" s="47">
        <f t="shared" si="34"/>
        <v>0</v>
      </c>
      <c r="T71" s="55">
        <f t="shared" si="35"/>
        <v>0</v>
      </c>
      <c r="U71" s="86">
        <f t="shared" si="36"/>
        <v>0</v>
      </c>
    </row>
    <row r="72" spans="11:21" ht="12.75" customHeight="1">
      <c r="K72" s="6"/>
      <c r="M72" s="43" t="s">
        <v>13</v>
      </c>
      <c r="N72" s="44">
        <f t="shared" si="30"/>
        <v>0</v>
      </c>
      <c r="O72" s="44">
        <f t="shared" si="31"/>
        <v>0</v>
      </c>
      <c r="P72" s="45">
        <f t="shared" si="32"/>
        <v>0</v>
      </c>
      <c r="Q72" s="45">
        <f t="shared" si="33"/>
        <v>0</v>
      </c>
      <c r="R72" s="46">
        <v>26</v>
      </c>
      <c r="S72" s="47">
        <f t="shared" si="34"/>
        <v>0</v>
      </c>
      <c r="T72" s="55">
        <f t="shared" si="35"/>
        <v>0</v>
      </c>
      <c r="U72" s="86">
        <f t="shared" si="36"/>
        <v>0</v>
      </c>
    </row>
    <row r="73" spans="11:21" ht="12.75" customHeight="1">
      <c r="K73" s="6"/>
      <c r="M73" s="43" t="s">
        <v>9</v>
      </c>
      <c r="N73" s="44">
        <f t="shared" si="30"/>
        <v>0</v>
      </c>
      <c r="O73" s="44">
        <f t="shared" si="31"/>
        <v>0</v>
      </c>
      <c r="P73" s="45">
        <f t="shared" si="32"/>
        <v>0</v>
      </c>
      <c r="Q73" s="45">
        <f t="shared" si="33"/>
        <v>0</v>
      </c>
      <c r="R73" s="46">
        <v>44</v>
      </c>
      <c r="S73" s="47">
        <f t="shared" si="34"/>
        <v>0</v>
      </c>
      <c r="T73" s="55">
        <f t="shared" si="35"/>
        <v>0</v>
      </c>
      <c r="U73" s="86">
        <f t="shared" si="36"/>
        <v>0</v>
      </c>
    </row>
    <row r="74" spans="11:21" ht="12.75" customHeight="1">
      <c r="K74" s="6"/>
      <c r="M74" s="43" t="s">
        <v>6</v>
      </c>
      <c r="N74" s="44">
        <f t="shared" si="30"/>
        <v>0</v>
      </c>
      <c r="O74" s="44">
        <f t="shared" si="31"/>
        <v>0</v>
      </c>
      <c r="P74" s="45">
        <f t="shared" si="32"/>
        <v>9481.213315926892</v>
      </c>
      <c r="Q74" s="45">
        <f t="shared" si="33"/>
        <v>9481.213315926892</v>
      </c>
      <c r="R74" s="46">
        <v>137</v>
      </c>
      <c r="S74" s="47">
        <f t="shared" si="34"/>
        <v>57.307103054176</v>
      </c>
      <c r="T74" s="55">
        <f t="shared" si="35"/>
        <v>7851.073118422111</v>
      </c>
      <c r="U74" s="86">
        <f t="shared" si="36"/>
        <v>132.70960105715807</v>
      </c>
    </row>
    <row r="75" spans="11:21" ht="12.75" customHeight="1">
      <c r="K75" s="7"/>
      <c r="M75" s="43" t="s">
        <v>14</v>
      </c>
      <c r="N75" s="44">
        <f t="shared" si="30"/>
        <v>0</v>
      </c>
      <c r="O75" s="44">
        <f t="shared" si="31"/>
        <v>0</v>
      </c>
      <c r="P75" s="45">
        <f t="shared" si="32"/>
        <v>3825.75274151436</v>
      </c>
      <c r="Q75" s="45">
        <f t="shared" si="33"/>
        <v>3825.75274151436</v>
      </c>
      <c r="R75" s="46">
        <v>65</v>
      </c>
      <c r="S75" s="47">
        <f t="shared" si="34"/>
        <v>23.123918776246455</v>
      </c>
      <c r="T75" s="55">
        <f t="shared" si="35"/>
        <v>1503.0547204560196</v>
      </c>
      <c r="U75" s="86">
        <f t="shared" si="36"/>
        <v>406.081457704906</v>
      </c>
    </row>
    <row r="76" spans="11:21" ht="12.75" customHeight="1">
      <c r="K76" s="7"/>
      <c r="M76" s="43" t="s">
        <v>10</v>
      </c>
      <c r="N76" s="44">
        <f t="shared" si="30"/>
        <v>0</v>
      </c>
      <c r="O76" s="44">
        <f t="shared" si="31"/>
        <v>0</v>
      </c>
      <c r="P76" s="45">
        <f t="shared" si="32"/>
        <v>7928.733942558745</v>
      </c>
      <c r="Q76" s="45">
        <f t="shared" si="33"/>
        <v>7928.733942558745</v>
      </c>
      <c r="R76" s="46">
        <v>110</v>
      </c>
      <c r="S76" s="47">
        <f t="shared" si="34"/>
        <v>47.92348384062671</v>
      </c>
      <c r="T76" s="55">
        <f t="shared" si="35"/>
        <v>5271.583222468938</v>
      </c>
      <c r="U76" s="86">
        <f t="shared" si="36"/>
        <v>184.45658615025638</v>
      </c>
    </row>
    <row r="77" spans="11:21" ht="12.75" customHeight="1">
      <c r="K77" s="7"/>
      <c r="M77" s="43" t="s">
        <v>7</v>
      </c>
      <c r="N77" s="44">
        <f t="shared" si="30"/>
        <v>0</v>
      </c>
      <c r="O77" s="44">
        <f t="shared" si="31"/>
        <v>0</v>
      </c>
      <c r="P77" s="45">
        <f t="shared" si="32"/>
        <v>0</v>
      </c>
      <c r="Q77" s="45">
        <f t="shared" si="33"/>
        <v>0</v>
      </c>
      <c r="R77" s="46">
        <v>5</v>
      </c>
      <c r="S77" s="47">
        <f t="shared" si="34"/>
        <v>0</v>
      </c>
      <c r="T77" s="55">
        <f t="shared" si="35"/>
        <v>0</v>
      </c>
      <c r="U77" s="86">
        <f t="shared" si="36"/>
        <v>0</v>
      </c>
    </row>
    <row r="78" spans="13:21" ht="12.75" customHeight="1" thickBot="1">
      <c r="M78" s="48" t="s">
        <v>15</v>
      </c>
      <c r="N78" s="84">
        <f t="shared" si="30"/>
        <v>0</v>
      </c>
      <c r="O78" s="84">
        <f t="shared" si="31"/>
        <v>0</v>
      </c>
      <c r="P78" s="85">
        <f t="shared" si="32"/>
        <v>0</v>
      </c>
      <c r="Q78" s="85">
        <f t="shared" si="33"/>
        <v>0</v>
      </c>
      <c r="R78" s="49">
        <v>20</v>
      </c>
      <c r="S78" s="50">
        <f t="shared" si="34"/>
        <v>0</v>
      </c>
      <c r="T78" s="56">
        <f t="shared" si="35"/>
        <v>0</v>
      </c>
      <c r="U78" s="86">
        <f t="shared" si="36"/>
        <v>0</v>
      </c>
    </row>
    <row r="79" spans="13:21" ht="12.75" customHeight="1" thickBot="1">
      <c r="M79" s="51" t="s">
        <v>17</v>
      </c>
      <c r="N79" s="128"/>
      <c r="O79" s="69">
        <f>SUM(O70:O78)</f>
        <v>0</v>
      </c>
      <c r="P79" s="69">
        <f>SUM(P70:P78)</f>
        <v>21235.699999999997</v>
      </c>
      <c r="Q79" s="129">
        <f>SUM(Q70:Q78)</f>
        <v>21235.699999999997</v>
      </c>
      <c r="R79" s="130"/>
      <c r="S79" s="131">
        <f>SUM(S70:S78)</f>
        <v>128.35450567104917</v>
      </c>
      <c r="T79" s="132">
        <f>SUM(T69:T78)</f>
        <v>14625.711061347069</v>
      </c>
      <c r="U79" s="133">
        <f t="shared" si="36"/>
        <v>174.9542060939342</v>
      </c>
    </row>
    <row r="80" spans="13:21" ht="12.75" customHeight="1" thickBot="1">
      <c r="M80" s="179" t="s">
        <v>6</v>
      </c>
      <c r="N80" s="88" t="s">
        <v>64</v>
      </c>
      <c r="O80" s="88" t="s">
        <v>36</v>
      </c>
      <c r="P80" s="89" t="s">
        <v>21</v>
      </c>
      <c r="Q80" s="89" t="s">
        <v>52</v>
      </c>
      <c r="R80" s="89" t="s">
        <v>26</v>
      </c>
      <c r="S80" s="89" t="s">
        <v>27</v>
      </c>
      <c r="T80" s="90" t="s">
        <v>16</v>
      </c>
      <c r="U80" s="91"/>
    </row>
    <row r="81" spans="11:21" ht="12.75" customHeight="1">
      <c r="K81" s="1"/>
      <c r="M81" s="87" t="s">
        <v>11</v>
      </c>
      <c r="N81" s="52">
        <f aca="true" t="shared" si="37" ref="N81:N89">$C$16*I49</f>
        <v>0</v>
      </c>
      <c r="O81" s="52">
        <f aca="true" t="shared" si="38" ref="O81:O89">$C$53*I49</f>
        <v>0</v>
      </c>
      <c r="P81" s="53"/>
      <c r="Q81" s="53">
        <f aca="true" t="shared" si="39" ref="Q81:Q89">O81</f>
        <v>0</v>
      </c>
      <c r="R81" s="41">
        <v>10</v>
      </c>
      <c r="S81" s="42">
        <f aca="true" t="shared" si="40" ref="S81:S89">H49*$E$53</f>
        <v>0</v>
      </c>
      <c r="T81" s="54">
        <f aca="true" t="shared" si="41" ref="T81:T89">R81*S81*$E$24</f>
        <v>0</v>
      </c>
      <c r="U81" s="86">
        <f aca="true" t="shared" si="42" ref="U81:U90">IF(T81&lt;=Q81,0,100*(T81/Q81)^(3/2))+IF(T81&gt;=Q81,0,100*(Q81/T81)^(3/2))</f>
        <v>0</v>
      </c>
    </row>
    <row r="82" spans="11:21" s="39" customFormat="1" ht="12.75" customHeight="1">
      <c r="K82" s="40"/>
      <c r="M82" s="43" t="s">
        <v>12</v>
      </c>
      <c r="N82" s="44">
        <f t="shared" si="37"/>
        <v>0</v>
      </c>
      <c r="O82" s="44">
        <f t="shared" si="38"/>
        <v>0</v>
      </c>
      <c r="P82" s="45"/>
      <c r="Q82" s="45">
        <f t="shared" si="39"/>
        <v>0</v>
      </c>
      <c r="R82" s="46">
        <v>40</v>
      </c>
      <c r="S82" s="47">
        <f t="shared" si="40"/>
        <v>0</v>
      </c>
      <c r="T82" s="55">
        <f t="shared" si="41"/>
        <v>0</v>
      </c>
      <c r="U82" s="86">
        <f t="shared" si="42"/>
        <v>0</v>
      </c>
    </row>
    <row r="83" spans="11:21" s="39" customFormat="1" ht="12.75" customHeight="1">
      <c r="K83" s="40"/>
      <c r="M83" s="43" t="s">
        <v>13</v>
      </c>
      <c r="N83" s="44">
        <f t="shared" si="37"/>
        <v>0</v>
      </c>
      <c r="O83" s="44">
        <f t="shared" si="38"/>
        <v>0</v>
      </c>
      <c r="P83" s="45"/>
      <c r="Q83" s="45">
        <f t="shared" si="39"/>
        <v>0</v>
      </c>
      <c r="R83" s="46">
        <v>58</v>
      </c>
      <c r="S83" s="47">
        <f t="shared" si="40"/>
        <v>0</v>
      </c>
      <c r="T83" s="55">
        <f t="shared" si="41"/>
        <v>0</v>
      </c>
      <c r="U83" s="86">
        <f t="shared" si="42"/>
        <v>0</v>
      </c>
    </row>
    <row r="84" spans="11:21" s="39" customFormat="1" ht="12.75" customHeight="1">
      <c r="K84" s="40"/>
      <c r="M84" s="43" t="s">
        <v>9</v>
      </c>
      <c r="N84" s="44">
        <f t="shared" si="37"/>
        <v>0</v>
      </c>
      <c r="O84" s="44">
        <f t="shared" si="38"/>
        <v>0</v>
      </c>
      <c r="P84" s="45"/>
      <c r="Q84" s="45">
        <f t="shared" si="39"/>
        <v>0</v>
      </c>
      <c r="R84" s="46">
        <v>28</v>
      </c>
      <c r="S84" s="47">
        <f t="shared" si="40"/>
        <v>0</v>
      </c>
      <c r="T84" s="55">
        <f t="shared" si="41"/>
        <v>0</v>
      </c>
      <c r="U84" s="86">
        <f t="shared" si="42"/>
        <v>0</v>
      </c>
    </row>
    <row r="85" spans="11:21" s="39" customFormat="1" ht="12.75" customHeight="1">
      <c r="K85" s="40"/>
      <c r="M85" s="43" t="s">
        <v>6</v>
      </c>
      <c r="N85" s="44">
        <f t="shared" si="37"/>
        <v>0</v>
      </c>
      <c r="O85" s="44">
        <f t="shared" si="38"/>
        <v>0</v>
      </c>
      <c r="P85" s="45"/>
      <c r="Q85" s="45">
        <f t="shared" si="39"/>
        <v>0</v>
      </c>
      <c r="R85" s="46">
        <v>100</v>
      </c>
      <c r="S85" s="47">
        <f t="shared" si="40"/>
        <v>0</v>
      </c>
      <c r="T85" s="55">
        <f t="shared" si="41"/>
        <v>0</v>
      </c>
      <c r="U85" s="86">
        <f t="shared" si="42"/>
        <v>0</v>
      </c>
    </row>
    <row r="86" spans="11:21" s="39" customFormat="1" ht="12.75" customHeight="1">
      <c r="K86" s="40"/>
      <c r="M86" s="43" t="s">
        <v>14</v>
      </c>
      <c r="N86" s="44">
        <f t="shared" si="37"/>
        <v>0</v>
      </c>
      <c r="O86" s="44">
        <f t="shared" si="38"/>
        <v>0</v>
      </c>
      <c r="P86" s="45"/>
      <c r="Q86" s="45">
        <f t="shared" si="39"/>
        <v>0</v>
      </c>
      <c r="R86" s="46">
        <v>145</v>
      </c>
      <c r="S86" s="47">
        <f t="shared" si="40"/>
        <v>0</v>
      </c>
      <c r="T86" s="55">
        <f t="shared" si="41"/>
        <v>0</v>
      </c>
      <c r="U86" s="86">
        <f t="shared" si="42"/>
        <v>0</v>
      </c>
    </row>
    <row r="87" spans="11:21" s="39" customFormat="1" ht="12.75" customHeight="1">
      <c r="K87" s="40"/>
      <c r="M87" s="43" t="s">
        <v>10</v>
      </c>
      <c r="N87" s="44">
        <f t="shared" si="37"/>
        <v>0</v>
      </c>
      <c r="O87" s="44">
        <f t="shared" si="38"/>
        <v>0</v>
      </c>
      <c r="P87" s="45"/>
      <c r="Q87" s="45">
        <f t="shared" si="39"/>
        <v>0</v>
      </c>
      <c r="R87" s="46">
        <v>70</v>
      </c>
      <c r="S87" s="47">
        <f t="shared" si="40"/>
        <v>0</v>
      </c>
      <c r="T87" s="55">
        <f t="shared" si="41"/>
        <v>0</v>
      </c>
      <c r="U87" s="86">
        <f t="shared" si="42"/>
        <v>0</v>
      </c>
    </row>
    <row r="88" spans="11:21" s="39" customFormat="1" ht="12.75" customHeight="1">
      <c r="K88" s="40"/>
      <c r="M88" s="43" t="s">
        <v>7</v>
      </c>
      <c r="N88" s="44">
        <f t="shared" si="37"/>
        <v>0</v>
      </c>
      <c r="O88" s="44">
        <f t="shared" si="38"/>
        <v>0</v>
      </c>
      <c r="P88" s="45"/>
      <c r="Q88" s="45">
        <f t="shared" si="39"/>
        <v>0</v>
      </c>
      <c r="R88" s="46">
        <v>10</v>
      </c>
      <c r="S88" s="47">
        <f t="shared" si="40"/>
        <v>0</v>
      </c>
      <c r="T88" s="55">
        <f t="shared" si="41"/>
        <v>0</v>
      </c>
      <c r="U88" s="86">
        <f t="shared" si="42"/>
        <v>0</v>
      </c>
    </row>
    <row r="89" spans="11:21" s="39" customFormat="1" ht="12.75" customHeight="1" thickBot="1">
      <c r="K89" s="40"/>
      <c r="M89" s="48" t="s">
        <v>15</v>
      </c>
      <c r="N89" s="84">
        <f t="shared" si="37"/>
        <v>0</v>
      </c>
      <c r="O89" s="84">
        <f t="shared" si="38"/>
        <v>0</v>
      </c>
      <c r="P89" s="85"/>
      <c r="Q89" s="85">
        <f t="shared" si="39"/>
        <v>0</v>
      </c>
      <c r="R89" s="49">
        <v>10</v>
      </c>
      <c r="S89" s="50">
        <f t="shared" si="40"/>
        <v>0</v>
      </c>
      <c r="T89" s="56">
        <f t="shared" si="41"/>
        <v>0</v>
      </c>
      <c r="U89" s="86">
        <f t="shared" si="42"/>
        <v>0</v>
      </c>
    </row>
    <row r="90" spans="11:21" s="39" customFormat="1" ht="12.75" customHeight="1" thickBot="1">
      <c r="K90" s="40"/>
      <c r="M90" s="51" t="s">
        <v>17</v>
      </c>
      <c r="N90" s="128"/>
      <c r="O90" s="69">
        <f>SUM(O81:O89)</f>
        <v>0</v>
      </c>
      <c r="P90" s="69"/>
      <c r="Q90" s="129">
        <f>SUM(Q81:Q89)</f>
        <v>0</v>
      </c>
      <c r="R90" s="130"/>
      <c r="S90" s="131">
        <f>SUM(S81:S89)</f>
        <v>0</v>
      </c>
      <c r="T90" s="132">
        <f>SUM(T81:T89)</f>
        <v>0</v>
      </c>
      <c r="U90" s="133">
        <f t="shared" si="42"/>
        <v>0</v>
      </c>
    </row>
    <row r="91" spans="11:21" s="39" customFormat="1" ht="12.75" customHeight="1" thickBot="1">
      <c r="K91" s="40"/>
      <c r="M91" s="179" t="s">
        <v>78</v>
      </c>
      <c r="N91" s="88" t="s">
        <v>64</v>
      </c>
      <c r="O91" s="88" t="s">
        <v>36</v>
      </c>
      <c r="P91" s="89" t="s">
        <v>21</v>
      </c>
      <c r="Q91" s="89" t="s">
        <v>52</v>
      </c>
      <c r="R91" s="89" t="s">
        <v>26</v>
      </c>
      <c r="S91" s="89" t="s">
        <v>27</v>
      </c>
      <c r="T91" s="90" t="s">
        <v>16</v>
      </c>
      <c r="U91" s="91"/>
    </row>
    <row r="92" spans="11:21" s="39" customFormat="1" ht="12.75" customHeight="1">
      <c r="K92" s="40"/>
      <c r="M92" s="87" t="s">
        <v>11</v>
      </c>
      <c r="N92" s="52">
        <f aca="true" t="shared" si="43" ref="N92:N100">$C$17*I49</f>
        <v>0</v>
      </c>
      <c r="O92" s="52">
        <f aca="true" t="shared" si="44" ref="O92:O100">$C$54*I49</f>
        <v>0</v>
      </c>
      <c r="P92" s="53"/>
      <c r="Q92" s="53">
        <f aca="true" t="shared" si="45" ref="Q92:Q100">O92</f>
        <v>0</v>
      </c>
      <c r="R92" s="41">
        <v>10</v>
      </c>
      <c r="S92" s="42">
        <f aca="true" t="shared" si="46" ref="S92:S100">H49*$E$54</f>
        <v>0</v>
      </c>
      <c r="T92" s="54">
        <f aca="true" t="shared" si="47" ref="T92:T100">R92*S92*$E$24</f>
        <v>0</v>
      </c>
      <c r="U92" s="86">
        <f aca="true" t="shared" si="48" ref="U92:U100">IF(T92&lt;=Q92,0,100*(T92/Q92)^(3/2))+IF(T92&gt;=Q92,0,100*(Q92/T92)^(3/2))</f>
        <v>0</v>
      </c>
    </row>
    <row r="93" spans="11:21" s="39" customFormat="1" ht="12.75" customHeight="1">
      <c r="K93" s="40"/>
      <c r="M93" s="43" t="s">
        <v>12</v>
      </c>
      <c r="N93" s="44">
        <f t="shared" si="43"/>
        <v>0</v>
      </c>
      <c r="O93" s="44">
        <f t="shared" si="44"/>
        <v>0</v>
      </c>
      <c r="P93" s="45"/>
      <c r="Q93" s="45">
        <f t="shared" si="45"/>
        <v>0</v>
      </c>
      <c r="R93" s="46">
        <v>25</v>
      </c>
      <c r="S93" s="47">
        <f t="shared" si="46"/>
        <v>0</v>
      </c>
      <c r="T93" s="55">
        <f t="shared" si="47"/>
        <v>0</v>
      </c>
      <c r="U93" s="86">
        <f t="shared" si="48"/>
        <v>0</v>
      </c>
    </row>
    <row r="94" spans="11:21" s="39" customFormat="1" ht="12.75" customHeight="1">
      <c r="K94" s="40"/>
      <c r="M94" s="43" t="s">
        <v>13</v>
      </c>
      <c r="N94" s="44">
        <f t="shared" si="43"/>
        <v>0</v>
      </c>
      <c r="O94" s="44">
        <f t="shared" si="44"/>
        <v>0</v>
      </c>
      <c r="P94" s="45"/>
      <c r="Q94" s="45">
        <f t="shared" si="45"/>
        <v>0</v>
      </c>
      <c r="R94" s="46">
        <v>42</v>
      </c>
      <c r="S94" s="47">
        <f t="shared" si="46"/>
        <v>0</v>
      </c>
      <c r="T94" s="55">
        <f t="shared" si="47"/>
        <v>0</v>
      </c>
      <c r="U94" s="86">
        <f t="shared" si="48"/>
        <v>0</v>
      </c>
    </row>
    <row r="95" spans="11:21" s="39" customFormat="1" ht="12.75" customHeight="1">
      <c r="K95" s="40"/>
      <c r="M95" s="43" t="s">
        <v>9</v>
      </c>
      <c r="N95" s="44">
        <f t="shared" si="43"/>
        <v>0</v>
      </c>
      <c r="O95" s="44">
        <f t="shared" si="44"/>
        <v>0</v>
      </c>
      <c r="P95" s="45"/>
      <c r="Q95" s="45">
        <f t="shared" si="45"/>
        <v>0</v>
      </c>
      <c r="R95" s="46">
        <v>60</v>
      </c>
      <c r="S95" s="47">
        <f t="shared" si="46"/>
        <v>0</v>
      </c>
      <c r="T95" s="55">
        <f t="shared" si="47"/>
        <v>0</v>
      </c>
      <c r="U95" s="86">
        <f t="shared" si="48"/>
        <v>0</v>
      </c>
    </row>
    <row r="96" spans="11:21" s="39" customFormat="1" ht="12.75" customHeight="1">
      <c r="K96" s="40"/>
      <c r="M96" s="43" t="s">
        <v>6</v>
      </c>
      <c r="N96" s="44">
        <f t="shared" si="43"/>
        <v>0</v>
      </c>
      <c r="O96" s="44">
        <f t="shared" si="44"/>
        <v>0</v>
      </c>
      <c r="P96" s="45"/>
      <c r="Q96" s="45">
        <f t="shared" si="45"/>
        <v>0</v>
      </c>
      <c r="R96" s="46">
        <v>63</v>
      </c>
      <c r="S96" s="47">
        <f t="shared" si="46"/>
        <v>0</v>
      </c>
      <c r="T96" s="55">
        <f t="shared" si="47"/>
        <v>0</v>
      </c>
      <c r="U96" s="86">
        <f t="shared" si="48"/>
        <v>0</v>
      </c>
    </row>
    <row r="97" spans="11:21" s="39" customFormat="1" ht="12.75" customHeight="1">
      <c r="K97" s="40"/>
      <c r="M97" s="43" t="s">
        <v>14</v>
      </c>
      <c r="N97" s="44">
        <f t="shared" si="43"/>
        <v>0</v>
      </c>
      <c r="O97" s="44">
        <f t="shared" si="44"/>
        <v>0</v>
      </c>
      <c r="P97" s="45"/>
      <c r="Q97" s="45">
        <f t="shared" si="45"/>
        <v>0</v>
      </c>
      <c r="R97" s="46">
        <v>105</v>
      </c>
      <c r="S97" s="47">
        <f t="shared" si="46"/>
        <v>0</v>
      </c>
      <c r="T97" s="55">
        <f t="shared" si="47"/>
        <v>0</v>
      </c>
      <c r="U97" s="86">
        <f t="shared" si="48"/>
        <v>0</v>
      </c>
    </row>
    <row r="98" spans="11:21" s="39" customFormat="1" ht="12.75" customHeight="1">
      <c r="K98" s="40"/>
      <c r="M98" s="43" t="s">
        <v>10</v>
      </c>
      <c r="N98" s="44">
        <f t="shared" si="43"/>
        <v>0</v>
      </c>
      <c r="O98" s="44">
        <f t="shared" si="44"/>
        <v>0</v>
      </c>
      <c r="P98" s="45"/>
      <c r="Q98" s="45">
        <f t="shared" si="45"/>
        <v>0</v>
      </c>
      <c r="R98" s="46">
        <v>150</v>
      </c>
      <c r="S98" s="47">
        <f t="shared" si="46"/>
        <v>0</v>
      </c>
      <c r="T98" s="55">
        <f t="shared" si="47"/>
        <v>0</v>
      </c>
      <c r="U98" s="86">
        <f t="shared" si="48"/>
        <v>0</v>
      </c>
    </row>
    <row r="99" spans="11:21" s="39" customFormat="1" ht="12.75" customHeight="1">
      <c r="K99" s="40"/>
      <c r="M99" s="43" t="s">
        <v>7</v>
      </c>
      <c r="N99" s="44">
        <f t="shared" si="43"/>
        <v>0</v>
      </c>
      <c r="O99" s="44">
        <f t="shared" si="44"/>
        <v>0</v>
      </c>
      <c r="P99" s="45"/>
      <c r="Q99" s="45">
        <f t="shared" si="45"/>
        <v>0</v>
      </c>
      <c r="R99" s="46">
        <v>5</v>
      </c>
      <c r="S99" s="47">
        <f t="shared" si="46"/>
        <v>0</v>
      </c>
      <c r="T99" s="55">
        <f t="shared" si="47"/>
        <v>0</v>
      </c>
      <c r="U99" s="86">
        <f t="shared" si="48"/>
        <v>0</v>
      </c>
    </row>
    <row r="100" spans="11:21" s="39" customFormat="1" ht="12.75" customHeight="1" thickBot="1">
      <c r="K100" s="40"/>
      <c r="M100" s="48" t="s">
        <v>15</v>
      </c>
      <c r="N100" s="84">
        <f t="shared" si="43"/>
        <v>0</v>
      </c>
      <c r="O100" s="84">
        <f t="shared" si="44"/>
        <v>0</v>
      </c>
      <c r="P100" s="85"/>
      <c r="Q100" s="85">
        <f t="shared" si="45"/>
        <v>0</v>
      </c>
      <c r="R100" s="49">
        <v>40</v>
      </c>
      <c r="S100" s="50">
        <f t="shared" si="46"/>
        <v>0</v>
      </c>
      <c r="T100" s="56">
        <f t="shared" si="47"/>
        <v>0</v>
      </c>
      <c r="U100" s="86">
        <f t="shared" si="48"/>
        <v>0</v>
      </c>
    </row>
    <row r="101" spans="11:21" s="39" customFormat="1" ht="12.75" customHeight="1" thickBot="1">
      <c r="K101" s="40"/>
      <c r="M101" s="51" t="s">
        <v>17</v>
      </c>
      <c r="N101" s="128"/>
      <c r="O101" s="69">
        <f>SUM(O92:O100)</f>
        <v>0</v>
      </c>
      <c r="P101" s="69"/>
      <c r="Q101" s="129">
        <f>SUM(Q92:Q100)</f>
        <v>0</v>
      </c>
      <c r="R101" s="130"/>
      <c r="S101" s="131">
        <f>SUM(S92:S100)</f>
        <v>0</v>
      </c>
      <c r="T101" s="132">
        <f>SUM(T92:T100)</f>
        <v>0</v>
      </c>
      <c r="U101" s="133">
        <f>IF(T101&lt;=Q101,0,100*(T101/Q101)^(3/2))+IF(T101&gt;=Q101,0,100*(Q101/T101)^(3/2))</f>
        <v>0</v>
      </c>
    </row>
    <row r="102" spans="11:21" s="39" customFormat="1" ht="12.75" customHeight="1" thickBot="1">
      <c r="K102" s="40"/>
      <c r="M102" s="179" t="s">
        <v>81</v>
      </c>
      <c r="N102" s="88" t="s">
        <v>64</v>
      </c>
      <c r="O102" s="88" t="s">
        <v>36</v>
      </c>
      <c r="P102" s="89" t="s">
        <v>21</v>
      </c>
      <c r="Q102" s="89" t="s">
        <v>52</v>
      </c>
      <c r="R102" s="89" t="s">
        <v>26</v>
      </c>
      <c r="S102" s="89" t="s">
        <v>27</v>
      </c>
      <c r="T102" s="90" t="s">
        <v>16</v>
      </c>
      <c r="U102" s="91"/>
    </row>
    <row r="103" spans="11:21" s="39" customFormat="1" ht="12.75" customHeight="1">
      <c r="K103" s="40"/>
      <c r="M103" s="87" t="s">
        <v>11</v>
      </c>
      <c r="N103" s="52">
        <f aca="true" t="shared" si="49" ref="N103:N111">$C$18*I49</f>
        <v>0</v>
      </c>
      <c r="O103" s="52">
        <f aca="true" t="shared" si="50" ref="O103:O111">$C$55*I49</f>
        <v>0</v>
      </c>
      <c r="P103" s="53"/>
      <c r="Q103" s="53">
        <f aca="true" t="shared" si="51" ref="Q103:Q111">O103</f>
        <v>0</v>
      </c>
      <c r="R103" s="41">
        <v>10</v>
      </c>
      <c r="S103" s="42">
        <f aca="true" t="shared" si="52" ref="S103:S111">H49*$E$55</f>
        <v>0</v>
      </c>
      <c r="T103" s="54">
        <f aca="true" t="shared" si="53" ref="T103:T111">R103*S103*$E$24</f>
        <v>0</v>
      </c>
      <c r="U103" s="92">
        <f aca="true" t="shared" si="54" ref="U103:U112">IF(T103&lt;=Q103,0,100*(T103/Q103)^(3/2))+IF(T103&gt;=Q103,0,100*(Q103/T103)^(3/2))</f>
        <v>0</v>
      </c>
    </row>
    <row r="104" spans="11:21" s="39" customFormat="1" ht="12.75" customHeight="1">
      <c r="K104" s="40"/>
      <c r="M104" s="43" t="s">
        <v>12</v>
      </c>
      <c r="N104" s="44">
        <f t="shared" si="49"/>
        <v>0</v>
      </c>
      <c r="O104" s="44">
        <f t="shared" si="50"/>
        <v>0</v>
      </c>
      <c r="P104" s="45"/>
      <c r="Q104" s="45">
        <f t="shared" si="51"/>
        <v>0</v>
      </c>
      <c r="R104" s="46">
        <v>55</v>
      </c>
      <c r="S104" s="47">
        <f t="shared" si="52"/>
        <v>0</v>
      </c>
      <c r="T104" s="55">
        <f t="shared" si="53"/>
        <v>0</v>
      </c>
      <c r="U104" s="92">
        <f t="shared" si="54"/>
        <v>0</v>
      </c>
    </row>
    <row r="105" spans="11:21" s="39" customFormat="1" ht="12.75" customHeight="1">
      <c r="K105" s="40"/>
      <c r="M105" s="43" t="s">
        <v>13</v>
      </c>
      <c r="N105" s="44">
        <f t="shared" si="49"/>
        <v>0</v>
      </c>
      <c r="O105" s="44">
        <f t="shared" si="50"/>
        <v>0</v>
      </c>
      <c r="P105" s="45"/>
      <c r="Q105" s="45">
        <f t="shared" si="51"/>
        <v>0</v>
      </c>
      <c r="R105" s="46">
        <v>26</v>
      </c>
      <c r="S105" s="47">
        <f t="shared" si="52"/>
        <v>0</v>
      </c>
      <c r="T105" s="55">
        <f t="shared" si="53"/>
        <v>0</v>
      </c>
      <c r="U105" s="92">
        <f t="shared" si="54"/>
        <v>0</v>
      </c>
    </row>
    <row r="106" spans="11:21" s="39" customFormat="1" ht="12.75" customHeight="1">
      <c r="K106" s="40"/>
      <c r="M106" s="43" t="s">
        <v>9</v>
      </c>
      <c r="N106" s="44">
        <f t="shared" si="49"/>
        <v>0</v>
      </c>
      <c r="O106" s="44">
        <f t="shared" si="50"/>
        <v>0</v>
      </c>
      <c r="P106" s="45"/>
      <c r="Q106" s="45">
        <f t="shared" si="51"/>
        <v>0</v>
      </c>
      <c r="R106" s="46">
        <v>44</v>
      </c>
      <c r="S106" s="47">
        <f t="shared" si="52"/>
        <v>0</v>
      </c>
      <c r="T106" s="55">
        <f t="shared" si="53"/>
        <v>0</v>
      </c>
      <c r="U106" s="92">
        <f t="shared" si="54"/>
        <v>0</v>
      </c>
    </row>
    <row r="107" spans="11:21" s="39" customFormat="1" ht="12.75" customHeight="1">
      <c r="K107" s="40"/>
      <c r="M107" s="43" t="s">
        <v>6</v>
      </c>
      <c r="N107" s="44">
        <f t="shared" si="49"/>
        <v>89.29503916449086</v>
      </c>
      <c r="O107" s="44">
        <f t="shared" si="50"/>
        <v>18810</v>
      </c>
      <c r="P107" s="45"/>
      <c r="Q107" s="45">
        <f t="shared" si="51"/>
        <v>18810</v>
      </c>
      <c r="R107" s="46">
        <v>137</v>
      </c>
      <c r="S107" s="47">
        <f t="shared" si="52"/>
        <v>113.69289694582402</v>
      </c>
      <c r="T107" s="55">
        <f t="shared" si="53"/>
        <v>15575.92688157789</v>
      </c>
      <c r="U107" s="92">
        <f t="shared" si="54"/>
        <v>132.70960105715807</v>
      </c>
    </row>
    <row r="108" spans="11:21" s="39" customFormat="1" ht="12.75" customHeight="1">
      <c r="K108" s="40"/>
      <c r="M108" s="43" t="s">
        <v>14</v>
      </c>
      <c r="N108" s="44">
        <f t="shared" si="49"/>
        <v>36.0313315926893</v>
      </c>
      <c r="O108" s="44">
        <f t="shared" si="50"/>
        <v>7590.000000000001</v>
      </c>
      <c r="P108" s="45"/>
      <c r="Q108" s="45">
        <f t="shared" si="51"/>
        <v>7590.000000000001</v>
      </c>
      <c r="R108" s="46">
        <v>65</v>
      </c>
      <c r="S108" s="47">
        <f t="shared" si="52"/>
        <v>45.87608122375355</v>
      </c>
      <c r="T108" s="55">
        <f t="shared" si="53"/>
        <v>2981.945279543981</v>
      </c>
      <c r="U108" s="92">
        <f t="shared" si="54"/>
        <v>406.081457704906</v>
      </c>
    </row>
    <row r="109" spans="11:21" ht="12.75" customHeight="1">
      <c r="K109" s="1"/>
      <c r="M109" s="43" t="s">
        <v>10</v>
      </c>
      <c r="N109" s="44">
        <f t="shared" si="49"/>
        <v>74.67362924281984</v>
      </c>
      <c r="O109" s="44">
        <f t="shared" si="50"/>
        <v>15729.999999999998</v>
      </c>
      <c r="P109" s="45"/>
      <c r="Q109" s="45">
        <f t="shared" si="51"/>
        <v>15729.999999999998</v>
      </c>
      <c r="R109" s="46">
        <v>110</v>
      </c>
      <c r="S109" s="47">
        <f t="shared" si="52"/>
        <v>95.0765161593733</v>
      </c>
      <c r="T109" s="55">
        <f t="shared" si="53"/>
        <v>10458.416777531063</v>
      </c>
      <c r="U109" s="92">
        <f t="shared" si="54"/>
        <v>184.45658615025636</v>
      </c>
    </row>
    <row r="110" spans="11:21" ht="12.75" customHeight="1">
      <c r="K110" s="1"/>
      <c r="M110" s="43" t="s">
        <v>7</v>
      </c>
      <c r="N110" s="44">
        <f t="shared" si="49"/>
        <v>0</v>
      </c>
      <c r="O110" s="44">
        <f t="shared" si="50"/>
        <v>0</v>
      </c>
      <c r="P110" s="45"/>
      <c r="Q110" s="45">
        <f t="shared" si="51"/>
        <v>0</v>
      </c>
      <c r="R110" s="46">
        <v>5</v>
      </c>
      <c r="S110" s="47">
        <f t="shared" si="52"/>
        <v>0</v>
      </c>
      <c r="T110" s="55">
        <f t="shared" si="53"/>
        <v>0</v>
      </c>
      <c r="U110" s="92">
        <f t="shared" si="54"/>
        <v>0</v>
      </c>
    </row>
    <row r="111" spans="11:21" ht="12.75" customHeight="1" thickBot="1">
      <c r="K111" s="1"/>
      <c r="M111" s="48" t="s">
        <v>15</v>
      </c>
      <c r="N111" s="84">
        <f t="shared" si="49"/>
        <v>0</v>
      </c>
      <c r="O111" s="84">
        <f t="shared" si="50"/>
        <v>0</v>
      </c>
      <c r="P111" s="85"/>
      <c r="Q111" s="85">
        <f t="shared" si="51"/>
        <v>0</v>
      </c>
      <c r="R111" s="49">
        <v>20</v>
      </c>
      <c r="S111" s="50">
        <f t="shared" si="52"/>
        <v>0</v>
      </c>
      <c r="T111" s="56">
        <f t="shared" si="53"/>
        <v>0</v>
      </c>
      <c r="U111" s="92">
        <f t="shared" si="54"/>
        <v>0</v>
      </c>
    </row>
    <row r="112" spans="11:21" ht="14.25" customHeight="1" thickBot="1">
      <c r="K112" s="1"/>
      <c r="M112" s="51" t="s">
        <v>17</v>
      </c>
      <c r="N112" s="128"/>
      <c r="O112" s="69">
        <f>SUM(O103:O111)</f>
        <v>42130</v>
      </c>
      <c r="P112" s="69"/>
      <c r="Q112" s="129">
        <f>SUM(Q103:Q111)</f>
        <v>42130</v>
      </c>
      <c r="R112" s="130"/>
      <c r="S112" s="131">
        <f>SUM(S103:S111)</f>
        <v>254.64549432895086</v>
      </c>
      <c r="T112" s="132">
        <f>SUM(T103:T111)</f>
        <v>29016.288938652935</v>
      </c>
      <c r="U112" s="134">
        <f t="shared" si="54"/>
        <v>174.95420609393415</v>
      </c>
    </row>
    <row r="113" spans="11:21" ht="14.25" customHeight="1" thickBot="1">
      <c r="K113" s="1"/>
      <c r="M113" s="57"/>
      <c r="N113" s="68">
        <f>O46+O57+O68+O79</f>
        <v>0</v>
      </c>
      <c r="O113" s="58">
        <f>P46+P57+P68+P79</f>
        <v>21235.699999999997</v>
      </c>
      <c r="P113" s="58">
        <f>Q46+Q57+Q68+Q79</f>
        <v>21235.699999999997</v>
      </c>
      <c r="Q113" s="59">
        <f>Q46+Q57+Q68+Q79+Q90+Q101+Q112</f>
        <v>63365.7</v>
      </c>
      <c r="R113" s="58"/>
      <c r="S113" s="58">
        <f>T46+T57+T68+T79</f>
        <v>14625.711061347069</v>
      </c>
      <c r="T113" s="66">
        <f>T46+T57+T68+T79+T90+T101+T112</f>
        <v>43642</v>
      </c>
      <c r="U113" s="93">
        <f>IF($T$113&gt;=$Q$113,0,100*(T113/Q113)^(3/2))+IF($T$113&lt;=$Q$113,0,100*(Q113/T113)^(3/2))</f>
        <v>57.157814168988466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1:22" ht="12.75" customHeight="1">
      <c r="K117" s="7"/>
      <c r="L117" s="1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1:22" ht="12.75" customHeight="1">
      <c r="K118" s="7"/>
      <c r="L118" s="7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1:22" ht="12.75" customHeight="1">
      <c r="K119" s="7"/>
      <c r="L119" s="7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1:23" ht="12.75" customHeight="1">
      <c r="K120" s="7"/>
      <c r="L120" s="7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</row>
    <row r="121" spans="11:23" ht="12.75" customHeight="1">
      <c r="K121" s="7"/>
      <c r="L121" s="7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</row>
    <row r="122" spans="11:23" ht="12.75" customHeight="1">
      <c r="K122" s="7"/>
      <c r="L122" s="7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</row>
    <row r="123" spans="11:23" ht="12.75" customHeight="1">
      <c r="K123" s="7"/>
      <c r="L123" s="7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</row>
    <row r="124" spans="11:23" ht="12.75" customHeight="1">
      <c r="K124" s="7"/>
      <c r="L124" s="7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1:23" ht="12.75" customHeight="1">
      <c r="K125" s="7"/>
      <c r="L125" s="7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</row>
    <row r="126" spans="11:23" ht="12.75" customHeight="1">
      <c r="K126" s="7"/>
      <c r="L126" s="1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</row>
    <row r="127" spans="11:23" ht="12.75" customHeight="1">
      <c r="K127" s="7"/>
      <c r="L127" s="1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</row>
    <row r="128" spans="11:23" ht="12.75" customHeight="1">
      <c r="K128" s="7"/>
      <c r="L128" s="7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</row>
    <row r="129" spans="11:23" ht="12.75" customHeight="1">
      <c r="K129" s="7"/>
      <c r="L129" s="7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</row>
    <row r="130" spans="11:23" ht="12.75" customHeight="1">
      <c r="K130" s="7"/>
      <c r="L130" s="7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1:23" ht="12.75" customHeight="1">
      <c r="K131" s="7"/>
      <c r="L131" s="7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</row>
    <row r="132" spans="11:23" ht="12.75" customHeight="1">
      <c r="K132" s="7"/>
      <c r="L132" s="7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1:23" ht="12.75" customHeight="1">
      <c r="K133" s="7"/>
      <c r="L133" s="7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</row>
    <row r="134" spans="11:23" ht="12.75" customHeight="1">
      <c r="K134" s="7"/>
      <c r="L134" s="7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</row>
    <row r="135" spans="11:23" ht="12.75" customHeight="1">
      <c r="K135" s="7"/>
      <c r="L135" s="7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</row>
    <row r="136" spans="11:23" ht="12.75" customHeight="1">
      <c r="K136" s="7"/>
      <c r="L136" s="7"/>
      <c r="U136" s="60"/>
      <c r="V136" s="60"/>
      <c r="W136" s="60"/>
    </row>
    <row r="137" spans="2:23" ht="12.75" customHeight="1">
      <c r="B137" s="248" t="s">
        <v>57</v>
      </c>
      <c r="C137" s="249"/>
      <c r="D137" s="250"/>
      <c r="K137" s="7"/>
      <c r="L137" s="1"/>
      <c r="U137" s="60"/>
      <c r="V137" s="60"/>
      <c r="W137" s="60"/>
    </row>
    <row r="138" spans="2:23" ht="12.75" customHeight="1">
      <c r="B138" s="251"/>
      <c r="C138" s="252"/>
      <c r="D138" s="253"/>
      <c r="K138" s="7"/>
      <c r="L138" s="1"/>
      <c r="U138" s="60"/>
      <c r="V138" s="60"/>
      <c r="W138" s="60"/>
    </row>
    <row r="139" spans="11:23" ht="12.75" customHeight="1">
      <c r="K139" s="7"/>
      <c r="L139" s="7"/>
      <c r="U139" s="60"/>
      <c r="V139" s="60"/>
      <c r="W139" s="60"/>
    </row>
    <row r="140" spans="2:23" ht="12.75" customHeight="1">
      <c r="B140" s="221" t="s">
        <v>66</v>
      </c>
      <c r="C140" s="246"/>
      <c r="D140" s="246"/>
      <c r="E140" s="246"/>
      <c r="F140" s="246"/>
      <c r="G140" s="246"/>
      <c r="H140" s="246"/>
      <c r="I140" s="246"/>
      <c r="J140" s="247"/>
      <c r="K140" s="7"/>
      <c r="L140" s="7"/>
      <c r="M140" s="239" t="s">
        <v>67</v>
      </c>
      <c r="N140" s="239"/>
      <c r="O140" s="239"/>
      <c r="P140" s="239"/>
      <c r="Q140" s="239"/>
      <c r="R140" s="239"/>
      <c r="S140" s="239"/>
      <c r="T140" s="239"/>
      <c r="U140" s="60"/>
      <c r="V140" s="60"/>
      <c r="W140" s="60"/>
    </row>
    <row r="141" spans="2:23" ht="12.75" customHeight="1">
      <c r="B141" s="3"/>
      <c r="C141" s="3" t="s">
        <v>24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18</v>
      </c>
      <c r="I141" s="3" t="s">
        <v>78</v>
      </c>
      <c r="J141" s="3" t="s">
        <v>19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6" t="s">
        <v>18</v>
      </c>
      <c r="S141" s="96" t="s">
        <v>49</v>
      </c>
      <c r="T141" s="96" t="s">
        <v>19</v>
      </c>
      <c r="U141" s="60"/>
      <c r="V141" s="60"/>
      <c r="W141" s="60"/>
    </row>
    <row r="142" spans="2:38" ht="12.75" customHeight="1">
      <c r="B142" s="3">
        <v>0</v>
      </c>
      <c r="C142" s="3"/>
      <c r="D142" s="3">
        <f>0+VLOOKUP($I$21,$B$142:$C$152,2)</f>
        <v>0.09</v>
      </c>
      <c r="E142" s="3">
        <f aca="true" t="shared" si="55" ref="E142:J142">0+VLOOKUP($I$21,$B$142:$C$152,2)</f>
        <v>0.09</v>
      </c>
      <c r="F142" s="3">
        <f t="shared" si="55"/>
        <v>0.09</v>
      </c>
      <c r="G142" s="3">
        <f t="shared" si="55"/>
        <v>0.09</v>
      </c>
      <c r="H142" s="3">
        <f t="shared" si="55"/>
        <v>0.09</v>
      </c>
      <c r="I142" s="3">
        <f t="shared" si="55"/>
        <v>0.09</v>
      </c>
      <c r="J142" s="3">
        <f t="shared" si="55"/>
        <v>0.09</v>
      </c>
      <c r="K142" s="108"/>
      <c r="M142" s="94" t="s">
        <v>68</v>
      </c>
      <c r="N142" s="3">
        <v>10</v>
      </c>
      <c r="O142" s="3">
        <v>88</v>
      </c>
      <c r="P142" s="3">
        <v>144</v>
      </c>
      <c r="Q142" s="3">
        <v>0</v>
      </c>
      <c r="R142" s="96">
        <v>264</v>
      </c>
      <c r="S142" s="96">
        <v>432</v>
      </c>
      <c r="T142" s="96">
        <v>0</v>
      </c>
      <c r="U142" s="60"/>
      <c r="V142" s="60"/>
      <c r="W142" s="60"/>
      <c r="X142" s="60"/>
      <c r="Y142" s="60"/>
      <c r="Z142" s="60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f>0.1+VLOOKUP($I$21,$B$142:$C$152,2)</f>
        <v>0.19</v>
      </c>
      <c r="E143" s="3">
        <f>0.05+VLOOKUP($I$21,$B$142:$C$152,2)</f>
        <v>0.14</v>
      </c>
      <c r="F143" s="3">
        <f>0.05+VLOOKUP($I$21,$B$142:$C$152,2)</f>
        <v>0.14</v>
      </c>
      <c r="G143" s="3">
        <f>0.05+VLOOKUP($I$21,$B$142:$C$152,2)</f>
        <v>0.14</v>
      </c>
      <c r="H143" s="3">
        <f>0.04+VLOOKUP($I$21,$B$142:$C$152,2)</f>
        <v>0.13</v>
      </c>
      <c r="I143" s="3">
        <f>0.04+VLOOKUP($I$21,$B$142:$C$152,2)</f>
        <v>0.13</v>
      </c>
      <c r="J143" s="3">
        <f>0.04+VLOOKUP($I$21,$B$142:$C$152,2)</f>
        <v>0.13</v>
      </c>
      <c r="K143" s="1"/>
      <c r="M143" s="94" t="s">
        <v>69</v>
      </c>
      <c r="N143" s="3">
        <v>0</v>
      </c>
      <c r="O143" s="3">
        <v>132</v>
      </c>
      <c r="P143" s="3">
        <v>0</v>
      </c>
      <c r="Q143" s="3">
        <v>128</v>
      </c>
      <c r="R143" s="96">
        <v>396</v>
      </c>
      <c r="S143" s="96">
        <v>0</v>
      </c>
      <c r="T143" s="96">
        <v>384</v>
      </c>
      <c r="U143" s="38"/>
      <c r="V143" s="60"/>
      <c r="W143" s="60"/>
      <c r="X143" s="60"/>
      <c r="Y143" s="60"/>
      <c r="Z143" s="60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f>0.2+VLOOKUP($I$21,$B$142:$C$152,2)</f>
        <v>0.29000000000000004</v>
      </c>
      <c r="E144" s="3">
        <f>0.1+VLOOKUP($I$21,$B$142:$C$152,2)</f>
        <v>0.19</v>
      </c>
      <c r="F144" s="3">
        <f>0.1+VLOOKUP($I$21,$B$142:$C$152,2)</f>
        <v>0.19</v>
      </c>
      <c r="G144" s="3">
        <f>0.1+VLOOKUP($I$21,$B$142:$C$152,2)</f>
        <v>0.19</v>
      </c>
      <c r="H144" s="3">
        <f>0.08+VLOOKUP($I$21,$B$142:$C$152,2)</f>
        <v>0.16999999999999998</v>
      </c>
      <c r="I144" s="3">
        <f>0.08+VLOOKUP($I$21,$B$142:$C$152,2)</f>
        <v>0.16999999999999998</v>
      </c>
      <c r="J144" s="3">
        <f>0.08+VLOOKUP($I$21,$B$142:$C$152,2)</f>
        <v>0.16999999999999998</v>
      </c>
      <c r="K144" s="1"/>
      <c r="M144" s="94" t="s">
        <v>70</v>
      </c>
      <c r="N144" s="3">
        <v>10</v>
      </c>
      <c r="O144" s="3">
        <v>0</v>
      </c>
      <c r="P144" s="3">
        <v>96</v>
      </c>
      <c r="Q144" s="3">
        <v>192</v>
      </c>
      <c r="R144" s="96">
        <v>0</v>
      </c>
      <c r="S144" s="96">
        <v>288</v>
      </c>
      <c r="T144" s="96">
        <v>576</v>
      </c>
      <c r="U144" s="38"/>
      <c r="V144" s="60"/>
      <c r="W144" s="60"/>
      <c r="X144" s="60"/>
      <c r="Y144" s="38"/>
      <c r="Z144" s="38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f>0.3+VLOOKUP($I$21,$B$142:$C$152,2)</f>
        <v>0.39</v>
      </c>
      <c r="E145" s="3">
        <f>0.16+VLOOKUP($I$21,$B$142:$C$152,2)</f>
        <v>0.25</v>
      </c>
      <c r="F145" s="3">
        <f>0.16+VLOOKUP($I$21,$B$142:$C$152,2)</f>
        <v>0.25</v>
      </c>
      <c r="G145" s="3">
        <f>0.16+VLOOKUP($I$21,$B$142:$C$152,2)</f>
        <v>0.25</v>
      </c>
      <c r="H145" s="3">
        <f>0.12+VLOOKUP($I$21,$B$142:$C$152,2)</f>
        <v>0.21</v>
      </c>
      <c r="I145" s="3">
        <f>0.12+VLOOKUP($I$21,$B$142:$C$152,2)</f>
        <v>0.21</v>
      </c>
      <c r="J145" s="3">
        <f>0.12+VLOOKUP($I$21,$B$142:$C$152,2)</f>
        <v>0.21</v>
      </c>
      <c r="K145" s="1"/>
      <c r="M145" s="94" t="s">
        <v>71</v>
      </c>
      <c r="N145" s="3">
        <v>60</v>
      </c>
      <c r="O145" s="3">
        <v>20</v>
      </c>
      <c r="P145" s="3">
        <v>35</v>
      </c>
      <c r="Q145" s="3">
        <v>40</v>
      </c>
      <c r="R145" s="96">
        <v>60</v>
      </c>
      <c r="S145" s="96">
        <v>105</v>
      </c>
      <c r="T145" s="96">
        <v>120</v>
      </c>
      <c r="U145" s="38"/>
      <c r="V145" s="60"/>
      <c r="W145" s="60"/>
      <c r="X145" s="60"/>
      <c r="Y145" s="61"/>
      <c r="Z145" s="61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f>0.4+VLOOKUP($I$21,$B$142:$C$152,2)</f>
        <v>0.49</v>
      </c>
      <c r="E146" s="3">
        <f>0.22+VLOOKUP($I$21,$B$142:$C$152,2)</f>
        <v>0.31</v>
      </c>
      <c r="F146" s="3">
        <f>0.22+VLOOKUP($I$21,$B$142:$C$152,2)</f>
        <v>0.31</v>
      </c>
      <c r="G146" s="3">
        <f>0.22+VLOOKUP($I$21,$B$142:$C$152,2)</f>
        <v>0.31</v>
      </c>
      <c r="H146" s="3">
        <f>0.16+VLOOKUP($I$21,$B$142:$C$152,2)</f>
        <v>0.25</v>
      </c>
      <c r="I146" s="3">
        <f>0.16+VLOOKUP($I$21,$B$142:$C$152,2)</f>
        <v>0.25</v>
      </c>
      <c r="J146" s="3">
        <f>0.16+VLOOKUP($I$21,$B$142:$C$152,2)</f>
        <v>0.25</v>
      </c>
      <c r="K146" s="1"/>
      <c r="M146" s="95" t="s">
        <v>17</v>
      </c>
      <c r="N146" s="3">
        <f>SUM(N142:N145)</f>
        <v>80</v>
      </c>
      <c r="O146" s="3">
        <f aca="true" t="shared" si="56" ref="O146:T146">SUM(O142:O145)</f>
        <v>240</v>
      </c>
      <c r="P146" s="3">
        <f t="shared" si="56"/>
        <v>275</v>
      </c>
      <c r="Q146" s="3">
        <f t="shared" si="56"/>
        <v>360</v>
      </c>
      <c r="R146" s="3">
        <f t="shared" si="56"/>
        <v>720</v>
      </c>
      <c r="S146" s="3">
        <f t="shared" si="56"/>
        <v>825</v>
      </c>
      <c r="T146" s="3">
        <f t="shared" si="56"/>
        <v>1080</v>
      </c>
      <c r="U146" s="38"/>
      <c r="V146" s="60"/>
      <c r="W146" s="60"/>
      <c r="X146" s="60"/>
      <c r="Y146" s="38"/>
      <c r="Z146" s="38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f>0.5+VLOOKUP($I$21,$B$142:$C$152,2)</f>
        <v>0.59</v>
      </c>
      <c r="E147" s="3">
        <f>0.3+VLOOKUP($I$21,$B$142:$C$152,2)</f>
        <v>0.39</v>
      </c>
      <c r="F147" s="3">
        <f>0.3+VLOOKUP($I$21,$B$142:$C$152,2)</f>
        <v>0.39</v>
      </c>
      <c r="G147" s="3">
        <f>0.3+VLOOKUP($I$21,$B$142:$C$152,2)</f>
        <v>0.39</v>
      </c>
      <c r="H147" s="3">
        <f>0.2+VLOOKUP($I$21,$B$142:$C$152,2)</f>
        <v>0.29000000000000004</v>
      </c>
      <c r="I147" s="3">
        <f>0.2+VLOOKUP($I$21,$B$142:$C$152,2)</f>
        <v>0.29000000000000004</v>
      </c>
      <c r="J147" s="3">
        <f>0.2+VLOOKUP($I$21,$B$142:$C$152,2)</f>
        <v>0.29000000000000004</v>
      </c>
      <c r="K147" s="1"/>
      <c r="M147" s="62"/>
      <c r="N147" s="62"/>
      <c r="O147" s="62"/>
      <c r="P147" s="62"/>
      <c r="Q147" s="62"/>
      <c r="R147" s="62"/>
      <c r="S147" s="62"/>
      <c r="T147" s="62"/>
      <c r="U147" s="62"/>
      <c r="V147" s="60"/>
      <c r="W147" s="60"/>
      <c r="X147" s="60"/>
      <c r="Y147" s="38"/>
      <c r="Z147" s="38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f>0.6+VLOOKUP($I$21,$B$142:$C$152,2)</f>
        <v>0.69</v>
      </c>
      <c r="E148" s="3">
        <f>0.38+VLOOKUP($I$21,$B$142:$C$152,2)</f>
        <v>0.47</v>
      </c>
      <c r="F148" s="3">
        <f>0.38+VLOOKUP($I$21,$B$142:$C$152,2)</f>
        <v>0.47</v>
      </c>
      <c r="G148" s="3">
        <f>0.38+VLOOKUP($I$21,$B$142:$C$152,2)</f>
        <v>0.47</v>
      </c>
      <c r="H148" s="3">
        <f>0.24+VLOOKUP($I$21,$B$142:$C$152,2)</f>
        <v>0.32999999999999996</v>
      </c>
      <c r="I148" s="3">
        <f>0.24+VLOOKUP($I$21,$B$142:$C$152,2)</f>
        <v>0.32999999999999996</v>
      </c>
      <c r="J148" s="3">
        <f>0.24+VLOOKUP($I$21,$B$142:$C$152,2)</f>
        <v>0.32999999999999996</v>
      </c>
      <c r="K148" s="1"/>
      <c r="M148" s="62"/>
      <c r="N148" s="62"/>
      <c r="O148" s="62"/>
      <c r="P148" s="62"/>
      <c r="Q148" s="62"/>
      <c r="R148" s="62"/>
      <c r="S148" s="64"/>
      <c r="T148" s="63"/>
      <c r="U148" s="63"/>
      <c r="V148" s="60"/>
      <c r="W148" s="60"/>
      <c r="X148" s="60"/>
      <c r="Y148" s="38"/>
      <c r="Z148" s="38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f>0.75+VLOOKUP($I$21,$B$142:$C$152,2)</f>
        <v>0.84</v>
      </c>
      <c r="E149" s="3">
        <f>0.48+VLOOKUP($I$21,$B$142:$C$152,2)</f>
        <v>0.57</v>
      </c>
      <c r="F149" s="3">
        <f>0.48+VLOOKUP($I$21,$B$142:$C$152,2)</f>
        <v>0.57</v>
      </c>
      <c r="G149" s="3">
        <f>0.48+VLOOKUP($I$21,$B$142:$C$152,2)</f>
        <v>0.57</v>
      </c>
      <c r="H149" s="3">
        <f>0.28+VLOOKUP($I$21,$B$142:$C$152,2)</f>
        <v>0.37</v>
      </c>
      <c r="I149" s="3">
        <f>0.28+VLOOKUP($I$21,$B$142:$C$152,2)</f>
        <v>0.37</v>
      </c>
      <c r="J149" s="3">
        <f>0.28+VLOOKUP($I$21,$B$142:$C$152,2)</f>
        <v>0.37</v>
      </c>
      <c r="K149" s="1"/>
      <c r="M149" s="62"/>
      <c r="N149" s="62"/>
      <c r="O149" s="63"/>
      <c r="P149" s="62"/>
      <c r="Q149" s="62"/>
      <c r="R149" s="64"/>
      <c r="S149" s="62"/>
      <c r="T149" s="62"/>
      <c r="U149" s="62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f>0.9+VLOOKUP($I$21,$B$142:$C$152,2)</f>
        <v>0.99</v>
      </c>
      <c r="E150" s="3">
        <f>0.58+VLOOKUP($I$21,$B$142:$C$152,2)</f>
        <v>0.6699999999999999</v>
      </c>
      <c r="F150" s="3">
        <f>0.58+VLOOKUP($I$21,$B$142:$C$152,2)</f>
        <v>0.6699999999999999</v>
      </c>
      <c r="G150" s="3">
        <f>0.58+VLOOKUP($I$21,$B$142:$C$152,2)</f>
        <v>0.6699999999999999</v>
      </c>
      <c r="H150" s="3">
        <f>0.33+VLOOKUP($I$21,$B$142:$C$152,2)</f>
        <v>0.42000000000000004</v>
      </c>
      <c r="I150" s="3">
        <f>0.33+VLOOKUP($I$21,$B$142:$C$152,2)</f>
        <v>0.42000000000000004</v>
      </c>
      <c r="J150" s="3">
        <f>0.33+VLOOKUP($I$21,$B$142:$C$152,2)</f>
        <v>0.42000000000000004</v>
      </c>
      <c r="K150" s="1"/>
      <c r="M150" s="62"/>
      <c r="N150" s="62"/>
      <c r="O150" s="62"/>
      <c r="P150" s="63"/>
      <c r="Q150" s="62"/>
      <c r="R150" s="62"/>
      <c r="S150" s="62"/>
      <c r="T150" s="62"/>
      <c r="U150" s="62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f>1.1+VLOOKUP($I$21,$B$142:$C$152,2)</f>
        <v>1.1900000000000002</v>
      </c>
      <c r="E151" s="3">
        <f>0.68+VLOOKUP($I$21,$B$142:$C$152,2)</f>
        <v>0.77</v>
      </c>
      <c r="F151" s="3">
        <f>0.68+VLOOKUP($I$21,$B$142:$C$152,2)</f>
        <v>0.77</v>
      </c>
      <c r="G151" s="3">
        <f>0.68+VLOOKUP($I$21,$B$142:$C$152,2)</f>
        <v>0.77</v>
      </c>
      <c r="H151" s="3">
        <v>1</v>
      </c>
      <c r="I151" s="3">
        <v>1</v>
      </c>
      <c r="J151" s="3">
        <v>1</v>
      </c>
      <c r="K151" s="1"/>
      <c r="M151" s="62"/>
      <c r="N151" s="62"/>
      <c r="O151" s="62"/>
      <c r="P151" s="62"/>
      <c r="Q151" s="63"/>
      <c r="R151" s="62"/>
      <c r="S151" s="64"/>
      <c r="T151" s="62"/>
      <c r="U151" s="62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f>1.35+VLOOKUP($I$21,$B$142:$C$152,2)</f>
        <v>1.4400000000000002</v>
      </c>
      <c r="E152" s="3">
        <f>0.8+VLOOKUP($I$21,$B$142:$C$152,2)</f>
        <v>0.89</v>
      </c>
      <c r="F152" s="3">
        <f>0.8+VLOOKUP($I$21,$B$142:$C$152,2)</f>
        <v>0.89</v>
      </c>
      <c r="G152" s="3">
        <f>0.8+VLOOKUP($I$21,$B$142:$C$152,2)</f>
        <v>0.89</v>
      </c>
      <c r="H152" s="3">
        <v>1</v>
      </c>
      <c r="I152" s="3">
        <v>1</v>
      </c>
      <c r="J152" s="3">
        <v>1</v>
      </c>
      <c r="K152" s="1"/>
      <c r="M152" s="62"/>
      <c r="N152" s="62"/>
      <c r="O152" s="64"/>
      <c r="P152" s="62"/>
      <c r="Q152" s="62"/>
      <c r="R152" s="63"/>
      <c r="S152" s="62"/>
      <c r="T152" s="62"/>
      <c r="U152" s="62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2"/>
      <c r="N153" s="63"/>
      <c r="O153" s="62"/>
      <c r="P153" s="62"/>
      <c r="Q153" s="62"/>
      <c r="R153" s="62"/>
      <c r="S153" s="64"/>
      <c r="T153" s="62"/>
      <c r="U153" s="63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2"/>
      <c r="N154" s="63"/>
      <c r="O154" s="62"/>
      <c r="P154" s="62"/>
      <c r="Q154" s="65"/>
      <c r="R154" s="62"/>
      <c r="S154" s="62"/>
      <c r="T154" s="62"/>
      <c r="U154" s="62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2"/>
      <c r="N155" s="63"/>
      <c r="O155" s="62"/>
      <c r="P155" s="64"/>
      <c r="Q155" s="62"/>
      <c r="R155" s="62"/>
      <c r="S155" s="62"/>
      <c r="T155" s="62"/>
      <c r="U155" s="62"/>
      <c r="V155" s="62"/>
      <c r="W155" s="62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38"/>
      <c r="N165" s="38"/>
      <c r="O165" s="38"/>
      <c r="P165" s="38"/>
      <c r="Q165" s="38"/>
      <c r="R165" s="38"/>
      <c r="S165" s="38"/>
      <c r="T165" s="38"/>
      <c r="U165" s="63"/>
      <c r="V165" s="38"/>
      <c r="W165" s="38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38"/>
      <c r="N185" s="38"/>
      <c r="O185" s="38">
        <f>(7^2+4^2)*(1/2)</f>
        <v>32.5</v>
      </c>
      <c r="P185" s="38"/>
      <c r="Q185" s="38"/>
      <c r="R185" s="38"/>
      <c r="S185" s="38"/>
      <c r="T185" s="38"/>
      <c r="U185" s="38"/>
      <c r="V185" s="38"/>
      <c r="W185" s="38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7"/>
      <c r="Y188" s="7"/>
      <c r="Z188" s="7"/>
      <c r="AA188" s="7"/>
      <c r="AB188" s="7"/>
    </row>
    <row r="189" spans="13:28" ht="12.75" customHeight="1"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Y189" s="7"/>
      <c r="Z189" s="7"/>
      <c r="AA189" s="7"/>
      <c r="AB189" s="7"/>
    </row>
    <row r="190" spans="13:23" ht="12.75" customHeight="1"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</row>
    <row r="191" spans="13:23" ht="12.75" customHeight="1"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</row>
    <row r="192" spans="13:23" ht="12.75" customHeight="1"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</row>
    <row r="193" spans="13:23" ht="12.75" customHeight="1"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</row>
    <row r="194" spans="13:23" ht="12.75" customHeight="1"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</row>
    <row r="195" spans="13:23" ht="12.75" customHeight="1"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</row>
    <row r="196" spans="13:23" ht="12.75" customHeight="1"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spans="13:23" ht="12.75" customHeight="1"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</row>
    <row r="198" spans="13:23" ht="12.75" customHeight="1"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</row>
    <row r="199" spans="13:23" ht="12.75" customHeight="1"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</row>
    <row r="200" spans="13:23" ht="12.75" customHeight="1"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</row>
    <row r="201" spans="13:23" ht="12.75" customHeight="1"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</row>
    <row r="202" spans="13:23" ht="12.75" customHeight="1"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</row>
    <row r="203" spans="13:23" ht="12.75" customHeight="1"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</row>
    <row r="204" spans="13:23" ht="12.75" customHeight="1"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spans="13:23" ht="12.75" customHeight="1"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</row>
    <row r="206" spans="13:23" ht="12.75" customHeight="1"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</row>
    <row r="207" spans="13:23" ht="12.75" customHeight="1"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</row>
    <row r="208" spans="13:23" ht="12.75" customHeight="1"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</row>
    <row r="209" spans="13:23" ht="12.75" customHeight="1"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</row>
    <row r="210" spans="13:23" ht="12.75" customHeight="1"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</row>
    <row r="211" spans="13:23" ht="12.75" customHeight="1"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</row>
    <row r="212" spans="13:23" ht="12.75" customHeight="1"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</row>
    <row r="213" spans="13:23" ht="12.75" customHeight="1"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</row>
    <row r="214" spans="13:23" ht="12.75" customHeight="1"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</row>
    <row r="215" spans="13:23" ht="12.75" customHeight="1"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</row>
    <row r="216" spans="13:23" ht="12.75" customHeight="1"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</row>
    <row r="217" spans="13:23" ht="12.75" customHeight="1"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</row>
    <row r="218" spans="13:23" ht="12.75" customHeight="1"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</row>
    <row r="219" spans="13:23" ht="12.75" customHeight="1"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</row>
    <row r="220" spans="13:23" ht="12.75" customHeight="1"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</row>
    <row r="221" spans="13:23" ht="12.75" customHeight="1"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</row>
    <row r="222" spans="13:23" ht="12.75" customHeight="1"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</row>
    <row r="223" spans="13:23" ht="12.75" customHeight="1"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</row>
    <row r="224" spans="13:23" ht="12.75" customHeight="1"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</row>
    <row r="225" spans="13:23" ht="12.75" customHeight="1"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</row>
    <row r="226" spans="13:23" ht="12.75" customHeight="1"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</row>
    <row r="227" spans="13:23" ht="12.75" customHeight="1"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</row>
    <row r="228" spans="13:23" ht="12.75" customHeight="1"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</row>
    <row r="229" spans="13:23" ht="12.75" customHeight="1"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</row>
    <row r="230" spans="13:23" ht="12.75" customHeight="1"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</row>
    <row r="231" spans="13:23" ht="12.75" customHeight="1"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</row>
    <row r="232" spans="13:23" ht="12.75" customHeight="1"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</row>
    <row r="233" spans="13:23" ht="12.75" customHeight="1"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</row>
    <row r="234" spans="13:23" ht="12.75" customHeight="1"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</row>
    <row r="235" spans="13:23" ht="12.75" customHeight="1"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</row>
    <row r="236" spans="13:23" ht="12.75" customHeight="1"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</row>
    <row r="237" spans="13:23" ht="12.75" customHeight="1"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</row>
    <row r="238" spans="13:23" ht="12.75" customHeight="1"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</row>
    <row r="239" spans="13:23" ht="12.75" customHeight="1"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</row>
    <row r="240" spans="13:23" ht="12.75" customHeight="1"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</row>
    <row r="241" spans="13:23" ht="12.75" customHeight="1"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</row>
    <row r="242" spans="13:23" ht="12.75" customHeight="1"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</row>
    <row r="243" spans="13:23" ht="12.75" customHeight="1"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</row>
    <row r="244" spans="13:23" ht="12.75" customHeight="1"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</row>
    <row r="245" spans="13:23" ht="12.75" customHeight="1"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</row>
    <row r="246" spans="13:23" ht="12.75" customHeight="1"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</row>
    <row r="247" spans="13:23" ht="12.75" customHeight="1"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</row>
    <row r="248" spans="13:23" ht="12.75" customHeight="1"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</row>
    <row r="249" spans="13:23" ht="12.75" customHeight="1"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</row>
    <row r="250" spans="13:23" ht="12.75" customHeight="1"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</row>
    <row r="251" spans="13:23" ht="12.75" customHeight="1"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</row>
    <row r="252" spans="13:23" ht="12.75" customHeight="1"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</row>
    <row r="253" spans="13:23" ht="12.75" customHeight="1"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</row>
    <row r="254" spans="13:23" ht="12.75" customHeight="1"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</row>
    <row r="255" spans="13:23" ht="12.75" customHeight="1"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</row>
    <row r="256" spans="13:23" ht="12.75" customHeight="1"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</row>
    <row r="257" spans="13:23" ht="12.75" customHeight="1"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</row>
    <row r="258" spans="13:23" ht="12.75" customHeight="1"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</row>
    <row r="259" spans="13:23" ht="12.75" customHeight="1"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</row>
    <row r="260" spans="13:23" ht="12.75" customHeight="1"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</row>
    <row r="261" spans="13:23" ht="12.75" customHeight="1"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</row>
    <row r="262" spans="13:23" ht="12.75" customHeight="1"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</row>
    <row r="263" spans="13:23" ht="12.75" customHeight="1"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</row>
    <row r="264" spans="13:23" ht="12.75" customHeight="1"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</row>
    <row r="265" spans="13:23" ht="12.75" customHeight="1"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</row>
    <row r="266" spans="13:23" ht="12.75" customHeight="1"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</row>
    <row r="267" spans="13:23" ht="12.75" customHeight="1"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</row>
    <row r="268" spans="13:23" ht="12.75" customHeight="1"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</row>
    <row r="269" spans="13:23" ht="12.75" customHeight="1"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</row>
    <row r="270" spans="13:23" ht="12.75" customHeight="1"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</row>
    <row r="271" spans="13:23" ht="12.75" customHeight="1"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</row>
    <row r="272" spans="13:23" ht="12.75" customHeight="1"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</row>
    <row r="273" spans="13:23" ht="12.75" customHeight="1"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</row>
    <row r="274" spans="13:23" ht="12.75" customHeight="1"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</row>
    <row r="275" spans="13:23" ht="12.75" customHeight="1"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</row>
    <row r="276" spans="13:23" ht="12.75" customHeight="1"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</row>
    <row r="277" spans="13:23" ht="12.75" customHeight="1"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</row>
    <row r="278" spans="13:23" ht="12.75" customHeight="1"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</row>
    <row r="279" spans="13:23" ht="12.75" customHeight="1"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</row>
    <row r="280" spans="13:23" ht="12.75" customHeight="1"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</row>
    <row r="281" spans="13:23" ht="12.75" customHeight="1"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</row>
    <row r="282" spans="13:23" ht="12.75" customHeight="1"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</row>
    <row r="283" spans="13:23" ht="12.75" customHeight="1"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</row>
    <row r="284" spans="13:23" ht="12.75" customHeight="1"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</row>
    <row r="285" spans="13:23" ht="12.75" customHeight="1"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</row>
    <row r="286" spans="13:23" ht="12.75" customHeight="1"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</row>
    <row r="287" spans="13:23" ht="12.75" customHeight="1"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</row>
    <row r="288" spans="13:23" ht="12.75" customHeight="1"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</row>
    <row r="289" spans="13:23" ht="12.75" customHeight="1"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</row>
    <row r="290" spans="13:23" ht="12.75" customHeight="1"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</row>
  </sheetData>
  <sheetProtection/>
  <mergeCells count="59">
    <mergeCell ref="G16:H16"/>
    <mergeCell ref="N20:O20"/>
    <mergeCell ref="C40:D40"/>
    <mergeCell ref="G29:H29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M140:T140"/>
    <mergeCell ref="M22:N23"/>
    <mergeCell ref="N32:O32"/>
    <mergeCell ref="P32:Q32"/>
    <mergeCell ref="G23:H23"/>
    <mergeCell ref="G24:H24"/>
    <mergeCell ref="B140:J140"/>
    <mergeCell ref="B137:D138"/>
    <mergeCell ref="I39:J39"/>
    <mergeCell ref="G39:H39"/>
    <mergeCell ref="B47:E47"/>
    <mergeCell ref="G25:H25"/>
    <mergeCell ref="D23:E23"/>
    <mergeCell ref="G22:H22"/>
    <mergeCell ref="M35:U35"/>
    <mergeCell ref="P20:Q20"/>
    <mergeCell ref="G21:H21"/>
    <mergeCell ref="B35:D35"/>
    <mergeCell ref="B23:C23"/>
    <mergeCell ref="G41:H41"/>
    <mergeCell ref="E41:F41"/>
    <mergeCell ref="C36:D36"/>
    <mergeCell ref="E36:F36"/>
    <mergeCell ref="G36:H36"/>
    <mergeCell ref="I36:J36"/>
    <mergeCell ref="C37:D37"/>
    <mergeCell ref="I37:J37"/>
    <mergeCell ref="G37:H37"/>
    <mergeCell ref="E37:F37"/>
    <mergeCell ref="E39:F39"/>
    <mergeCell ref="C39:D39"/>
    <mergeCell ref="I43:J43"/>
    <mergeCell ref="G43:H43"/>
    <mergeCell ref="E43:F43"/>
    <mergeCell ref="G47:I47"/>
    <mergeCell ref="I40:J40"/>
    <mergeCell ref="G40:H40"/>
    <mergeCell ref="E40:F40"/>
    <mergeCell ref="I41:J41"/>
  </mergeCells>
  <dataValidations count="4">
    <dataValidation type="list" allowBlank="1" showInputMessage="1" showErrorMessage="1" sqref="I21:I28">
      <formula1>$B$142:$B$152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E24">
      <formula1>"1,1.2,1.4,1.6,2.0"</formula1>
    </dataValidation>
    <dataValidation type="list" allowBlank="1" showInputMessage="1" showErrorMessage="1" sqref="I29">
      <formula1>"有り,無し"</formula1>
    </dataValidation>
  </dataValidation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2010-01-22T16:33:18Z</dcterms:created>
  <dcterms:modified xsi:type="dcterms:W3CDTF">2010-02-26T02:37:01Z</dcterms:modified>
  <cp:category/>
  <cp:version/>
  <cp:contentType/>
  <cp:contentStatus/>
</cp:coreProperties>
</file>