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vUP後のステ" sheetId="1" r:id="rId1"/>
    <sheet name="２(mixi)鯖" sheetId="2" r:id="rId2"/>
    <sheet name="１鯖" sheetId="3" r:id="rId3"/>
    <sheet name="武将一覧" sheetId="4" r:id="rId4"/>
  </sheets>
  <definedNames>
    <definedName name="_xlnm._FilterDatabase" localSheetId="0" hidden="1">'LvUP後のステ'!$A$3:$AF$113</definedName>
    <definedName name="Excel_BuiltIn__FilterDatabase_4">'武将一覧'!$A$6:$O$131</definedName>
    <definedName name="番号">'武将一覧'!$A$7:$A$131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7" authorId="0">
      <text>
        <r>
          <rPr>
            <b/>
            <sz val="9"/>
            <color indexed="8"/>
            <rFont val="ＭＳ Ｐゴシック"/>
            <family val="3"/>
          </rPr>
          <t>セルをクリックするとリストが表示されるものがあります。</t>
        </r>
      </text>
    </comment>
    <comment ref="B9" authorId="0">
      <text>
        <r>
          <rPr>
            <b/>
            <sz val="9"/>
            <color indexed="8"/>
            <rFont val="ＭＳ Ｐゴシック"/>
            <family val="3"/>
          </rPr>
          <t>上級兵（矛槍など）はまだ入力しないでください。入力すると大変なことになります。</t>
        </r>
      </text>
    </comment>
    <comment ref="G13" authorId="0">
      <text>
        <r>
          <rPr>
            <sz val="9"/>
            <color indexed="8"/>
            <rFont val="ＭＳ Ｐゴシック"/>
            <family val="3"/>
          </rPr>
          <t xml:space="preserve">例
１１．６％増加
↓
0.116を代入
</t>
        </r>
      </text>
    </comment>
    <comment ref="I21" authorId="0">
      <text>
        <r>
          <rPr>
            <b/>
            <sz val="9"/>
            <color indexed="8"/>
            <rFont val="ＭＳ Ｐゴシック"/>
            <family val="3"/>
          </rPr>
          <t>L1: 0.000    L6: 0.075
L2: 0.015    L7: 0.090
L3: 0.030    L8: 0.105
L4: 0.045    L9: 0.120
L5: 0.060    L10:0.150</t>
        </r>
      </text>
    </comment>
    <comment ref="I22" authorId="0">
      <text>
        <r>
          <rPr>
            <b/>
            <sz val="9"/>
            <color indexed="8"/>
            <rFont val="ＭＳ Ｐゴシック"/>
            <family val="3"/>
          </rPr>
          <t>L1: 1.10    L6: 1.60
L2: 1.20    L7: 1.75
L3: 1.30    L8: 1.90
L4: 1.40    L9: 2.10
L5: 1.50    L10:2.35</t>
        </r>
      </text>
    </comment>
    <comment ref="I23" authorId="0">
      <text>
        <r>
          <rPr>
            <b/>
            <sz val="9"/>
            <color indexed="8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4" authorId="0">
      <text>
        <r>
          <rPr>
            <b/>
            <sz val="9"/>
            <color indexed="8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5" authorId="0">
      <text>
        <r>
          <rPr>
            <b/>
            <sz val="9"/>
            <color indexed="8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6" authorId="0">
      <text>
        <r>
          <rPr>
            <b/>
            <sz val="9"/>
            <color indexed="8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7" authorId="0">
      <text>
        <r>
          <rPr>
            <b/>
            <sz val="9"/>
            <color indexed="8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8" authorId="0">
      <text>
        <r>
          <rPr>
            <b/>
            <sz val="9"/>
            <color indexed="8"/>
            <rFont val="ＭＳ Ｐゴシック"/>
            <family val="3"/>
          </rPr>
          <t>L1: 1.03   L6: 1.25
L2: 1.06   L7: 1.35
L3: 1.10   L8: 1.40
L4: 1.15   L9: 1.45
L5: 1.20   L10:1.60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7" authorId="0">
      <text>
        <r>
          <rPr>
            <b/>
            <sz val="9"/>
            <color indexed="8"/>
            <rFont val="ＭＳ Ｐゴシック"/>
            <family val="3"/>
          </rPr>
          <t>セルをクリックするとリストが表示されるものがあります。</t>
        </r>
      </text>
    </comment>
    <comment ref="B9" authorId="0">
      <text>
        <r>
          <rPr>
            <b/>
            <sz val="9"/>
            <color indexed="8"/>
            <rFont val="ＭＳ Ｐゴシック"/>
            <family val="3"/>
          </rPr>
          <t>上級兵（矛槍など）はまだ入力しないでください。入力すると大変なことになります。</t>
        </r>
      </text>
    </comment>
    <comment ref="G13" authorId="0">
      <text>
        <r>
          <rPr>
            <sz val="9"/>
            <color indexed="8"/>
            <rFont val="ＭＳ Ｐゴシック"/>
            <family val="3"/>
          </rPr>
          <t xml:space="preserve">例
１１．６％増加
↓
0.116を代入
</t>
        </r>
      </text>
    </comment>
    <comment ref="I21" authorId="0">
      <text>
        <r>
          <rPr>
            <b/>
            <sz val="9"/>
            <color indexed="8"/>
            <rFont val="ＭＳ Ｐゴシック"/>
            <family val="3"/>
          </rPr>
          <t>L1: 0.000    L6: 0.075
L2: 0.015    L7: 0.090
L3: 0.030    L8: 0.105
L4: 0.045    L9: 0.120
L5: 0.060    L10:0.150</t>
        </r>
      </text>
    </comment>
    <comment ref="I22" authorId="0">
      <text>
        <r>
          <rPr>
            <b/>
            <sz val="9"/>
            <color indexed="8"/>
            <rFont val="ＭＳ Ｐゴシック"/>
            <family val="3"/>
          </rPr>
          <t>L1: 1.10    L6: 1.70
L2: 1.20    L7: 1.90
L3: 1.35    L8: 2.00
L4: 1.45    L9: 2.10
L5: 1.60    L10:2.35</t>
        </r>
      </text>
    </comment>
    <comment ref="I23" authorId="0">
      <text>
        <r>
          <rPr>
            <b/>
            <sz val="9"/>
            <color indexed="8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4" authorId="0">
      <text>
        <r>
          <rPr>
            <b/>
            <sz val="9"/>
            <color indexed="8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5" authorId="0">
      <text>
        <r>
          <rPr>
            <b/>
            <sz val="9"/>
            <color indexed="8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6" authorId="0">
      <text>
        <r>
          <rPr>
            <b/>
            <sz val="9"/>
            <color indexed="8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7" authorId="0">
      <text>
        <r>
          <rPr>
            <b/>
            <sz val="9"/>
            <color indexed="8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8" authorId="0">
      <text>
        <r>
          <rPr>
            <b/>
            <sz val="9"/>
            <color indexed="8"/>
            <rFont val="ＭＳ Ｐゴシック"/>
            <family val="3"/>
          </rPr>
          <t>L1: 1.03   L6: 1.25
L2: 1.06   L7: 1.35
L3: 1.10   L8: 1.40
L4: 1.15   L9: 1.45
L5: 1.20   L10:1.60</t>
        </r>
      </text>
    </comment>
  </commentList>
</comments>
</file>

<file path=xl/sharedStrings.xml><?xml version="1.0" encoding="utf-8"?>
<sst xmlns="http://schemas.openxmlformats.org/spreadsheetml/2006/main" count="1203" uniqueCount="278">
  <si>
    <t>№</t>
  </si>
  <si>
    <t>番号</t>
  </si>
  <si>
    <t>ユーザー割振り</t>
  </si>
  <si>
    <t>武将</t>
  </si>
  <si>
    <t>現在のステータス</t>
  </si>
  <si>
    <t>メモ</t>
  </si>
  <si>
    <t>初期値</t>
  </si>
  <si>
    <t>P全振り用</t>
  </si>
  <si>
    <t>個別用</t>
  </si>
  <si>
    <t>係数</t>
  </si>
  <si>
    <t>攻撃P</t>
  </si>
  <si>
    <t>知力P</t>
  </si>
  <si>
    <t>防御P</t>
  </si>
  <si>
    <t>移動P</t>
  </si>
  <si>
    <t>武将名</t>
  </si>
  <si>
    <t>ランク</t>
  </si>
  <si>
    <t>コスト</t>
  </si>
  <si>
    <t>兵科</t>
  </si>
  <si>
    <t>攻撃力</t>
  </si>
  <si>
    <t>歩兵防御力</t>
  </si>
  <si>
    <t>槍兵防御力</t>
  </si>
  <si>
    <t>弓兵防御力</t>
  </si>
  <si>
    <t>騎兵防御力</t>
  </si>
  <si>
    <t>知力</t>
  </si>
  <si>
    <t>移動速度</t>
  </si>
  <si>
    <t>型</t>
  </si>
  <si>
    <t>初期スキル</t>
  </si>
  <si>
    <t>スキル1</t>
  </si>
  <si>
    <t>スキル2</t>
  </si>
  <si>
    <t>スキル3</t>
  </si>
  <si>
    <t>自分カテゴリ</t>
  </si>
  <si>
    <t>両用</t>
  </si>
  <si>
    <t>攻撃用</t>
  </si>
  <si>
    <t>２(mixi)鯖用</t>
  </si>
  <si>
    <t>入力</t>
  </si>
  <si>
    <t>結果</t>
  </si>
  <si>
    <t>３：各種値の代入</t>
  </si>
  <si>
    <t>攻撃側参戦武将</t>
  </si>
  <si>
    <t>１：参戦兵数</t>
  </si>
  <si>
    <t>HP</t>
  </si>
  <si>
    <t>剣兵</t>
  </si>
  <si>
    <t>槍兵</t>
  </si>
  <si>
    <t>弓兵</t>
  </si>
  <si>
    <t>騎馬兵</t>
  </si>
  <si>
    <t>矛槍兵</t>
  </si>
  <si>
    <t>弩兵</t>
  </si>
  <si>
    <t>近衛兵</t>
  </si>
  <si>
    <t>武将ＨＰ</t>
  </si>
  <si>
    <t>出陣</t>
  </si>
  <si>
    <t>攻撃兵</t>
  </si>
  <si>
    <t>兵数</t>
  </si>
  <si>
    <t>守備兵</t>
  </si>
  <si>
    <t>属性</t>
  </si>
  <si>
    <t>騎馬</t>
  </si>
  <si>
    <t>被害数</t>
  </si>
  <si>
    <t>討伐ゲージ</t>
  </si>
  <si>
    <t>生存数</t>
  </si>
  <si>
    <t>スキルによる攻撃付加（少数入力）</t>
  </si>
  <si>
    <t>石弓兵</t>
  </si>
  <si>
    <t>斥侯</t>
  </si>
  <si>
    <t>斥侯騎兵</t>
  </si>
  <si>
    <t>兵全体</t>
  </si>
  <si>
    <t>矛槍</t>
  </si>
  <si>
    <t>剣兵攻撃</t>
  </si>
  <si>
    <t>弩</t>
  </si>
  <si>
    <t>近衛</t>
  </si>
  <si>
    <t>斥侯騎</t>
  </si>
  <si>
    <t>施設による攻撃付加（少数入力）</t>
  </si>
  <si>
    <t>習得経験値</t>
  </si>
  <si>
    <t>合計数</t>
  </si>
  <si>
    <t>鍛冶場Ｌｖ</t>
  </si>
  <si>
    <t>剣兵強化</t>
  </si>
  <si>
    <t>槍兵強化</t>
  </si>
  <si>
    <t>弓兵強化</t>
  </si>
  <si>
    <t>騎馬兵強化</t>
  </si>
  <si>
    <t>矛槍兵強化</t>
  </si>
  <si>
    <t>弩兵強化</t>
  </si>
  <si>
    <t>近衛騎兵強化</t>
  </si>
  <si>
    <t>各値補正表</t>
  </si>
  <si>
    <t>兵科別の戦闘表</t>
  </si>
  <si>
    <t>武将攻撃力</t>
  </si>
  <si>
    <t>兵攻撃</t>
  </si>
  <si>
    <t>武将攻撃</t>
  </si>
  <si>
    <t>合計攻撃</t>
  </si>
  <si>
    <t>基本防御値</t>
  </si>
  <si>
    <t>防御兵</t>
  </si>
  <si>
    <t>敵防御</t>
  </si>
  <si>
    <t>剣</t>
  </si>
  <si>
    <t>槍</t>
  </si>
  <si>
    <t>弓</t>
  </si>
  <si>
    <t>石弓</t>
  </si>
  <si>
    <t>攻撃相対表</t>
  </si>
  <si>
    <t>守備相対表</t>
  </si>
  <si>
    <t>合計</t>
  </si>
  <si>
    <t>兵攻撃値</t>
  </si>
  <si>
    <t>武将攻撃値</t>
  </si>
  <si>
    <t>相対攻撃</t>
  </si>
  <si>
    <t>相対兵数</t>
  </si>
  <si>
    <t>近衛騎</t>
  </si>
  <si>
    <t>データ置き場</t>
  </si>
  <si>
    <t>鍛冶場Ｌ</t>
  </si>
  <si>
    <t>１鯖用</t>
  </si>
  <si>
    <t>備考</t>
  </si>
  <si>
    <t>名前</t>
  </si>
  <si>
    <t>攻撃</t>
  </si>
  <si>
    <t>歩防</t>
  </si>
  <si>
    <t>槍防</t>
  </si>
  <si>
    <t>騎防</t>
  </si>
  <si>
    <t>弓防</t>
  </si>
  <si>
    <t>移動</t>
  </si>
  <si>
    <t>スキル</t>
  </si>
  <si>
    <t>カード</t>
  </si>
  <si>
    <t>劉備</t>
  </si>
  <si>
    <t>R</t>
  </si>
  <si>
    <t>防</t>
  </si>
  <si>
    <t>仁君Lv4</t>
  </si>
  <si>
    <t>2009/07/13追加</t>
  </si>
  <si>
    <t>諸葛亮</t>
  </si>
  <si>
    <t>SR</t>
  </si>
  <si>
    <t>攻</t>
  </si>
  <si>
    <t>神算鬼謀LV2</t>
  </si>
  <si>
    <t>関羽</t>
  </si>
  <si>
    <t>軍神LV2</t>
  </si>
  <si>
    <t>張飛</t>
  </si>
  <si>
    <t>槍兵の猛撃LV2</t>
  </si>
  <si>
    <t>趙雲</t>
  </si>
  <si>
    <t>騎</t>
  </si>
  <si>
    <t>騎兵突撃LV3</t>
  </si>
  <si>
    <t>馬超</t>
  </si>
  <si>
    <t>騎兵の猛撃LV2</t>
  </si>
  <si>
    <t>UC</t>
  </si>
  <si>
    <t>仁君Lv1</t>
  </si>
  <si>
    <t>2次β初期</t>
  </si>
  <si>
    <t>防(内政)</t>
  </si>
  <si>
    <t>食糧知識LV5</t>
  </si>
  <si>
    <t>奇計百出Lv1</t>
  </si>
  <si>
    <t>槍兵の進撃Lv1</t>
  </si>
  <si>
    <t>槍兵の進撃Lv3</t>
  </si>
  <si>
    <t>豪傑LV3</t>
  </si>
  <si>
    <t>C</t>
  </si>
  <si>
    <t>豪傑Lv1</t>
  </si>
  <si>
    <t>徐庶</t>
  </si>
  <si>
    <t>奇計百出LV2</t>
  </si>
  <si>
    <t>黄忠</t>
  </si>
  <si>
    <t>弓兵突撃LV2</t>
  </si>
  <si>
    <t>龐統</t>
  </si>
  <si>
    <t>兵器の進撃LV3</t>
  </si>
  <si>
    <t>廖化</t>
  </si>
  <si>
    <t>槍兵防御LV2</t>
  </si>
  <si>
    <t>槍兵防御Lv1</t>
  </si>
  <si>
    <t>馬岱</t>
  </si>
  <si>
    <t>騎兵の進撃LV2</t>
  </si>
  <si>
    <t>騎兵の進撃Lv1</t>
  </si>
  <si>
    <t>周倉</t>
  </si>
  <si>
    <t>関平</t>
  </si>
  <si>
    <t>槍兵の進撃LV2</t>
  </si>
  <si>
    <t>伊籍</t>
  </si>
  <si>
    <t>歩</t>
  </si>
  <si>
    <t>伐採知識LV2</t>
  </si>
  <si>
    <t>伐採知識Lv1</t>
  </si>
  <si>
    <t>沙摩柯</t>
  </si>
  <si>
    <t>剣兵の進撃LV3</t>
  </si>
  <si>
    <t>剣兵の進撃Lv1</t>
  </si>
  <si>
    <t>簡雍</t>
  </si>
  <si>
    <t>食糧知識LV2</t>
  </si>
  <si>
    <t>食糧知識Lv1</t>
  </si>
  <si>
    <t>雷銅</t>
  </si>
  <si>
    <t>魏延</t>
  </si>
  <si>
    <t>槍兵突撃LV2</t>
  </si>
  <si>
    <t>馬謖</t>
  </si>
  <si>
    <t>製鉄知識LV2</t>
  </si>
  <si>
    <t>曹操</t>
  </si>
  <si>
    <t>魏王の号令LV3</t>
  </si>
  <si>
    <t>司馬懿</t>
  </si>
  <si>
    <t>深慮遠謀LV2</t>
  </si>
  <si>
    <t>荀彧</t>
  </si>
  <si>
    <t>王佐の才LV3</t>
  </si>
  <si>
    <t>夏候惇</t>
  </si>
  <si>
    <t>騎兵の進撃Lv3</t>
  </si>
  <si>
    <t>張遼</t>
  </si>
  <si>
    <t>覇王の進撃LV2</t>
  </si>
  <si>
    <t>張郃</t>
  </si>
  <si>
    <t>騎兵突撃Lv3</t>
  </si>
  <si>
    <t>英雄Lv4</t>
  </si>
  <si>
    <t>英雄Lv2</t>
  </si>
  <si>
    <t>夏侯惇</t>
  </si>
  <si>
    <t>騎兵の進撃LV1</t>
  </si>
  <si>
    <t>夏侯淵</t>
  </si>
  <si>
    <t>弓兵の進撃LV2</t>
  </si>
  <si>
    <t>夏候淵</t>
  </si>
  <si>
    <t>弓兵の進撃Lv1</t>
  </si>
  <si>
    <t>許褚</t>
  </si>
  <si>
    <t>典韋</t>
  </si>
  <si>
    <t>鉄壁Lv1</t>
  </si>
  <si>
    <t>曹仁</t>
  </si>
  <si>
    <t>徐晃</t>
  </si>
  <si>
    <t>于禁</t>
  </si>
  <si>
    <t>騎兵突撃Lv2</t>
  </si>
  <si>
    <t>蔡瑁</t>
  </si>
  <si>
    <t>弓兵防御Lv1</t>
  </si>
  <si>
    <t>文聘</t>
  </si>
  <si>
    <t>張魯</t>
  </si>
  <si>
    <t>曹真</t>
  </si>
  <si>
    <t>張允</t>
  </si>
  <si>
    <t>弓兵行軍LV3</t>
  </si>
  <si>
    <t>弓兵行軍Lv1</t>
  </si>
  <si>
    <t>華歆</t>
  </si>
  <si>
    <t>練兵訓練Lv1</t>
  </si>
  <si>
    <t>朱霊</t>
  </si>
  <si>
    <t>厩舎訓練LV3</t>
  </si>
  <si>
    <t>厩舎訓練Lv1</t>
  </si>
  <si>
    <t>曹昂</t>
  </si>
  <si>
    <t>騎兵防御LV2</t>
  </si>
  <si>
    <t>騎兵防御Lv1</t>
  </si>
  <si>
    <t>楽進</t>
  </si>
  <si>
    <t>騎兵突撃LV2</t>
  </si>
  <si>
    <t>曹休</t>
  </si>
  <si>
    <t>孫権</t>
  </si>
  <si>
    <t>呉の治世LV3</t>
  </si>
  <si>
    <t>周瑜</t>
  </si>
  <si>
    <t>弓将の采配LV1</t>
  </si>
  <si>
    <t>陸遜</t>
  </si>
  <si>
    <t>王者の護りLV2</t>
  </si>
  <si>
    <t>孫策</t>
  </si>
  <si>
    <t>甘寧</t>
  </si>
  <si>
    <t>弓兵の猛撃LV1</t>
  </si>
  <si>
    <t>孫尚香</t>
  </si>
  <si>
    <t>弓腰姫の愛LV4</t>
  </si>
  <si>
    <t>呂蒙</t>
  </si>
  <si>
    <t>呉の治世Lv1</t>
  </si>
  <si>
    <t>弓兵防御Lv3</t>
  </si>
  <si>
    <t>程普</t>
  </si>
  <si>
    <t>兵舎訓練LV2</t>
  </si>
  <si>
    <t>黄蓋</t>
  </si>
  <si>
    <t>兵器行軍LV3</t>
  </si>
  <si>
    <t>諸葛瑾</t>
  </si>
  <si>
    <t>朱治</t>
  </si>
  <si>
    <t>弓兵防御Lv2</t>
  </si>
  <si>
    <t>韓当</t>
  </si>
  <si>
    <t>騎兵行軍Lv1</t>
  </si>
  <si>
    <t>蘇飛</t>
  </si>
  <si>
    <t>闞沢</t>
  </si>
  <si>
    <t>石切知識LV2</t>
  </si>
  <si>
    <t>石切知識Lv1</t>
  </si>
  <si>
    <t>蒋欽</t>
  </si>
  <si>
    <t>孫翊</t>
  </si>
  <si>
    <t>豪傑Lv2</t>
  </si>
  <si>
    <t>孫匡</t>
  </si>
  <si>
    <t>弓兵訓練LV2</t>
  </si>
  <si>
    <t>祖茂</t>
  </si>
  <si>
    <t>呂布</t>
  </si>
  <si>
    <t>飛将LV1</t>
  </si>
  <si>
    <t>董卓</t>
  </si>
  <si>
    <t>剣兵の進撃LV4</t>
  </si>
  <si>
    <t>袁紹</t>
  </si>
  <si>
    <t>弓兵突撃LV3</t>
  </si>
  <si>
    <t>公孫瓚</t>
  </si>
  <si>
    <t>袁術</t>
  </si>
  <si>
    <t>練兵訓練LV4</t>
  </si>
  <si>
    <t>孟獲</t>
  </si>
  <si>
    <t>蛮族の襲撃LV2</t>
  </si>
  <si>
    <t>蛮族の襲撃Lv1</t>
  </si>
  <si>
    <t>劉焉</t>
  </si>
  <si>
    <t>兵器訓練LV2</t>
  </si>
  <si>
    <t>劉表</t>
  </si>
  <si>
    <t>孔融</t>
  </si>
  <si>
    <t>製鉄知識Lv1</t>
  </si>
  <si>
    <t>黄祖</t>
  </si>
  <si>
    <t>弓兵行軍LV4</t>
  </si>
  <si>
    <t>牛輔</t>
  </si>
  <si>
    <t>槍兵行軍LV3</t>
  </si>
  <si>
    <t>槍兵行軍Lv1</t>
  </si>
  <si>
    <t>郭汜</t>
  </si>
  <si>
    <t>騎兵行軍LV2</t>
  </si>
  <si>
    <t>祝融</t>
  </si>
  <si>
    <t>火神の攻勢LV3</t>
  </si>
  <si>
    <t>火神の攻勢Lv1</t>
  </si>
  <si>
    <t>李傕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</si>
</sst>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"/>
    <numFmt numFmtId="166" formatCode="0.00"/>
    <numFmt numFmtId="167" formatCode="0.0000"/>
    <numFmt numFmtId="168" formatCode="0.000"/>
    <numFmt numFmtId="169" formatCode="0.0"/>
    <numFmt numFmtId="170" formatCode="0_ "/>
    <numFmt numFmtId="171" formatCode="H:MM"/>
    <numFmt numFmtId="172" formatCode="0.0_ "/>
    <numFmt numFmtId="173" formatCode="0.0000_ "/>
    <numFmt numFmtId="174" formatCode="0.000_ "/>
  </numFmts>
  <fonts count="32">
    <font>
      <sz val="11"/>
      <name val="ＭＳ Ｐゴシック"/>
      <family val="3"/>
    </font>
    <font>
      <sz val="10"/>
      <name val="Ari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sz val="8"/>
      <color indexed="10"/>
      <name val="ＭＳ Ｐゴシック"/>
      <family val="3"/>
    </font>
    <font>
      <b/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ck">
        <color indexed="8"/>
      </right>
      <top style="medium">
        <color indexed="12"/>
      </top>
      <bottom style="thin">
        <color indexed="12"/>
      </bottom>
    </border>
    <border>
      <left style="thick">
        <color indexed="8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ck">
        <color indexed="8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8"/>
      </right>
      <top style="medium">
        <color indexed="12"/>
      </top>
      <bottom style="thin">
        <color indexed="12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ck">
        <color indexed="8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8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thick">
        <color indexed="8"/>
      </right>
      <top style="thin">
        <color indexed="12"/>
      </top>
      <bottom style="medium">
        <color indexed="12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ck">
        <color indexed="8"/>
      </right>
      <top style="medium">
        <color indexed="10"/>
      </top>
      <bottom style="thin">
        <color indexed="10"/>
      </bottom>
    </border>
    <border>
      <left style="thick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ck">
        <color indexed="8"/>
      </right>
      <top style="thin">
        <color indexed="10"/>
      </top>
      <bottom style="thin">
        <color indexed="10"/>
      </bottom>
    </border>
    <border>
      <left style="thick">
        <color indexed="8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ck">
        <color indexed="8"/>
      </right>
      <top style="thin">
        <color indexed="10"/>
      </top>
      <bottom style="medium">
        <color indexed="10"/>
      </bottom>
    </border>
    <border>
      <left style="thick">
        <color indexed="8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2"/>
      </left>
      <right style="medium">
        <color indexed="8"/>
      </right>
      <top style="thin">
        <color indexed="12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8"/>
      </right>
      <top style="thin">
        <color indexed="12"/>
      </top>
      <bottom style="medium">
        <color indexed="12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medium">
        <color indexed="12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12"/>
      </right>
      <top style="medium">
        <color indexed="8"/>
      </top>
      <bottom style="thick">
        <color indexed="12"/>
      </bottom>
    </border>
    <border>
      <left>
        <color indexed="63"/>
      </left>
      <right style="thin">
        <color indexed="12"/>
      </right>
      <top style="medium">
        <color indexed="8"/>
      </top>
      <bottom style="thin">
        <color indexed="12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12"/>
      </top>
      <bottom style="thin">
        <color indexed="10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ck">
        <color indexed="8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ck">
        <color indexed="8"/>
      </top>
      <bottom style="thin">
        <color indexed="12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medium">
        <color indexed="8"/>
      </left>
      <right style="medium">
        <color indexed="8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medium">
        <color indexed="8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8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56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8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8"/>
      </top>
      <bottom>
        <color indexed="63"/>
      </bottom>
    </border>
    <border>
      <left style="thin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8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 diagonalUp="1"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 style="thin">
        <color indexed="12"/>
      </diagonal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 style="thin">
        <color indexed="56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10"/>
      </right>
      <top style="medium">
        <color indexed="8"/>
      </top>
      <bottom style="medium">
        <color indexed="8"/>
      </bottom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</border>
    <border>
      <left style="thin">
        <color indexed="10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12"/>
      </bottom>
    </border>
    <border diagonalUp="1">
      <left style="thin">
        <color indexed="12"/>
      </left>
      <right>
        <color indexed="63"/>
      </right>
      <top>
        <color indexed="63"/>
      </top>
      <bottom style="medium">
        <color indexed="8"/>
      </bottom>
      <diagonal style="thin">
        <color indexed="12"/>
      </diagonal>
    </border>
    <border>
      <left>
        <color indexed="63"/>
      </left>
      <right style="thin">
        <color indexed="12"/>
      </right>
      <top style="thick">
        <color indexed="8"/>
      </top>
      <bottom>
        <color indexed="63"/>
      </bottom>
    </border>
    <border diagonalUp="1">
      <left style="thin">
        <color indexed="12"/>
      </left>
      <right>
        <color indexed="63"/>
      </right>
      <top>
        <color indexed="63"/>
      </top>
      <bottom>
        <color indexed="63"/>
      </bottom>
      <diagonal style="thin">
        <color indexed="12"/>
      </diagonal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12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12"/>
      </left>
      <right style="thin">
        <color indexed="10"/>
      </right>
      <top>
        <color indexed="63"/>
      </top>
      <bottom style="medium">
        <color indexed="8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3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Protection="0">
      <alignment vertical="center"/>
    </xf>
    <xf numFmtId="164" fontId="2" fillId="3" borderId="0" applyNumberFormat="0" applyBorder="0" applyProtection="0">
      <alignment vertical="center"/>
    </xf>
    <xf numFmtId="164" fontId="2" fillId="4" borderId="0" applyNumberFormat="0" applyBorder="0" applyProtection="0">
      <alignment vertical="center"/>
    </xf>
    <xf numFmtId="164" fontId="2" fillId="5" borderId="0" applyNumberFormat="0" applyBorder="0" applyProtection="0">
      <alignment vertical="center"/>
    </xf>
    <xf numFmtId="164" fontId="2" fillId="6" borderId="0" applyNumberFormat="0" applyBorder="0" applyProtection="0">
      <alignment vertical="center"/>
    </xf>
    <xf numFmtId="164" fontId="2" fillId="7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2" fillId="10" borderId="0" applyNumberFormat="0" applyBorder="0" applyProtection="0">
      <alignment vertical="center"/>
    </xf>
    <xf numFmtId="164" fontId="2" fillId="5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  <xf numFmtId="164" fontId="2" fillId="11" borderId="0" applyNumberFormat="0" applyBorder="0" applyProtection="0">
      <alignment vertical="center"/>
    </xf>
    <xf numFmtId="164" fontId="3" fillId="12" borderId="0" applyNumberFormat="0" applyBorder="0" applyProtection="0">
      <alignment vertical="center"/>
    </xf>
    <xf numFmtId="164" fontId="3" fillId="9" borderId="0" applyNumberFormat="0" applyBorder="0" applyProtection="0">
      <alignment vertical="center"/>
    </xf>
    <xf numFmtId="164" fontId="3" fillId="10" borderId="0" applyNumberFormat="0" applyBorder="0" applyProtection="0">
      <alignment vertical="center"/>
    </xf>
    <xf numFmtId="164" fontId="3" fillId="13" borderId="0" applyNumberFormat="0" applyBorder="0" applyProtection="0">
      <alignment vertical="center"/>
    </xf>
    <xf numFmtId="164" fontId="3" fillId="14" borderId="0" applyNumberFormat="0" applyBorder="0" applyProtection="0">
      <alignment vertical="center"/>
    </xf>
    <xf numFmtId="164" fontId="3" fillId="15" borderId="0" applyNumberFormat="0" applyBorder="0" applyProtection="0">
      <alignment vertical="center"/>
    </xf>
    <xf numFmtId="164" fontId="3" fillId="16" borderId="0" applyNumberFormat="0" applyBorder="0" applyProtection="0">
      <alignment vertical="center"/>
    </xf>
    <xf numFmtId="164" fontId="3" fillId="17" borderId="0" applyNumberFormat="0" applyBorder="0" applyProtection="0">
      <alignment vertical="center"/>
    </xf>
    <xf numFmtId="164" fontId="3" fillId="18" borderId="0" applyNumberFormat="0" applyBorder="0" applyProtection="0">
      <alignment vertical="center"/>
    </xf>
    <xf numFmtId="164" fontId="3" fillId="13" borderId="0" applyNumberFormat="0" applyBorder="0" applyProtection="0">
      <alignment vertical="center"/>
    </xf>
    <xf numFmtId="164" fontId="3" fillId="14" borderId="0" applyNumberFormat="0" applyBorder="0" applyProtection="0">
      <alignment vertical="center"/>
    </xf>
    <xf numFmtId="164" fontId="3" fillId="19" borderId="0" applyNumberFormat="0" applyBorder="0" applyProtection="0">
      <alignment vertical="center"/>
    </xf>
    <xf numFmtId="164" fontId="4" fillId="0" borderId="0" applyNumberFormat="0" applyFill="0" applyBorder="0" applyProtection="0">
      <alignment vertical="center"/>
    </xf>
    <xf numFmtId="164" fontId="5" fillId="20" borderId="1" applyNumberFormat="0" applyProtection="0">
      <alignment vertical="center"/>
    </xf>
    <xf numFmtId="164" fontId="6" fillId="21" borderId="0" applyNumberFormat="0" applyBorder="0" applyProtection="0">
      <alignment vertical="center"/>
    </xf>
    <xf numFmtId="164" fontId="0" fillId="22" borderId="2" applyNumberFormat="0" applyProtection="0">
      <alignment vertical="center"/>
    </xf>
    <xf numFmtId="164" fontId="7" fillId="0" borderId="3" applyNumberFormat="0" applyFill="0" applyProtection="0">
      <alignment vertical="center"/>
    </xf>
    <xf numFmtId="164" fontId="8" fillId="3" borderId="0" applyNumberFormat="0" applyBorder="0" applyProtection="0">
      <alignment vertical="center"/>
    </xf>
    <xf numFmtId="164" fontId="9" fillId="23" borderId="4" applyNumberFormat="0" applyProtection="0">
      <alignment vertical="center"/>
    </xf>
    <xf numFmtId="164" fontId="10" fillId="0" borderId="0" applyNumberFormat="0" applyFill="0" applyBorder="0" applyProtection="0">
      <alignment vertical="center"/>
    </xf>
    <xf numFmtId="164" fontId="11" fillId="0" borderId="5" applyNumberFormat="0" applyFill="0" applyProtection="0">
      <alignment vertical="center"/>
    </xf>
    <xf numFmtId="164" fontId="12" fillId="0" borderId="6" applyNumberFormat="0" applyFill="0" applyProtection="0">
      <alignment vertical="center"/>
    </xf>
    <xf numFmtId="164" fontId="13" fillId="0" borderId="7" applyNumberFormat="0" applyFill="0" applyProtection="0">
      <alignment vertical="center"/>
    </xf>
    <xf numFmtId="164" fontId="13" fillId="0" borderId="0" applyNumberFormat="0" applyFill="0" applyBorder="0" applyProtection="0">
      <alignment vertical="center"/>
    </xf>
    <xf numFmtId="164" fontId="14" fillId="0" borderId="8" applyNumberFormat="0" applyFill="0" applyProtection="0">
      <alignment vertical="center"/>
    </xf>
    <xf numFmtId="164" fontId="15" fillId="23" borderId="9" applyNumberFormat="0" applyProtection="0">
      <alignment vertical="center"/>
    </xf>
    <xf numFmtId="164" fontId="16" fillId="0" borderId="0" applyNumberFormat="0" applyFill="0" applyBorder="0" applyProtection="0">
      <alignment vertical="center"/>
    </xf>
    <xf numFmtId="164" fontId="17" fillId="7" borderId="4" applyNumberFormat="0" applyProtection="0">
      <alignment vertical="center"/>
    </xf>
    <xf numFmtId="164" fontId="0" fillId="0" borderId="0">
      <alignment/>
      <protection/>
    </xf>
    <xf numFmtId="164" fontId="2" fillId="0" borderId="0">
      <alignment vertical="center"/>
      <protection/>
    </xf>
    <xf numFmtId="164" fontId="18" fillId="4" borderId="0" applyNumberFormat="0" applyBorder="0" applyProtection="0">
      <alignment vertical="center"/>
    </xf>
  </cellStyleXfs>
  <cellXfs count="290">
    <xf numFmtId="164" fontId="0" fillId="0" borderId="0" xfId="0" applyAlignment="1">
      <alignment vertical="center"/>
    </xf>
    <xf numFmtId="164" fontId="19" fillId="0" borderId="0" xfId="61" applyFont="1">
      <alignment vertical="center"/>
      <protection/>
    </xf>
    <xf numFmtId="165" fontId="19" fillId="0" borderId="0" xfId="61" applyNumberFormat="1" applyFont="1">
      <alignment vertical="center"/>
      <protection/>
    </xf>
    <xf numFmtId="166" fontId="19" fillId="0" borderId="0" xfId="61" applyNumberFormat="1" applyFont="1">
      <alignment vertical="center"/>
      <protection/>
    </xf>
    <xf numFmtId="164" fontId="19" fillId="0" borderId="0" xfId="61" applyFont="1" applyFill="1">
      <alignment vertical="center"/>
      <protection/>
    </xf>
    <xf numFmtId="164" fontId="19" fillId="8" borderId="10" xfId="61" applyFont="1" applyFill="1" applyBorder="1" applyAlignment="1">
      <alignment horizontal="center" vertical="center" textRotation="255" wrapText="1" shrinkToFit="1"/>
      <protection/>
    </xf>
    <xf numFmtId="164" fontId="19" fillId="23" borderId="11" xfId="61" applyFont="1" applyFill="1" applyBorder="1" applyAlignment="1">
      <alignment horizontal="center" vertical="center" textRotation="255" wrapText="1" shrinkToFit="1"/>
      <protection/>
    </xf>
    <xf numFmtId="164" fontId="19" fillId="23" borderId="11" xfId="61" applyFont="1" applyFill="1" applyBorder="1" applyAlignment="1">
      <alignment horizontal="center" vertical="center"/>
      <protection/>
    </xf>
    <xf numFmtId="164" fontId="19" fillId="8" borderId="12" xfId="61" applyFont="1" applyFill="1" applyBorder="1" applyAlignment="1">
      <alignment horizontal="center" vertical="center"/>
      <protection/>
    </xf>
    <xf numFmtId="164" fontId="19" fillId="8" borderId="13" xfId="61" applyFont="1" applyFill="1" applyBorder="1" applyAlignment="1">
      <alignment horizontal="center" vertical="center"/>
      <protection/>
    </xf>
    <xf numFmtId="164" fontId="19" fillId="23" borderId="14" xfId="61" applyFont="1" applyFill="1" applyBorder="1" applyAlignment="1">
      <alignment horizontal="center" vertical="center"/>
      <protection/>
    </xf>
    <xf numFmtId="164" fontId="19" fillId="23" borderId="15" xfId="61" applyFont="1" applyFill="1" applyBorder="1" applyAlignment="1">
      <alignment horizontal="center" vertical="center"/>
      <protection/>
    </xf>
    <xf numFmtId="164" fontId="19" fillId="8" borderId="15" xfId="61" applyFont="1" applyFill="1" applyBorder="1" applyAlignment="1">
      <alignment vertical="center"/>
      <protection/>
    </xf>
    <xf numFmtId="164" fontId="19" fillId="8" borderId="16" xfId="61" applyFont="1" applyFill="1" applyBorder="1" applyAlignment="1">
      <alignment vertical="center"/>
      <protection/>
    </xf>
    <xf numFmtId="164" fontId="19" fillId="0" borderId="10" xfId="61" applyFont="1" applyFill="1" applyBorder="1" applyAlignment="1">
      <alignment horizontal="center" vertical="center"/>
      <protection/>
    </xf>
    <xf numFmtId="164" fontId="19" fillId="0" borderId="17" xfId="61" applyFont="1" applyFill="1" applyBorder="1" applyAlignment="1">
      <alignment vertical="center" shrinkToFit="1"/>
      <protection/>
    </xf>
    <xf numFmtId="166" fontId="19" fillId="0" borderId="18" xfId="61" applyNumberFormat="1" applyFont="1" applyFill="1" applyBorder="1" applyAlignment="1">
      <alignment vertical="center" shrinkToFit="1"/>
      <protection/>
    </xf>
    <xf numFmtId="164" fontId="19" fillId="0" borderId="18" xfId="61" applyFont="1" applyFill="1" applyBorder="1" applyAlignment="1">
      <alignment vertical="center" shrinkToFit="1"/>
      <protection/>
    </xf>
    <xf numFmtId="167" fontId="19" fillId="0" borderId="18" xfId="61" applyNumberFormat="1" applyFont="1" applyFill="1" applyBorder="1" applyAlignment="1">
      <alignment vertical="center" shrinkToFit="1"/>
      <protection/>
    </xf>
    <xf numFmtId="168" fontId="19" fillId="0" borderId="19" xfId="61" applyNumberFormat="1" applyFont="1" applyFill="1" applyBorder="1" applyAlignment="1">
      <alignment vertical="center" shrinkToFit="1"/>
      <protection/>
    </xf>
    <xf numFmtId="164" fontId="19" fillId="8" borderId="20" xfId="61" applyFont="1" applyFill="1" applyBorder="1">
      <alignment vertical="center"/>
      <protection/>
    </xf>
    <xf numFmtId="164" fontId="19" fillId="8" borderId="16" xfId="61" applyFont="1" applyFill="1" applyBorder="1">
      <alignment vertical="center"/>
      <protection/>
    </xf>
    <xf numFmtId="164" fontId="19" fillId="23" borderId="17" xfId="61" applyFont="1" applyFill="1" applyBorder="1" applyAlignment="1">
      <alignment horizontal="center" vertical="center" textRotation="255" wrapText="1" shrinkToFit="1"/>
      <protection/>
    </xf>
    <xf numFmtId="164" fontId="19" fillId="23" borderId="18" xfId="61" applyFont="1" applyFill="1" applyBorder="1" applyAlignment="1">
      <alignment horizontal="center" vertical="center" textRotation="255" wrapText="1" shrinkToFit="1"/>
      <protection/>
    </xf>
    <xf numFmtId="164" fontId="19" fillId="23" borderId="19" xfId="61" applyFont="1" applyFill="1" applyBorder="1" applyAlignment="1">
      <alignment horizontal="center" vertical="center" textRotation="255" wrapText="1" shrinkToFit="1"/>
      <protection/>
    </xf>
    <xf numFmtId="164" fontId="19" fillId="8" borderId="17" xfId="61" applyFont="1" applyFill="1" applyBorder="1" applyAlignment="1">
      <alignment horizontal="center" vertical="center" textRotation="255" shrinkToFit="1"/>
      <protection/>
    </xf>
    <xf numFmtId="164" fontId="19" fillId="8" borderId="18" xfId="61" applyFont="1" applyFill="1" applyBorder="1" applyAlignment="1">
      <alignment horizontal="center" vertical="center" textRotation="255" shrinkToFit="1"/>
      <protection/>
    </xf>
    <xf numFmtId="164" fontId="19" fillId="8" borderId="19" xfId="61" applyFont="1" applyFill="1" applyBorder="1" applyAlignment="1">
      <alignment horizontal="center" vertical="center" textRotation="255" shrinkToFit="1"/>
      <protection/>
    </xf>
    <xf numFmtId="164" fontId="19" fillId="8" borderId="17" xfId="61" applyFont="1" applyFill="1" applyBorder="1" applyAlignment="1">
      <alignment horizontal="center" vertical="center" textRotation="255" wrapText="1" shrinkToFit="1"/>
      <protection/>
    </xf>
    <xf numFmtId="165" fontId="19" fillId="8" borderId="18" xfId="61" applyNumberFormat="1" applyFont="1" applyFill="1" applyBorder="1" applyAlignment="1">
      <alignment horizontal="center" vertical="center" textRotation="255" wrapText="1" shrinkToFit="1"/>
      <protection/>
    </xf>
    <xf numFmtId="164" fontId="19" fillId="8" borderId="18" xfId="61" applyFont="1" applyFill="1" applyBorder="1" applyAlignment="1">
      <alignment horizontal="center" vertical="center" textRotation="255" wrapText="1" shrinkToFit="1"/>
      <protection/>
    </xf>
    <xf numFmtId="166" fontId="19" fillId="8" borderId="18" xfId="61" applyNumberFormat="1" applyFont="1" applyFill="1" applyBorder="1" applyAlignment="1">
      <alignment horizontal="center" vertical="center" textRotation="255" wrapText="1" shrinkToFit="1"/>
      <protection/>
    </xf>
    <xf numFmtId="164" fontId="19" fillId="8" borderId="19" xfId="61" applyFont="1" applyFill="1" applyBorder="1" applyAlignment="1">
      <alignment horizontal="center" vertical="center" textRotation="255" wrapText="1" shrinkToFit="1"/>
      <protection/>
    </xf>
    <xf numFmtId="164" fontId="19" fillId="23" borderId="14" xfId="61" applyFont="1" applyFill="1" applyBorder="1" applyAlignment="1">
      <alignment horizontal="center" vertical="center" textRotation="255" wrapText="1" shrinkToFit="1"/>
      <protection/>
    </xf>
    <xf numFmtId="164" fontId="19" fillId="0" borderId="0" xfId="61" applyFont="1" applyAlignment="1">
      <alignment horizontal="center" vertical="center" textRotation="255" wrapText="1" shrinkToFit="1"/>
      <protection/>
    </xf>
    <xf numFmtId="164" fontId="19" fillId="8" borderId="11" xfId="61" applyFont="1" applyFill="1" applyBorder="1" applyAlignment="1">
      <alignment vertical="center" shrinkToFit="1"/>
      <protection/>
    </xf>
    <xf numFmtId="164" fontId="19" fillId="0" borderId="11" xfId="61" applyFont="1" applyBorder="1" applyAlignment="1">
      <alignment vertical="center" shrinkToFit="1"/>
      <protection/>
    </xf>
    <xf numFmtId="164" fontId="19" fillId="0" borderId="11" xfId="61" applyNumberFormat="1" applyFont="1" applyBorder="1" applyAlignment="1">
      <alignment vertical="center" shrinkToFit="1"/>
      <protection/>
    </xf>
    <xf numFmtId="164" fontId="19" fillId="0" borderId="17" xfId="61" applyNumberFormat="1" applyFont="1" applyBorder="1" applyAlignment="1">
      <alignment vertical="center" shrinkToFit="1"/>
      <protection/>
    </xf>
    <xf numFmtId="164" fontId="19" fillId="0" borderId="18" xfId="61" applyNumberFormat="1" applyFont="1" applyBorder="1" applyAlignment="1">
      <alignment vertical="center" shrinkToFit="1"/>
      <protection/>
    </xf>
    <xf numFmtId="164" fontId="19" fillId="0" borderId="19" xfId="61" applyNumberFormat="1" applyFont="1" applyBorder="1" applyAlignment="1">
      <alignment vertical="center" shrinkToFit="1"/>
      <protection/>
    </xf>
    <xf numFmtId="164" fontId="19" fillId="8" borderId="17" xfId="61" applyFont="1" applyFill="1" applyBorder="1" applyAlignment="1">
      <alignment horizontal="center" vertical="center" shrinkToFit="1"/>
      <protection/>
    </xf>
    <xf numFmtId="164" fontId="19" fillId="8" borderId="18" xfId="61" applyFont="1" applyFill="1" applyBorder="1" applyAlignment="1">
      <alignment horizontal="center" vertical="center" shrinkToFit="1"/>
      <protection/>
    </xf>
    <xf numFmtId="169" fontId="19" fillId="8" borderId="18" xfId="61" applyNumberFormat="1" applyFont="1" applyFill="1" applyBorder="1" applyAlignment="1">
      <alignment vertical="center" shrinkToFit="1"/>
      <protection/>
    </xf>
    <xf numFmtId="164" fontId="19" fillId="8" borderId="19" xfId="61" applyFont="1" applyFill="1" applyBorder="1" applyAlignment="1">
      <alignment horizontal="center" vertical="center" shrinkToFit="1"/>
      <protection/>
    </xf>
    <xf numFmtId="170" fontId="19" fillId="8" borderId="17" xfId="61" applyNumberFormat="1" applyFont="1" applyFill="1" applyBorder="1" applyAlignment="1">
      <alignment vertical="center" shrinkToFit="1"/>
      <protection/>
    </xf>
    <xf numFmtId="165" fontId="19" fillId="8" borderId="18" xfId="61" applyNumberFormat="1" applyFont="1" applyFill="1" applyBorder="1" applyAlignment="1">
      <alignment vertical="center" shrinkToFit="1"/>
      <protection/>
    </xf>
    <xf numFmtId="170" fontId="19" fillId="8" borderId="18" xfId="61" applyNumberFormat="1" applyFont="1" applyFill="1" applyBorder="1" applyAlignment="1">
      <alignment vertical="center" shrinkToFit="1"/>
      <protection/>
    </xf>
    <xf numFmtId="166" fontId="19" fillId="8" borderId="18" xfId="61" applyNumberFormat="1" applyFont="1" applyFill="1" applyBorder="1" applyAlignment="1">
      <alignment vertical="center" shrinkToFit="1"/>
      <protection/>
    </xf>
    <xf numFmtId="164" fontId="19" fillId="8" borderId="19" xfId="61" applyFont="1" applyFill="1" applyBorder="1" applyAlignment="1">
      <alignment vertical="center" shrinkToFit="1"/>
      <protection/>
    </xf>
    <xf numFmtId="164" fontId="19" fillId="0" borderId="11" xfId="61" applyFont="1" applyFill="1" applyBorder="1" applyAlignment="1">
      <alignment vertical="center" shrinkToFit="1"/>
      <protection/>
    </xf>
    <xf numFmtId="164" fontId="19" fillId="23" borderId="11" xfId="61" applyFont="1" applyFill="1" applyBorder="1" applyAlignment="1">
      <alignment vertical="center" shrinkToFit="1"/>
      <protection/>
    </xf>
    <xf numFmtId="164" fontId="19" fillId="0" borderId="0" xfId="61" applyFont="1" applyAlignment="1">
      <alignment vertical="center" shrinkToFit="1"/>
      <protection/>
    </xf>
    <xf numFmtId="170" fontId="19" fillId="8" borderId="18" xfId="61" applyNumberFormat="1" applyFont="1" applyFill="1" applyBorder="1" applyAlignment="1">
      <alignment horizontal="center" vertical="center" shrinkToFit="1"/>
      <protection/>
    </xf>
    <xf numFmtId="164" fontId="19" fillId="0" borderId="0" xfId="61" applyFont="1" applyAlignment="1">
      <alignment horizontal="center" vertical="center" textRotation="255" shrinkToFit="1"/>
      <protection/>
    </xf>
    <xf numFmtId="164" fontId="20" fillId="0" borderId="0" xfId="0" applyFont="1" applyAlignment="1">
      <alignment vertical="center"/>
    </xf>
    <xf numFmtId="164" fontId="21" fillId="0" borderId="21" xfId="0" applyFont="1" applyBorder="1" applyAlignment="1">
      <alignment horizontal="center" vertical="center" shrinkToFit="1"/>
    </xf>
    <xf numFmtId="164" fontId="21" fillId="0" borderId="0" xfId="0" applyFont="1" applyBorder="1" applyAlignment="1">
      <alignment horizontal="center" vertical="center"/>
    </xf>
    <xf numFmtId="164" fontId="20" fillId="0" borderId="0" xfId="0" applyNumberFormat="1" applyFont="1" applyBorder="1" applyAlignment="1">
      <alignment vertical="center"/>
    </xf>
    <xf numFmtId="164" fontId="21" fillId="0" borderId="22" xfId="0" applyFont="1" applyBorder="1" applyAlignment="1">
      <alignment horizontal="center" vertical="center"/>
    </xf>
    <xf numFmtId="164" fontId="22" fillId="0" borderId="23" xfId="0" applyFont="1" applyBorder="1" applyAlignment="1">
      <alignment vertical="center"/>
    </xf>
    <xf numFmtId="164" fontId="20" fillId="0" borderId="23" xfId="0" applyFont="1" applyBorder="1" applyAlignment="1">
      <alignment vertical="center"/>
    </xf>
    <xf numFmtId="164" fontId="22" fillId="0" borderId="23" xfId="0" applyFont="1" applyBorder="1" applyAlignment="1">
      <alignment vertical="center"/>
    </xf>
    <xf numFmtId="164" fontId="20" fillId="0" borderId="24" xfId="0" applyFont="1" applyBorder="1" applyAlignment="1">
      <alignment vertical="center"/>
    </xf>
    <xf numFmtId="164" fontId="20" fillId="0" borderId="0" xfId="0" applyFont="1" applyBorder="1" applyAlignment="1">
      <alignment vertical="center"/>
    </xf>
    <xf numFmtId="164" fontId="22" fillId="0" borderId="0" xfId="0" applyFont="1" applyBorder="1" applyAlignment="1">
      <alignment vertical="center"/>
    </xf>
    <xf numFmtId="164" fontId="22" fillId="0" borderId="0" xfId="0" applyFont="1" applyBorder="1" applyAlignment="1">
      <alignment vertical="center"/>
    </xf>
    <xf numFmtId="164" fontId="22" fillId="0" borderId="25" xfId="0" applyFont="1" applyBorder="1" applyAlignment="1">
      <alignment vertical="center"/>
    </xf>
    <xf numFmtId="164" fontId="20" fillId="0" borderId="26" xfId="0" applyFont="1" applyBorder="1" applyAlignment="1">
      <alignment vertical="center"/>
    </xf>
    <xf numFmtId="164" fontId="0" fillId="0" borderId="27" xfId="0" applyBorder="1" applyAlignment="1">
      <alignment vertical="center"/>
    </xf>
    <xf numFmtId="164" fontId="0" fillId="0" borderId="0" xfId="0" applyBorder="1" applyAlignment="1">
      <alignment vertical="center"/>
    </xf>
    <xf numFmtId="164" fontId="22" fillId="0" borderId="21" xfId="0" applyNumberFormat="1" applyFont="1" applyBorder="1" applyAlignment="1">
      <alignment vertical="center"/>
    </xf>
    <xf numFmtId="164" fontId="24" fillId="0" borderId="27" xfId="0" applyFont="1" applyBorder="1" applyAlignment="1">
      <alignment vertical="center"/>
    </xf>
    <xf numFmtId="164" fontId="24" fillId="0" borderId="0" xfId="0" applyFont="1" applyBorder="1" applyAlignment="1">
      <alignment vertical="center"/>
    </xf>
    <xf numFmtId="171" fontId="22" fillId="0" borderId="27" xfId="0" applyNumberFormat="1" applyFont="1" applyBorder="1" applyAlignment="1">
      <alignment vertical="center"/>
    </xf>
    <xf numFmtId="164" fontId="22" fillId="0" borderId="28" xfId="0" applyNumberFormat="1" applyFont="1" applyFill="1" applyBorder="1" applyAlignment="1">
      <alignment vertical="center" shrinkToFit="1"/>
    </xf>
    <xf numFmtId="164" fontId="20" fillId="0" borderId="28" xfId="0" applyFont="1" applyBorder="1" applyAlignment="1">
      <alignment vertical="center"/>
    </xf>
    <xf numFmtId="164" fontId="20" fillId="0" borderId="29" xfId="0" applyFont="1" applyBorder="1" applyAlignment="1">
      <alignment vertical="center"/>
    </xf>
    <xf numFmtId="164" fontId="20" fillId="0" borderId="30" xfId="0" applyFont="1" applyBorder="1" applyAlignment="1">
      <alignment vertical="center"/>
    </xf>
    <xf numFmtId="164" fontId="20" fillId="0" borderId="30" xfId="0" applyNumberFormat="1" applyFont="1" applyBorder="1" applyAlignment="1">
      <alignment vertical="center"/>
    </xf>
    <xf numFmtId="164" fontId="22" fillId="0" borderId="31" xfId="0" applyFont="1" applyBorder="1" applyAlignment="1">
      <alignment vertical="center"/>
    </xf>
    <xf numFmtId="164" fontId="20" fillId="0" borderId="32" xfId="0" applyNumberFormat="1" applyFont="1" applyBorder="1" applyAlignment="1">
      <alignment vertical="center"/>
    </xf>
    <xf numFmtId="164" fontId="20" fillId="0" borderId="33" xfId="0" applyFont="1" applyBorder="1" applyAlignment="1">
      <alignment vertical="center" shrinkToFit="1"/>
    </xf>
    <xf numFmtId="171" fontId="22" fillId="0" borderId="27" xfId="0" applyNumberFormat="1" applyFont="1" applyBorder="1" applyAlignment="1">
      <alignment vertical="center"/>
    </xf>
    <xf numFmtId="164" fontId="22" fillId="0" borderId="11" xfId="0" applyNumberFormat="1" applyFont="1" applyBorder="1" applyAlignment="1">
      <alignment vertical="center"/>
    </xf>
    <xf numFmtId="164" fontId="20" fillId="0" borderId="11" xfId="0" applyFont="1" applyBorder="1" applyAlignment="1">
      <alignment vertical="center"/>
    </xf>
    <xf numFmtId="164" fontId="20" fillId="0" borderId="34" xfId="0" applyFont="1" applyBorder="1" applyAlignment="1">
      <alignment vertical="center"/>
    </xf>
    <xf numFmtId="170" fontId="20" fillId="0" borderId="35" xfId="0" applyNumberFormat="1" applyFont="1" applyBorder="1" applyAlignment="1">
      <alignment vertical="center" shrinkToFit="1"/>
    </xf>
    <xf numFmtId="170" fontId="20" fillId="0" borderId="36" xfId="0" applyNumberFormat="1" applyFont="1" applyBorder="1" applyAlignment="1">
      <alignment vertical="center" shrinkToFit="1"/>
    </xf>
    <xf numFmtId="164" fontId="20" fillId="0" borderId="37" xfId="0" applyFont="1" applyBorder="1" applyAlignment="1">
      <alignment vertical="center"/>
    </xf>
    <xf numFmtId="164" fontId="22" fillId="0" borderId="29" xfId="0" applyNumberFormat="1" applyFont="1" applyFill="1" applyBorder="1" applyAlignment="1">
      <alignment vertical="center" shrinkToFit="1"/>
    </xf>
    <xf numFmtId="164" fontId="22" fillId="0" borderId="38" xfId="0" applyNumberFormat="1" applyFont="1" applyFill="1" applyBorder="1" applyAlignment="1">
      <alignment vertical="center" shrinkToFit="1"/>
    </xf>
    <xf numFmtId="164" fontId="22" fillId="0" borderId="39" xfId="0" applyNumberFormat="1" applyFont="1" applyFill="1" applyBorder="1" applyAlignment="1">
      <alignment vertical="center" shrinkToFit="1"/>
    </xf>
    <xf numFmtId="164" fontId="22" fillId="0" borderId="40" xfId="0" applyNumberFormat="1" applyFont="1" applyFill="1" applyBorder="1" applyAlignment="1">
      <alignment vertical="center" shrinkToFit="1"/>
    </xf>
    <xf numFmtId="164" fontId="20" fillId="0" borderId="11" xfId="0" applyFont="1" applyBorder="1" applyAlignment="1">
      <alignment horizontal="right" vertical="center"/>
    </xf>
    <xf numFmtId="164" fontId="20" fillId="0" borderId="41" xfId="0" applyFont="1" applyBorder="1" applyAlignment="1">
      <alignment vertical="center"/>
    </xf>
    <xf numFmtId="170" fontId="20" fillId="0" borderId="42" xfId="0" applyNumberFormat="1" applyFont="1" applyBorder="1" applyAlignment="1">
      <alignment vertical="center" shrinkToFit="1"/>
    </xf>
    <xf numFmtId="170" fontId="20" fillId="0" borderId="43" xfId="0" applyNumberFormat="1" applyFont="1" applyBorder="1" applyAlignment="1">
      <alignment vertical="center" shrinkToFit="1"/>
    </xf>
    <xf numFmtId="172" fontId="20" fillId="0" borderId="37" xfId="0" applyNumberFormat="1" applyFont="1" applyBorder="1" applyAlignment="1">
      <alignment vertical="center"/>
    </xf>
    <xf numFmtId="164" fontId="22" fillId="0" borderId="34" xfId="0" applyNumberFormat="1" applyFont="1" applyFill="1" applyBorder="1" applyAlignment="1">
      <alignment vertical="center" shrinkToFit="1"/>
    </xf>
    <xf numFmtId="164" fontId="22" fillId="0" borderId="44" xfId="0" applyNumberFormat="1" applyFont="1" applyFill="1" applyBorder="1" applyAlignment="1">
      <alignment vertical="center" shrinkToFit="1"/>
    </xf>
    <xf numFmtId="164" fontId="22" fillId="0" borderId="45" xfId="0" applyNumberFormat="1" applyFont="1" applyFill="1" applyBorder="1" applyAlignment="1">
      <alignment vertical="center" shrinkToFit="1"/>
    </xf>
    <xf numFmtId="164" fontId="22" fillId="0" borderId="46" xfId="0" applyNumberFormat="1" applyFont="1" applyFill="1" applyBorder="1" applyAlignment="1">
      <alignment vertical="center" shrinkToFit="1"/>
    </xf>
    <xf numFmtId="164" fontId="22" fillId="0" borderId="0" xfId="0" applyNumberFormat="1" applyFont="1" applyBorder="1" applyAlignment="1">
      <alignment vertical="center"/>
    </xf>
    <xf numFmtId="164" fontId="20" fillId="0" borderId="47" xfId="0" applyFont="1" applyBorder="1" applyAlignment="1">
      <alignment vertical="center"/>
    </xf>
    <xf numFmtId="164" fontId="20" fillId="0" borderId="47" xfId="0" applyFont="1" applyBorder="1" applyAlignment="1">
      <alignment vertical="center"/>
    </xf>
    <xf numFmtId="164" fontId="20" fillId="0" borderId="48" xfId="0" applyFont="1" applyBorder="1" applyAlignment="1">
      <alignment vertical="center"/>
    </xf>
    <xf numFmtId="172" fontId="20" fillId="0" borderId="49" xfId="0" applyNumberFormat="1" applyFont="1" applyBorder="1" applyAlignment="1">
      <alignment vertical="center"/>
    </xf>
    <xf numFmtId="164" fontId="20" fillId="0" borderId="50" xfId="0" applyNumberFormat="1" applyFont="1" applyBorder="1" applyAlignment="1">
      <alignment vertical="center"/>
    </xf>
    <xf numFmtId="164" fontId="20" fillId="0" borderId="27" xfId="0" applyFont="1" applyBorder="1" applyAlignment="1">
      <alignment vertical="center"/>
    </xf>
    <xf numFmtId="164" fontId="22" fillId="0" borderId="28" xfId="0" applyFont="1" applyBorder="1" applyAlignment="1">
      <alignment vertical="center"/>
    </xf>
    <xf numFmtId="164" fontId="20" fillId="0" borderId="51" xfId="0" applyFont="1" applyBorder="1" applyAlignment="1">
      <alignment vertical="center"/>
    </xf>
    <xf numFmtId="164" fontId="20" fillId="0" borderId="52" xfId="0" applyFont="1" applyBorder="1" applyAlignment="1">
      <alignment vertical="center"/>
    </xf>
    <xf numFmtId="164" fontId="20" fillId="0" borderId="52" xfId="0" applyNumberFormat="1" applyFont="1" applyBorder="1" applyAlignment="1">
      <alignment vertical="center"/>
    </xf>
    <xf numFmtId="164" fontId="20" fillId="0" borderId="53" xfId="0" applyNumberFormat="1" applyFont="1" applyBorder="1" applyAlignment="1">
      <alignment vertical="center" shrinkToFit="1"/>
    </xf>
    <xf numFmtId="164" fontId="22" fillId="0" borderId="11" xfId="0" applyFont="1" applyBorder="1" applyAlignment="1">
      <alignment vertical="center"/>
    </xf>
    <xf numFmtId="164" fontId="20" fillId="0" borderId="54" xfId="0" applyFont="1" applyBorder="1" applyAlignment="1">
      <alignment vertical="center"/>
    </xf>
    <xf numFmtId="170" fontId="20" fillId="0" borderId="55" xfId="0" applyNumberFormat="1" applyFont="1" applyBorder="1" applyAlignment="1">
      <alignment vertical="center" shrinkToFit="1"/>
    </xf>
    <xf numFmtId="170" fontId="20" fillId="0" borderId="56" xfId="0" applyNumberFormat="1" applyFont="1" applyBorder="1" applyAlignment="1">
      <alignment vertical="center" shrinkToFit="1"/>
    </xf>
    <xf numFmtId="164" fontId="20" fillId="0" borderId="57" xfId="0" applyFont="1" applyBorder="1" applyAlignment="1">
      <alignment vertical="center"/>
    </xf>
    <xf numFmtId="170" fontId="20" fillId="0" borderId="58" xfId="0" applyNumberFormat="1" applyFont="1" applyBorder="1" applyAlignment="1">
      <alignment vertical="center" shrinkToFit="1"/>
    </xf>
    <xf numFmtId="170" fontId="20" fillId="0" borderId="59" xfId="0" applyNumberFormat="1" applyFont="1" applyBorder="1" applyAlignment="1">
      <alignment vertical="center" shrinkToFit="1"/>
    </xf>
    <xf numFmtId="164" fontId="22" fillId="0" borderId="27" xfId="0" applyFont="1" applyBorder="1" applyAlignment="1">
      <alignment vertical="center" shrinkToFit="1"/>
    </xf>
    <xf numFmtId="164" fontId="22" fillId="0" borderId="0" xfId="0" applyFont="1" applyBorder="1" applyAlignment="1">
      <alignment vertical="center" shrinkToFit="1"/>
    </xf>
    <xf numFmtId="164" fontId="20" fillId="0" borderId="60" xfId="0" applyFont="1" applyBorder="1" applyAlignment="1">
      <alignment vertical="center"/>
    </xf>
    <xf numFmtId="164" fontId="22" fillId="0" borderId="41" xfId="0" applyNumberFormat="1" applyFont="1" applyFill="1" applyBorder="1" applyAlignment="1">
      <alignment vertical="center" shrinkToFit="1"/>
    </xf>
    <xf numFmtId="164" fontId="22" fillId="0" borderId="61" xfId="0" applyNumberFormat="1" applyFont="1" applyFill="1" applyBorder="1" applyAlignment="1">
      <alignment vertical="center" shrinkToFit="1"/>
    </xf>
    <xf numFmtId="164" fontId="22" fillId="0" borderId="47" xfId="0" applyFont="1" applyBorder="1" applyAlignment="1">
      <alignment vertical="center"/>
    </xf>
    <xf numFmtId="164" fontId="20" fillId="0" borderId="62" xfId="0" applyNumberFormat="1" applyFont="1" applyBorder="1" applyAlignment="1">
      <alignment vertical="center"/>
    </xf>
    <xf numFmtId="164" fontId="20" fillId="0" borderId="63" xfId="0" applyFont="1" applyBorder="1" applyAlignment="1">
      <alignment vertical="center"/>
    </xf>
    <xf numFmtId="164" fontId="20" fillId="0" borderId="62" xfId="0" applyFont="1" applyBorder="1" applyAlignment="1">
      <alignment vertical="center"/>
    </xf>
    <xf numFmtId="164" fontId="20" fillId="0" borderId="64" xfId="0" applyFont="1" applyBorder="1" applyAlignment="1">
      <alignment vertical="center"/>
    </xf>
    <xf numFmtId="164" fontId="20" fillId="0" borderId="65" xfId="0" applyFont="1" applyBorder="1" applyAlignment="1">
      <alignment vertical="center"/>
    </xf>
    <xf numFmtId="172" fontId="20" fillId="0" borderId="66" xfId="0" applyNumberFormat="1" applyFont="1" applyBorder="1" applyAlignment="1">
      <alignment vertical="center"/>
    </xf>
    <xf numFmtId="164" fontId="22" fillId="0" borderId="67" xfId="0" applyNumberFormat="1" applyFont="1" applyBorder="1" applyAlignment="1">
      <alignment vertical="center" shrinkToFit="1"/>
    </xf>
    <xf numFmtId="164" fontId="22" fillId="0" borderId="68" xfId="0" applyNumberFormat="1" applyFont="1" applyBorder="1" applyAlignment="1">
      <alignment vertical="center" shrinkToFit="1"/>
    </xf>
    <xf numFmtId="164" fontId="22" fillId="0" borderId="69" xfId="0" applyNumberFormat="1" applyFont="1" applyBorder="1" applyAlignment="1">
      <alignment vertical="center" shrinkToFit="1"/>
    </xf>
    <xf numFmtId="164" fontId="22" fillId="0" borderId="70" xfId="0" applyNumberFormat="1" applyFont="1" applyBorder="1" applyAlignment="1">
      <alignment vertical="center" shrinkToFit="1"/>
    </xf>
    <xf numFmtId="164" fontId="22" fillId="0" borderId="28" xfId="0" applyNumberFormat="1" applyFont="1" applyBorder="1" applyAlignment="1">
      <alignment vertical="center"/>
    </xf>
    <xf numFmtId="164" fontId="20" fillId="0" borderId="14" xfId="0" applyFont="1" applyBorder="1" applyAlignment="1">
      <alignment vertical="center"/>
    </xf>
    <xf numFmtId="164" fontId="20" fillId="0" borderId="71" xfId="0" applyFont="1" applyBorder="1" applyAlignment="1">
      <alignment vertical="center"/>
    </xf>
    <xf numFmtId="164" fontId="20" fillId="0" borderId="72" xfId="0" applyFont="1" applyBorder="1" applyAlignment="1">
      <alignment vertical="center"/>
    </xf>
    <xf numFmtId="164" fontId="20" fillId="0" borderId="73" xfId="0" applyFont="1" applyBorder="1" applyAlignment="1">
      <alignment vertical="center"/>
    </xf>
    <xf numFmtId="164" fontId="22" fillId="0" borderId="74" xfId="0" applyNumberFormat="1" applyFont="1" applyBorder="1" applyAlignment="1">
      <alignment vertical="center"/>
    </xf>
    <xf numFmtId="164" fontId="20" fillId="0" borderId="27" xfId="0" applyFont="1" applyBorder="1" applyAlignment="1">
      <alignment vertical="center"/>
    </xf>
    <xf numFmtId="164" fontId="22" fillId="0" borderId="27" xfId="0" applyFont="1" applyBorder="1" applyAlignment="1">
      <alignment vertical="center"/>
    </xf>
    <xf numFmtId="164" fontId="20" fillId="0" borderId="27" xfId="0" applyNumberFormat="1" applyFont="1" applyBorder="1" applyAlignment="1">
      <alignment vertical="center"/>
    </xf>
    <xf numFmtId="164" fontId="22" fillId="0" borderId="75" xfId="0" applyFont="1" applyBorder="1" applyAlignment="1">
      <alignment vertical="center"/>
    </xf>
    <xf numFmtId="164" fontId="22" fillId="0" borderId="10" xfId="0" applyFont="1" applyBorder="1" applyAlignment="1">
      <alignment vertical="center"/>
    </xf>
    <xf numFmtId="164" fontId="22" fillId="0" borderId="71" xfId="0" applyFont="1" applyBorder="1" applyAlignment="1">
      <alignment vertical="center"/>
    </xf>
    <xf numFmtId="164" fontId="22" fillId="0" borderId="72" xfId="0" applyFont="1" applyBorder="1" applyAlignment="1">
      <alignment vertical="center"/>
    </xf>
    <xf numFmtId="164" fontId="22" fillId="0" borderId="11" xfId="0" applyFont="1" applyBorder="1" applyAlignment="1">
      <alignment horizontal="center" vertical="center"/>
    </xf>
    <xf numFmtId="164" fontId="22" fillId="0" borderId="0" xfId="0" applyFont="1" applyAlignment="1">
      <alignment vertical="center"/>
    </xf>
    <xf numFmtId="164" fontId="20" fillId="0" borderId="11" xfId="0" applyFont="1" applyBorder="1" applyAlignment="1">
      <alignment vertical="center" shrinkToFit="1"/>
    </xf>
    <xf numFmtId="172" fontId="26" fillId="0" borderId="11" xfId="0" applyNumberFormat="1" applyFont="1" applyBorder="1" applyAlignment="1">
      <alignment vertical="center"/>
    </xf>
    <xf numFmtId="164" fontId="20" fillId="8" borderId="76" xfId="0" applyNumberFormat="1" applyFont="1" applyFill="1" applyBorder="1" applyAlignment="1">
      <alignment vertical="center" shrinkToFit="1"/>
    </xf>
    <xf numFmtId="164" fontId="20" fillId="8" borderId="77" xfId="0" applyNumberFormat="1" applyFont="1" applyFill="1" applyBorder="1" applyAlignment="1">
      <alignment vertical="center" shrinkToFit="1"/>
    </xf>
    <xf numFmtId="164" fontId="27" fillId="0" borderId="78" xfId="0" applyNumberFormat="1" applyFont="1" applyFill="1" applyBorder="1" applyAlignment="1">
      <alignment vertical="center" shrinkToFit="1"/>
    </xf>
    <xf numFmtId="164" fontId="27" fillId="0" borderId="79" xfId="0" applyNumberFormat="1" applyFont="1" applyBorder="1" applyAlignment="1">
      <alignment vertical="center" shrinkToFit="1"/>
    </xf>
    <xf numFmtId="164" fontId="27" fillId="0" borderId="80" xfId="0" applyNumberFormat="1" applyFont="1" applyBorder="1" applyAlignment="1">
      <alignment vertical="center" shrinkToFit="1"/>
    </xf>
    <xf numFmtId="164" fontId="27" fillId="0" borderId="22" xfId="0" applyNumberFormat="1" applyFont="1" applyFill="1" applyBorder="1" applyAlignment="1">
      <alignment vertical="center"/>
    </xf>
    <xf numFmtId="164" fontId="20" fillId="0" borderId="81" xfId="0" applyNumberFormat="1" applyFont="1" applyBorder="1" applyAlignment="1">
      <alignment vertical="center"/>
    </xf>
    <xf numFmtId="164" fontId="20" fillId="0" borderId="82" xfId="0" applyNumberFormat="1" applyFont="1" applyBorder="1" applyAlignment="1">
      <alignment vertical="center"/>
    </xf>
    <xf numFmtId="164" fontId="20" fillId="0" borderId="83" xfId="0" applyNumberFormat="1" applyFont="1" applyBorder="1" applyAlignment="1">
      <alignment vertical="center"/>
    </xf>
    <xf numFmtId="164" fontId="20" fillId="0" borderId="84" xfId="0" applyNumberFormat="1" applyFont="1" applyBorder="1" applyAlignment="1">
      <alignment vertical="center"/>
    </xf>
    <xf numFmtId="164" fontId="20" fillId="0" borderId="85" xfId="0" applyNumberFormat="1" applyFont="1" applyBorder="1" applyAlignment="1">
      <alignment vertical="center"/>
    </xf>
    <xf numFmtId="164" fontId="20" fillId="0" borderId="86" xfId="0" applyNumberFormat="1" applyFont="1" applyBorder="1" applyAlignment="1">
      <alignment vertical="center"/>
    </xf>
    <xf numFmtId="164" fontId="20" fillId="0" borderId="87" xfId="0" applyNumberFormat="1" applyFont="1" applyBorder="1" applyAlignment="1">
      <alignment vertical="center"/>
    </xf>
    <xf numFmtId="164" fontId="20" fillId="0" borderId="88" xfId="0" applyNumberFormat="1" applyFont="1" applyBorder="1" applyAlignment="1">
      <alignment vertical="center"/>
    </xf>
    <xf numFmtId="164" fontId="20" fillId="0" borderId="89" xfId="0" applyNumberFormat="1" applyFont="1" applyBorder="1" applyAlignment="1">
      <alignment vertical="center"/>
    </xf>
    <xf numFmtId="164" fontId="20" fillId="0" borderId="35" xfId="0" applyNumberFormat="1" applyFont="1" applyBorder="1" applyAlignment="1">
      <alignment vertical="center"/>
    </xf>
    <xf numFmtId="164" fontId="20" fillId="0" borderId="45" xfId="0" applyNumberFormat="1" applyFont="1" applyBorder="1" applyAlignment="1">
      <alignment vertical="center"/>
    </xf>
    <xf numFmtId="164" fontId="20" fillId="0" borderId="55" xfId="0" applyNumberFormat="1" applyFont="1" applyBorder="1" applyAlignment="1">
      <alignment vertical="center"/>
    </xf>
    <xf numFmtId="164" fontId="20" fillId="0" borderId="90" xfId="0" applyNumberFormat="1" applyFont="1" applyBorder="1" applyAlignment="1">
      <alignment vertical="center"/>
    </xf>
    <xf numFmtId="164" fontId="22" fillId="0" borderId="11" xfId="0" applyFont="1" applyBorder="1" applyAlignment="1">
      <alignment vertical="center"/>
    </xf>
    <xf numFmtId="164" fontId="22" fillId="0" borderId="11" xfId="0" applyNumberFormat="1" applyFont="1" applyFill="1" applyBorder="1" applyAlignment="1">
      <alignment vertical="center"/>
    </xf>
    <xf numFmtId="164" fontId="20" fillId="0" borderId="11" xfId="0" applyFont="1" applyBorder="1" applyAlignment="1">
      <alignment horizontal="center" vertical="center"/>
    </xf>
    <xf numFmtId="164" fontId="20" fillId="0" borderId="91" xfId="0" applyNumberFormat="1" applyFont="1" applyBorder="1" applyAlignment="1">
      <alignment vertical="center"/>
    </xf>
    <xf numFmtId="164" fontId="20" fillId="0" borderId="92" xfId="0" applyNumberFormat="1" applyFont="1" applyBorder="1" applyAlignment="1">
      <alignment vertical="center"/>
    </xf>
    <xf numFmtId="164" fontId="20" fillId="0" borderId="93" xfId="0" applyNumberFormat="1" applyFont="1" applyBorder="1" applyAlignment="1">
      <alignment vertical="center"/>
    </xf>
    <xf numFmtId="164" fontId="20" fillId="0" borderId="94" xfId="0" applyNumberFormat="1" applyFont="1" applyBorder="1" applyAlignment="1">
      <alignment vertical="center"/>
    </xf>
    <xf numFmtId="164" fontId="20" fillId="0" borderId="95" xfId="0" applyNumberFormat="1" applyFont="1" applyBorder="1" applyAlignment="1">
      <alignment vertical="center"/>
    </xf>
    <xf numFmtId="164" fontId="20" fillId="0" borderId="96" xfId="0" applyNumberFormat="1" applyFont="1" applyBorder="1" applyAlignment="1">
      <alignment vertical="center"/>
    </xf>
    <xf numFmtId="164" fontId="20" fillId="0" borderId="21" xfId="0" applyNumberFormat="1" applyFont="1" applyBorder="1" applyAlignment="1">
      <alignment vertical="center"/>
    </xf>
    <xf numFmtId="164" fontId="20" fillId="2" borderId="97" xfId="0" applyNumberFormat="1" applyFont="1" applyFill="1" applyBorder="1" applyAlignment="1">
      <alignment vertical="center"/>
    </xf>
    <xf numFmtId="164" fontId="20" fillId="2" borderId="98" xfId="0" applyNumberFormat="1" applyFont="1" applyFill="1" applyBorder="1" applyAlignment="1">
      <alignment vertical="center"/>
    </xf>
    <xf numFmtId="164" fontId="20" fillId="2" borderId="99" xfId="0" applyNumberFormat="1" applyFont="1" applyFill="1" applyBorder="1" applyAlignment="1">
      <alignment vertical="center"/>
    </xf>
    <xf numFmtId="164" fontId="20" fillId="2" borderId="100" xfId="0" applyNumberFormat="1" applyFont="1" applyFill="1" applyBorder="1" applyAlignment="1">
      <alignment vertical="center"/>
    </xf>
    <xf numFmtId="164" fontId="20" fillId="2" borderId="101" xfId="0" applyNumberFormat="1" applyFont="1" applyFill="1" applyBorder="1" applyAlignment="1">
      <alignment vertical="center"/>
    </xf>
    <xf numFmtId="164" fontId="20" fillId="0" borderId="102" xfId="0" applyFont="1" applyBorder="1" applyAlignment="1">
      <alignment vertical="center" shrinkToFit="1"/>
    </xf>
    <xf numFmtId="164" fontId="20" fillId="0" borderId="30" xfId="0" applyFont="1" applyBorder="1" applyAlignment="1">
      <alignment vertical="center" shrinkToFit="1"/>
    </xf>
    <xf numFmtId="164" fontId="20" fillId="0" borderId="32" xfId="0" applyFont="1" applyBorder="1" applyAlignment="1">
      <alignment vertical="center" shrinkToFit="1"/>
    </xf>
    <xf numFmtId="164" fontId="20" fillId="0" borderId="0" xfId="0" applyFont="1" applyBorder="1" applyAlignment="1">
      <alignment vertical="center" shrinkToFit="1"/>
    </xf>
    <xf numFmtId="164" fontId="20" fillId="0" borderId="103" xfId="0" applyNumberFormat="1" applyFont="1" applyFill="1" applyBorder="1" applyAlignment="1">
      <alignment vertical="center" shrinkToFit="1"/>
    </xf>
    <xf numFmtId="164" fontId="20" fillId="0" borderId="52" xfId="0" applyNumberFormat="1" applyFont="1" applyFill="1" applyBorder="1" applyAlignment="1">
      <alignment vertical="center" shrinkToFit="1"/>
    </xf>
    <xf numFmtId="164" fontId="20" fillId="0" borderId="40" xfId="0" applyNumberFormat="1" applyFont="1" applyFill="1" applyBorder="1" applyAlignment="1">
      <alignment vertical="center" shrinkToFit="1"/>
    </xf>
    <xf numFmtId="164" fontId="20" fillId="8" borderId="104" xfId="0" applyNumberFormat="1" applyFont="1" applyFill="1" applyBorder="1" applyAlignment="1">
      <alignment vertical="center"/>
    </xf>
    <xf numFmtId="164" fontId="20" fillId="8" borderId="105" xfId="0" applyNumberFormat="1" applyFont="1" applyFill="1" applyBorder="1" applyAlignment="1">
      <alignment vertical="center"/>
    </xf>
    <xf numFmtId="164" fontId="20" fillId="0" borderId="106" xfId="0" applyNumberFormat="1" applyFont="1" applyFill="1" applyBorder="1" applyAlignment="1">
      <alignment vertical="center"/>
    </xf>
    <xf numFmtId="164" fontId="0" fillId="0" borderId="106" xfId="0" applyBorder="1" applyAlignment="1">
      <alignment vertical="center"/>
    </xf>
    <xf numFmtId="164" fontId="20" fillId="0" borderId="107" xfId="0" applyNumberFormat="1" applyFont="1" applyFill="1" applyBorder="1" applyAlignment="1">
      <alignment vertical="center"/>
    </xf>
    <xf numFmtId="164" fontId="20" fillId="0" borderId="35" xfId="0" applyNumberFormat="1" applyFont="1" applyBorder="1" applyAlignment="1">
      <alignment vertical="center"/>
    </xf>
    <xf numFmtId="164" fontId="20" fillId="0" borderId="35" xfId="0" applyFont="1" applyBorder="1" applyAlignment="1">
      <alignment vertical="center"/>
    </xf>
    <xf numFmtId="164" fontId="20" fillId="0" borderId="36" xfId="0" applyFont="1" applyBorder="1" applyAlignment="1">
      <alignment vertical="center"/>
    </xf>
    <xf numFmtId="164" fontId="20" fillId="0" borderId="108" xfId="0" applyNumberFormat="1" applyFont="1" applyFill="1" applyBorder="1" applyAlignment="1">
      <alignment vertical="center"/>
    </xf>
    <xf numFmtId="164" fontId="20" fillId="0" borderId="55" xfId="0" applyNumberFormat="1" applyFont="1" applyFill="1" applyBorder="1" applyAlignment="1">
      <alignment vertical="center"/>
    </xf>
    <xf numFmtId="164" fontId="20" fillId="0" borderId="46" xfId="0" applyNumberFormat="1" applyFont="1" applyBorder="1" applyAlignment="1">
      <alignment vertical="center"/>
    </xf>
    <xf numFmtId="164" fontId="20" fillId="0" borderId="109" xfId="0" applyNumberFormat="1" applyFont="1" applyBorder="1" applyAlignment="1">
      <alignment vertical="center"/>
    </xf>
    <xf numFmtId="164" fontId="20" fillId="0" borderId="110" xfId="0" applyNumberFormat="1" applyFont="1" applyBorder="1" applyAlignment="1">
      <alignment vertical="center"/>
    </xf>
    <xf numFmtId="164" fontId="20" fillId="0" borderId="111" xfId="0" applyFont="1" applyBorder="1" applyAlignment="1">
      <alignment vertical="center"/>
    </xf>
    <xf numFmtId="164" fontId="20" fillId="0" borderId="112" xfId="0" applyFont="1" applyBorder="1" applyAlignment="1">
      <alignment vertical="center"/>
    </xf>
    <xf numFmtId="164" fontId="20" fillId="0" borderId="42" xfId="0" applyFont="1" applyBorder="1" applyAlignment="1">
      <alignment vertical="center"/>
    </xf>
    <xf numFmtId="164" fontId="20" fillId="0" borderId="43" xfId="0" applyFont="1" applyBorder="1" applyAlignment="1">
      <alignment vertical="center"/>
    </xf>
    <xf numFmtId="164" fontId="20" fillId="0" borderId="113" xfId="0" applyNumberFormat="1" applyFont="1" applyBorder="1" applyAlignment="1">
      <alignment vertical="center"/>
    </xf>
    <xf numFmtId="164" fontId="20" fillId="0" borderId="114" xfId="0" applyNumberFormat="1" applyFont="1" applyBorder="1" applyAlignment="1">
      <alignment vertical="center"/>
    </xf>
    <xf numFmtId="164" fontId="20" fillId="0" borderId="58" xfId="0" applyNumberFormat="1" applyFont="1" applyBorder="1" applyAlignment="1">
      <alignment vertical="center"/>
    </xf>
    <xf numFmtId="164" fontId="0" fillId="0" borderId="70" xfId="0" applyNumberFormat="1" applyBorder="1" applyAlignment="1">
      <alignment vertical="center"/>
    </xf>
    <xf numFmtId="164" fontId="20" fillId="0" borderId="106" xfId="0" applyNumberFormat="1" applyFont="1" applyBorder="1" applyAlignment="1">
      <alignment vertical="center"/>
    </xf>
    <xf numFmtId="164" fontId="20" fillId="0" borderId="0" xfId="0" applyNumberFormat="1" applyFont="1" applyBorder="1" applyAlignment="1">
      <alignment vertical="center"/>
    </xf>
    <xf numFmtId="164" fontId="20" fillId="0" borderId="115" xfId="0" applyNumberFormat="1" applyFont="1" applyBorder="1" applyAlignment="1">
      <alignment vertical="center"/>
    </xf>
    <xf numFmtId="164" fontId="20" fillId="0" borderId="116" xfId="0" applyNumberFormat="1" applyFont="1" applyBorder="1" applyAlignment="1">
      <alignment vertical="center"/>
    </xf>
    <xf numFmtId="164" fontId="20" fillId="0" borderId="117" xfId="0" applyNumberFormat="1" applyFont="1" applyBorder="1" applyAlignment="1">
      <alignment vertical="center"/>
    </xf>
    <xf numFmtId="164" fontId="20" fillId="2" borderId="106" xfId="0" applyNumberFormat="1" applyFont="1" applyFill="1" applyBorder="1" applyAlignment="1">
      <alignment vertical="center"/>
    </xf>
    <xf numFmtId="164" fontId="20" fillId="2" borderId="118" xfId="0" applyNumberFormat="1" applyFont="1" applyFill="1" applyBorder="1" applyAlignment="1">
      <alignment vertical="center"/>
    </xf>
    <xf numFmtId="164" fontId="20" fillId="2" borderId="119" xfId="0" applyNumberFormat="1" applyFont="1" applyFill="1" applyBorder="1" applyAlignment="1">
      <alignment vertical="center"/>
    </xf>
    <xf numFmtId="164" fontId="20" fillId="2" borderId="120" xfId="0" applyNumberFormat="1" applyFont="1" applyFill="1" applyBorder="1" applyAlignment="1">
      <alignment vertical="center"/>
    </xf>
    <xf numFmtId="164" fontId="20" fillId="2" borderId="121" xfId="0" applyNumberFormat="1" applyFont="1" applyFill="1" applyBorder="1" applyAlignment="1">
      <alignment vertical="center"/>
    </xf>
    <xf numFmtId="164" fontId="28" fillId="0" borderId="0" xfId="0" applyNumberFormat="1" applyFont="1" applyBorder="1" applyAlignment="1">
      <alignment vertical="center"/>
    </xf>
    <xf numFmtId="164" fontId="20" fillId="8" borderId="82" xfId="0" applyNumberFormat="1" applyFont="1" applyFill="1" applyBorder="1" applyAlignment="1">
      <alignment vertical="center"/>
    </xf>
    <xf numFmtId="164" fontId="20" fillId="0" borderId="25" xfId="0" applyNumberFormat="1" applyFont="1" applyFill="1" applyBorder="1" applyAlignment="1">
      <alignment vertical="center"/>
    </xf>
    <xf numFmtId="164" fontId="0" fillId="0" borderId="25" xfId="0" applyBorder="1" applyAlignment="1">
      <alignment vertical="center"/>
    </xf>
    <xf numFmtId="164" fontId="20" fillId="0" borderId="21" xfId="0" applyFont="1" applyBorder="1" applyAlignment="1">
      <alignment vertical="center"/>
    </xf>
    <xf numFmtId="164" fontId="20" fillId="0" borderId="82" xfId="0" applyFont="1" applyBorder="1" applyAlignment="1">
      <alignment vertical="center"/>
    </xf>
    <xf numFmtId="164" fontId="20" fillId="2" borderId="106" xfId="0" applyFont="1" applyFill="1" applyBorder="1" applyAlignment="1">
      <alignment vertical="center"/>
    </xf>
    <xf numFmtId="164" fontId="20" fillId="0" borderId="0" xfId="0" applyFont="1" applyFill="1" applyAlignment="1">
      <alignment vertical="center"/>
    </xf>
    <xf numFmtId="164" fontId="20" fillId="0" borderId="0" xfId="0" applyNumberFormat="1" applyFont="1" applyFill="1" applyBorder="1" applyAlignment="1">
      <alignment vertical="center"/>
    </xf>
    <xf numFmtId="164" fontId="20" fillId="8" borderId="122" xfId="0" applyNumberFormat="1" applyFont="1" applyFill="1" applyBorder="1" applyAlignment="1">
      <alignment vertical="center"/>
    </xf>
    <xf numFmtId="164" fontId="20" fillId="0" borderId="25" xfId="0" applyFont="1" applyFill="1" applyBorder="1" applyAlignment="1">
      <alignment vertical="center"/>
    </xf>
    <xf numFmtId="164" fontId="20" fillId="0" borderId="123" xfId="0" applyFont="1" applyFill="1" applyBorder="1" applyAlignment="1">
      <alignment vertical="center"/>
    </xf>
    <xf numFmtId="164" fontId="20" fillId="0" borderId="124" xfId="0" applyNumberFormat="1" applyFont="1" applyBorder="1" applyAlignment="1">
      <alignment vertical="center"/>
    </xf>
    <xf numFmtId="164" fontId="20" fillId="0" borderId="125" xfId="0" applyFont="1" applyFill="1" applyBorder="1" applyAlignment="1">
      <alignment vertical="center"/>
    </xf>
    <xf numFmtId="164" fontId="20" fillId="0" borderId="0" xfId="0" applyFont="1" applyFill="1" applyBorder="1" applyAlignment="1">
      <alignment vertical="center"/>
    </xf>
    <xf numFmtId="164" fontId="20" fillId="0" borderId="126" xfId="0" applyNumberFormat="1" applyFont="1" applyBorder="1" applyAlignment="1">
      <alignment vertical="center"/>
    </xf>
    <xf numFmtId="164" fontId="20" fillId="0" borderId="21" xfId="0" applyFont="1" applyFill="1" applyBorder="1" applyAlignment="1">
      <alignment vertical="center"/>
    </xf>
    <xf numFmtId="164" fontId="20" fillId="0" borderId="82" xfId="0" applyFont="1" applyFill="1" applyBorder="1" applyAlignment="1">
      <alignment vertical="center"/>
    </xf>
    <xf numFmtId="164" fontId="0" fillId="2" borderId="106" xfId="0" applyFill="1" applyBorder="1" applyAlignment="1">
      <alignment vertical="center"/>
    </xf>
    <xf numFmtId="164" fontId="20" fillId="0" borderId="127" xfId="0" applyFont="1" applyBorder="1" applyAlignment="1">
      <alignment vertical="center"/>
    </xf>
    <xf numFmtId="164" fontId="20" fillId="0" borderId="128" xfId="0" applyFont="1" applyFill="1" applyBorder="1" applyAlignment="1">
      <alignment vertical="center"/>
    </xf>
    <xf numFmtId="164" fontId="0" fillId="0" borderId="25" xfId="0" applyFill="1" applyBorder="1" applyAlignment="1">
      <alignment vertical="center"/>
    </xf>
    <xf numFmtId="164" fontId="20" fillId="6" borderId="129" xfId="0" applyFont="1" applyFill="1" applyBorder="1" applyAlignment="1">
      <alignment vertical="center"/>
    </xf>
    <xf numFmtId="164" fontId="20" fillId="6" borderId="130" xfId="0" applyFont="1" applyFill="1" applyBorder="1" applyAlignment="1">
      <alignment vertical="center"/>
    </xf>
    <xf numFmtId="164" fontId="20" fillId="6" borderId="131" xfId="0" applyFont="1" applyFill="1" applyBorder="1" applyAlignment="1">
      <alignment vertical="center"/>
    </xf>
    <xf numFmtId="164" fontId="20" fillId="0" borderId="132" xfId="0" applyNumberFormat="1" applyFont="1" applyBorder="1" applyAlignment="1">
      <alignment vertical="center"/>
    </xf>
    <xf numFmtId="164" fontId="20" fillId="0" borderId="133" xfId="0" applyNumberFormat="1" applyFont="1" applyBorder="1" applyAlignment="1">
      <alignment vertical="center"/>
    </xf>
    <xf numFmtId="164" fontId="20" fillId="0" borderId="0" xfId="0" applyFont="1" applyAlignment="1">
      <alignment vertical="center"/>
    </xf>
    <xf numFmtId="164" fontId="29" fillId="0" borderId="11" xfId="0" applyFont="1" applyBorder="1" applyAlignment="1">
      <alignment vertical="center"/>
    </xf>
    <xf numFmtId="164" fontId="27" fillId="0" borderId="0" xfId="0" applyNumberFormat="1" applyFont="1" applyBorder="1" applyAlignment="1">
      <alignment vertical="center"/>
    </xf>
    <xf numFmtId="164" fontId="20" fillId="0" borderId="11" xfId="0" applyNumberFormat="1" applyFont="1" applyBorder="1" applyAlignment="1">
      <alignment vertical="center"/>
    </xf>
    <xf numFmtId="164" fontId="20" fillId="0" borderId="0" xfId="0" applyFont="1" applyBorder="1" applyAlignment="1">
      <alignment vertical="center"/>
    </xf>
    <xf numFmtId="164" fontId="27" fillId="0" borderId="0" xfId="0" applyNumberFormat="1" applyFont="1" applyBorder="1" applyAlignment="1">
      <alignment vertical="center"/>
    </xf>
    <xf numFmtId="164" fontId="27" fillId="0" borderId="0" xfId="60" applyFont="1" applyBorder="1">
      <alignment/>
      <protection/>
    </xf>
    <xf numFmtId="164" fontId="30" fillId="0" borderId="0" xfId="60" applyFont="1" applyBorder="1">
      <alignment/>
      <protection/>
    </xf>
    <xf numFmtId="164" fontId="27" fillId="0" borderId="0" xfId="60" applyFont="1" applyBorder="1" applyAlignment="1">
      <alignment/>
      <protection/>
    </xf>
    <xf numFmtId="164" fontId="31" fillId="0" borderId="0" xfId="60" applyFont="1" applyBorder="1">
      <alignment/>
      <protection/>
    </xf>
    <xf numFmtId="164" fontId="31" fillId="0" borderId="0" xfId="60" applyFont="1" applyBorder="1" applyAlignment="1">
      <alignment/>
      <protection/>
    </xf>
    <xf numFmtId="164" fontId="30" fillId="0" borderId="0" xfId="60" applyFont="1" applyBorder="1" applyAlignment="1">
      <alignment/>
      <protection/>
    </xf>
    <xf numFmtId="164" fontId="27" fillId="0" borderId="0" xfId="60" applyFont="1" applyFill="1" applyBorder="1" applyAlignment="1">
      <alignment/>
      <protection/>
    </xf>
    <xf numFmtId="164" fontId="21" fillId="0" borderId="21" xfId="0" applyFont="1" applyBorder="1" applyAlignment="1">
      <alignment horizontal="center" vertical="center"/>
    </xf>
    <xf numFmtId="164" fontId="20" fillId="0" borderId="134" xfId="0" applyFont="1" applyBorder="1" applyAlignment="1">
      <alignment vertical="center"/>
    </xf>
    <xf numFmtId="164" fontId="20" fillId="0" borderId="135" xfId="0" applyFont="1" applyBorder="1" applyAlignment="1">
      <alignment vertical="center"/>
    </xf>
    <xf numFmtId="164" fontId="20" fillId="8" borderId="76" xfId="0" applyNumberFormat="1" applyFont="1" applyFill="1" applyBorder="1" applyAlignment="1">
      <alignment vertical="center"/>
    </xf>
    <xf numFmtId="164" fontId="20" fillId="8" borderId="77" xfId="0" applyNumberFormat="1" applyFont="1" applyFill="1" applyBorder="1" applyAlignment="1">
      <alignment vertical="center"/>
    </xf>
    <xf numFmtId="164" fontId="27" fillId="0" borderId="78" xfId="0" applyNumberFormat="1" applyFont="1" applyFill="1" applyBorder="1" applyAlignment="1">
      <alignment vertical="center"/>
    </xf>
    <xf numFmtId="164" fontId="27" fillId="0" borderId="79" xfId="0" applyNumberFormat="1" applyFont="1" applyBorder="1" applyAlignment="1">
      <alignment vertical="center"/>
    </xf>
    <xf numFmtId="164" fontId="27" fillId="0" borderId="80" xfId="0" applyNumberFormat="1" applyFont="1" applyBorder="1" applyAlignment="1">
      <alignment vertical="center"/>
    </xf>
    <xf numFmtId="164" fontId="20" fillId="0" borderId="136" xfId="0" applyFont="1" applyBorder="1" applyAlignment="1">
      <alignment vertical="center"/>
    </xf>
    <xf numFmtId="164" fontId="20" fillId="0" borderId="137" xfId="0" applyFont="1" applyBorder="1" applyAlignment="1">
      <alignment vertical="center"/>
    </xf>
    <xf numFmtId="164" fontId="26" fillId="0" borderId="136" xfId="0" applyFont="1" applyBorder="1" applyAlignment="1">
      <alignment vertical="center"/>
    </xf>
    <xf numFmtId="164" fontId="26" fillId="0" borderId="11" xfId="0" applyFont="1" applyBorder="1" applyAlignment="1">
      <alignment vertical="center"/>
    </xf>
    <xf numFmtId="164" fontId="26" fillId="0" borderId="137" xfId="0" applyFont="1" applyBorder="1" applyAlignment="1">
      <alignment vertical="center"/>
    </xf>
    <xf numFmtId="164" fontId="20" fillId="0" borderId="138" xfId="0" applyFont="1" applyBorder="1" applyAlignment="1">
      <alignment vertical="center"/>
    </xf>
    <xf numFmtId="164" fontId="20" fillId="0" borderId="55" xfId="0" applyNumberFormat="1" applyFont="1" applyBorder="1" applyAlignment="1">
      <alignment vertical="center"/>
    </xf>
    <xf numFmtId="164" fontId="0" fillId="0" borderId="58" xfId="0" applyNumberFormat="1" applyBorder="1" applyAlignment="1">
      <alignment vertical="center"/>
    </xf>
    <xf numFmtId="164" fontId="2" fillId="0" borderId="11" xfId="61" applyBorder="1">
      <alignment vertical="center"/>
      <protection/>
    </xf>
    <xf numFmtId="164" fontId="2" fillId="0" borderId="0" xfId="61">
      <alignment vertical="center"/>
      <protection/>
    </xf>
    <xf numFmtId="164" fontId="2" fillId="23" borderId="11" xfId="61" applyFont="1" applyFill="1" applyBorder="1" applyAlignment="1">
      <alignment horizontal="center" vertical="center"/>
      <protection/>
    </xf>
    <xf numFmtId="164" fontId="2" fillId="23" borderId="11" xfId="61" applyFont="1" applyFill="1" applyBorder="1" applyAlignment="1">
      <alignment vertical="center" textRotation="255"/>
      <protection/>
    </xf>
    <xf numFmtId="164" fontId="2" fillId="0" borderId="11" xfId="61" applyBorder="1" applyAlignment="1">
      <alignment horizontal="left" vertical="center"/>
      <protection/>
    </xf>
    <xf numFmtId="173" fontId="2" fillId="0" borderId="11" xfId="61" applyNumberFormat="1" applyBorder="1" applyAlignment="1">
      <alignment horizontal="left" vertical="center"/>
      <protection/>
    </xf>
    <xf numFmtId="174" fontId="2" fillId="0" borderId="11" xfId="61" applyNumberFormat="1" applyBorder="1" applyAlignment="1">
      <alignment horizontal="left" vertical="center"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メモ" xfId="47"/>
    <cellStyle name="リンク セル" xfId="48"/>
    <cellStyle name="悪い" xfId="49"/>
    <cellStyle name="計算" xfId="50"/>
    <cellStyle name="警告文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入力" xfId="59"/>
    <cellStyle name="標準_Sheet3" xfId="60"/>
    <cellStyle name="標準_レベルアップ後のステータス計算表" xfId="61"/>
    <cellStyle name="良い" xfId="62"/>
  </cellStyles>
  <dxfs count="2">
    <dxf>
      <font>
        <b val="0"/>
        <sz val="11"/>
        <color rgb="FF000000"/>
      </font>
      <border/>
    </dxf>
    <dxf>
      <font>
        <b val="0"/>
        <sz val="11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41"/>
  <sheetViews>
    <sheetView showGridLines="0" tabSelected="1" workbookViewId="0" topLeftCell="A1">
      <pane xSplit="11" ySplit="3" topLeftCell="L100" activePane="bottomRight" state="frozen"/>
      <selection pane="topLeft" activeCell="A1" sqref="A1"/>
      <selection pane="topRight" activeCell="L1" sqref="L1"/>
      <selection pane="bottomLeft" activeCell="A100" sqref="A100"/>
      <selection pane="bottomRight" activeCell="G113" sqref="G113"/>
    </sheetView>
  </sheetViews>
  <sheetFormatPr defaultColWidth="9.00390625" defaultRowHeight="13.5"/>
  <cols>
    <col min="1" max="1" width="4.50390625" style="1" customWidth="1"/>
    <col min="2" max="2" width="5.50390625" style="1" customWidth="1"/>
    <col min="3" max="7" width="3.875" style="1" customWidth="1"/>
    <col min="8" max="8" width="5.25390625" style="1" customWidth="1"/>
    <col min="9" max="11" width="3.125" style="1" customWidth="1"/>
    <col min="12" max="12" width="4.625" style="1" customWidth="1"/>
    <col min="13" max="13" width="4.625" style="2" customWidth="1"/>
    <col min="14" max="16" width="4.625" style="1" customWidth="1"/>
    <col min="17" max="18" width="4.625" style="3" customWidth="1"/>
    <col min="19" max="19" width="3.50390625" style="1" customWidth="1"/>
    <col min="20" max="20" width="10.375" style="1" customWidth="1"/>
    <col min="21" max="21" width="8.625" style="4" customWidth="1"/>
    <col min="22" max="25" width="9.00390625" style="4" customWidth="1"/>
    <col min="26" max="26" width="4.50390625" style="1" customWidth="1"/>
    <col min="27" max="27" width="3.50390625" style="1" customWidth="1"/>
    <col min="28" max="31" width="4.50390625" style="1" customWidth="1"/>
    <col min="32" max="32" width="3.50390625" style="1" customWidth="1"/>
    <col min="33" max="16384" width="9.00390625" style="1" customWidth="1"/>
  </cols>
  <sheetData>
    <row r="1" spans="1:32" ht="15" customHeight="1">
      <c r="A1" s="5" t="s">
        <v>0</v>
      </c>
      <c r="B1" s="6" t="s">
        <v>1</v>
      </c>
      <c r="C1" s="7" t="s">
        <v>2</v>
      </c>
      <c r="D1" s="7"/>
      <c r="E1" s="7"/>
      <c r="F1" s="7"/>
      <c r="G1" s="7"/>
      <c r="H1" s="8" t="s">
        <v>3</v>
      </c>
      <c r="I1" s="8"/>
      <c r="J1" s="8"/>
      <c r="K1" s="8"/>
      <c r="L1" s="9" t="s">
        <v>4</v>
      </c>
      <c r="M1" s="9"/>
      <c r="N1" s="9"/>
      <c r="O1" s="9"/>
      <c r="P1" s="9"/>
      <c r="Q1" s="9"/>
      <c r="R1" s="9"/>
      <c r="S1" s="9"/>
      <c r="T1" s="9"/>
      <c r="U1" s="10" t="s">
        <v>5</v>
      </c>
      <c r="V1" s="10"/>
      <c r="W1" s="10"/>
      <c r="X1" s="10"/>
      <c r="Y1" s="10"/>
      <c r="Z1" s="11" t="s">
        <v>6</v>
      </c>
      <c r="AA1" s="11"/>
      <c r="AB1" s="11"/>
      <c r="AC1" s="11"/>
      <c r="AD1" s="11"/>
      <c r="AE1" s="11"/>
      <c r="AF1" s="11"/>
    </row>
    <row r="2" spans="1:32" ht="15" customHeight="1">
      <c r="A2" s="5"/>
      <c r="B2" s="6"/>
      <c r="C2" s="6" t="s">
        <v>7</v>
      </c>
      <c r="D2" s="7" t="s">
        <v>8</v>
      </c>
      <c r="E2" s="7"/>
      <c r="F2" s="7"/>
      <c r="G2" s="7"/>
      <c r="H2" s="12"/>
      <c r="I2" s="13"/>
      <c r="J2" s="14" t="s">
        <v>9</v>
      </c>
      <c r="K2" s="14"/>
      <c r="L2" s="15">
        <v>0.094</v>
      </c>
      <c r="M2" s="16">
        <v>0.09</v>
      </c>
      <c r="N2" s="17">
        <v>0.094</v>
      </c>
      <c r="O2" s="17">
        <v>0.094</v>
      </c>
      <c r="P2" s="17">
        <v>0.094</v>
      </c>
      <c r="Q2" s="18">
        <v>0.0016</v>
      </c>
      <c r="R2" s="19">
        <v>0.012</v>
      </c>
      <c r="S2" s="20"/>
      <c r="T2" s="21"/>
      <c r="U2" s="10"/>
      <c r="V2" s="10"/>
      <c r="W2" s="10"/>
      <c r="X2" s="10"/>
      <c r="Y2" s="10"/>
      <c r="Z2" s="11"/>
      <c r="AA2" s="11"/>
      <c r="AB2" s="11"/>
      <c r="AC2" s="11"/>
      <c r="AD2" s="11"/>
      <c r="AE2" s="11"/>
      <c r="AF2" s="11"/>
    </row>
    <row r="3" spans="1:32" s="34" customFormat="1" ht="54">
      <c r="A3" s="5"/>
      <c r="B3" s="6"/>
      <c r="C3" s="6"/>
      <c r="D3" s="22" t="s">
        <v>10</v>
      </c>
      <c r="E3" s="23" t="s">
        <v>11</v>
      </c>
      <c r="F3" s="23" t="s">
        <v>12</v>
      </c>
      <c r="G3" s="24" t="s">
        <v>13</v>
      </c>
      <c r="H3" s="25" t="s">
        <v>14</v>
      </c>
      <c r="I3" s="26" t="s">
        <v>15</v>
      </c>
      <c r="J3" s="26" t="s">
        <v>16</v>
      </c>
      <c r="K3" s="27" t="s">
        <v>17</v>
      </c>
      <c r="L3" s="28" t="s">
        <v>18</v>
      </c>
      <c r="M3" s="29" t="s">
        <v>19</v>
      </c>
      <c r="N3" s="30" t="s">
        <v>20</v>
      </c>
      <c r="O3" s="30" t="s">
        <v>21</v>
      </c>
      <c r="P3" s="30" t="s">
        <v>22</v>
      </c>
      <c r="Q3" s="31" t="s">
        <v>23</v>
      </c>
      <c r="R3" s="31" t="s">
        <v>24</v>
      </c>
      <c r="S3" s="30" t="s">
        <v>25</v>
      </c>
      <c r="T3" s="32" t="s">
        <v>26</v>
      </c>
      <c r="U3" s="6" t="s">
        <v>27</v>
      </c>
      <c r="V3" s="6" t="s">
        <v>28</v>
      </c>
      <c r="W3" s="6" t="s">
        <v>29</v>
      </c>
      <c r="X3" s="6" t="s">
        <v>30</v>
      </c>
      <c r="Y3" s="33"/>
      <c r="Z3" s="6" t="s">
        <v>18</v>
      </c>
      <c r="AA3" s="6" t="s">
        <v>19</v>
      </c>
      <c r="AB3" s="6" t="s">
        <v>20</v>
      </c>
      <c r="AC3" s="6" t="s">
        <v>21</v>
      </c>
      <c r="AD3" s="6" t="s">
        <v>22</v>
      </c>
      <c r="AE3" s="6" t="s">
        <v>23</v>
      </c>
      <c r="AF3" s="6" t="s">
        <v>24</v>
      </c>
    </row>
    <row r="4" spans="1:33" ht="13.5">
      <c r="A4" s="35">
        <v>1</v>
      </c>
      <c r="B4" s="36">
        <v>3009</v>
      </c>
      <c r="C4" s="37">
        <v>0</v>
      </c>
      <c r="D4" s="38">
        <v>5</v>
      </c>
      <c r="E4" s="39">
        <v>1</v>
      </c>
      <c r="F4" s="39">
        <v>0</v>
      </c>
      <c r="G4" s="40">
        <v>0</v>
      </c>
      <c r="H4" s="41" t="str">
        <f>IF($B4="","",VLOOKUP($B4,'武将一覧'!$A$7:$O$131,2,0))</f>
        <v>周瑜</v>
      </c>
      <c r="I4" s="42" t="str">
        <f>IF($B4="","",VLOOKUP($B4,'武将一覧'!$A$7:$O$131,3,0))</f>
        <v>UC</v>
      </c>
      <c r="J4" s="43">
        <f>IF($B4="","",VLOOKUP($B4,'武将一覧'!$A$7:$O$131,4,0))</f>
        <v>2.5</v>
      </c>
      <c r="K4" s="44" t="str">
        <f>IF($B4="","",VLOOKUP($B4,'武将一覧'!$A$7:$O$131,5,0))</f>
        <v>弓</v>
      </c>
      <c r="L4" s="45">
        <f>IF($B4="","",SUM(((Z4*L$2)*C4)*5)+((Z4*L$2)*D4)+Z4)</f>
        <v>294</v>
      </c>
      <c r="M4" s="46">
        <f>IF($B4="","",SUM(((AA4*M$2)*C4)*5)+((AA4*M$2)*F4)+AA4)</f>
        <v>365</v>
      </c>
      <c r="N4" s="47">
        <f>IF($B4="","",SUM(((AB4*N$2)*C4)*5)+((AB4*N$2)*F4)+AB4)</f>
        <v>505</v>
      </c>
      <c r="O4" s="47">
        <f>IF($B4="","",SUM(((AC4*O$2)*C4)*5)+((AC4*O$2)*F4)+AC4)</f>
        <v>200</v>
      </c>
      <c r="P4" s="47">
        <f>IF($B4="","",SUM(((AD4*P$2)*C4)*5)+((AD4*P$2)*F4)+Z4)</f>
        <v>200</v>
      </c>
      <c r="Q4" s="48">
        <f>IF($B4="","",SUM(((AE4*Q$2)*C4)*5)+((AE4*Q$2)*E4)+AE4)</f>
        <v>14.0224</v>
      </c>
      <c r="R4" s="48">
        <f>IF($B4="","",SUM(((AF4*R$2)*C4)*5)+((AF4*R$2)*G4)+AF4)</f>
        <v>10</v>
      </c>
      <c r="S4" s="42" t="str">
        <f>IF($B4="","",VLOOKUP($B4,'武将一覧'!$A$7:$O$131,13,0))</f>
        <v>防</v>
      </c>
      <c r="T4" s="49" t="str">
        <f>IF($B4="","",VLOOKUP($B4,'武将一覧'!$A$7:$O$131,14,0))</f>
        <v>弓兵の進撃Lv1</v>
      </c>
      <c r="U4" s="50"/>
      <c r="V4" s="50"/>
      <c r="W4" s="50"/>
      <c r="X4" s="50" t="s">
        <v>31</v>
      </c>
      <c r="Y4" s="50"/>
      <c r="Z4" s="51">
        <f>IF($B4="","",VLOOKUP($B4,'武将一覧'!$A$7:$O$131,6,0))</f>
        <v>200</v>
      </c>
      <c r="AA4" s="51">
        <f>IF($B4="","",VLOOKUP($B4,'武将一覧'!$A$7:$O$131,7,0))</f>
        <v>365</v>
      </c>
      <c r="AB4" s="51">
        <f>IF($B4="","",VLOOKUP($B4,'武将一覧'!$A$7:$O$131,8,0))</f>
        <v>505</v>
      </c>
      <c r="AC4" s="51">
        <f>IF($B4="","",VLOOKUP($B4,'武将一覧'!$A$7:$O$131,9,0))</f>
        <v>200</v>
      </c>
      <c r="AD4" s="51">
        <f>IF($B4="","",VLOOKUP($B4,'武将一覧'!$A$7:$O$131,10,0))</f>
        <v>280</v>
      </c>
      <c r="AE4" s="51">
        <f>IF($B4="","",VLOOKUP($B4,'武将一覧'!$A$7:$O$131,11,0))</f>
        <v>14</v>
      </c>
      <c r="AF4" s="51">
        <f>IF($B4="","",VLOOKUP($B4,'武将一覧'!$A$7:$O$131,12,0))</f>
        <v>10</v>
      </c>
      <c r="AG4" s="52" t="str">
        <f>IF($B4="","",VLOOKUP($B4,'武将一覧'!$A$7:$O$131,15,0))</f>
        <v>2次β初期</v>
      </c>
    </row>
    <row r="5" spans="1:33" ht="13.5">
      <c r="A5" s="35">
        <v>2</v>
      </c>
      <c r="B5" s="36">
        <v>1020</v>
      </c>
      <c r="C5" s="37">
        <v>0</v>
      </c>
      <c r="D5" s="38">
        <v>0</v>
      </c>
      <c r="E5" s="39">
        <v>0</v>
      </c>
      <c r="F5" s="39">
        <v>0</v>
      </c>
      <c r="G5" s="40">
        <v>0</v>
      </c>
      <c r="H5" s="41" t="str">
        <f>IF($B5="","",VLOOKUP($B5,'武将一覧'!$A$7:$O$131,2,0))</f>
        <v>馬岱</v>
      </c>
      <c r="I5" s="42" t="str">
        <f>IF($B5="","",VLOOKUP($B5,'武将一覧'!$A$7:$O$131,3,0))</f>
        <v>C</v>
      </c>
      <c r="J5" s="43">
        <f>IF($B5="","",VLOOKUP($B5,'武将一覧'!$A$7:$O$131,4,0))</f>
        <v>2.5</v>
      </c>
      <c r="K5" s="44" t="str">
        <f>IF($B5="","",VLOOKUP($B5,'武将一覧'!$A$7:$O$131,5,0))</f>
        <v>騎</v>
      </c>
      <c r="L5" s="45">
        <f aca="true" t="shared" si="0" ref="L5:L113">IF($B5="","",SUM(((Z5*0.094)*C5)*5)+((Z5*0.094)*D5)+Z5)</f>
        <v>235</v>
      </c>
      <c r="M5" s="46">
        <f>IF($B5="","",SUM(((AA5*M$2)*C5)*5)+((AA5*M$2)*F5)+AA5)</f>
        <v>245</v>
      </c>
      <c r="N5" s="47">
        <f aca="true" t="shared" si="1" ref="N5:N113">IF($B5="","",SUM(((AB5*0.094)*C5)*5)+((AB5*0.094)*F5)+AB5)</f>
        <v>110</v>
      </c>
      <c r="O5" s="47">
        <f aca="true" t="shared" si="2" ref="O5:O113">IF($B5="","",SUM(((AC5*0.094)*C5)*5)+((AC5*0.094)*F5)+AC5)</f>
        <v>215</v>
      </c>
      <c r="P5" s="47">
        <f aca="true" t="shared" si="3" ref="P5:P113">IF($B5="","",SUM(((AD5*0.094)*C5)*5)+((AD5*0.094)*F5)+Z5)</f>
        <v>235</v>
      </c>
      <c r="Q5" s="48">
        <f>IF($B5="","",SUM(((AE5*Q$2)*C5)*5)+((AE5*Q$2)*E5)+AE5)</f>
        <v>6</v>
      </c>
      <c r="R5" s="48">
        <f>IF($B5="","",SUM(((AF5*R$2)*C5)*5)+((AF5*R$2)*G5)+AF5)</f>
        <v>14</v>
      </c>
      <c r="S5" s="53" t="str">
        <f>IF($B5="","",VLOOKUP($B5,'武将一覧'!$A$7:$O$131,13,0))</f>
        <v>攻</v>
      </c>
      <c r="T5" s="49" t="str">
        <f>IF($B5="","",VLOOKUP($B5,'武将一覧'!$A$7:$O$131,14,0))</f>
        <v>騎兵の進撃Lv1</v>
      </c>
      <c r="U5" s="50"/>
      <c r="V5" s="50"/>
      <c r="W5" s="50"/>
      <c r="X5" s="50" t="s">
        <v>32</v>
      </c>
      <c r="Y5" s="50"/>
      <c r="Z5" s="51">
        <f>IF($B5="","",VLOOKUP($B5,'武将一覧'!$A$7:$O$131,6,0))</f>
        <v>235</v>
      </c>
      <c r="AA5" s="51">
        <f>IF($B5="","",VLOOKUP($B5,'武将一覧'!$A$7:$O$131,7,0))</f>
        <v>245</v>
      </c>
      <c r="AB5" s="51">
        <f>IF($B5="","",VLOOKUP($B5,'武将一覧'!$A$7:$O$131,8,0))</f>
        <v>110</v>
      </c>
      <c r="AC5" s="51">
        <f>IF($B5="","",VLOOKUP($B5,'武将一覧'!$A$7:$O$131,9,0))</f>
        <v>215</v>
      </c>
      <c r="AD5" s="51">
        <f>IF($B5="","",VLOOKUP($B5,'武将一覧'!$A$7:$O$131,10,0))</f>
        <v>375</v>
      </c>
      <c r="AE5" s="51">
        <f>IF($B5="","",VLOOKUP($B5,'武将一覧'!$A$7:$O$131,11,0))</f>
        <v>6</v>
      </c>
      <c r="AF5" s="51">
        <f>IF($B5="","",VLOOKUP($B5,'武将一覧'!$A$7:$O$131,12,0))</f>
        <v>14</v>
      </c>
      <c r="AG5" s="52" t="str">
        <f>IF($B5="","",VLOOKUP($B5,'武将一覧'!$A$7:$O$131,15,0))</f>
        <v>2次β初期</v>
      </c>
    </row>
    <row r="6" spans="1:33" ht="13.5">
      <c r="A6" s="35">
        <v>3</v>
      </c>
      <c r="B6" s="36">
        <v>2008</v>
      </c>
      <c r="C6" s="37">
        <v>0</v>
      </c>
      <c r="D6" s="38">
        <v>0</v>
      </c>
      <c r="E6" s="39">
        <v>0</v>
      </c>
      <c r="F6" s="39">
        <v>0</v>
      </c>
      <c r="G6" s="40">
        <v>0</v>
      </c>
      <c r="H6" s="41" t="str">
        <f>IF($B6="","",VLOOKUP($B6,'武将一覧'!$A$7:$O$131,2,0))</f>
        <v>曹操</v>
      </c>
      <c r="I6" s="42" t="str">
        <f>IF($B6="","",VLOOKUP($B6,'武将一覧'!$A$7:$O$131,3,0))</f>
        <v>UC</v>
      </c>
      <c r="J6" s="43">
        <f>IF($B6="","",VLOOKUP($B6,'武将一覧'!$A$7:$O$131,4,0))</f>
        <v>3</v>
      </c>
      <c r="K6" s="44" t="str">
        <f>IF($B6="","",VLOOKUP($B6,'武将一覧'!$A$7:$O$131,5,0))</f>
        <v>騎</v>
      </c>
      <c r="L6" s="45">
        <f t="shared" si="0"/>
        <v>300</v>
      </c>
      <c r="M6" s="46">
        <f>IF($B6="","",SUM(((AA6*M$2)*C6)*5)+((AA6*M$2)*F6)+AA6)</f>
        <v>370</v>
      </c>
      <c r="N6" s="47">
        <f t="shared" si="1"/>
        <v>170</v>
      </c>
      <c r="O6" s="47">
        <f t="shared" si="2"/>
        <v>295</v>
      </c>
      <c r="P6" s="47">
        <f t="shared" si="3"/>
        <v>300</v>
      </c>
      <c r="Q6" s="48">
        <f>IF($B6="","",SUM(((AE6*Q$2)*C6)*5)+((AE6*Q$2)*E6)+AE6)</f>
        <v>15</v>
      </c>
      <c r="R6" s="48">
        <f>IF($B6="","",SUM(((AF6*R$2)*C6)*5)+((AF6*R$2)*G6)+AF6)</f>
        <v>13</v>
      </c>
      <c r="S6" s="53" t="str">
        <f>IF($B6="","",VLOOKUP($B6,'武将一覧'!$A$7:$O$131,13,0))</f>
        <v>攻</v>
      </c>
      <c r="T6" s="49" t="str">
        <f>IF($B6="","",VLOOKUP($B6,'武将一覧'!$A$7:$O$131,14,0))</f>
        <v>英雄Lv2</v>
      </c>
      <c r="U6" s="50"/>
      <c r="V6" s="50"/>
      <c r="W6" s="50"/>
      <c r="X6" s="50" t="s">
        <v>31</v>
      </c>
      <c r="Y6" s="50"/>
      <c r="Z6" s="51">
        <f>IF($B6="","",VLOOKUP($B6,'武将一覧'!$A$7:$O$131,6,0))</f>
        <v>300</v>
      </c>
      <c r="AA6" s="51">
        <f>IF($B6="","",VLOOKUP($B6,'武将一覧'!$A$7:$O$131,7,0))</f>
        <v>370</v>
      </c>
      <c r="AB6" s="51">
        <f>IF($B6="","",VLOOKUP($B6,'武将一覧'!$A$7:$O$131,8,0))</f>
        <v>170</v>
      </c>
      <c r="AC6" s="51">
        <f>IF($B6="","",VLOOKUP($B6,'武将一覧'!$A$7:$O$131,9,0))</f>
        <v>295</v>
      </c>
      <c r="AD6" s="51">
        <f>IF($B6="","",VLOOKUP($B6,'武将一覧'!$A$7:$O$131,10,0))</f>
        <v>500</v>
      </c>
      <c r="AE6" s="51">
        <f>IF($B6="","",VLOOKUP($B6,'武将一覧'!$A$7:$O$131,11,0))</f>
        <v>15</v>
      </c>
      <c r="AF6" s="51">
        <f>IF($B6="","",VLOOKUP($B6,'武将一覧'!$A$7:$O$131,12,0))</f>
        <v>13</v>
      </c>
      <c r="AG6" s="52" t="str">
        <f>IF($B6="","",VLOOKUP($B6,'武将一覧'!$A$7:$O$131,15,0))</f>
        <v>2次β初期</v>
      </c>
    </row>
    <row r="7" spans="1:33" ht="13.5">
      <c r="A7" s="35">
        <v>4</v>
      </c>
      <c r="B7" s="36">
        <v>4007</v>
      </c>
      <c r="C7" s="37">
        <v>0</v>
      </c>
      <c r="D7" s="38">
        <v>500</v>
      </c>
      <c r="E7" s="39">
        <v>0</v>
      </c>
      <c r="F7" s="39">
        <v>0</v>
      </c>
      <c r="G7" s="40">
        <v>0</v>
      </c>
      <c r="H7" s="41" t="str">
        <f>IF($B7="","",VLOOKUP($B7,'武将一覧'!$A$7:$O$131,2,0))</f>
        <v>孟獲</v>
      </c>
      <c r="I7" s="42" t="str">
        <f>IF($B7="","",VLOOKUP($B7,'武将一覧'!$A$7:$O$131,3,0))</f>
        <v>C</v>
      </c>
      <c r="J7" s="43">
        <f>IF($B7="","",VLOOKUP($B7,'武将一覧'!$A$7:$O$131,4,0))</f>
        <v>2.5</v>
      </c>
      <c r="K7" s="44" t="str">
        <f>IF($B7="","",VLOOKUP($B7,'武将一覧'!$A$7:$O$131,5,0))</f>
        <v>槍</v>
      </c>
      <c r="L7" s="45">
        <f t="shared" si="0"/>
        <v>12240</v>
      </c>
      <c r="M7" s="46">
        <f>IF($B7="","",SUM(((AA7*M$2)*C7)*5)+((AA7*M$2)*F7)+AA7)</f>
        <v>240</v>
      </c>
      <c r="N7" s="47">
        <f t="shared" si="1"/>
        <v>210</v>
      </c>
      <c r="O7" s="47">
        <f t="shared" si="2"/>
        <v>410</v>
      </c>
      <c r="P7" s="47">
        <f t="shared" si="3"/>
        <v>255</v>
      </c>
      <c r="Q7" s="48">
        <f>IF($B7="","",SUM(((AE7*Q$2)*C7)*5)+((AE7*Q$2)*E7)+AE7)</f>
        <v>4</v>
      </c>
      <c r="R7" s="48">
        <f>IF($B7="","",SUM(((AF7*R$2)*C7)*5)+((AF7*R$2)*G7)+AF7)</f>
        <v>10</v>
      </c>
      <c r="S7" s="53" t="str">
        <f>IF($B7="","",VLOOKUP($B7,'武将一覧'!$A$7:$O$131,13,0))</f>
        <v>攻</v>
      </c>
      <c r="T7" s="49" t="str">
        <f>IF($B7="","",VLOOKUP($B7,'武将一覧'!$A$7:$O$131,14,0))</f>
        <v>蛮族の襲撃Lv1</v>
      </c>
      <c r="U7" s="50"/>
      <c r="V7" s="50"/>
      <c r="W7" s="50"/>
      <c r="X7" s="50"/>
      <c r="Y7" s="50"/>
      <c r="Z7" s="51">
        <f>IF($B7="","",VLOOKUP($B7,'武将一覧'!$A$7:$O$131,6,0))</f>
        <v>255</v>
      </c>
      <c r="AA7" s="51">
        <f>IF($B7="","",VLOOKUP($B7,'武将一覧'!$A$7:$O$131,7,0))</f>
        <v>240</v>
      </c>
      <c r="AB7" s="51">
        <f>IF($B7="","",VLOOKUP($B7,'武将一覧'!$A$7:$O$131,8,0))</f>
        <v>210</v>
      </c>
      <c r="AC7" s="51">
        <f>IF($B7="","",VLOOKUP($B7,'武将一覧'!$A$7:$O$131,9,0))</f>
        <v>410</v>
      </c>
      <c r="AD7" s="51">
        <f>IF($B7="","",VLOOKUP($B7,'武将一覧'!$A$7:$O$131,10,0))</f>
        <v>75</v>
      </c>
      <c r="AE7" s="51">
        <f>IF($B7="","",VLOOKUP($B7,'武将一覧'!$A$7:$O$131,11,0))</f>
        <v>4</v>
      </c>
      <c r="AF7" s="51">
        <f>IF($B7="","",VLOOKUP($B7,'武将一覧'!$A$7:$O$131,12,0))</f>
        <v>10</v>
      </c>
      <c r="AG7" s="52" t="str">
        <f>IF($B7="","",VLOOKUP($B7,'武将一覧'!$A$7:$O$131,15,0))</f>
        <v>2次β初期</v>
      </c>
    </row>
    <row r="8" spans="1:33" ht="13.5">
      <c r="A8" s="35">
        <v>5</v>
      </c>
      <c r="B8" s="36">
        <v>4020</v>
      </c>
      <c r="C8" s="37">
        <v>0</v>
      </c>
      <c r="D8" s="38">
        <v>500</v>
      </c>
      <c r="E8" s="39">
        <v>0</v>
      </c>
      <c r="F8" s="39">
        <v>0</v>
      </c>
      <c r="G8" s="40">
        <v>0</v>
      </c>
      <c r="H8" s="41" t="str">
        <f>IF($B8="","",VLOOKUP($B8,'武将一覧'!$A$7:$O$131,2,0))</f>
        <v>祝融</v>
      </c>
      <c r="I8" s="42" t="str">
        <f>IF($B8="","",VLOOKUP($B8,'武将一覧'!$A$7:$O$131,3,0))</f>
        <v>UC</v>
      </c>
      <c r="J8" s="43">
        <f>IF($B8="","",VLOOKUP($B8,'武将一覧'!$A$7:$O$131,4,0))</f>
        <v>2.5</v>
      </c>
      <c r="K8" s="44" t="str">
        <f>IF($B8="","",VLOOKUP($B8,'武将一覧'!$A$7:$O$131,5,0))</f>
        <v>弓</v>
      </c>
      <c r="L8" s="45">
        <f t="shared" si="0"/>
        <v>13200</v>
      </c>
      <c r="M8" s="46">
        <f>IF($B8="","",SUM(((AA8*M$2)*C8)*5)+((AA8*M$2)*F8)+AA8)</f>
        <v>155</v>
      </c>
      <c r="N8" s="47">
        <f t="shared" si="1"/>
        <v>265</v>
      </c>
      <c r="O8" s="47">
        <f t="shared" si="2"/>
        <v>45</v>
      </c>
      <c r="P8" s="47">
        <f t="shared" si="3"/>
        <v>275</v>
      </c>
      <c r="Q8" s="48">
        <f>IF($B8="","",SUM(((AE8*Q$2)*C8)*5)+((AE8*Q$2)*E8)+AE8)</f>
        <v>3</v>
      </c>
      <c r="R8" s="48">
        <f>IF($B8="","",SUM(((AF8*R$2)*C8)*5)+((AF8*R$2)*G8)+AF8)</f>
        <v>9</v>
      </c>
      <c r="S8" s="53" t="str">
        <f>IF($B8="","",VLOOKUP($B8,'武将一覧'!$A$7:$O$131,13,0))</f>
        <v>攻</v>
      </c>
      <c r="T8" s="49" t="str">
        <f>IF($B8="","",VLOOKUP($B8,'武将一覧'!$A$7:$O$131,14,0))</f>
        <v>火神の攻勢LV3</v>
      </c>
      <c r="U8" s="50"/>
      <c r="V8" s="50"/>
      <c r="W8" s="50"/>
      <c r="X8" s="50"/>
      <c r="Y8" s="50"/>
      <c r="Z8" s="51">
        <f>IF($B8="","",VLOOKUP($B8,'武将一覧'!$A$7:$O$131,6,0))</f>
        <v>275</v>
      </c>
      <c r="AA8" s="51">
        <f>IF($B8="","",VLOOKUP($B8,'武将一覧'!$A$7:$O$131,7,0))</f>
        <v>155</v>
      </c>
      <c r="AB8" s="51">
        <f>IF($B8="","",VLOOKUP($B8,'武将一覧'!$A$7:$O$131,8,0))</f>
        <v>265</v>
      </c>
      <c r="AC8" s="51">
        <f>IF($B8="","",VLOOKUP($B8,'武将一覧'!$A$7:$O$131,9,0))</f>
        <v>45</v>
      </c>
      <c r="AD8" s="51">
        <f>IF($B8="","",VLOOKUP($B8,'武将一覧'!$A$7:$O$131,10,0))</f>
        <v>135</v>
      </c>
      <c r="AE8" s="51">
        <f>IF($B8="","",VLOOKUP($B8,'武将一覧'!$A$7:$O$131,11,0))</f>
        <v>3</v>
      </c>
      <c r="AF8" s="51">
        <f>IF($B8="","",VLOOKUP($B8,'武将一覧'!$A$7:$O$131,12,0))</f>
        <v>9</v>
      </c>
      <c r="AG8" s="52" t="str">
        <f>IF($B8="","",VLOOKUP($B8,'武将一覧'!$A$7:$O$131,15,0))</f>
        <v>2009/07/13追加</v>
      </c>
    </row>
    <row r="9" spans="1:33" ht="13.5">
      <c r="A9" s="35">
        <v>6</v>
      </c>
      <c r="B9" s="36">
        <v>2019</v>
      </c>
      <c r="C9" s="37">
        <v>0</v>
      </c>
      <c r="D9" s="38">
        <v>500</v>
      </c>
      <c r="E9" s="39">
        <v>0</v>
      </c>
      <c r="F9" s="39">
        <v>0</v>
      </c>
      <c r="G9" s="40">
        <v>0</v>
      </c>
      <c r="H9" s="41" t="str">
        <f>IF($B9="","",VLOOKUP($B9,'武将一覧'!$A$7:$O$131,2,0))</f>
        <v>張郃</v>
      </c>
      <c r="I9" s="42" t="str">
        <f>IF($B9="","",VLOOKUP($B9,'武将一覧'!$A$7:$O$131,3,0))</f>
        <v>UC</v>
      </c>
      <c r="J9" s="43">
        <f>IF($B9="","",VLOOKUP($B9,'武将一覧'!$A$7:$O$131,4,0))</f>
        <v>2.5</v>
      </c>
      <c r="K9" s="44" t="str">
        <f>IF($B9="","",VLOOKUP($B9,'武将一覧'!$A$7:$O$131,5,0))</f>
        <v>騎</v>
      </c>
      <c r="L9" s="45">
        <f t="shared" si="0"/>
        <v>12240</v>
      </c>
      <c r="M9" s="46">
        <f>IF($B9="","",SUM(((AA9*M$2)*C9)*5)+((AA9*M$2)*F9)+AA9)</f>
        <v>310</v>
      </c>
      <c r="N9" s="47">
        <f t="shared" si="1"/>
        <v>140</v>
      </c>
      <c r="O9" s="47">
        <f t="shared" si="2"/>
        <v>280</v>
      </c>
      <c r="P9" s="47">
        <f t="shared" si="3"/>
        <v>255</v>
      </c>
      <c r="Q9" s="48">
        <f>IF($B9="","",SUM(((AE9*Q$2)*C9)*5)+((AE9*Q$2)*E9)+AE9)</f>
        <v>8</v>
      </c>
      <c r="R9" s="48">
        <f>IF($B9="","",SUM(((AF9*R$2)*C9)*5)+((AF9*R$2)*G9)+AF9)</f>
        <v>13</v>
      </c>
      <c r="S9" s="53" t="str">
        <f>IF($B9="","",VLOOKUP($B9,'武将一覧'!$A$7:$O$131,13,0))</f>
        <v>攻</v>
      </c>
      <c r="T9" s="49" t="str">
        <f>IF($B9="","",VLOOKUP($B9,'武将一覧'!$A$7:$O$131,14,0))</f>
        <v>騎兵突撃Lv2</v>
      </c>
      <c r="U9" s="50"/>
      <c r="V9" s="50"/>
      <c r="W9" s="50"/>
      <c r="X9" s="50"/>
      <c r="Y9" s="50"/>
      <c r="Z9" s="51">
        <f>IF($B9="","",VLOOKUP($B9,'武将一覧'!$A$7:$O$131,6,0))</f>
        <v>255</v>
      </c>
      <c r="AA9" s="51">
        <f>IF($B9="","",VLOOKUP($B9,'武将一覧'!$A$7:$O$131,7,0))</f>
        <v>310</v>
      </c>
      <c r="AB9" s="51">
        <f>IF($B9="","",VLOOKUP($B9,'武将一覧'!$A$7:$O$131,8,0))</f>
        <v>140</v>
      </c>
      <c r="AC9" s="51">
        <f>IF($B9="","",VLOOKUP($B9,'武将一覧'!$A$7:$O$131,9,0))</f>
        <v>280</v>
      </c>
      <c r="AD9" s="51">
        <f>IF($B9="","",VLOOKUP($B9,'武将一覧'!$A$7:$O$131,10,0))</f>
        <v>475</v>
      </c>
      <c r="AE9" s="51">
        <f>IF($B9="","",VLOOKUP($B9,'武将一覧'!$A$7:$O$131,11,0))</f>
        <v>8</v>
      </c>
      <c r="AF9" s="51">
        <f>IF($B9="","",VLOOKUP($B9,'武将一覧'!$A$7:$O$131,12,0))</f>
        <v>13</v>
      </c>
      <c r="AG9" s="52" t="str">
        <f>IF($B9="","",VLOOKUP($B9,'武将一覧'!$A$7:$O$131,15,0))</f>
        <v>2009/07/13追加</v>
      </c>
    </row>
    <row r="10" spans="1:33" ht="13.5">
      <c r="A10" s="35">
        <v>7</v>
      </c>
      <c r="B10" s="36">
        <v>1028</v>
      </c>
      <c r="C10" s="37">
        <v>0</v>
      </c>
      <c r="D10" s="38">
        <v>0</v>
      </c>
      <c r="E10" s="39">
        <v>70</v>
      </c>
      <c r="F10" s="39">
        <v>0</v>
      </c>
      <c r="G10" s="40">
        <v>0</v>
      </c>
      <c r="H10" s="41" t="str">
        <f>IF($B10="","",VLOOKUP($B10,'武将一覧'!$A$7:$O$131,2,0))</f>
        <v>簡雍</v>
      </c>
      <c r="I10" s="42" t="str">
        <f>IF($B10="","",VLOOKUP($B10,'武将一覧'!$A$7:$O$131,3,0))</f>
        <v>C</v>
      </c>
      <c r="J10" s="43">
        <f>IF($B10="","",VLOOKUP($B10,'武将一覧'!$A$7:$O$131,4,0))</f>
        <v>1.5</v>
      </c>
      <c r="K10" s="44" t="str">
        <f>IF($B10="","",VLOOKUP($B10,'武将一覧'!$A$7:$O$131,5,0))</f>
        <v>歩</v>
      </c>
      <c r="L10" s="45">
        <f t="shared" si="0"/>
        <v>65</v>
      </c>
      <c r="M10" s="46">
        <f>IF($B10="","",SUM(((AA10*M$2)*C10)*5)+((AA10*M$2)*F10)+AA10)</f>
        <v>45</v>
      </c>
      <c r="N10" s="47">
        <f t="shared" si="1"/>
        <v>20</v>
      </c>
      <c r="O10" s="47">
        <f t="shared" si="2"/>
        <v>20</v>
      </c>
      <c r="P10" s="47">
        <f t="shared" si="3"/>
        <v>65</v>
      </c>
      <c r="Q10" s="48">
        <f>IF($B10="","",SUM(((AE10*Q$2)*C10)*5)+((AE10*Q$2)*E10)+AE10)</f>
        <v>10.008</v>
      </c>
      <c r="R10" s="48">
        <f>IF($B10="","",SUM(((AF10*R$2)*C10)*5)+((AF10*R$2)*G10)+AF10)</f>
        <v>8</v>
      </c>
      <c r="S10" s="53" t="str">
        <f>IF($B10="","",VLOOKUP($B10,'武将一覧'!$A$7:$O$131,13,0))</f>
        <v>防(内政)</v>
      </c>
      <c r="T10" s="49" t="str">
        <f>IF($B10="","",VLOOKUP($B10,'武将一覧'!$A$7:$O$131,14,0))</f>
        <v>食糧知識Lv1</v>
      </c>
      <c r="U10" s="50"/>
      <c r="V10" s="50"/>
      <c r="W10" s="50"/>
      <c r="X10" s="50"/>
      <c r="Y10" s="50"/>
      <c r="Z10" s="51">
        <f>IF($B10="","",VLOOKUP($B10,'武将一覧'!$A$7:$O$131,6,0))</f>
        <v>65</v>
      </c>
      <c r="AA10" s="51">
        <f>IF($B10="","",VLOOKUP($B10,'武将一覧'!$A$7:$O$131,7,0))</f>
        <v>45</v>
      </c>
      <c r="AB10" s="51">
        <f>IF($B10="","",VLOOKUP($B10,'武将一覧'!$A$7:$O$131,8,0))</f>
        <v>20</v>
      </c>
      <c r="AC10" s="51">
        <f>IF($B10="","",VLOOKUP($B10,'武将一覧'!$A$7:$O$131,9,0))</f>
        <v>20</v>
      </c>
      <c r="AD10" s="51">
        <f>IF($B10="","",VLOOKUP($B10,'武将一覧'!$A$7:$O$131,10,0))</f>
        <v>20</v>
      </c>
      <c r="AE10" s="51">
        <f>IF($B10="","",VLOOKUP($B10,'武将一覧'!$A$7:$O$131,11,0))</f>
        <v>9</v>
      </c>
      <c r="AF10" s="51">
        <f>IF($B10="","",VLOOKUP($B10,'武将一覧'!$A$7:$O$131,12,0))</f>
        <v>8</v>
      </c>
      <c r="AG10" s="52" t="str">
        <f>IF($B10="","",VLOOKUP($B10,'武将一覧'!$A$7:$O$131,15,0))</f>
        <v>2次β初期</v>
      </c>
    </row>
    <row r="11" spans="1:33" ht="13.5">
      <c r="A11" s="35">
        <v>8</v>
      </c>
      <c r="B11" s="36"/>
      <c r="C11" s="37">
        <v>0</v>
      </c>
      <c r="D11" s="38">
        <v>0</v>
      </c>
      <c r="E11" s="39">
        <v>0</v>
      </c>
      <c r="F11" s="39">
        <v>0</v>
      </c>
      <c r="G11" s="40">
        <v>0</v>
      </c>
      <c r="H11" s="41">
        <f>IF($B11="","",VLOOKUP($B11,'武将一覧'!$A$7:$O$131,2,0))</f>
      </c>
      <c r="I11" s="42">
        <f>IF($B11="","",VLOOKUP($B11,'武将一覧'!$A$7:$O$131,3,0))</f>
      </c>
      <c r="J11" s="43">
        <f>IF($B11="","",VLOOKUP($B11,'武将一覧'!$A$7:$O$131,4,0))</f>
      </c>
      <c r="K11" s="44">
        <f>IF($B11="","",VLOOKUP($B11,'武将一覧'!$A$7:$O$131,5,0))</f>
      </c>
      <c r="L11" s="45">
        <f t="shared" si="0"/>
      </c>
      <c r="M11" s="46">
        <f>IF($B11="","",SUM(((AA11*M$2)*C11)*5)+((AA11*M$2)*F11)+AA11)</f>
      </c>
      <c r="N11" s="47">
        <f t="shared" si="1"/>
      </c>
      <c r="O11" s="47">
        <f t="shared" si="2"/>
      </c>
      <c r="P11" s="47">
        <f t="shared" si="3"/>
      </c>
      <c r="Q11" s="48">
        <f>IF($B11="","",SUM(((AE11*Q$2)*C11)*5)+((AE11*Q$2)*E11)+AE11)</f>
      </c>
      <c r="R11" s="48">
        <f>IF($B11="","",SUM(((AF11*R$2)*C11)*5)+((AF11*R$2)*G11)+AF11)</f>
      </c>
      <c r="S11" s="53">
        <f>IF($B11="","",VLOOKUP($B11,'武将一覧'!$A$7:$O$131,13,0))</f>
      </c>
      <c r="T11" s="49">
        <f>IF($B11="","",VLOOKUP($B11,'武将一覧'!$A$7:$O$131,14,0))</f>
      </c>
      <c r="U11" s="50"/>
      <c r="V11" s="50"/>
      <c r="W11" s="50"/>
      <c r="X11" s="50"/>
      <c r="Y11" s="50"/>
      <c r="Z11" s="51">
        <f>IF($B11="","",VLOOKUP($B11,'武将一覧'!$A$7:$O$131,6,0))</f>
      </c>
      <c r="AA11" s="51">
        <f>IF($B11="","",VLOOKUP($B11,'武将一覧'!$A$7:$O$131,7,0))</f>
      </c>
      <c r="AB11" s="51">
        <f>IF($B11="","",VLOOKUP($B11,'武将一覧'!$A$7:$O$131,8,0))</f>
      </c>
      <c r="AC11" s="51">
        <f>IF($B11="","",VLOOKUP($B11,'武将一覧'!$A$7:$O$131,9,0))</f>
      </c>
      <c r="AD11" s="51">
        <f>IF($B11="","",VLOOKUP($B11,'武将一覧'!$A$7:$O$131,10,0))</f>
      </c>
      <c r="AE11" s="51">
        <f>IF($B11="","",VLOOKUP($B11,'武将一覧'!$A$7:$O$131,11,0))</f>
      </c>
      <c r="AF11" s="51">
        <f>IF($B11="","",VLOOKUP($B11,'武将一覧'!$A$7:$O$131,12,0))</f>
      </c>
      <c r="AG11" s="52">
        <f>IF($B11="","",VLOOKUP($B11,'武将一覧'!$A$7:$O$131,15,0))</f>
      </c>
    </row>
    <row r="12" spans="1:33" ht="13.5">
      <c r="A12" s="35">
        <v>9</v>
      </c>
      <c r="B12" s="36"/>
      <c r="C12" s="37">
        <v>0</v>
      </c>
      <c r="D12" s="38">
        <v>0</v>
      </c>
      <c r="E12" s="39">
        <v>0</v>
      </c>
      <c r="F12" s="39">
        <v>0</v>
      </c>
      <c r="G12" s="40">
        <v>0</v>
      </c>
      <c r="H12" s="41">
        <f>IF($B12="","",VLOOKUP($B12,'武将一覧'!$A$7:$O$131,2,0))</f>
      </c>
      <c r="I12" s="42">
        <f>IF($B12="","",VLOOKUP($B12,'武将一覧'!$A$7:$O$131,3,0))</f>
      </c>
      <c r="J12" s="43">
        <f>IF($B12="","",VLOOKUP($B12,'武将一覧'!$A$7:$O$131,4,0))</f>
      </c>
      <c r="K12" s="44">
        <f>IF($B12="","",VLOOKUP($B12,'武将一覧'!$A$7:$O$131,5,0))</f>
      </c>
      <c r="L12" s="45">
        <f t="shared" si="0"/>
      </c>
      <c r="M12" s="46">
        <f>IF($B12="","",SUM(((AA12*M$2)*C12)*5)+((AA12*M$2)*F12)+AA12)</f>
      </c>
      <c r="N12" s="47">
        <f t="shared" si="1"/>
      </c>
      <c r="O12" s="47">
        <f t="shared" si="2"/>
      </c>
      <c r="P12" s="47">
        <f t="shared" si="3"/>
      </c>
      <c r="Q12" s="48">
        <f>IF($B12="","",SUM(((AE12*Q$2)*C12)*5)+((AE12*Q$2)*E12)+AE12)</f>
      </c>
      <c r="R12" s="48">
        <f>IF($B12="","",SUM(((AF12*R$2)*C12)*5)+((AF12*R$2)*G12)+AF12)</f>
      </c>
      <c r="S12" s="53">
        <f>IF($B12="","",VLOOKUP($B12,'武将一覧'!$A$7:$O$131,13,0))</f>
      </c>
      <c r="T12" s="49">
        <f>IF($B12="","",VLOOKUP($B12,'武将一覧'!$A$7:$O$131,14,0))</f>
      </c>
      <c r="U12" s="50"/>
      <c r="V12" s="50"/>
      <c r="W12" s="50"/>
      <c r="X12" s="50"/>
      <c r="Y12" s="50"/>
      <c r="Z12" s="51">
        <f>IF($B12="","",VLOOKUP($B12,'武将一覧'!$A$7:$O$131,6,0))</f>
      </c>
      <c r="AA12" s="51">
        <f>IF($B12="","",VLOOKUP($B12,'武将一覧'!$A$7:$O$131,7,0))</f>
      </c>
      <c r="AB12" s="51">
        <f>IF($B12="","",VLOOKUP($B12,'武将一覧'!$A$7:$O$131,8,0))</f>
      </c>
      <c r="AC12" s="51">
        <f>IF($B12="","",VLOOKUP($B12,'武将一覧'!$A$7:$O$131,9,0))</f>
      </c>
      <c r="AD12" s="51">
        <f>IF($B12="","",VLOOKUP($B12,'武将一覧'!$A$7:$O$131,10,0))</f>
      </c>
      <c r="AE12" s="51">
        <f>IF($B12="","",VLOOKUP($B12,'武将一覧'!$A$7:$O$131,11,0))</f>
      </c>
      <c r="AF12" s="51">
        <f>IF($B12="","",VLOOKUP($B12,'武将一覧'!$A$7:$O$131,12,0))</f>
      </c>
      <c r="AG12" s="52">
        <f>IF($B12="","",VLOOKUP($B12,'武将一覧'!$A$7:$O$131,15,0))</f>
      </c>
    </row>
    <row r="13" spans="1:33" ht="13.5">
      <c r="A13" s="35">
        <v>10</v>
      </c>
      <c r="B13" s="36">
        <v>1010</v>
      </c>
      <c r="C13" s="37">
        <v>0</v>
      </c>
      <c r="D13" s="38">
        <v>0</v>
      </c>
      <c r="E13" s="39">
        <v>70</v>
      </c>
      <c r="F13" s="39">
        <v>0</v>
      </c>
      <c r="G13" s="40">
        <v>0</v>
      </c>
      <c r="H13" s="41" t="str">
        <f>IF($B13="","",VLOOKUP($B13,'武将一覧'!$A$7:$O$131,2,0))</f>
        <v>関羽</v>
      </c>
      <c r="I13" s="42" t="str">
        <f>IF($B13="","",VLOOKUP($B13,'武将一覧'!$A$7:$O$131,3,0))</f>
        <v>UC</v>
      </c>
      <c r="J13" s="43">
        <f>IF($B13="","",VLOOKUP($B13,'武将一覧'!$A$7:$O$131,4,0))</f>
        <v>2.5</v>
      </c>
      <c r="K13" s="44" t="str">
        <f>IF($B13="","",VLOOKUP($B13,'武将一覧'!$A$7:$O$131,5,0))</f>
        <v>槍</v>
      </c>
      <c r="L13" s="45">
        <f t="shared" si="0"/>
        <v>270</v>
      </c>
      <c r="M13" s="46">
        <f>IF($B13="","",SUM(((AA13*M$2)*C13)*5)+((AA13*M$2)*F13)+AA13)</f>
        <v>295</v>
      </c>
      <c r="N13" s="47">
        <f t="shared" si="1"/>
        <v>265</v>
      </c>
      <c r="O13" s="47">
        <f t="shared" si="2"/>
        <v>445</v>
      </c>
      <c r="P13" s="47">
        <f t="shared" si="3"/>
        <v>270</v>
      </c>
      <c r="Q13" s="48">
        <f>IF($B13="","",SUM(((AE13*Q$2)*C13)*5)+((AE13*Q$2)*E13)+AE13)</f>
        <v>7.784</v>
      </c>
      <c r="R13" s="48">
        <f>IF($B13="","",SUM(((AF13*R$2)*C13)*5)+((AF13*R$2)*G13)+AF13)</f>
        <v>10</v>
      </c>
      <c r="S13" s="53" t="str">
        <f>IF($B13="","",VLOOKUP($B13,'武将一覧'!$A$7:$O$131,13,0))</f>
        <v>攻</v>
      </c>
      <c r="T13" s="49" t="str">
        <f>IF($B13="","",VLOOKUP($B13,'武将一覧'!$A$7:$O$131,14,0))</f>
        <v>槍兵の進撃Lv1</v>
      </c>
      <c r="U13" s="50"/>
      <c r="V13" s="50"/>
      <c r="W13" s="50"/>
      <c r="X13" s="50"/>
      <c r="Y13" s="50"/>
      <c r="Z13" s="51">
        <f>IF($B13="","",VLOOKUP($B13,'武将一覧'!$A$7:$O$131,6,0))</f>
        <v>270</v>
      </c>
      <c r="AA13" s="51">
        <f>IF($B13="","",VLOOKUP($B13,'武将一覧'!$A$7:$O$131,7,0))</f>
        <v>295</v>
      </c>
      <c r="AB13" s="51">
        <f>IF($B13="","",VLOOKUP($B13,'武将一覧'!$A$7:$O$131,8,0))</f>
        <v>265</v>
      </c>
      <c r="AC13" s="51">
        <f>IF($B13="","",VLOOKUP($B13,'武将一覧'!$A$7:$O$131,9,0))</f>
        <v>445</v>
      </c>
      <c r="AD13" s="51">
        <f>IF($B13="","",VLOOKUP($B13,'武将一覧'!$A$7:$O$131,10,0))</f>
        <v>144</v>
      </c>
      <c r="AE13" s="51">
        <f>IF($B13="","",VLOOKUP($B13,'武将一覧'!$A$7:$O$131,11,0))</f>
        <v>7</v>
      </c>
      <c r="AF13" s="51">
        <f>IF($B13="","",VLOOKUP($B13,'武将一覧'!$A$7:$O$131,12,0))</f>
        <v>10</v>
      </c>
      <c r="AG13" s="52" t="str">
        <f>IF($B13="","",VLOOKUP($B13,'武将一覧'!$A$7:$O$131,15,0))</f>
        <v>2次β初期</v>
      </c>
    </row>
    <row r="14" spans="1:33" ht="13.5">
      <c r="A14" s="35">
        <v>11</v>
      </c>
      <c r="B14" s="36"/>
      <c r="C14" s="37">
        <v>0</v>
      </c>
      <c r="D14" s="38">
        <v>0</v>
      </c>
      <c r="E14" s="39">
        <v>0</v>
      </c>
      <c r="F14" s="39">
        <v>0</v>
      </c>
      <c r="G14" s="40">
        <v>0</v>
      </c>
      <c r="H14" s="41">
        <f>IF($B14="","",VLOOKUP($B14,'武将一覧'!$A$7:$O$131,2,0))</f>
      </c>
      <c r="I14" s="42">
        <f>IF($B14="","",VLOOKUP($B14,'武将一覧'!$A$7:$O$131,3,0))</f>
      </c>
      <c r="J14" s="43">
        <f>IF($B14="","",VLOOKUP($B14,'武将一覧'!$A$7:$O$131,4,0))</f>
      </c>
      <c r="K14" s="44">
        <f>IF($B14="","",VLOOKUP($B14,'武将一覧'!$A$7:$O$131,5,0))</f>
      </c>
      <c r="L14" s="45">
        <f t="shared" si="0"/>
      </c>
      <c r="M14" s="46">
        <f>IF($B14="","",SUM(((AA14*M$2)*C14)*5)+((AA14*M$2)*F14)+AA14)</f>
      </c>
      <c r="N14" s="47">
        <f t="shared" si="1"/>
      </c>
      <c r="O14" s="47">
        <f t="shared" si="2"/>
      </c>
      <c r="P14" s="47">
        <f t="shared" si="3"/>
      </c>
      <c r="Q14" s="48">
        <f>IF($B14="","",SUM(((AE14*Q$2)*C14)*5)+((AE14*Q$2)*E14)+AE14)</f>
      </c>
      <c r="R14" s="48">
        <f>IF($B14="","",SUM(((AF14*R$2)*C14)*5)+((AF14*R$2)*G14)+AF14)</f>
      </c>
      <c r="S14" s="53">
        <f>IF($B14="","",VLOOKUP($B14,'武将一覧'!$A$7:$O$131,13,0))</f>
      </c>
      <c r="T14" s="49">
        <f>IF($B14="","",VLOOKUP($B14,'武将一覧'!$A$7:$O$131,14,0))</f>
      </c>
      <c r="U14" s="50"/>
      <c r="V14" s="50"/>
      <c r="W14" s="50"/>
      <c r="X14" s="50"/>
      <c r="Y14" s="50"/>
      <c r="Z14" s="51">
        <f>IF($B14="","",VLOOKUP($B14,'武将一覧'!$A$7:$O$131,6,0))</f>
      </c>
      <c r="AA14" s="51">
        <f>IF($B14="","",VLOOKUP($B14,'武将一覧'!$A$7:$O$131,7,0))</f>
      </c>
      <c r="AB14" s="51">
        <f>IF($B14="","",VLOOKUP($B14,'武将一覧'!$A$7:$O$131,8,0))</f>
      </c>
      <c r="AC14" s="51">
        <f>IF($B14="","",VLOOKUP($B14,'武将一覧'!$A$7:$O$131,9,0))</f>
      </c>
      <c r="AD14" s="51">
        <f>IF($B14="","",VLOOKUP($B14,'武将一覧'!$A$7:$O$131,10,0))</f>
      </c>
      <c r="AE14" s="51">
        <f>IF($B14="","",VLOOKUP($B14,'武将一覧'!$A$7:$O$131,11,0))</f>
      </c>
      <c r="AF14" s="51">
        <f>IF($B14="","",VLOOKUP($B14,'武将一覧'!$A$7:$O$131,12,0))</f>
      </c>
      <c r="AG14" s="52">
        <f>IF($B14="","",VLOOKUP($B14,'武将一覧'!$A$7:$O$131,15,0))</f>
      </c>
    </row>
    <row r="15" spans="1:33" ht="13.5">
      <c r="A15" s="35">
        <v>12</v>
      </c>
      <c r="B15" s="36"/>
      <c r="C15" s="37">
        <v>0</v>
      </c>
      <c r="D15" s="38">
        <v>0</v>
      </c>
      <c r="E15" s="39">
        <v>0</v>
      </c>
      <c r="F15" s="39">
        <v>0</v>
      </c>
      <c r="G15" s="40">
        <v>0</v>
      </c>
      <c r="H15" s="41">
        <f>IF($B15="","",VLOOKUP($B15,'武将一覧'!$A$7:$O$131,2,0))</f>
      </c>
      <c r="I15" s="42">
        <f>IF($B15="","",VLOOKUP($B15,'武将一覧'!$A$7:$O$131,3,0))</f>
      </c>
      <c r="J15" s="43">
        <f>IF($B15="","",VLOOKUP($B15,'武将一覧'!$A$7:$O$131,4,0))</f>
      </c>
      <c r="K15" s="44">
        <f>IF($B15="","",VLOOKUP($B15,'武将一覧'!$A$7:$O$131,5,0))</f>
      </c>
      <c r="L15" s="45">
        <f t="shared" si="0"/>
      </c>
      <c r="M15" s="46">
        <f>IF($B15="","",SUM(((AA15*M$2)*C15)*5)+((AA15*M$2)*F15)+AA15)</f>
      </c>
      <c r="N15" s="47">
        <f t="shared" si="1"/>
      </c>
      <c r="O15" s="47">
        <f t="shared" si="2"/>
      </c>
      <c r="P15" s="47">
        <f t="shared" si="3"/>
      </c>
      <c r="Q15" s="48">
        <f>IF($B15="","",SUM(((AE15*Q$2)*C15)*5)+((AE15*Q$2)*E15)+AE15)</f>
      </c>
      <c r="R15" s="48">
        <f>IF($B15="","",SUM(((AF15*R$2)*C15)*5)+((AF15*R$2)*G15)+AF15)</f>
      </c>
      <c r="S15" s="53">
        <f>IF($B15="","",VLOOKUP($B15,'武将一覧'!$A$7:$O$131,13,0))</f>
      </c>
      <c r="T15" s="49">
        <f>IF($B15="","",VLOOKUP($B15,'武将一覧'!$A$7:$O$131,14,0))</f>
      </c>
      <c r="U15" s="50"/>
      <c r="V15" s="50"/>
      <c r="W15" s="50"/>
      <c r="X15" s="50"/>
      <c r="Y15" s="50"/>
      <c r="Z15" s="51">
        <f>IF($B15="","",VLOOKUP($B15,'武将一覧'!$A$7:$O$131,6,0))</f>
      </c>
      <c r="AA15" s="51">
        <f>IF($B15="","",VLOOKUP($B15,'武将一覧'!$A$7:$O$131,7,0))</f>
      </c>
      <c r="AB15" s="51">
        <f>IF($B15="","",VLOOKUP($B15,'武将一覧'!$A$7:$O$131,8,0))</f>
      </c>
      <c r="AC15" s="51">
        <f>IF($B15="","",VLOOKUP($B15,'武将一覧'!$A$7:$O$131,9,0))</f>
      </c>
      <c r="AD15" s="51">
        <f>IF($B15="","",VLOOKUP($B15,'武将一覧'!$A$7:$O$131,10,0))</f>
      </c>
      <c r="AE15" s="51">
        <f>IF($B15="","",VLOOKUP($B15,'武将一覧'!$A$7:$O$131,11,0))</f>
      </c>
      <c r="AF15" s="51">
        <f>IF($B15="","",VLOOKUP($B15,'武将一覧'!$A$7:$O$131,12,0))</f>
      </c>
      <c r="AG15" s="52">
        <f>IF($B15="","",VLOOKUP($B15,'武将一覧'!$A$7:$O$131,15,0))</f>
      </c>
    </row>
    <row r="16" spans="1:33" ht="13.5">
      <c r="A16" s="35">
        <v>13</v>
      </c>
      <c r="B16" s="36"/>
      <c r="C16" s="37">
        <v>0</v>
      </c>
      <c r="D16" s="38">
        <v>0</v>
      </c>
      <c r="E16" s="39">
        <v>0</v>
      </c>
      <c r="F16" s="39">
        <v>0</v>
      </c>
      <c r="G16" s="40">
        <v>0</v>
      </c>
      <c r="H16" s="41">
        <f>IF($B16="","",VLOOKUP($B16,'武将一覧'!$A$7:$O$131,2,0))</f>
      </c>
      <c r="I16" s="42">
        <f>IF($B16="","",VLOOKUP($B16,'武将一覧'!$A$7:$O$131,3,0))</f>
      </c>
      <c r="J16" s="43">
        <f>IF($B16="","",VLOOKUP($B16,'武将一覧'!$A$7:$O$131,4,0))</f>
      </c>
      <c r="K16" s="44">
        <f>IF($B16="","",VLOOKUP($B16,'武将一覧'!$A$7:$O$131,5,0))</f>
      </c>
      <c r="L16" s="45">
        <f t="shared" si="0"/>
      </c>
      <c r="M16" s="46">
        <f>IF($B16="","",SUM(((AA16*M$2)*C16)*5)+((AA16*M$2)*F16)+AA16)</f>
      </c>
      <c r="N16" s="47">
        <f t="shared" si="1"/>
      </c>
      <c r="O16" s="47">
        <f t="shared" si="2"/>
      </c>
      <c r="P16" s="47">
        <f t="shared" si="3"/>
      </c>
      <c r="Q16" s="48">
        <f>IF($B16="","",SUM(((AE16*Q$2)*C16)*5)+((AE16*Q$2)*E16)+AE16)</f>
      </c>
      <c r="R16" s="48">
        <f>IF($B16="","",SUM(((AF16*R$2)*C16)*5)+((AF16*R$2)*G16)+AF16)</f>
      </c>
      <c r="S16" s="53">
        <f>IF($B16="","",VLOOKUP($B16,'武将一覧'!$A$7:$O$131,13,0))</f>
      </c>
      <c r="T16" s="49">
        <f>IF($B16="","",VLOOKUP($B16,'武将一覧'!$A$7:$O$131,14,0))</f>
      </c>
      <c r="U16" s="50"/>
      <c r="V16" s="50"/>
      <c r="W16" s="50"/>
      <c r="X16" s="50"/>
      <c r="Y16" s="50"/>
      <c r="Z16" s="51">
        <f>IF($B16="","",VLOOKUP($B16,'武将一覧'!$A$7:$O$131,6,0))</f>
      </c>
      <c r="AA16" s="51">
        <f>IF($B16="","",VLOOKUP($B16,'武将一覧'!$A$7:$O$131,7,0))</f>
      </c>
      <c r="AB16" s="51">
        <f>IF($B16="","",VLOOKUP($B16,'武将一覧'!$A$7:$O$131,8,0))</f>
      </c>
      <c r="AC16" s="51">
        <f>IF($B16="","",VLOOKUP($B16,'武将一覧'!$A$7:$O$131,9,0))</f>
      </c>
      <c r="AD16" s="51">
        <f>IF($B16="","",VLOOKUP($B16,'武将一覧'!$A$7:$O$131,10,0))</f>
      </c>
      <c r="AE16" s="51">
        <f>IF($B16="","",VLOOKUP($B16,'武将一覧'!$A$7:$O$131,11,0))</f>
      </c>
      <c r="AF16" s="51">
        <f>IF($B16="","",VLOOKUP($B16,'武将一覧'!$A$7:$O$131,12,0))</f>
      </c>
      <c r="AG16" s="52">
        <f>IF($B16="","",VLOOKUP($B16,'武将一覧'!$A$7:$O$131,15,0))</f>
      </c>
    </row>
    <row r="17" spans="1:33" ht="13.5">
      <c r="A17" s="35">
        <v>14</v>
      </c>
      <c r="B17" s="36"/>
      <c r="C17" s="37">
        <v>0</v>
      </c>
      <c r="D17" s="38">
        <v>0</v>
      </c>
      <c r="E17" s="39">
        <v>0</v>
      </c>
      <c r="F17" s="39">
        <v>0</v>
      </c>
      <c r="G17" s="40">
        <v>0</v>
      </c>
      <c r="H17" s="41">
        <f>IF($B17="","",VLOOKUP($B17,'武将一覧'!$A$7:$O$131,2,0))</f>
      </c>
      <c r="I17" s="42">
        <f>IF($B17="","",VLOOKUP($B17,'武将一覧'!$A$7:$O$131,3,0))</f>
      </c>
      <c r="J17" s="43">
        <f>IF($B17="","",VLOOKUP($B17,'武将一覧'!$A$7:$O$131,4,0))</f>
      </c>
      <c r="K17" s="44">
        <f>IF($B17="","",VLOOKUP($B17,'武将一覧'!$A$7:$O$131,5,0))</f>
      </c>
      <c r="L17" s="45">
        <f t="shared" si="0"/>
      </c>
      <c r="M17" s="46">
        <f>IF($B17="","",SUM(((AA17*M$2)*C17)*5)+((AA17*M$2)*F17)+AA17)</f>
      </c>
      <c r="N17" s="47">
        <f t="shared" si="1"/>
      </c>
      <c r="O17" s="47">
        <f t="shared" si="2"/>
      </c>
      <c r="P17" s="47">
        <f t="shared" si="3"/>
      </c>
      <c r="Q17" s="48">
        <f>IF($B17="","",SUM(((AE17*Q$2)*C17)*5)+((AE17*Q$2)*E17)+AE17)</f>
      </c>
      <c r="R17" s="48">
        <f>IF($B17="","",SUM(((AF17*R$2)*C17)*5)+((AF17*R$2)*G17)+AF17)</f>
      </c>
      <c r="S17" s="53">
        <f>IF($B17="","",VLOOKUP($B17,'武将一覧'!$A$7:$O$131,13,0))</f>
      </c>
      <c r="T17" s="49">
        <f>IF($B17="","",VLOOKUP($B17,'武将一覧'!$A$7:$O$131,14,0))</f>
      </c>
      <c r="U17" s="50"/>
      <c r="V17" s="50"/>
      <c r="W17" s="50"/>
      <c r="X17" s="50"/>
      <c r="Y17" s="50"/>
      <c r="Z17" s="51">
        <f>IF($B17="","",VLOOKUP($B17,'武将一覧'!$A$7:$O$131,6,0))</f>
      </c>
      <c r="AA17" s="51">
        <f>IF($B17="","",VLOOKUP($B17,'武将一覧'!$A$7:$O$131,7,0))</f>
      </c>
      <c r="AB17" s="51">
        <f>IF($B17="","",VLOOKUP($B17,'武将一覧'!$A$7:$O$131,8,0))</f>
      </c>
      <c r="AC17" s="51">
        <f>IF($B17="","",VLOOKUP($B17,'武将一覧'!$A$7:$O$131,9,0))</f>
      </c>
      <c r="AD17" s="51">
        <f>IF($B17="","",VLOOKUP($B17,'武将一覧'!$A$7:$O$131,10,0))</f>
      </c>
      <c r="AE17" s="51">
        <f>IF($B17="","",VLOOKUP($B17,'武将一覧'!$A$7:$O$131,11,0))</f>
      </c>
      <c r="AF17" s="51">
        <f>IF($B17="","",VLOOKUP($B17,'武将一覧'!$A$7:$O$131,12,0))</f>
      </c>
      <c r="AG17" s="52">
        <f>IF($B17="","",VLOOKUP($B17,'武将一覧'!$A$7:$O$131,15,0))</f>
      </c>
    </row>
    <row r="18" spans="1:33" ht="13.5">
      <c r="A18" s="35">
        <v>15</v>
      </c>
      <c r="B18" s="36"/>
      <c r="C18" s="37">
        <v>0</v>
      </c>
      <c r="D18" s="38">
        <v>0</v>
      </c>
      <c r="E18" s="39">
        <v>0</v>
      </c>
      <c r="F18" s="39">
        <v>0</v>
      </c>
      <c r="G18" s="40">
        <v>0</v>
      </c>
      <c r="H18" s="41">
        <f>IF($B18="","",VLOOKUP($B18,'武将一覧'!$A$7:$O$131,2,0))</f>
      </c>
      <c r="I18" s="42">
        <f>IF($B18="","",VLOOKUP($B18,'武将一覧'!$A$7:$O$131,3,0))</f>
      </c>
      <c r="J18" s="43">
        <f>IF($B18="","",VLOOKUP($B18,'武将一覧'!$A$7:$O$131,4,0))</f>
      </c>
      <c r="K18" s="44">
        <f>IF($B18="","",VLOOKUP($B18,'武将一覧'!$A$7:$O$131,5,0))</f>
      </c>
      <c r="L18" s="45">
        <f t="shared" si="0"/>
      </c>
      <c r="M18" s="46">
        <f>IF($B18="","",SUM(((AA18*M$2)*C18)*5)+((AA18*M$2)*F18)+AA18)</f>
      </c>
      <c r="N18" s="47">
        <f t="shared" si="1"/>
      </c>
      <c r="O18" s="47">
        <f t="shared" si="2"/>
      </c>
      <c r="P18" s="47">
        <f t="shared" si="3"/>
      </c>
      <c r="Q18" s="48">
        <f>IF($B18="","",SUM(((AE18*Q$2)*C18)*5)+((AE18*Q$2)*E18)+AE18)</f>
      </c>
      <c r="R18" s="48">
        <f>IF($B18="","",SUM(((AF18*R$2)*C18)*5)+((AF18*R$2)*G18)+AF18)</f>
      </c>
      <c r="S18" s="53">
        <f>IF($B18="","",VLOOKUP($B18,'武将一覧'!$A$7:$O$131,13,0))</f>
      </c>
      <c r="T18" s="49">
        <f>IF($B18="","",VLOOKUP($B18,'武将一覧'!$A$7:$O$131,14,0))</f>
      </c>
      <c r="U18" s="50"/>
      <c r="V18" s="50"/>
      <c r="W18" s="50"/>
      <c r="X18" s="50"/>
      <c r="Y18" s="50"/>
      <c r="Z18" s="51">
        <f>IF($B18="","",VLOOKUP($B18,'武将一覧'!$A$7:$O$131,6,0))</f>
      </c>
      <c r="AA18" s="51">
        <f>IF($B18="","",VLOOKUP($B18,'武将一覧'!$A$7:$O$131,7,0))</f>
      </c>
      <c r="AB18" s="51">
        <f>IF($B18="","",VLOOKUP($B18,'武将一覧'!$A$7:$O$131,8,0))</f>
      </c>
      <c r="AC18" s="51">
        <f>IF($B18="","",VLOOKUP($B18,'武将一覧'!$A$7:$O$131,9,0))</f>
      </c>
      <c r="AD18" s="51">
        <f>IF($B18="","",VLOOKUP($B18,'武将一覧'!$A$7:$O$131,10,0))</f>
      </c>
      <c r="AE18" s="51">
        <f>IF($B18="","",VLOOKUP($B18,'武将一覧'!$A$7:$O$131,11,0))</f>
      </c>
      <c r="AF18" s="51">
        <f>IF($B18="","",VLOOKUP($B18,'武将一覧'!$A$7:$O$131,12,0))</f>
      </c>
      <c r="AG18" s="52">
        <f>IF($B18="","",VLOOKUP($B18,'武将一覧'!$A$7:$O$131,15,0))</f>
      </c>
    </row>
    <row r="19" spans="1:33" ht="13.5">
      <c r="A19" s="35">
        <v>16</v>
      </c>
      <c r="B19" s="36"/>
      <c r="C19" s="37">
        <v>0</v>
      </c>
      <c r="D19" s="38">
        <v>0</v>
      </c>
      <c r="E19" s="39">
        <v>0</v>
      </c>
      <c r="F19" s="39">
        <v>0</v>
      </c>
      <c r="G19" s="40">
        <v>0</v>
      </c>
      <c r="H19" s="41">
        <f>IF($B19="","",VLOOKUP($B19,'武将一覧'!$A$7:$O$131,2,0))</f>
      </c>
      <c r="I19" s="42">
        <f>IF($B19="","",VLOOKUP($B19,'武将一覧'!$A$7:$O$131,3,0))</f>
      </c>
      <c r="J19" s="43">
        <f>IF($B19="","",VLOOKUP($B19,'武将一覧'!$A$7:$O$131,4,0))</f>
      </c>
      <c r="K19" s="44">
        <f>IF($B19="","",VLOOKUP($B19,'武将一覧'!$A$7:$O$131,5,0))</f>
      </c>
      <c r="L19" s="45">
        <f t="shared" si="0"/>
      </c>
      <c r="M19" s="46">
        <f>IF($B19="","",SUM(((AA19*M$2)*C19)*5)+((AA19*M$2)*F19)+AA19)</f>
      </c>
      <c r="N19" s="47">
        <f t="shared" si="1"/>
      </c>
      <c r="O19" s="47">
        <f t="shared" si="2"/>
      </c>
      <c r="P19" s="47">
        <f t="shared" si="3"/>
      </c>
      <c r="Q19" s="48">
        <f>IF($B19="","",SUM(((AE19*Q$2)*C19)*5)+((AE19*Q$2)*E19)+AE19)</f>
      </c>
      <c r="R19" s="48">
        <f>IF($B19="","",SUM(((AF19*R$2)*C19)*5)+((AF19*R$2)*G19)+AF19)</f>
      </c>
      <c r="S19" s="53">
        <f>IF($B19="","",VLOOKUP($B19,'武将一覧'!$A$7:$O$131,13,0))</f>
      </c>
      <c r="T19" s="49">
        <f>IF($B19="","",VLOOKUP($B19,'武将一覧'!$A$7:$O$131,14,0))</f>
      </c>
      <c r="U19" s="50"/>
      <c r="V19" s="50"/>
      <c r="W19" s="50"/>
      <c r="X19" s="50"/>
      <c r="Y19" s="50"/>
      <c r="Z19" s="51">
        <f>IF($B19="","",VLOOKUP($B19,'武将一覧'!$A$7:$O$131,6,0))</f>
      </c>
      <c r="AA19" s="51">
        <f>IF($B19="","",VLOOKUP($B19,'武将一覧'!$A$7:$O$131,7,0))</f>
      </c>
      <c r="AB19" s="51">
        <f>IF($B19="","",VLOOKUP($B19,'武将一覧'!$A$7:$O$131,8,0))</f>
      </c>
      <c r="AC19" s="51">
        <f>IF($B19="","",VLOOKUP($B19,'武将一覧'!$A$7:$O$131,9,0))</f>
      </c>
      <c r="AD19" s="51">
        <f>IF($B19="","",VLOOKUP($B19,'武将一覧'!$A$7:$O$131,10,0))</f>
      </c>
      <c r="AE19" s="51">
        <f>IF($B19="","",VLOOKUP($B19,'武将一覧'!$A$7:$O$131,11,0))</f>
      </c>
      <c r="AF19" s="51">
        <f>IF($B19="","",VLOOKUP($B19,'武将一覧'!$A$7:$O$131,12,0))</f>
      </c>
      <c r="AG19" s="52">
        <f>IF($B19="","",VLOOKUP($B19,'武将一覧'!$A$7:$O$131,15,0))</f>
      </c>
    </row>
    <row r="20" spans="1:33" ht="13.5">
      <c r="A20" s="35">
        <v>17</v>
      </c>
      <c r="B20" s="36"/>
      <c r="C20" s="37">
        <v>0</v>
      </c>
      <c r="D20" s="38">
        <v>0</v>
      </c>
      <c r="E20" s="39">
        <v>0</v>
      </c>
      <c r="F20" s="39">
        <v>0</v>
      </c>
      <c r="G20" s="40">
        <v>0</v>
      </c>
      <c r="H20" s="41">
        <f>IF($B20="","",VLOOKUP($B20,'武将一覧'!$A$7:$O$131,2,0))</f>
      </c>
      <c r="I20" s="42">
        <f>IF($B20="","",VLOOKUP($B20,'武将一覧'!$A$7:$O$131,3,0))</f>
      </c>
      <c r="J20" s="43">
        <f>IF($B20="","",VLOOKUP($B20,'武将一覧'!$A$7:$O$131,4,0))</f>
      </c>
      <c r="K20" s="44">
        <f>IF($B20="","",VLOOKUP($B20,'武将一覧'!$A$7:$O$131,5,0))</f>
      </c>
      <c r="L20" s="45">
        <f t="shared" si="0"/>
      </c>
      <c r="M20" s="46">
        <f>IF($B20="","",SUM(((AA20*M$2)*C20)*5)+((AA20*M$2)*F20)+AA20)</f>
      </c>
      <c r="N20" s="47">
        <f t="shared" si="1"/>
      </c>
      <c r="O20" s="47">
        <f t="shared" si="2"/>
      </c>
      <c r="P20" s="47">
        <f t="shared" si="3"/>
      </c>
      <c r="Q20" s="48">
        <f>IF($B20="","",SUM(((AE20*Q$2)*C20)*5)+((AE20*Q$2)*E20)+AE20)</f>
      </c>
      <c r="R20" s="48">
        <f>IF($B20="","",SUM(((AF20*R$2)*C20)*5)+((AF20*R$2)*G20)+AF20)</f>
      </c>
      <c r="S20" s="53">
        <f>IF($B20="","",VLOOKUP($B20,'武将一覧'!$A$7:$O$131,13,0))</f>
      </c>
      <c r="T20" s="49">
        <f>IF($B20="","",VLOOKUP($B20,'武将一覧'!$A$7:$O$131,14,0))</f>
      </c>
      <c r="U20" s="50"/>
      <c r="V20" s="50"/>
      <c r="W20" s="50"/>
      <c r="X20" s="50"/>
      <c r="Y20" s="50"/>
      <c r="Z20" s="51">
        <f>IF($B20="","",VLOOKUP($B20,'武将一覧'!$A$7:$O$131,6,0))</f>
      </c>
      <c r="AA20" s="51">
        <f>IF($B20="","",VLOOKUP($B20,'武将一覧'!$A$7:$O$131,7,0))</f>
      </c>
      <c r="AB20" s="51">
        <f>IF($B20="","",VLOOKUP($B20,'武将一覧'!$A$7:$O$131,8,0))</f>
      </c>
      <c r="AC20" s="51">
        <f>IF($B20="","",VLOOKUP($B20,'武将一覧'!$A$7:$O$131,9,0))</f>
      </c>
      <c r="AD20" s="51">
        <f>IF($B20="","",VLOOKUP($B20,'武将一覧'!$A$7:$O$131,10,0))</f>
      </c>
      <c r="AE20" s="51">
        <f>IF($B20="","",VLOOKUP($B20,'武将一覧'!$A$7:$O$131,11,0))</f>
      </c>
      <c r="AF20" s="51">
        <f>IF($B20="","",VLOOKUP($B20,'武将一覧'!$A$7:$O$131,12,0))</f>
      </c>
      <c r="AG20" s="52">
        <f>IF($B20="","",VLOOKUP($B20,'武将一覧'!$A$7:$O$131,15,0))</f>
      </c>
    </row>
    <row r="21" spans="1:33" ht="13.5">
      <c r="A21" s="35">
        <v>18</v>
      </c>
      <c r="B21" s="36"/>
      <c r="C21" s="37">
        <v>0</v>
      </c>
      <c r="D21" s="38">
        <v>0</v>
      </c>
      <c r="E21" s="39">
        <v>0</v>
      </c>
      <c r="F21" s="39">
        <v>0</v>
      </c>
      <c r="G21" s="40">
        <v>0</v>
      </c>
      <c r="H21" s="41">
        <f>IF($B21="","",VLOOKUP($B21,'武将一覧'!$A$7:$O$131,2,0))</f>
      </c>
      <c r="I21" s="42">
        <f>IF($B21="","",VLOOKUP($B21,'武将一覧'!$A$7:$O$131,3,0))</f>
      </c>
      <c r="J21" s="43">
        <f>IF($B21="","",VLOOKUP($B21,'武将一覧'!$A$7:$O$131,4,0))</f>
      </c>
      <c r="K21" s="44">
        <f>IF($B21="","",VLOOKUP($B21,'武将一覧'!$A$7:$O$131,5,0))</f>
      </c>
      <c r="L21" s="45">
        <f t="shared" si="0"/>
      </c>
      <c r="M21" s="46">
        <f>IF($B21="","",SUM(((AA21*M$2)*C21)*5)+((AA21*M$2)*F21)+AA21)</f>
      </c>
      <c r="N21" s="47">
        <f t="shared" si="1"/>
      </c>
      <c r="O21" s="47">
        <f t="shared" si="2"/>
      </c>
      <c r="P21" s="47">
        <f t="shared" si="3"/>
      </c>
      <c r="Q21" s="48">
        <f>IF($B21="","",SUM(((AE21*Q$2)*C21)*5)+((AE21*Q$2)*E21)+AE21)</f>
      </c>
      <c r="R21" s="48">
        <f>IF($B21="","",SUM(((AF21*R$2)*C21)*5)+((AF21*R$2)*G21)+AF21)</f>
      </c>
      <c r="S21" s="53">
        <f>IF($B21="","",VLOOKUP($B21,'武将一覧'!$A$7:$O$131,13,0))</f>
      </c>
      <c r="T21" s="49">
        <f>IF($B21="","",VLOOKUP($B21,'武将一覧'!$A$7:$O$131,14,0))</f>
      </c>
      <c r="U21" s="50"/>
      <c r="V21" s="50"/>
      <c r="W21" s="50"/>
      <c r="X21" s="50"/>
      <c r="Y21" s="50"/>
      <c r="Z21" s="51">
        <f>IF($B21="","",VLOOKUP($B21,'武将一覧'!$A$7:$O$131,6,0))</f>
      </c>
      <c r="AA21" s="51">
        <f>IF($B21="","",VLOOKUP($B21,'武将一覧'!$A$7:$O$131,7,0))</f>
      </c>
      <c r="AB21" s="51">
        <f>IF($B21="","",VLOOKUP($B21,'武将一覧'!$A$7:$O$131,8,0))</f>
      </c>
      <c r="AC21" s="51">
        <f>IF($B21="","",VLOOKUP($B21,'武将一覧'!$A$7:$O$131,9,0))</f>
      </c>
      <c r="AD21" s="51">
        <f>IF($B21="","",VLOOKUP($B21,'武将一覧'!$A$7:$O$131,10,0))</f>
      </c>
      <c r="AE21" s="51">
        <f>IF($B21="","",VLOOKUP($B21,'武将一覧'!$A$7:$O$131,11,0))</f>
      </c>
      <c r="AF21" s="51">
        <f>IF($B21="","",VLOOKUP($B21,'武将一覧'!$A$7:$O$131,12,0))</f>
      </c>
      <c r="AG21" s="52">
        <f>IF($B21="","",VLOOKUP($B21,'武将一覧'!$A$7:$O$131,15,0))</f>
      </c>
    </row>
    <row r="22" spans="1:33" ht="13.5">
      <c r="A22" s="35">
        <v>19</v>
      </c>
      <c r="B22" s="36"/>
      <c r="C22" s="37">
        <v>0</v>
      </c>
      <c r="D22" s="38">
        <v>0</v>
      </c>
      <c r="E22" s="39">
        <v>0</v>
      </c>
      <c r="F22" s="39">
        <v>0</v>
      </c>
      <c r="G22" s="40">
        <v>0</v>
      </c>
      <c r="H22" s="41">
        <f>IF($B22="","",VLOOKUP($B22,'武将一覧'!$A$7:$O$131,2,0))</f>
      </c>
      <c r="I22" s="42">
        <f>IF($B22="","",VLOOKUP($B22,'武将一覧'!$A$7:$O$131,3,0))</f>
      </c>
      <c r="J22" s="43">
        <f>IF($B22="","",VLOOKUP($B22,'武将一覧'!$A$7:$O$131,4,0))</f>
      </c>
      <c r="K22" s="44">
        <f>IF($B22="","",VLOOKUP($B22,'武将一覧'!$A$7:$O$131,5,0))</f>
      </c>
      <c r="L22" s="45">
        <f t="shared" si="0"/>
      </c>
      <c r="M22" s="46">
        <f>IF($B22="","",SUM(((AA22*M$2)*C22)*5)+((AA22*M$2)*F22)+AA22)</f>
      </c>
      <c r="N22" s="47">
        <f t="shared" si="1"/>
      </c>
      <c r="O22" s="47">
        <f t="shared" si="2"/>
      </c>
      <c r="P22" s="47">
        <f t="shared" si="3"/>
      </c>
      <c r="Q22" s="48">
        <f>IF($B22="","",SUM(((AE22*Q$2)*C22)*5)+((AE22*Q$2)*E22)+AE22)</f>
      </c>
      <c r="R22" s="48">
        <f>IF($B22="","",SUM(((AF22*R$2)*C22)*5)+((AF22*R$2)*G22)+AF22)</f>
      </c>
      <c r="S22" s="53">
        <f>IF($B22="","",VLOOKUP($B22,'武将一覧'!$A$7:$O$131,13,0))</f>
      </c>
      <c r="T22" s="49">
        <f>IF($B22="","",VLOOKUP($B22,'武将一覧'!$A$7:$O$131,14,0))</f>
      </c>
      <c r="U22" s="50"/>
      <c r="V22" s="50"/>
      <c r="W22" s="50"/>
      <c r="X22" s="50"/>
      <c r="Y22" s="50"/>
      <c r="Z22" s="51">
        <f>IF($B22="","",VLOOKUP($B22,'武将一覧'!$A$7:$O$131,6,0))</f>
      </c>
      <c r="AA22" s="51">
        <f>IF($B22="","",VLOOKUP($B22,'武将一覧'!$A$7:$O$131,7,0))</f>
      </c>
      <c r="AB22" s="51">
        <f>IF($B22="","",VLOOKUP($B22,'武将一覧'!$A$7:$O$131,8,0))</f>
      </c>
      <c r="AC22" s="51">
        <f>IF($B22="","",VLOOKUP($B22,'武将一覧'!$A$7:$O$131,9,0))</f>
      </c>
      <c r="AD22" s="51">
        <f>IF($B22="","",VLOOKUP($B22,'武将一覧'!$A$7:$O$131,10,0))</f>
      </c>
      <c r="AE22" s="51">
        <f>IF($B22="","",VLOOKUP($B22,'武将一覧'!$A$7:$O$131,11,0))</f>
      </c>
      <c r="AF22" s="51">
        <f>IF($B22="","",VLOOKUP($B22,'武将一覧'!$A$7:$O$131,12,0))</f>
      </c>
      <c r="AG22" s="52">
        <f>IF($B22="","",VLOOKUP($B22,'武将一覧'!$A$7:$O$131,15,0))</f>
      </c>
    </row>
    <row r="23" spans="1:33" ht="13.5">
      <c r="A23" s="35">
        <v>20</v>
      </c>
      <c r="B23" s="36"/>
      <c r="C23" s="37">
        <v>0</v>
      </c>
      <c r="D23" s="38">
        <v>0</v>
      </c>
      <c r="E23" s="39">
        <v>0</v>
      </c>
      <c r="F23" s="39">
        <v>0</v>
      </c>
      <c r="G23" s="40">
        <v>0</v>
      </c>
      <c r="H23" s="41">
        <f>IF($B23="","",VLOOKUP($B23,'武将一覧'!$A$7:$O$131,2,0))</f>
      </c>
      <c r="I23" s="42">
        <f>IF($B23="","",VLOOKUP($B23,'武将一覧'!$A$7:$O$131,3,0))</f>
      </c>
      <c r="J23" s="43">
        <f>IF($B23="","",VLOOKUP($B23,'武将一覧'!$A$7:$O$131,4,0))</f>
      </c>
      <c r="K23" s="44">
        <f>IF($B23="","",VLOOKUP($B23,'武将一覧'!$A$7:$O$131,5,0))</f>
      </c>
      <c r="L23" s="45">
        <f t="shared" si="0"/>
      </c>
      <c r="M23" s="46">
        <f>IF($B23="","",SUM(((AA23*M$2)*C23)*5)+((AA23*M$2)*F23)+AA23)</f>
      </c>
      <c r="N23" s="47">
        <f t="shared" si="1"/>
      </c>
      <c r="O23" s="47">
        <f t="shared" si="2"/>
      </c>
      <c r="P23" s="47">
        <f t="shared" si="3"/>
      </c>
      <c r="Q23" s="48">
        <f>IF($B23="","",SUM(((AE23*Q$2)*C23)*5)+((AE23*Q$2)*E23)+AE23)</f>
      </c>
      <c r="R23" s="48">
        <f>IF($B23="","",SUM(((AF23*R$2)*C23)*5)+((AF23*R$2)*G23)+AF23)</f>
      </c>
      <c r="S23" s="53">
        <f>IF($B23="","",VLOOKUP($B23,'武将一覧'!$A$7:$O$131,13,0))</f>
      </c>
      <c r="T23" s="49">
        <f>IF($B23="","",VLOOKUP($B23,'武将一覧'!$A$7:$O$131,14,0))</f>
      </c>
      <c r="U23" s="50"/>
      <c r="V23" s="50"/>
      <c r="W23" s="50"/>
      <c r="X23" s="50"/>
      <c r="Y23" s="50"/>
      <c r="Z23" s="51">
        <f>IF($B23="","",VLOOKUP($B23,'武将一覧'!$A$7:$O$131,6,0))</f>
      </c>
      <c r="AA23" s="51">
        <f>IF($B23="","",VLOOKUP($B23,'武将一覧'!$A$7:$O$131,7,0))</f>
      </c>
      <c r="AB23" s="51">
        <f>IF($B23="","",VLOOKUP($B23,'武将一覧'!$A$7:$O$131,8,0))</f>
      </c>
      <c r="AC23" s="51">
        <f>IF($B23="","",VLOOKUP($B23,'武将一覧'!$A$7:$O$131,9,0))</f>
      </c>
      <c r="AD23" s="51">
        <f>IF($B23="","",VLOOKUP($B23,'武将一覧'!$A$7:$O$131,10,0))</f>
      </c>
      <c r="AE23" s="51">
        <f>IF($B23="","",VLOOKUP($B23,'武将一覧'!$A$7:$O$131,11,0))</f>
      </c>
      <c r="AF23" s="51">
        <f>IF($B23="","",VLOOKUP($B23,'武将一覧'!$A$7:$O$131,12,0))</f>
      </c>
      <c r="AG23" s="52">
        <f>IF($B23="","",VLOOKUP($B23,'武将一覧'!$A$7:$O$131,15,0))</f>
      </c>
    </row>
    <row r="24" spans="1:33" ht="13.5">
      <c r="A24" s="35">
        <v>21</v>
      </c>
      <c r="B24" s="36"/>
      <c r="C24" s="37">
        <v>0</v>
      </c>
      <c r="D24" s="38">
        <v>0</v>
      </c>
      <c r="E24" s="39">
        <v>0</v>
      </c>
      <c r="F24" s="39">
        <v>0</v>
      </c>
      <c r="G24" s="40">
        <v>0</v>
      </c>
      <c r="H24" s="41">
        <f>IF($B24="","",VLOOKUP($B24,'武将一覧'!$A$7:$O$131,2,0))</f>
      </c>
      <c r="I24" s="42">
        <f>IF($B24="","",VLOOKUP($B24,'武将一覧'!$A$7:$O$131,3,0))</f>
      </c>
      <c r="J24" s="43">
        <f>IF($B24="","",VLOOKUP($B24,'武将一覧'!$A$7:$O$131,4,0))</f>
      </c>
      <c r="K24" s="44">
        <f>IF($B24="","",VLOOKUP($B24,'武将一覧'!$A$7:$O$131,5,0))</f>
      </c>
      <c r="L24" s="45">
        <f t="shared" si="0"/>
      </c>
      <c r="M24" s="46">
        <f>IF($B24="","",SUM(((AA24*M$2)*C24)*5)+((AA24*M$2)*F24)+AA24)</f>
      </c>
      <c r="N24" s="47">
        <f t="shared" si="1"/>
      </c>
      <c r="O24" s="47">
        <f t="shared" si="2"/>
      </c>
      <c r="P24" s="47">
        <f t="shared" si="3"/>
      </c>
      <c r="Q24" s="48">
        <f>IF($B24="","",SUM(((AE24*Q$2)*C24)*5)+((AE24*Q$2)*E24)+AE24)</f>
      </c>
      <c r="R24" s="48">
        <f>IF($B24="","",SUM(((AF24*R$2)*C24)*5)+((AF24*R$2)*G24)+AF24)</f>
      </c>
      <c r="S24" s="53">
        <f>IF($B24="","",VLOOKUP($B24,'武将一覧'!$A$7:$O$131,13,0))</f>
      </c>
      <c r="T24" s="49">
        <f>IF($B24="","",VLOOKUP($B24,'武将一覧'!$A$7:$O$131,14,0))</f>
      </c>
      <c r="U24" s="50"/>
      <c r="V24" s="50"/>
      <c r="W24" s="50"/>
      <c r="X24" s="50"/>
      <c r="Y24" s="50"/>
      <c r="Z24" s="51">
        <f>IF($B24="","",VLOOKUP($B24,'武将一覧'!$A$7:$O$131,6,0))</f>
      </c>
      <c r="AA24" s="51">
        <f>IF($B24="","",VLOOKUP($B24,'武将一覧'!$A$7:$O$131,7,0))</f>
      </c>
      <c r="AB24" s="51">
        <f>IF($B24="","",VLOOKUP($B24,'武将一覧'!$A$7:$O$131,8,0))</f>
      </c>
      <c r="AC24" s="51">
        <f>IF($B24="","",VLOOKUP($B24,'武将一覧'!$A$7:$O$131,9,0))</f>
      </c>
      <c r="AD24" s="51">
        <f>IF($B24="","",VLOOKUP($B24,'武将一覧'!$A$7:$O$131,10,0))</f>
      </c>
      <c r="AE24" s="51">
        <f>IF($B24="","",VLOOKUP($B24,'武将一覧'!$A$7:$O$131,11,0))</f>
      </c>
      <c r="AF24" s="51">
        <f>IF($B24="","",VLOOKUP($B24,'武将一覧'!$A$7:$O$131,12,0))</f>
      </c>
      <c r="AG24" s="52">
        <f>IF($B24="","",VLOOKUP($B24,'武将一覧'!$A$7:$O$131,15,0))</f>
      </c>
    </row>
    <row r="25" spans="1:33" ht="13.5">
      <c r="A25" s="35">
        <v>22</v>
      </c>
      <c r="B25" s="36"/>
      <c r="C25" s="37">
        <v>0</v>
      </c>
      <c r="D25" s="38">
        <v>0</v>
      </c>
      <c r="E25" s="39">
        <v>0</v>
      </c>
      <c r="F25" s="39">
        <v>0</v>
      </c>
      <c r="G25" s="40">
        <v>0</v>
      </c>
      <c r="H25" s="41">
        <f>IF($B25="","",VLOOKUP($B25,'武将一覧'!$A$7:$O$131,2,0))</f>
      </c>
      <c r="I25" s="42">
        <f>IF($B25="","",VLOOKUP($B25,'武将一覧'!$A$7:$O$131,3,0))</f>
      </c>
      <c r="J25" s="43">
        <f>IF($B25="","",VLOOKUP($B25,'武将一覧'!$A$7:$O$131,4,0))</f>
      </c>
      <c r="K25" s="44">
        <f>IF($B25="","",VLOOKUP($B25,'武将一覧'!$A$7:$O$131,5,0))</f>
      </c>
      <c r="L25" s="45">
        <f t="shared" si="0"/>
      </c>
      <c r="M25" s="46">
        <f>IF($B25="","",SUM(((AA25*M$2)*C25)*5)+((AA25*M$2)*F25)+AA25)</f>
      </c>
      <c r="N25" s="47">
        <f t="shared" si="1"/>
      </c>
      <c r="O25" s="47">
        <f t="shared" si="2"/>
      </c>
      <c r="P25" s="47">
        <f t="shared" si="3"/>
      </c>
      <c r="Q25" s="48">
        <f>IF($B25="","",SUM(((AE25*Q$2)*C25)*5)+((AE25*Q$2)*E25)+AE25)</f>
      </c>
      <c r="R25" s="48">
        <f>IF($B25="","",SUM(((AF25*R$2)*C25)*5)+((AF25*R$2)*G25)+AF25)</f>
      </c>
      <c r="S25" s="53">
        <f>IF($B25="","",VLOOKUP($B25,'武将一覧'!$A$7:$O$131,13,0))</f>
      </c>
      <c r="T25" s="49">
        <f>IF($B25="","",VLOOKUP($B25,'武将一覧'!$A$7:$O$131,14,0))</f>
      </c>
      <c r="U25" s="50"/>
      <c r="V25" s="50"/>
      <c r="W25" s="50"/>
      <c r="X25" s="50"/>
      <c r="Y25" s="50"/>
      <c r="Z25" s="51">
        <f>IF($B25="","",VLOOKUP($B25,'武将一覧'!$A$7:$O$131,6,0))</f>
      </c>
      <c r="AA25" s="51">
        <f>IF($B25="","",VLOOKUP($B25,'武将一覧'!$A$7:$O$131,7,0))</f>
      </c>
      <c r="AB25" s="51">
        <f>IF($B25="","",VLOOKUP($B25,'武将一覧'!$A$7:$O$131,8,0))</f>
      </c>
      <c r="AC25" s="51">
        <f>IF($B25="","",VLOOKUP($B25,'武将一覧'!$A$7:$O$131,9,0))</f>
      </c>
      <c r="AD25" s="51">
        <f>IF($B25="","",VLOOKUP($B25,'武将一覧'!$A$7:$O$131,10,0))</f>
      </c>
      <c r="AE25" s="51">
        <f>IF($B25="","",VLOOKUP($B25,'武将一覧'!$A$7:$O$131,11,0))</f>
      </c>
      <c r="AF25" s="51">
        <f>IF($B25="","",VLOOKUP($B25,'武将一覧'!$A$7:$O$131,12,0))</f>
      </c>
      <c r="AG25" s="52">
        <f>IF($B25="","",VLOOKUP($B25,'武将一覧'!$A$7:$O$131,15,0))</f>
      </c>
    </row>
    <row r="26" spans="1:33" ht="13.5">
      <c r="A26" s="35">
        <v>23</v>
      </c>
      <c r="B26" s="36"/>
      <c r="C26" s="37">
        <v>0</v>
      </c>
      <c r="D26" s="38">
        <v>0</v>
      </c>
      <c r="E26" s="39">
        <v>0</v>
      </c>
      <c r="F26" s="39">
        <v>0</v>
      </c>
      <c r="G26" s="40">
        <v>0</v>
      </c>
      <c r="H26" s="41">
        <f>IF($B26="","",VLOOKUP($B26,'武将一覧'!$A$7:$O$131,2,0))</f>
      </c>
      <c r="I26" s="42">
        <f>IF($B26="","",VLOOKUP($B26,'武将一覧'!$A$7:$O$131,3,0))</f>
      </c>
      <c r="J26" s="43">
        <f>IF($B26="","",VLOOKUP($B26,'武将一覧'!$A$7:$O$131,4,0))</f>
      </c>
      <c r="K26" s="44">
        <f>IF($B26="","",VLOOKUP($B26,'武将一覧'!$A$7:$O$131,5,0))</f>
      </c>
      <c r="L26" s="45">
        <f t="shared" si="0"/>
      </c>
      <c r="M26" s="46">
        <f>IF($B26="","",SUM(((AA26*M$2)*C26)*5)+((AA26*M$2)*F26)+AA26)</f>
      </c>
      <c r="N26" s="47">
        <f t="shared" si="1"/>
      </c>
      <c r="O26" s="47">
        <f t="shared" si="2"/>
      </c>
      <c r="P26" s="47">
        <f t="shared" si="3"/>
      </c>
      <c r="Q26" s="48">
        <f>IF($B26="","",SUM(((AE26*Q$2)*C26)*5)+((AE26*Q$2)*E26)+AE26)</f>
      </c>
      <c r="R26" s="48">
        <f>IF($B26="","",SUM(((AF26*R$2)*C26)*5)+((AF26*R$2)*G26)+AF26)</f>
      </c>
      <c r="S26" s="53">
        <f>IF($B26="","",VLOOKUP($B26,'武将一覧'!$A$7:$O$131,13,0))</f>
      </c>
      <c r="T26" s="49">
        <f>IF($B26="","",VLOOKUP($B26,'武将一覧'!$A$7:$O$131,14,0))</f>
      </c>
      <c r="U26" s="50"/>
      <c r="V26" s="50"/>
      <c r="W26" s="50"/>
      <c r="X26" s="50"/>
      <c r="Y26" s="50"/>
      <c r="Z26" s="51">
        <f>IF($B26="","",VLOOKUP($B26,'武将一覧'!$A$7:$O$131,6,0))</f>
      </c>
      <c r="AA26" s="51">
        <f>IF($B26="","",VLOOKUP($B26,'武将一覧'!$A$7:$O$131,7,0))</f>
      </c>
      <c r="AB26" s="51">
        <f>IF($B26="","",VLOOKUP($B26,'武将一覧'!$A$7:$O$131,8,0))</f>
      </c>
      <c r="AC26" s="51">
        <f>IF($B26="","",VLOOKUP($B26,'武将一覧'!$A$7:$O$131,9,0))</f>
      </c>
      <c r="AD26" s="51">
        <f>IF($B26="","",VLOOKUP($B26,'武将一覧'!$A$7:$O$131,10,0))</f>
      </c>
      <c r="AE26" s="51">
        <f>IF($B26="","",VLOOKUP($B26,'武将一覧'!$A$7:$O$131,11,0))</f>
      </c>
      <c r="AF26" s="51">
        <f>IF($B26="","",VLOOKUP($B26,'武将一覧'!$A$7:$O$131,12,0))</f>
      </c>
      <c r="AG26" s="52">
        <f>IF($B26="","",VLOOKUP($B26,'武将一覧'!$A$7:$O$131,15,0))</f>
      </c>
    </row>
    <row r="27" spans="1:33" ht="13.5">
      <c r="A27" s="35">
        <v>24</v>
      </c>
      <c r="B27" s="36"/>
      <c r="C27" s="37">
        <v>0</v>
      </c>
      <c r="D27" s="38">
        <v>0</v>
      </c>
      <c r="E27" s="39">
        <v>0</v>
      </c>
      <c r="F27" s="39">
        <v>0</v>
      </c>
      <c r="G27" s="40">
        <v>0</v>
      </c>
      <c r="H27" s="41">
        <f>IF($B27="","",VLOOKUP($B27,'武将一覧'!$A$7:$O$131,2,0))</f>
      </c>
      <c r="I27" s="42">
        <f>IF($B27="","",VLOOKUP($B27,'武将一覧'!$A$7:$O$131,3,0))</f>
      </c>
      <c r="J27" s="43">
        <f>IF($B27="","",VLOOKUP($B27,'武将一覧'!$A$7:$O$131,4,0))</f>
      </c>
      <c r="K27" s="44">
        <f>IF($B27="","",VLOOKUP($B27,'武将一覧'!$A$7:$O$131,5,0))</f>
      </c>
      <c r="L27" s="45">
        <f t="shared" si="0"/>
      </c>
      <c r="M27" s="46">
        <f>IF($B27="","",SUM(((AA27*M$2)*C27)*5)+((AA27*M$2)*F27)+AA27)</f>
      </c>
      <c r="N27" s="47">
        <f t="shared" si="1"/>
      </c>
      <c r="O27" s="47">
        <f t="shared" si="2"/>
      </c>
      <c r="P27" s="47">
        <f t="shared" si="3"/>
      </c>
      <c r="Q27" s="48">
        <f>IF($B27="","",SUM(((AE27*Q$2)*C27)*5)+((AE27*Q$2)*E27)+AE27)</f>
      </c>
      <c r="R27" s="48">
        <f>IF($B27="","",SUM(((AF27*R$2)*C27)*5)+((AF27*R$2)*G27)+AF27)</f>
      </c>
      <c r="S27" s="53">
        <f>IF($B27="","",VLOOKUP($B27,'武将一覧'!$A$7:$O$131,13,0))</f>
      </c>
      <c r="T27" s="49">
        <f>IF($B27="","",VLOOKUP($B27,'武将一覧'!$A$7:$O$131,14,0))</f>
      </c>
      <c r="U27" s="50"/>
      <c r="V27" s="50"/>
      <c r="W27" s="50"/>
      <c r="X27" s="50"/>
      <c r="Y27" s="50"/>
      <c r="Z27" s="51">
        <f>IF($B27="","",VLOOKUP($B27,'武将一覧'!$A$7:$O$131,6,0))</f>
      </c>
      <c r="AA27" s="51">
        <f>IF($B27="","",VLOOKUP($B27,'武将一覧'!$A$7:$O$131,7,0))</f>
      </c>
      <c r="AB27" s="51">
        <f>IF($B27="","",VLOOKUP($B27,'武将一覧'!$A$7:$O$131,8,0))</f>
      </c>
      <c r="AC27" s="51">
        <f>IF($B27="","",VLOOKUP($B27,'武将一覧'!$A$7:$O$131,9,0))</f>
      </c>
      <c r="AD27" s="51">
        <f>IF($B27="","",VLOOKUP($B27,'武将一覧'!$A$7:$O$131,10,0))</f>
      </c>
      <c r="AE27" s="51">
        <f>IF($B27="","",VLOOKUP($B27,'武将一覧'!$A$7:$O$131,11,0))</f>
      </c>
      <c r="AF27" s="51">
        <f>IF($B27="","",VLOOKUP($B27,'武将一覧'!$A$7:$O$131,12,0))</f>
      </c>
      <c r="AG27" s="52">
        <f>IF($B27="","",VLOOKUP($B27,'武将一覧'!$A$7:$O$131,15,0))</f>
      </c>
    </row>
    <row r="28" spans="1:33" ht="13.5">
      <c r="A28" s="35">
        <v>25</v>
      </c>
      <c r="B28" s="36"/>
      <c r="C28" s="37">
        <v>0</v>
      </c>
      <c r="D28" s="38">
        <v>0</v>
      </c>
      <c r="E28" s="39">
        <v>0</v>
      </c>
      <c r="F28" s="39">
        <v>0</v>
      </c>
      <c r="G28" s="40">
        <v>0</v>
      </c>
      <c r="H28" s="41">
        <f>IF($B28="","",VLOOKUP($B28,'武将一覧'!$A$7:$O$131,2,0))</f>
      </c>
      <c r="I28" s="42">
        <f>IF($B28="","",VLOOKUP($B28,'武将一覧'!$A$7:$O$131,3,0))</f>
      </c>
      <c r="J28" s="43">
        <f>IF($B28="","",VLOOKUP($B28,'武将一覧'!$A$7:$O$131,4,0))</f>
      </c>
      <c r="K28" s="44">
        <f>IF($B28="","",VLOOKUP($B28,'武将一覧'!$A$7:$O$131,5,0))</f>
      </c>
      <c r="L28" s="45">
        <f t="shared" si="0"/>
      </c>
      <c r="M28" s="46">
        <f>IF($B28="","",SUM(((AA28*M$2)*C28)*5)+((AA28*M$2)*F28)+AA28)</f>
      </c>
      <c r="N28" s="47">
        <f t="shared" si="1"/>
      </c>
      <c r="O28" s="47">
        <f t="shared" si="2"/>
      </c>
      <c r="P28" s="47">
        <f t="shared" si="3"/>
      </c>
      <c r="Q28" s="48">
        <f>IF($B28="","",SUM(((AE28*Q$2)*C28)*5)+((AE28*Q$2)*E28)+AE28)</f>
      </c>
      <c r="R28" s="48">
        <f>IF($B28="","",SUM(((AF28*R$2)*C28)*5)+((AF28*R$2)*G28)+AF28)</f>
      </c>
      <c r="S28" s="53">
        <f>IF($B28="","",VLOOKUP($B28,'武将一覧'!$A$7:$O$131,13,0))</f>
      </c>
      <c r="T28" s="49">
        <f>IF($B28="","",VLOOKUP($B28,'武将一覧'!$A$7:$O$131,14,0))</f>
      </c>
      <c r="U28" s="50"/>
      <c r="V28" s="50"/>
      <c r="W28" s="50"/>
      <c r="X28" s="50"/>
      <c r="Y28" s="50"/>
      <c r="Z28" s="51">
        <f>IF($B28="","",VLOOKUP($B28,'武将一覧'!$A$7:$O$131,6,0))</f>
      </c>
      <c r="AA28" s="51">
        <f>IF($B28="","",VLOOKUP($B28,'武将一覧'!$A$7:$O$131,7,0))</f>
      </c>
      <c r="AB28" s="51">
        <f>IF($B28="","",VLOOKUP($B28,'武将一覧'!$A$7:$O$131,8,0))</f>
      </c>
      <c r="AC28" s="51">
        <f>IF($B28="","",VLOOKUP($B28,'武将一覧'!$A$7:$O$131,9,0))</f>
      </c>
      <c r="AD28" s="51">
        <f>IF($B28="","",VLOOKUP($B28,'武将一覧'!$A$7:$O$131,10,0))</f>
      </c>
      <c r="AE28" s="51">
        <f>IF($B28="","",VLOOKUP($B28,'武将一覧'!$A$7:$O$131,11,0))</f>
      </c>
      <c r="AF28" s="51">
        <f>IF($B28="","",VLOOKUP($B28,'武将一覧'!$A$7:$O$131,12,0))</f>
      </c>
      <c r="AG28" s="52">
        <f>IF($B28="","",VLOOKUP($B28,'武将一覧'!$A$7:$O$131,15,0))</f>
      </c>
    </row>
    <row r="29" spans="1:33" ht="13.5">
      <c r="A29" s="35">
        <v>26</v>
      </c>
      <c r="B29" s="36"/>
      <c r="C29" s="37">
        <v>0</v>
      </c>
      <c r="D29" s="38">
        <v>0</v>
      </c>
      <c r="E29" s="39">
        <v>0</v>
      </c>
      <c r="F29" s="39">
        <v>0</v>
      </c>
      <c r="G29" s="40">
        <v>0</v>
      </c>
      <c r="H29" s="41">
        <f>IF($B29="","",VLOOKUP($B29,'武将一覧'!$A$7:$O$131,2,0))</f>
      </c>
      <c r="I29" s="42">
        <f>IF($B29="","",VLOOKUP($B29,'武将一覧'!$A$7:$O$131,3,0))</f>
      </c>
      <c r="J29" s="43">
        <f>IF($B29="","",VLOOKUP($B29,'武将一覧'!$A$7:$O$131,4,0))</f>
      </c>
      <c r="K29" s="44">
        <f>IF($B29="","",VLOOKUP($B29,'武将一覧'!$A$7:$O$131,5,0))</f>
      </c>
      <c r="L29" s="45">
        <f t="shared" si="0"/>
      </c>
      <c r="M29" s="46">
        <f>IF($B29="","",SUM(((AA29*M$2)*C29)*5)+((AA29*M$2)*F29)+AA29)</f>
      </c>
      <c r="N29" s="47">
        <f t="shared" si="1"/>
      </c>
      <c r="O29" s="47">
        <f t="shared" si="2"/>
      </c>
      <c r="P29" s="47">
        <f t="shared" si="3"/>
      </c>
      <c r="Q29" s="48">
        <f>IF($B29="","",SUM(((AE29*Q$2)*C29)*5)+((AE29*Q$2)*E29)+AE29)</f>
      </c>
      <c r="R29" s="48">
        <f>IF($B29="","",SUM(((AF29*R$2)*C29)*5)+((AF29*R$2)*G29)+AF29)</f>
      </c>
      <c r="S29" s="53">
        <f>IF($B29="","",VLOOKUP($B29,'武将一覧'!$A$7:$O$131,13,0))</f>
      </c>
      <c r="T29" s="49">
        <f>IF($B29="","",VLOOKUP($B29,'武将一覧'!$A$7:$O$131,14,0))</f>
      </c>
      <c r="U29" s="50"/>
      <c r="V29" s="50"/>
      <c r="W29" s="50"/>
      <c r="X29" s="50"/>
      <c r="Y29" s="50"/>
      <c r="Z29" s="51">
        <f>IF($B29="","",VLOOKUP($B29,'武将一覧'!$A$7:$O$131,6,0))</f>
      </c>
      <c r="AA29" s="51">
        <f>IF($B29="","",VLOOKUP($B29,'武将一覧'!$A$7:$O$131,7,0))</f>
      </c>
      <c r="AB29" s="51">
        <f>IF($B29="","",VLOOKUP($B29,'武将一覧'!$A$7:$O$131,8,0))</f>
      </c>
      <c r="AC29" s="51">
        <f>IF($B29="","",VLOOKUP($B29,'武将一覧'!$A$7:$O$131,9,0))</f>
      </c>
      <c r="AD29" s="51">
        <f>IF($B29="","",VLOOKUP($B29,'武将一覧'!$A$7:$O$131,10,0))</f>
      </c>
      <c r="AE29" s="51">
        <f>IF($B29="","",VLOOKUP($B29,'武将一覧'!$A$7:$O$131,11,0))</f>
      </c>
      <c r="AF29" s="51">
        <f>IF($B29="","",VLOOKUP($B29,'武将一覧'!$A$7:$O$131,12,0))</f>
      </c>
      <c r="AG29" s="52">
        <f>IF($B29="","",VLOOKUP($B29,'武将一覧'!$A$7:$O$131,15,0))</f>
      </c>
    </row>
    <row r="30" spans="1:33" ht="13.5">
      <c r="A30" s="35">
        <v>27</v>
      </c>
      <c r="B30" s="36"/>
      <c r="C30" s="37">
        <v>0</v>
      </c>
      <c r="D30" s="38">
        <v>0</v>
      </c>
      <c r="E30" s="39">
        <v>0</v>
      </c>
      <c r="F30" s="39">
        <v>0</v>
      </c>
      <c r="G30" s="40">
        <v>0</v>
      </c>
      <c r="H30" s="41">
        <f>IF($B30="","",VLOOKUP($B30,'武将一覧'!$A$7:$O$131,2,0))</f>
      </c>
      <c r="I30" s="42">
        <f>IF($B30="","",VLOOKUP($B30,'武将一覧'!$A$7:$O$131,3,0))</f>
      </c>
      <c r="J30" s="43">
        <f>IF($B30="","",VLOOKUP($B30,'武将一覧'!$A$7:$O$131,4,0))</f>
      </c>
      <c r="K30" s="44">
        <f>IF($B30="","",VLOOKUP($B30,'武将一覧'!$A$7:$O$131,5,0))</f>
      </c>
      <c r="L30" s="45">
        <f t="shared" si="0"/>
      </c>
      <c r="M30" s="46">
        <f>IF($B30="","",SUM(((AA30*M$2)*C30)*5)+((AA30*M$2)*F30)+AA30)</f>
      </c>
      <c r="N30" s="47">
        <f t="shared" si="1"/>
      </c>
      <c r="O30" s="47">
        <f t="shared" si="2"/>
      </c>
      <c r="P30" s="47">
        <f t="shared" si="3"/>
      </c>
      <c r="Q30" s="48">
        <f>IF($B30="","",SUM(((AE30*Q$2)*C30)*5)+((AE30*Q$2)*E30)+AE30)</f>
      </c>
      <c r="R30" s="48">
        <f>IF($B30="","",SUM(((AF30*R$2)*C30)*5)+((AF30*R$2)*G30)+AF30)</f>
      </c>
      <c r="S30" s="53">
        <f>IF($B30="","",VLOOKUP($B30,'武将一覧'!$A$7:$O$131,13,0))</f>
      </c>
      <c r="T30" s="49">
        <f>IF($B30="","",VLOOKUP($B30,'武将一覧'!$A$7:$O$131,14,0))</f>
      </c>
      <c r="U30" s="50"/>
      <c r="V30" s="50"/>
      <c r="W30" s="50"/>
      <c r="X30" s="50"/>
      <c r="Y30" s="50"/>
      <c r="Z30" s="51">
        <f>IF($B30="","",VLOOKUP($B30,'武将一覧'!$A$7:$O$131,6,0))</f>
      </c>
      <c r="AA30" s="51">
        <f>IF($B30="","",VLOOKUP($B30,'武将一覧'!$A$7:$O$131,7,0))</f>
      </c>
      <c r="AB30" s="51">
        <f>IF($B30="","",VLOOKUP($B30,'武将一覧'!$A$7:$O$131,8,0))</f>
      </c>
      <c r="AC30" s="51">
        <f>IF($B30="","",VLOOKUP($B30,'武将一覧'!$A$7:$O$131,9,0))</f>
      </c>
      <c r="AD30" s="51">
        <f>IF($B30="","",VLOOKUP($B30,'武将一覧'!$A$7:$O$131,10,0))</f>
      </c>
      <c r="AE30" s="51">
        <f>IF($B30="","",VLOOKUP($B30,'武将一覧'!$A$7:$O$131,11,0))</f>
      </c>
      <c r="AF30" s="51">
        <f>IF($B30="","",VLOOKUP($B30,'武将一覧'!$A$7:$O$131,12,0))</f>
      </c>
      <c r="AG30" s="52">
        <f>IF($B30="","",VLOOKUP($B30,'武将一覧'!$A$7:$O$131,15,0))</f>
      </c>
    </row>
    <row r="31" spans="1:33" ht="13.5">
      <c r="A31" s="35">
        <v>28</v>
      </c>
      <c r="B31" s="36"/>
      <c r="C31" s="37">
        <v>0</v>
      </c>
      <c r="D31" s="38">
        <v>0</v>
      </c>
      <c r="E31" s="39">
        <v>0</v>
      </c>
      <c r="F31" s="39">
        <v>0</v>
      </c>
      <c r="G31" s="40">
        <v>0</v>
      </c>
      <c r="H31" s="41">
        <f>IF($B31="","",VLOOKUP($B31,'武将一覧'!$A$7:$O$131,2,0))</f>
      </c>
      <c r="I31" s="42">
        <f>IF($B31="","",VLOOKUP($B31,'武将一覧'!$A$7:$O$131,3,0))</f>
      </c>
      <c r="J31" s="43">
        <f>IF($B31="","",VLOOKUP($B31,'武将一覧'!$A$7:$O$131,4,0))</f>
      </c>
      <c r="K31" s="44">
        <f>IF($B31="","",VLOOKUP($B31,'武将一覧'!$A$7:$O$131,5,0))</f>
      </c>
      <c r="L31" s="45">
        <f t="shared" si="0"/>
      </c>
      <c r="M31" s="46">
        <f>IF($B31="","",SUM(((AA31*M$2)*C31)*5)+((AA31*M$2)*F31)+AA31)</f>
      </c>
      <c r="N31" s="47">
        <f t="shared" si="1"/>
      </c>
      <c r="O31" s="47">
        <f t="shared" si="2"/>
      </c>
      <c r="P31" s="47">
        <f t="shared" si="3"/>
      </c>
      <c r="Q31" s="48">
        <f>IF($B31="","",SUM(((AE31*Q$2)*C31)*5)+((AE31*Q$2)*E31)+AE31)</f>
      </c>
      <c r="R31" s="48">
        <f>IF($B31="","",SUM(((AF31*R$2)*C31)*5)+((AF31*R$2)*G31)+AF31)</f>
      </c>
      <c r="S31" s="53">
        <f>IF($B31="","",VLOOKUP($B31,'武将一覧'!$A$7:$O$131,13,0))</f>
      </c>
      <c r="T31" s="49">
        <f>IF($B31="","",VLOOKUP($B31,'武将一覧'!$A$7:$O$131,14,0))</f>
      </c>
      <c r="U31" s="50"/>
      <c r="V31" s="50"/>
      <c r="W31" s="50"/>
      <c r="X31" s="50"/>
      <c r="Y31" s="50"/>
      <c r="Z31" s="51">
        <f>IF($B31="","",VLOOKUP($B31,'武将一覧'!$A$7:$O$131,6,0))</f>
      </c>
      <c r="AA31" s="51">
        <f>IF($B31="","",VLOOKUP($B31,'武将一覧'!$A$7:$O$131,7,0))</f>
      </c>
      <c r="AB31" s="51">
        <f>IF($B31="","",VLOOKUP($B31,'武将一覧'!$A$7:$O$131,8,0))</f>
      </c>
      <c r="AC31" s="51">
        <f>IF($B31="","",VLOOKUP($B31,'武将一覧'!$A$7:$O$131,9,0))</f>
      </c>
      <c r="AD31" s="51">
        <f>IF($B31="","",VLOOKUP($B31,'武将一覧'!$A$7:$O$131,10,0))</f>
      </c>
      <c r="AE31" s="51">
        <f>IF($B31="","",VLOOKUP($B31,'武将一覧'!$A$7:$O$131,11,0))</f>
      </c>
      <c r="AF31" s="51">
        <f>IF($B31="","",VLOOKUP($B31,'武将一覧'!$A$7:$O$131,12,0))</f>
      </c>
      <c r="AG31" s="52">
        <f>IF($B31="","",VLOOKUP($B31,'武将一覧'!$A$7:$O$131,15,0))</f>
      </c>
    </row>
    <row r="32" spans="1:33" ht="13.5">
      <c r="A32" s="35">
        <v>29</v>
      </c>
      <c r="B32" s="36"/>
      <c r="C32" s="37">
        <v>0</v>
      </c>
      <c r="D32" s="38">
        <v>0</v>
      </c>
      <c r="E32" s="39">
        <v>0</v>
      </c>
      <c r="F32" s="39">
        <v>0</v>
      </c>
      <c r="G32" s="40">
        <v>0</v>
      </c>
      <c r="H32" s="41">
        <f>IF($B32="","",VLOOKUP($B32,'武将一覧'!$A$7:$O$131,2,0))</f>
      </c>
      <c r="I32" s="42">
        <f>IF($B32="","",VLOOKUP($B32,'武将一覧'!$A$7:$O$131,3,0))</f>
      </c>
      <c r="J32" s="43">
        <f>IF($B32="","",VLOOKUP($B32,'武将一覧'!$A$7:$O$131,4,0))</f>
      </c>
      <c r="K32" s="44">
        <f>IF($B32="","",VLOOKUP($B32,'武将一覧'!$A$7:$O$131,5,0))</f>
      </c>
      <c r="L32" s="45">
        <f t="shared" si="0"/>
      </c>
      <c r="M32" s="46">
        <f>IF($B32="","",SUM(((AA32*M$2)*C32)*5)+((AA32*M$2)*F32)+AA32)</f>
      </c>
      <c r="N32" s="47">
        <f t="shared" si="1"/>
      </c>
      <c r="O32" s="47">
        <f t="shared" si="2"/>
      </c>
      <c r="P32" s="47">
        <f t="shared" si="3"/>
      </c>
      <c r="Q32" s="48">
        <f>IF($B32="","",SUM(((AE32*Q$2)*C32)*5)+((AE32*Q$2)*E32)+AE32)</f>
      </c>
      <c r="R32" s="48">
        <f>IF($B32="","",SUM(((AF32*R$2)*C32)*5)+((AF32*R$2)*G32)+AF32)</f>
      </c>
      <c r="S32" s="53">
        <f>IF($B32="","",VLOOKUP($B32,'武将一覧'!$A$7:$O$131,13,0))</f>
      </c>
      <c r="T32" s="49">
        <f>IF($B32="","",VLOOKUP($B32,'武将一覧'!$A$7:$O$131,14,0))</f>
      </c>
      <c r="U32" s="50"/>
      <c r="V32" s="50"/>
      <c r="W32" s="50"/>
      <c r="X32" s="50"/>
      <c r="Y32" s="50"/>
      <c r="Z32" s="51">
        <f>IF($B32="","",VLOOKUP($B32,'武将一覧'!$A$7:$O$131,6,0))</f>
      </c>
      <c r="AA32" s="51">
        <f>IF($B32="","",VLOOKUP($B32,'武将一覧'!$A$7:$O$131,7,0))</f>
      </c>
      <c r="AB32" s="51">
        <f>IF($B32="","",VLOOKUP($B32,'武将一覧'!$A$7:$O$131,8,0))</f>
      </c>
      <c r="AC32" s="51">
        <f>IF($B32="","",VLOOKUP($B32,'武将一覧'!$A$7:$O$131,9,0))</f>
      </c>
      <c r="AD32" s="51">
        <f>IF($B32="","",VLOOKUP($B32,'武将一覧'!$A$7:$O$131,10,0))</f>
      </c>
      <c r="AE32" s="51">
        <f>IF($B32="","",VLOOKUP($B32,'武将一覧'!$A$7:$O$131,11,0))</f>
      </c>
      <c r="AF32" s="51">
        <f>IF($B32="","",VLOOKUP($B32,'武将一覧'!$A$7:$O$131,12,0))</f>
      </c>
      <c r="AG32" s="52">
        <f>IF($B32="","",VLOOKUP($B32,'武将一覧'!$A$7:$O$131,15,0))</f>
      </c>
    </row>
    <row r="33" spans="1:33" ht="13.5">
      <c r="A33" s="35">
        <v>30</v>
      </c>
      <c r="B33" s="36"/>
      <c r="C33" s="37">
        <v>0</v>
      </c>
      <c r="D33" s="38">
        <v>0</v>
      </c>
      <c r="E33" s="39">
        <v>0</v>
      </c>
      <c r="F33" s="39">
        <v>0</v>
      </c>
      <c r="G33" s="40">
        <v>0</v>
      </c>
      <c r="H33" s="41">
        <f>IF($B33="","",VLOOKUP($B33,'武将一覧'!$A$7:$O$131,2,0))</f>
      </c>
      <c r="I33" s="42">
        <f>IF($B33="","",VLOOKUP($B33,'武将一覧'!$A$7:$O$131,3,0))</f>
      </c>
      <c r="J33" s="43">
        <f>IF($B33="","",VLOOKUP($B33,'武将一覧'!$A$7:$O$131,4,0))</f>
      </c>
      <c r="K33" s="44">
        <f>IF($B33="","",VLOOKUP($B33,'武将一覧'!$A$7:$O$131,5,0))</f>
      </c>
      <c r="L33" s="45">
        <f t="shared" si="0"/>
      </c>
      <c r="M33" s="46">
        <f>IF($B33="","",SUM(((AA33*M$2)*C33)*5)+((AA33*M$2)*F33)+AA33)</f>
      </c>
      <c r="N33" s="47">
        <f t="shared" si="1"/>
      </c>
      <c r="O33" s="47">
        <f t="shared" si="2"/>
      </c>
      <c r="P33" s="47">
        <f t="shared" si="3"/>
      </c>
      <c r="Q33" s="48">
        <f>IF($B33="","",SUM(((AE33*Q$2)*C33)*5)+((AE33*Q$2)*E33)+AE33)</f>
      </c>
      <c r="R33" s="48">
        <f>IF($B33="","",SUM(((AF33*R$2)*C33)*5)+((AF33*R$2)*G33)+AF33)</f>
      </c>
      <c r="S33" s="53">
        <f>IF($B33="","",VLOOKUP($B33,'武将一覧'!$A$7:$O$131,13,0))</f>
      </c>
      <c r="T33" s="49">
        <f>IF($B33="","",VLOOKUP($B33,'武将一覧'!$A$7:$O$131,14,0))</f>
      </c>
      <c r="U33" s="50"/>
      <c r="V33" s="50"/>
      <c r="W33" s="50"/>
      <c r="X33" s="50"/>
      <c r="Y33" s="50"/>
      <c r="Z33" s="51">
        <f>IF($B33="","",VLOOKUP($B33,'武将一覧'!$A$7:$O$131,6,0))</f>
      </c>
      <c r="AA33" s="51">
        <f>IF($B33="","",VLOOKUP($B33,'武将一覧'!$A$7:$O$131,7,0))</f>
      </c>
      <c r="AB33" s="51">
        <f>IF($B33="","",VLOOKUP($B33,'武将一覧'!$A$7:$O$131,8,0))</f>
      </c>
      <c r="AC33" s="51">
        <f>IF($B33="","",VLOOKUP($B33,'武将一覧'!$A$7:$O$131,9,0))</f>
      </c>
      <c r="AD33" s="51">
        <f>IF($B33="","",VLOOKUP($B33,'武将一覧'!$A$7:$O$131,10,0))</f>
      </c>
      <c r="AE33" s="51">
        <f>IF($B33="","",VLOOKUP($B33,'武将一覧'!$A$7:$O$131,11,0))</f>
      </c>
      <c r="AF33" s="51">
        <f>IF($B33="","",VLOOKUP($B33,'武将一覧'!$A$7:$O$131,12,0))</f>
      </c>
      <c r="AG33" s="52">
        <f>IF($B33="","",VLOOKUP($B33,'武将一覧'!$A$7:$O$131,15,0))</f>
      </c>
    </row>
    <row r="34" spans="1:33" ht="13.5">
      <c r="A34" s="35">
        <v>31</v>
      </c>
      <c r="B34" s="36"/>
      <c r="C34" s="37">
        <v>0</v>
      </c>
      <c r="D34" s="38">
        <v>0</v>
      </c>
      <c r="E34" s="39">
        <v>0</v>
      </c>
      <c r="F34" s="39">
        <v>0</v>
      </c>
      <c r="G34" s="40">
        <v>0</v>
      </c>
      <c r="H34" s="41">
        <f>IF($B34="","",VLOOKUP($B34,'武将一覧'!$A$7:$O$131,2,0))</f>
      </c>
      <c r="I34" s="42">
        <f>IF($B34="","",VLOOKUP($B34,'武将一覧'!$A$7:$O$131,3,0))</f>
      </c>
      <c r="J34" s="43">
        <f>IF($B34="","",VLOOKUP($B34,'武将一覧'!$A$7:$O$131,4,0))</f>
      </c>
      <c r="K34" s="44">
        <f>IF($B34="","",VLOOKUP($B34,'武将一覧'!$A$7:$O$131,5,0))</f>
      </c>
      <c r="L34" s="45">
        <f t="shared" si="0"/>
      </c>
      <c r="M34" s="46">
        <f>IF($B34="","",SUM(((AA34*M$2)*C34)*5)+((AA34*M$2)*F34)+AA34)</f>
      </c>
      <c r="N34" s="47">
        <f t="shared" si="1"/>
      </c>
      <c r="O34" s="47">
        <f t="shared" si="2"/>
      </c>
      <c r="P34" s="47">
        <f t="shared" si="3"/>
      </c>
      <c r="Q34" s="48">
        <f>IF($B34="","",SUM(((AE34*Q$2)*C34)*5)+((AE34*Q$2)*E34)+AE34)</f>
      </c>
      <c r="R34" s="48">
        <f>IF($B34="","",SUM(((AF34*R$2)*C34)*5)+((AF34*R$2)*G34)+AF34)</f>
      </c>
      <c r="S34" s="53">
        <f>IF($B34="","",VLOOKUP($B34,'武将一覧'!$A$7:$O$131,13,0))</f>
      </c>
      <c r="T34" s="49">
        <f>IF($B34="","",VLOOKUP($B34,'武将一覧'!$A$7:$O$131,14,0))</f>
      </c>
      <c r="U34" s="50"/>
      <c r="V34" s="50"/>
      <c r="W34" s="50"/>
      <c r="X34" s="50"/>
      <c r="Y34" s="50"/>
      <c r="Z34" s="51">
        <f>IF($B34="","",VLOOKUP($B34,'武将一覧'!$A$7:$O$131,6,0))</f>
      </c>
      <c r="AA34" s="51">
        <f>IF($B34="","",VLOOKUP($B34,'武将一覧'!$A$7:$O$131,7,0))</f>
      </c>
      <c r="AB34" s="51">
        <f>IF($B34="","",VLOOKUP($B34,'武将一覧'!$A$7:$O$131,8,0))</f>
      </c>
      <c r="AC34" s="51">
        <f>IF($B34="","",VLOOKUP($B34,'武将一覧'!$A$7:$O$131,9,0))</f>
      </c>
      <c r="AD34" s="51">
        <f>IF($B34="","",VLOOKUP($B34,'武将一覧'!$A$7:$O$131,10,0))</f>
      </c>
      <c r="AE34" s="51">
        <f>IF($B34="","",VLOOKUP($B34,'武将一覧'!$A$7:$O$131,11,0))</f>
      </c>
      <c r="AF34" s="51">
        <f>IF($B34="","",VLOOKUP($B34,'武将一覧'!$A$7:$O$131,12,0))</f>
      </c>
      <c r="AG34" s="52">
        <f>IF($B34="","",VLOOKUP($B34,'武将一覧'!$A$7:$O$131,15,0))</f>
      </c>
    </row>
    <row r="35" spans="1:33" ht="13.5">
      <c r="A35" s="35">
        <v>32</v>
      </c>
      <c r="B35" s="36"/>
      <c r="C35" s="37">
        <v>0</v>
      </c>
      <c r="D35" s="38">
        <v>0</v>
      </c>
      <c r="E35" s="39">
        <v>0</v>
      </c>
      <c r="F35" s="39">
        <v>0</v>
      </c>
      <c r="G35" s="40">
        <v>0</v>
      </c>
      <c r="H35" s="41">
        <f>IF($B35="","",VLOOKUP($B35,'武将一覧'!$A$7:$O$131,2,0))</f>
      </c>
      <c r="I35" s="42">
        <f>IF($B35="","",VLOOKUP($B35,'武将一覧'!$A$7:$O$131,3,0))</f>
      </c>
      <c r="J35" s="43">
        <f>IF($B35="","",VLOOKUP($B35,'武将一覧'!$A$7:$O$131,4,0))</f>
      </c>
      <c r="K35" s="44">
        <f>IF($B35="","",VLOOKUP($B35,'武将一覧'!$A$7:$O$131,5,0))</f>
      </c>
      <c r="L35" s="45">
        <f t="shared" si="0"/>
      </c>
      <c r="M35" s="46">
        <f>IF($B35="","",SUM(((AA35*M$2)*C35)*5)+((AA35*M$2)*F35)+AA35)</f>
      </c>
      <c r="N35" s="47">
        <f t="shared" si="1"/>
      </c>
      <c r="O35" s="47">
        <f t="shared" si="2"/>
      </c>
      <c r="P35" s="47">
        <f t="shared" si="3"/>
      </c>
      <c r="Q35" s="48">
        <f>IF($B35="","",SUM(((AE35*Q$2)*C35)*5)+((AE35*Q$2)*E35)+AE35)</f>
      </c>
      <c r="R35" s="48">
        <f>IF($B35="","",SUM(((AF35*R$2)*C35)*5)+((AF35*R$2)*G35)+AF35)</f>
      </c>
      <c r="S35" s="53">
        <f>IF($B35="","",VLOOKUP($B35,'武将一覧'!$A$7:$O$131,13,0))</f>
      </c>
      <c r="T35" s="49">
        <f>IF($B35="","",VLOOKUP($B35,'武将一覧'!$A$7:$O$131,14,0))</f>
      </c>
      <c r="U35" s="50"/>
      <c r="V35" s="50"/>
      <c r="W35" s="50"/>
      <c r="X35" s="50"/>
      <c r="Y35" s="50"/>
      <c r="Z35" s="51">
        <f>IF($B35="","",VLOOKUP($B35,'武将一覧'!$A$7:$O$131,6,0))</f>
      </c>
      <c r="AA35" s="51">
        <f>IF($B35="","",VLOOKUP($B35,'武将一覧'!$A$7:$O$131,7,0))</f>
      </c>
      <c r="AB35" s="51">
        <f>IF($B35="","",VLOOKUP($B35,'武将一覧'!$A$7:$O$131,8,0))</f>
      </c>
      <c r="AC35" s="51">
        <f>IF($B35="","",VLOOKUP($B35,'武将一覧'!$A$7:$O$131,9,0))</f>
      </c>
      <c r="AD35" s="51">
        <f>IF($B35="","",VLOOKUP($B35,'武将一覧'!$A$7:$O$131,10,0))</f>
      </c>
      <c r="AE35" s="51">
        <f>IF($B35="","",VLOOKUP($B35,'武将一覧'!$A$7:$O$131,11,0))</f>
      </c>
      <c r="AF35" s="51">
        <f>IF($B35="","",VLOOKUP($B35,'武将一覧'!$A$7:$O$131,12,0))</f>
      </c>
      <c r="AG35" s="52">
        <f>IF($B35="","",VLOOKUP($B35,'武将一覧'!$A$7:$O$131,15,0))</f>
      </c>
    </row>
    <row r="36" spans="1:33" ht="13.5">
      <c r="A36" s="35">
        <v>33</v>
      </c>
      <c r="B36" s="36"/>
      <c r="C36" s="37">
        <v>0</v>
      </c>
      <c r="D36" s="38">
        <v>0</v>
      </c>
      <c r="E36" s="39">
        <v>0</v>
      </c>
      <c r="F36" s="39">
        <v>0</v>
      </c>
      <c r="G36" s="40">
        <v>0</v>
      </c>
      <c r="H36" s="41">
        <f>IF($B36="","",VLOOKUP($B36,'武将一覧'!$A$7:$O$131,2,0))</f>
      </c>
      <c r="I36" s="42">
        <f>IF($B36="","",VLOOKUP($B36,'武将一覧'!$A$7:$O$131,3,0))</f>
      </c>
      <c r="J36" s="43">
        <f>IF($B36="","",VLOOKUP($B36,'武将一覧'!$A$7:$O$131,4,0))</f>
      </c>
      <c r="K36" s="44">
        <f>IF($B36="","",VLOOKUP($B36,'武将一覧'!$A$7:$O$131,5,0))</f>
      </c>
      <c r="L36" s="45">
        <f t="shared" si="0"/>
      </c>
      <c r="M36" s="46">
        <f>IF($B36="","",SUM(((AA36*M$2)*C36)*5)+((AA36*M$2)*F36)+AA36)</f>
      </c>
      <c r="N36" s="47">
        <f t="shared" si="1"/>
      </c>
      <c r="O36" s="47">
        <f t="shared" si="2"/>
      </c>
      <c r="P36" s="47">
        <f t="shared" si="3"/>
      </c>
      <c r="Q36" s="48">
        <f>IF($B36="","",SUM(((AE36*Q$2)*C36)*5)+((AE36*Q$2)*E36)+AE36)</f>
      </c>
      <c r="R36" s="48">
        <f>IF($B36="","",SUM(((AF36*R$2)*C36)*5)+((AF36*R$2)*G36)+AF36)</f>
      </c>
      <c r="S36" s="53">
        <f>IF($B36="","",VLOOKUP($B36,'武将一覧'!$A$7:$O$131,13,0))</f>
      </c>
      <c r="T36" s="49">
        <f>IF($B36="","",VLOOKUP($B36,'武将一覧'!$A$7:$O$131,14,0))</f>
      </c>
      <c r="U36" s="50"/>
      <c r="V36" s="50"/>
      <c r="W36" s="50"/>
      <c r="X36" s="50"/>
      <c r="Y36" s="50"/>
      <c r="Z36" s="51">
        <f>IF($B36="","",VLOOKUP($B36,'武将一覧'!$A$7:$O$131,6,0))</f>
      </c>
      <c r="AA36" s="51">
        <f>IF($B36="","",VLOOKUP($B36,'武将一覧'!$A$7:$O$131,7,0))</f>
      </c>
      <c r="AB36" s="51">
        <f>IF($B36="","",VLOOKUP($B36,'武将一覧'!$A$7:$O$131,8,0))</f>
      </c>
      <c r="AC36" s="51">
        <f>IF($B36="","",VLOOKUP($B36,'武将一覧'!$A$7:$O$131,9,0))</f>
      </c>
      <c r="AD36" s="51">
        <f>IF($B36="","",VLOOKUP($B36,'武将一覧'!$A$7:$O$131,10,0))</f>
      </c>
      <c r="AE36" s="51">
        <f>IF($B36="","",VLOOKUP($B36,'武将一覧'!$A$7:$O$131,11,0))</f>
      </c>
      <c r="AF36" s="51">
        <f>IF($B36="","",VLOOKUP($B36,'武将一覧'!$A$7:$O$131,12,0))</f>
      </c>
      <c r="AG36" s="52">
        <f>IF($B36="","",VLOOKUP($B36,'武将一覧'!$A$7:$O$131,15,0))</f>
      </c>
    </row>
    <row r="37" spans="1:33" ht="13.5">
      <c r="A37" s="35">
        <v>34</v>
      </c>
      <c r="B37" s="36"/>
      <c r="C37" s="37">
        <v>0</v>
      </c>
      <c r="D37" s="38">
        <v>0</v>
      </c>
      <c r="E37" s="39">
        <v>0</v>
      </c>
      <c r="F37" s="39">
        <v>0</v>
      </c>
      <c r="G37" s="40">
        <v>0</v>
      </c>
      <c r="H37" s="41">
        <f>IF($B37="","",VLOOKUP($B37,'武将一覧'!$A$7:$O$131,2,0))</f>
      </c>
      <c r="I37" s="42">
        <f>IF($B37="","",VLOOKUP($B37,'武将一覧'!$A$7:$O$131,3,0))</f>
      </c>
      <c r="J37" s="43">
        <f>IF($B37="","",VLOOKUP($B37,'武将一覧'!$A$7:$O$131,4,0))</f>
      </c>
      <c r="K37" s="44">
        <f>IF($B37="","",VLOOKUP($B37,'武将一覧'!$A$7:$O$131,5,0))</f>
      </c>
      <c r="L37" s="45">
        <f t="shared" si="0"/>
      </c>
      <c r="M37" s="46">
        <f>IF($B37="","",SUM(((AA37*M$2)*C37)*5)+((AA37*M$2)*F37)+AA37)</f>
      </c>
      <c r="N37" s="47">
        <f t="shared" si="1"/>
      </c>
      <c r="O37" s="47">
        <f t="shared" si="2"/>
      </c>
      <c r="P37" s="47">
        <f t="shared" si="3"/>
      </c>
      <c r="Q37" s="48">
        <f>IF($B37="","",SUM(((AE37*Q$2)*C37)*5)+((AE37*Q$2)*E37)+AE37)</f>
      </c>
      <c r="R37" s="48">
        <f>IF($B37="","",SUM(((AF37*R$2)*C37)*5)+((AF37*R$2)*G37)+AF37)</f>
      </c>
      <c r="S37" s="53">
        <f>IF($B37="","",VLOOKUP($B37,'武将一覧'!$A$7:$O$131,13,0))</f>
      </c>
      <c r="T37" s="49">
        <f>IF($B37="","",VLOOKUP($B37,'武将一覧'!$A$7:$O$131,14,0))</f>
      </c>
      <c r="U37" s="50"/>
      <c r="V37" s="50"/>
      <c r="W37" s="50"/>
      <c r="X37" s="50"/>
      <c r="Y37" s="50"/>
      <c r="Z37" s="51">
        <f>IF($B37="","",VLOOKUP($B37,'武将一覧'!$A$7:$O$131,6,0))</f>
      </c>
      <c r="AA37" s="51">
        <f>IF($B37="","",VLOOKUP($B37,'武将一覧'!$A$7:$O$131,7,0))</f>
      </c>
      <c r="AB37" s="51">
        <f>IF($B37="","",VLOOKUP($B37,'武将一覧'!$A$7:$O$131,8,0))</f>
      </c>
      <c r="AC37" s="51">
        <f>IF($B37="","",VLOOKUP($B37,'武将一覧'!$A$7:$O$131,9,0))</f>
      </c>
      <c r="AD37" s="51">
        <f>IF($B37="","",VLOOKUP($B37,'武将一覧'!$A$7:$O$131,10,0))</f>
      </c>
      <c r="AE37" s="51">
        <f>IF($B37="","",VLOOKUP($B37,'武将一覧'!$A$7:$O$131,11,0))</f>
      </c>
      <c r="AF37" s="51">
        <f>IF($B37="","",VLOOKUP($B37,'武将一覧'!$A$7:$O$131,12,0))</f>
      </c>
      <c r="AG37" s="52">
        <f>IF($B37="","",VLOOKUP($B37,'武将一覧'!$A$7:$O$131,15,0))</f>
      </c>
    </row>
    <row r="38" spans="1:33" ht="13.5">
      <c r="A38" s="35">
        <v>35</v>
      </c>
      <c r="B38" s="36"/>
      <c r="C38" s="37">
        <v>0</v>
      </c>
      <c r="D38" s="38">
        <v>0</v>
      </c>
      <c r="E38" s="39">
        <v>0</v>
      </c>
      <c r="F38" s="39">
        <v>0</v>
      </c>
      <c r="G38" s="40">
        <v>0</v>
      </c>
      <c r="H38" s="41">
        <f>IF($B38="","",VLOOKUP($B38,'武将一覧'!$A$7:$O$131,2,0))</f>
      </c>
      <c r="I38" s="42">
        <f>IF($B38="","",VLOOKUP($B38,'武将一覧'!$A$7:$O$131,3,0))</f>
      </c>
      <c r="J38" s="43">
        <f>IF($B38="","",VLOOKUP($B38,'武将一覧'!$A$7:$O$131,4,0))</f>
      </c>
      <c r="K38" s="44">
        <f>IF($B38="","",VLOOKUP($B38,'武将一覧'!$A$7:$O$131,5,0))</f>
      </c>
      <c r="L38" s="45">
        <f t="shared" si="0"/>
      </c>
      <c r="M38" s="46">
        <f>IF($B38="","",SUM(((AA38*M$2)*C38)*5)+((AA38*M$2)*F38)+AA38)</f>
      </c>
      <c r="N38" s="47">
        <f t="shared" si="1"/>
      </c>
      <c r="O38" s="47">
        <f t="shared" si="2"/>
      </c>
      <c r="P38" s="47">
        <f t="shared" si="3"/>
      </c>
      <c r="Q38" s="48">
        <f>IF($B38="","",SUM(((AE38*Q$2)*C38)*5)+((AE38*Q$2)*E38)+AE38)</f>
      </c>
      <c r="R38" s="48">
        <f>IF($B38="","",SUM(((AF38*R$2)*C38)*5)+((AF38*R$2)*G38)+AF38)</f>
      </c>
      <c r="S38" s="53">
        <f>IF($B38="","",VLOOKUP($B38,'武将一覧'!$A$7:$O$131,13,0))</f>
      </c>
      <c r="T38" s="49">
        <f>IF($B38="","",VLOOKUP($B38,'武将一覧'!$A$7:$O$131,14,0))</f>
      </c>
      <c r="U38" s="50"/>
      <c r="V38" s="50"/>
      <c r="W38" s="50"/>
      <c r="X38" s="50"/>
      <c r="Y38" s="50"/>
      <c r="Z38" s="51">
        <f>IF($B38="","",VLOOKUP($B38,'武将一覧'!$A$7:$O$131,6,0))</f>
      </c>
      <c r="AA38" s="51">
        <f>IF($B38="","",VLOOKUP($B38,'武将一覧'!$A$7:$O$131,7,0))</f>
      </c>
      <c r="AB38" s="51">
        <f>IF($B38="","",VLOOKUP($B38,'武将一覧'!$A$7:$O$131,8,0))</f>
      </c>
      <c r="AC38" s="51">
        <f>IF($B38="","",VLOOKUP($B38,'武将一覧'!$A$7:$O$131,9,0))</f>
      </c>
      <c r="AD38" s="51">
        <f>IF($B38="","",VLOOKUP($B38,'武将一覧'!$A$7:$O$131,10,0))</f>
      </c>
      <c r="AE38" s="51">
        <f>IF($B38="","",VLOOKUP($B38,'武将一覧'!$A$7:$O$131,11,0))</f>
      </c>
      <c r="AF38" s="51">
        <f>IF($B38="","",VLOOKUP($B38,'武将一覧'!$A$7:$O$131,12,0))</f>
      </c>
      <c r="AG38" s="52">
        <f>IF($B38="","",VLOOKUP($B38,'武将一覧'!$A$7:$O$131,15,0))</f>
      </c>
    </row>
    <row r="39" spans="1:33" ht="13.5">
      <c r="A39" s="35">
        <v>36</v>
      </c>
      <c r="B39" s="36"/>
      <c r="C39" s="37">
        <v>0</v>
      </c>
      <c r="D39" s="38">
        <v>0</v>
      </c>
      <c r="E39" s="39">
        <v>0</v>
      </c>
      <c r="F39" s="39">
        <v>0</v>
      </c>
      <c r="G39" s="40">
        <v>0</v>
      </c>
      <c r="H39" s="41">
        <f>IF($B39="","",VLOOKUP($B39,'武将一覧'!$A$7:$O$131,2,0))</f>
      </c>
      <c r="I39" s="42">
        <f>IF($B39="","",VLOOKUP($B39,'武将一覧'!$A$7:$O$131,3,0))</f>
      </c>
      <c r="J39" s="43">
        <f>IF($B39="","",VLOOKUP($B39,'武将一覧'!$A$7:$O$131,4,0))</f>
      </c>
      <c r="K39" s="44">
        <f>IF($B39="","",VLOOKUP($B39,'武将一覧'!$A$7:$O$131,5,0))</f>
      </c>
      <c r="L39" s="45">
        <f t="shared" si="0"/>
      </c>
      <c r="M39" s="46">
        <f>IF($B39="","",SUM(((AA39*M$2)*C39)*5)+((AA39*M$2)*F39)+AA39)</f>
      </c>
      <c r="N39" s="47">
        <f t="shared" si="1"/>
      </c>
      <c r="O39" s="47">
        <f t="shared" si="2"/>
      </c>
      <c r="P39" s="47">
        <f t="shared" si="3"/>
      </c>
      <c r="Q39" s="48">
        <f>IF($B39="","",SUM(((AE39*Q$2)*C39)*5)+((AE39*Q$2)*E39)+AE39)</f>
      </c>
      <c r="R39" s="48">
        <f>IF($B39="","",SUM(((AF39*R$2)*C39)*5)+((AF39*R$2)*G39)+AF39)</f>
      </c>
      <c r="S39" s="53">
        <f>IF($B39="","",VLOOKUP($B39,'武将一覧'!$A$7:$O$131,13,0))</f>
      </c>
      <c r="T39" s="49">
        <f>IF($B39="","",VLOOKUP($B39,'武将一覧'!$A$7:$O$131,14,0))</f>
      </c>
      <c r="U39" s="50"/>
      <c r="V39" s="50"/>
      <c r="W39" s="50"/>
      <c r="X39" s="50"/>
      <c r="Y39" s="50"/>
      <c r="Z39" s="51">
        <f>IF($B39="","",VLOOKUP($B39,'武将一覧'!$A$7:$O$131,6,0))</f>
      </c>
      <c r="AA39" s="51">
        <f>IF($B39="","",VLOOKUP($B39,'武将一覧'!$A$7:$O$131,7,0))</f>
      </c>
      <c r="AB39" s="51">
        <f>IF($B39="","",VLOOKUP($B39,'武将一覧'!$A$7:$O$131,8,0))</f>
      </c>
      <c r="AC39" s="51">
        <f>IF($B39="","",VLOOKUP($B39,'武将一覧'!$A$7:$O$131,9,0))</f>
      </c>
      <c r="AD39" s="51">
        <f>IF($B39="","",VLOOKUP($B39,'武将一覧'!$A$7:$O$131,10,0))</f>
      </c>
      <c r="AE39" s="51">
        <f>IF($B39="","",VLOOKUP($B39,'武将一覧'!$A$7:$O$131,11,0))</f>
      </c>
      <c r="AF39" s="51">
        <f>IF($B39="","",VLOOKUP($B39,'武将一覧'!$A$7:$O$131,12,0))</f>
      </c>
      <c r="AG39" s="52">
        <f>IF($B39="","",VLOOKUP($B39,'武将一覧'!$A$7:$O$131,15,0))</f>
      </c>
    </row>
    <row r="40" spans="1:33" ht="13.5">
      <c r="A40" s="35">
        <v>37</v>
      </c>
      <c r="B40" s="36"/>
      <c r="C40" s="37">
        <v>0</v>
      </c>
      <c r="D40" s="38">
        <v>0</v>
      </c>
      <c r="E40" s="39">
        <v>0</v>
      </c>
      <c r="F40" s="39">
        <v>0</v>
      </c>
      <c r="G40" s="40">
        <v>0</v>
      </c>
      <c r="H40" s="41">
        <f>IF($B40="","",VLOOKUP($B40,'武将一覧'!$A$7:$O$131,2,0))</f>
      </c>
      <c r="I40" s="42">
        <f>IF($B40="","",VLOOKUP($B40,'武将一覧'!$A$7:$O$131,3,0))</f>
      </c>
      <c r="J40" s="43">
        <f>IF($B40="","",VLOOKUP($B40,'武将一覧'!$A$7:$O$131,4,0))</f>
      </c>
      <c r="K40" s="44">
        <f>IF($B40="","",VLOOKUP($B40,'武将一覧'!$A$7:$O$131,5,0))</f>
      </c>
      <c r="L40" s="45">
        <f t="shared" si="0"/>
      </c>
      <c r="M40" s="46">
        <f>IF($B40="","",SUM(((AA40*M$2)*C40)*5)+((AA40*M$2)*F40)+AA40)</f>
      </c>
      <c r="N40" s="47">
        <f t="shared" si="1"/>
      </c>
      <c r="O40" s="47">
        <f t="shared" si="2"/>
      </c>
      <c r="P40" s="47">
        <f t="shared" si="3"/>
      </c>
      <c r="Q40" s="48">
        <f>IF($B40="","",SUM(((AE40*Q$2)*C40)*5)+((AE40*Q$2)*E40)+AE40)</f>
      </c>
      <c r="R40" s="48">
        <f>IF($B40="","",SUM(((AF40*R$2)*C40)*5)+((AF40*R$2)*G40)+AF40)</f>
      </c>
      <c r="S40" s="53">
        <f>IF($B40="","",VLOOKUP($B40,'武将一覧'!$A$7:$O$131,13,0))</f>
      </c>
      <c r="T40" s="49">
        <f>IF($B40="","",VLOOKUP($B40,'武将一覧'!$A$7:$O$131,14,0))</f>
      </c>
      <c r="U40" s="50"/>
      <c r="V40" s="50"/>
      <c r="W40" s="50"/>
      <c r="X40" s="50"/>
      <c r="Y40" s="50"/>
      <c r="Z40" s="51">
        <f>IF($B40="","",VLOOKUP($B40,'武将一覧'!$A$7:$O$131,6,0))</f>
      </c>
      <c r="AA40" s="51">
        <f>IF($B40="","",VLOOKUP($B40,'武将一覧'!$A$7:$O$131,7,0))</f>
      </c>
      <c r="AB40" s="51">
        <f>IF($B40="","",VLOOKUP($B40,'武将一覧'!$A$7:$O$131,8,0))</f>
      </c>
      <c r="AC40" s="51">
        <f>IF($B40="","",VLOOKUP($B40,'武将一覧'!$A$7:$O$131,9,0))</f>
      </c>
      <c r="AD40" s="51">
        <f>IF($B40="","",VLOOKUP($B40,'武将一覧'!$A$7:$O$131,10,0))</f>
      </c>
      <c r="AE40" s="51">
        <f>IF($B40="","",VLOOKUP($B40,'武将一覧'!$A$7:$O$131,11,0))</f>
      </c>
      <c r="AF40" s="51">
        <f>IF($B40="","",VLOOKUP($B40,'武将一覧'!$A$7:$O$131,12,0))</f>
      </c>
      <c r="AG40" s="52">
        <f>IF($B40="","",VLOOKUP($B40,'武将一覧'!$A$7:$O$131,15,0))</f>
      </c>
    </row>
    <row r="41" spans="1:33" ht="13.5">
      <c r="A41" s="35">
        <v>38</v>
      </c>
      <c r="B41" s="36"/>
      <c r="C41" s="37">
        <v>0</v>
      </c>
      <c r="D41" s="38">
        <v>0</v>
      </c>
      <c r="E41" s="39">
        <v>0</v>
      </c>
      <c r="F41" s="39">
        <v>0</v>
      </c>
      <c r="G41" s="40">
        <v>0</v>
      </c>
      <c r="H41" s="41">
        <f>IF($B41="","",VLOOKUP($B41,'武将一覧'!$A$7:$O$131,2,0))</f>
      </c>
      <c r="I41" s="42">
        <f>IF($B41="","",VLOOKUP($B41,'武将一覧'!$A$7:$O$131,3,0))</f>
      </c>
      <c r="J41" s="43">
        <f>IF($B41="","",VLOOKUP($B41,'武将一覧'!$A$7:$O$131,4,0))</f>
      </c>
      <c r="K41" s="44">
        <f>IF($B41="","",VLOOKUP($B41,'武将一覧'!$A$7:$O$131,5,0))</f>
      </c>
      <c r="L41" s="45">
        <f t="shared" si="0"/>
      </c>
      <c r="M41" s="46">
        <f>IF($B41="","",SUM(((AA41*M$2)*C41)*5)+((AA41*M$2)*F41)+AA41)</f>
      </c>
      <c r="N41" s="47">
        <f t="shared" si="1"/>
      </c>
      <c r="O41" s="47">
        <f t="shared" si="2"/>
      </c>
      <c r="P41" s="47">
        <f t="shared" si="3"/>
      </c>
      <c r="Q41" s="48">
        <f>IF($B41="","",SUM(((AE41*Q$2)*C41)*5)+((AE41*Q$2)*E41)+AE41)</f>
      </c>
      <c r="R41" s="48">
        <f>IF($B41="","",SUM(((AF41*R$2)*C41)*5)+((AF41*R$2)*G41)+AF41)</f>
      </c>
      <c r="S41" s="53">
        <f>IF($B41="","",VLOOKUP($B41,'武将一覧'!$A$7:$O$131,13,0))</f>
      </c>
      <c r="T41" s="49">
        <f>IF($B41="","",VLOOKUP($B41,'武将一覧'!$A$7:$O$131,14,0))</f>
      </c>
      <c r="U41" s="50"/>
      <c r="V41" s="50"/>
      <c r="W41" s="50"/>
      <c r="X41" s="50"/>
      <c r="Y41" s="50"/>
      <c r="Z41" s="51">
        <f>IF($B41="","",VLOOKUP($B41,'武将一覧'!$A$7:$O$131,6,0))</f>
      </c>
      <c r="AA41" s="51">
        <f>IF($B41="","",VLOOKUP($B41,'武将一覧'!$A$7:$O$131,7,0))</f>
      </c>
      <c r="AB41" s="51">
        <f>IF($B41="","",VLOOKUP($B41,'武将一覧'!$A$7:$O$131,8,0))</f>
      </c>
      <c r="AC41" s="51">
        <f>IF($B41="","",VLOOKUP($B41,'武将一覧'!$A$7:$O$131,9,0))</f>
      </c>
      <c r="AD41" s="51">
        <f>IF($B41="","",VLOOKUP($B41,'武将一覧'!$A$7:$O$131,10,0))</f>
      </c>
      <c r="AE41" s="51">
        <f>IF($B41="","",VLOOKUP($B41,'武将一覧'!$A$7:$O$131,11,0))</f>
      </c>
      <c r="AF41" s="51">
        <f>IF($B41="","",VLOOKUP($B41,'武将一覧'!$A$7:$O$131,12,0))</f>
      </c>
      <c r="AG41" s="52">
        <f>IF($B41="","",VLOOKUP($B41,'武将一覧'!$A$7:$O$131,15,0))</f>
      </c>
    </row>
    <row r="42" spans="1:33" ht="13.5">
      <c r="A42" s="35">
        <v>39</v>
      </c>
      <c r="B42" s="36"/>
      <c r="C42" s="37">
        <v>0</v>
      </c>
      <c r="D42" s="38">
        <v>0</v>
      </c>
      <c r="E42" s="39">
        <v>0</v>
      </c>
      <c r="F42" s="39">
        <v>0</v>
      </c>
      <c r="G42" s="40">
        <v>0</v>
      </c>
      <c r="H42" s="41">
        <f>IF($B42="","",VLOOKUP($B42,'武将一覧'!$A$7:$O$131,2,0))</f>
      </c>
      <c r="I42" s="42">
        <f>IF($B42="","",VLOOKUP($B42,'武将一覧'!$A$7:$O$131,3,0))</f>
      </c>
      <c r="J42" s="43">
        <f>IF($B42="","",VLOOKUP($B42,'武将一覧'!$A$7:$O$131,4,0))</f>
      </c>
      <c r="K42" s="44">
        <f>IF($B42="","",VLOOKUP($B42,'武将一覧'!$A$7:$O$131,5,0))</f>
      </c>
      <c r="L42" s="45">
        <f t="shared" si="0"/>
      </c>
      <c r="M42" s="46">
        <f>IF($B42="","",SUM(((AA42*M$2)*C42)*5)+((AA42*M$2)*F42)+AA42)</f>
      </c>
      <c r="N42" s="47">
        <f t="shared" si="1"/>
      </c>
      <c r="O42" s="47">
        <f t="shared" si="2"/>
      </c>
      <c r="P42" s="47">
        <f t="shared" si="3"/>
      </c>
      <c r="Q42" s="48">
        <f>IF($B42="","",SUM(((AE42*Q$2)*C42)*5)+((AE42*Q$2)*E42)+AE42)</f>
      </c>
      <c r="R42" s="48">
        <f>IF($B42="","",SUM(((AF42*R$2)*C42)*5)+((AF42*R$2)*G42)+AF42)</f>
      </c>
      <c r="S42" s="53">
        <f>IF($B42="","",VLOOKUP($B42,'武将一覧'!$A$7:$O$131,13,0))</f>
      </c>
      <c r="T42" s="49">
        <f>IF($B42="","",VLOOKUP($B42,'武将一覧'!$A$7:$O$131,14,0))</f>
      </c>
      <c r="U42" s="50"/>
      <c r="V42" s="50"/>
      <c r="W42" s="50"/>
      <c r="X42" s="50"/>
      <c r="Y42" s="50"/>
      <c r="Z42" s="51">
        <f>IF($B42="","",VLOOKUP($B42,'武将一覧'!$A$7:$O$131,6,0))</f>
      </c>
      <c r="AA42" s="51">
        <f>IF($B42="","",VLOOKUP($B42,'武将一覧'!$A$7:$O$131,7,0))</f>
      </c>
      <c r="AB42" s="51">
        <f>IF($B42="","",VLOOKUP($B42,'武将一覧'!$A$7:$O$131,8,0))</f>
      </c>
      <c r="AC42" s="51">
        <f>IF($B42="","",VLOOKUP($B42,'武将一覧'!$A$7:$O$131,9,0))</f>
      </c>
      <c r="AD42" s="51">
        <f>IF($B42="","",VLOOKUP($B42,'武将一覧'!$A$7:$O$131,10,0))</f>
      </c>
      <c r="AE42" s="51">
        <f>IF($B42="","",VLOOKUP($B42,'武将一覧'!$A$7:$O$131,11,0))</f>
      </c>
      <c r="AF42" s="51">
        <f>IF($B42="","",VLOOKUP($B42,'武将一覧'!$A$7:$O$131,12,0))</f>
      </c>
      <c r="AG42" s="52">
        <f>IF($B42="","",VLOOKUP($B42,'武将一覧'!$A$7:$O$131,15,0))</f>
      </c>
    </row>
    <row r="43" spans="1:33" ht="13.5">
      <c r="A43" s="35">
        <v>40</v>
      </c>
      <c r="B43" s="36"/>
      <c r="C43" s="37">
        <v>0</v>
      </c>
      <c r="D43" s="38">
        <v>0</v>
      </c>
      <c r="E43" s="39">
        <v>0</v>
      </c>
      <c r="F43" s="39">
        <v>0</v>
      </c>
      <c r="G43" s="40">
        <v>0</v>
      </c>
      <c r="H43" s="41">
        <f>IF($B43="","",VLOOKUP($B43,'武将一覧'!$A$7:$O$131,2,0))</f>
      </c>
      <c r="I43" s="42">
        <f>IF($B43="","",VLOOKUP($B43,'武将一覧'!$A$7:$O$131,3,0))</f>
      </c>
      <c r="J43" s="43">
        <f>IF($B43="","",VLOOKUP($B43,'武将一覧'!$A$7:$O$131,4,0))</f>
      </c>
      <c r="K43" s="44">
        <f>IF($B43="","",VLOOKUP($B43,'武将一覧'!$A$7:$O$131,5,0))</f>
      </c>
      <c r="L43" s="45">
        <f t="shared" si="0"/>
      </c>
      <c r="M43" s="46">
        <f>IF($B43="","",SUM(((AA43*M$2)*C43)*5)+((AA43*M$2)*F43)+AA43)</f>
      </c>
      <c r="N43" s="47">
        <f t="shared" si="1"/>
      </c>
      <c r="O43" s="47">
        <f t="shared" si="2"/>
      </c>
      <c r="P43" s="47">
        <f t="shared" si="3"/>
      </c>
      <c r="Q43" s="48">
        <f>IF($B43="","",SUM(((AE43*Q$2)*C43)*5)+((AE43*Q$2)*E43)+AE43)</f>
      </c>
      <c r="R43" s="48">
        <f>IF($B43="","",SUM(((AF43*R$2)*C43)*5)+((AF43*R$2)*G43)+AF43)</f>
      </c>
      <c r="S43" s="53">
        <f>IF($B43="","",VLOOKUP($B43,'武将一覧'!$A$7:$O$131,13,0))</f>
      </c>
      <c r="T43" s="49">
        <f>IF($B43="","",VLOOKUP($B43,'武将一覧'!$A$7:$O$131,14,0))</f>
      </c>
      <c r="U43" s="50"/>
      <c r="V43" s="50"/>
      <c r="W43" s="50"/>
      <c r="X43" s="50"/>
      <c r="Y43" s="50"/>
      <c r="Z43" s="51">
        <f>IF($B43="","",VLOOKUP($B43,'武将一覧'!$A$7:$O$131,6,0))</f>
      </c>
      <c r="AA43" s="51">
        <f>IF($B43="","",VLOOKUP($B43,'武将一覧'!$A$7:$O$131,7,0))</f>
      </c>
      <c r="AB43" s="51">
        <f>IF($B43="","",VLOOKUP($B43,'武将一覧'!$A$7:$O$131,8,0))</f>
      </c>
      <c r="AC43" s="51">
        <f>IF($B43="","",VLOOKUP($B43,'武将一覧'!$A$7:$O$131,9,0))</f>
      </c>
      <c r="AD43" s="51">
        <f>IF($B43="","",VLOOKUP($B43,'武将一覧'!$A$7:$O$131,10,0))</f>
      </c>
      <c r="AE43" s="51">
        <f>IF($B43="","",VLOOKUP($B43,'武将一覧'!$A$7:$O$131,11,0))</f>
      </c>
      <c r="AF43" s="51">
        <f>IF($B43="","",VLOOKUP($B43,'武将一覧'!$A$7:$O$131,12,0))</f>
      </c>
      <c r="AG43" s="52">
        <f>IF($B43="","",VLOOKUP($B43,'武将一覧'!$A$7:$O$131,15,0))</f>
      </c>
    </row>
    <row r="44" spans="1:33" ht="13.5">
      <c r="A44" s="35">
        <v>41</v>
      </c>
      <c r="B44" s="36"/>
      <c r="C44" s="37">
        <v>0</v>
      </c>
      <c r="D44" s="38">
        <v>0</v>
      </c>
      <c r="E44" s="39">
        <v>0</v>
      </c>
      <c r="F44" s="39">
        <v>0</v>
      </c>
      <c r="G44" s="40">
        <v>0</v>
      </c>
      <c r="H44" s="41">
        <f>IF($B44="","",VLOOKUP($B44,'武将一覧'!$A$7:$O$131,2,0))</f>
      </c>
      <c r="I44" s="42">
        <f>IF($B44="","",VLOOKUP($B44,'武将一覧'!$A$7:$O$131,3,0))</f>
      </c>
      <c r="J44" s="43">
        <f>IF($B44="","",VLOOKUP($B44,'武将一覧'!$A$7:$O$131,4,0))</f>
      </c>
      <c r="K44" s="44">
        <f>IF($B44="","",VLOOKUP($B44,'武将一覧'!$A$7:$O$131,5,0))</f>
      </c>
      <c r="L44" s="45">
        <f t="shared" si="0"/>
      </c>
      <c r="M44" s="46">
        <f>IF($B44="","",SUM(((AA44*M$2)*C44)*5)+((AA44*M$2)*F44)+AA44)</f>
      </c>
      <c r="N44" s="47">
        <f t="shared" si="1"/>
      </c>
      <c r="O44" s="47">
        <f t="shared" si="2"/>
      </c>
      <c r="P44" s="47">
        <f t="shared" si="3"/>
      </c>
      <c r="Q44" s="48">
        <f>IF($B44="","",SUM(((AE44*Q$2)*C44)*5)+((AE44*Q$2)*E44)+AE44)</f>
      </c>
      <c r="R44" s="48">
        <f>IF($B44="","",SUM(((AF44*R$2)*C44)*5)+((AF44*R$2)*G44)+AF44)</f>
      </c>
      <c r="S44" s="53">
        <f>IF($B44="","",VLOOKUP($B44,'武将一覧'!$A$7:$O$131,13,0))</f>
      </c>
      <c r="T44" s="49">
        <f>IF($B44="","",VLOOKUP($B44,'武将一覧'!$A$7:$O$131,14,0))</f>
      </c>
      <c r="U44" s="50"/>
      <c r="V44" s="50"/>
      <c r="W44" s="50"/>
      <c r="X44" s="50"/>
      <c r="Y44" s="50"/>
      <c r="Z44" s="51">
        <f>IF($B44="","",VLOOKUP($B44,'武将一覧'!$A$7:$O$131,6,0))</f>
      </c>
      <c r="AA44" s="51">
        <f>IF($B44="","",VLOOKUP($B44,'武将一覧'!$A$7:$O$131,7,0))</f>
      </c>
      <c r="AB44" s="51">
        <f>IF($B44="","",VLOOKUP($B44,'武将一覧'!$A$7:$O$131,8,0))</f>
      </c>
      <c r="AC44" s="51">
        <f>IF($B44="","",VLOOKUP($B44,'武将一覧'!$A$7:$O$131,9,0))</f>
      </c>
      <c r="AD44" s="51">
        <f>IF($B44="","",VLOOKUP($B44,'武将一覧'!$A$7:$O$131,10,0))</f>
      </c>
      <c r="AE44" s="51">
        <f>IF($B44="","",VLOOKUP($B44,'武将一覧'!$A$7:$O$131,11,0))</f>
      </c>
      <c r="AF44" s="51">
        <f>IF($B44="","",VLOOKUP($B44,'武将一覧'!$A$7:$O$131,12,0))</f>
      </c>
      <c r="AG44" s="52">
        <f>IF($B44="","",VLOOKUP($B44,'武将一覧'!$A$7:$O$131,15,0))</f>
      </c>
    </row>
    <row r="45" spans="1:33" ht="13.5">
      <c r="A45" s="35">
        <v>42</v>
      </c>
      <c r="B45" s="36"/>
      <c r="C45" s="37">
        <v>0</v>
      </c>
      <c r="D45" s="38">
        <v>0</v>
      </c>
      <c r="E45" s="39">
        <v>0</v>
      </c>
      <c r="F45" s="39">
        <v>0</v>
      </c>
      <c r="G45" s="40">
        <v>0</v>
      </c>
      <c r="H45" s="41">
        <f>IF($B45="","",VLOOKUP($B45,'武将一覧'!$A$7:$O$131,2,0))</f>
      </c>
      <c r="I45" s="42">
        <f>IF($B45="","",VLOOKUP($B45,'武将一覧'!$A$7:$O$131,3,0))</f>
      </c>
      <c r="J45" s="43">
        <f>IF($B45="","",VLOOKUP($B45,'武将一覧'!$A$7:$O$131,4,0))</f>
      </c>
      <c r="K45" s="44">
        <f>IF($B45="","",VLOOKUP($B45,'武将一覧'!$A$7:$O$131,5,0))</f>
      </c>
      <c r="L45" s="45">
        <f t="shared" si="0"/>
      </c>
      <c r="M45" s="46">
        <f>IF($B45="","",SUM(((AA45*M$2)*C45)*5)+((AA45*M$2)*F45)+AA45)</f>
      </c>
      <c r="N45" s="47">
        <f t="shared" si="1"/>
      </c>
      <c r="O45" s="47">
        <f t="shared" si="2"/>
      </c>
      <c r="P45" s="47">
        <f t="shared" si="3"/>
      </c>
      <c r="Q45" s="48">
        <f>IF($B45="","",SUM(((AE45*Q$2)*C45)*5)+((AE45*Q$2)*E45)+AE45)</f>
      </c>
      <c r="R45" s="48">
        <f>IF($B45="","",SUM(((AF45*R$2)*C45)*5)+((AF45*R$2)*G45)+AF45)</f>
      </c>
      <c r="S45" s="53">
        <f>IF($B45="","",VLOOKUP($B45,'武将一覧'!$A$7:$O$131,13,0))</f>
      </c>
      <c r="T45" s="49">
        <f>IF($B45="","",VLOOKUP($B45,'武将一覧'!$A$7:$O$131,14,0))</f>
      </c>
      <c r="U45" s="50"/>
      <c r="V45" s="50"/>
      <c r="W45" s="50"/>
      <c r="X45" s="50"/>
      <c r="Y45" s="50"/>
      <c r="Z45" s="51">
        <f>IF($B45="","",VLOOKUP($B45,'武将一覧'!$A$7:$O$131,6,0))</f>
      </c>
      <c r="AA45" s="51">
        <f>IF($B45="","",VLOOKUP($B45,'武将一覧'!$A$7:$O$131,7,0))</f>
      </c>
      <c r="AB45" s="51">
        <f>IF($B45="","",VLOOKUP($B45,'武将一覧'!$A$7:$O$131,8,0))</f>
      </c>
      <c r="AC45" s="51">
        <f>IF($B45="","",VLOOKUP($B45,'武将一覧'!$A$7:$O$131,9,0))</f>
      </c>
      <c r="AD45" s="51">
        <f>IF($B45="","",VLOOKUP($B45,'武将一覧'!$A$7:$O$131,10,0))</f>
      </c>
      <c r="AE45" s="51">
        <f>IF($B45="","",VLOOKUP($B45,'武将一覧'!$A$7:$O$131,11,0))</f>
      </c>
      <c r="AF45" s="51">
        <f>IF($B45="","",VLOOKUP($B45,'武将一覧'!$A$7:$O$131,12,0))</f>
      </c>
      <c r="AG45" s="52">
        <f>IF($B45="","",VLOOKUP($B45,'武将一覧'!$A$7:$O$131,15,0))</f>
      </c>
    </row>
    <row r="46" spans="1:33" ht="13.5">
      <c r="A46" s="35">
        <v>43</v>
      </c>
      <c r="B46" s="36"/>
      <c r="C46" s="37">
        <v>0</v>
      </c>
      <c r="D46" s="38">
        <v>0</v>
      </c>
      <c r="E46" s="39">
        <v>0</v>
      </c>
      <c r="F46" s="39">
        <v>0</v>
      </c>
      <c r="G46" s="40">
        <v>0</v>
      </c>
      <c r="H46" s="41">
        <f>IF($B46="","",VLOOKUP($B46,'武将一覧'!$A$7:$O$131,2,0))</f>
      </c>
      <c r="I46" s="42">
        <f>IF($B46="","",VLOOKUP($B46,'武将一覧'!$A$7:$O$131,3,0))</f>
      </c>
      <c r="J46" s="43">
        <f>IF($B46="","",VLOOKUP($B46,'武将一覧'!$A$7:$O$131,4,0))</f>
      </c>
      <c r="K46" s="44">
        <f>IF($B46="","",VLOOKUP($B46,'武将一覧'!$A$7:$O$131,5,0))</f>
      </c>
      <c r="L46" s="45">
        <f t="shared" si="0"/>
      </c>
      <c r="M46" s="46">
        <f>IF($B46="","",SUM(((AA46*M$2)*C46)*5)+((AA46*M$2)*F46)+AA46)</f>
      </c>
      <c r="N46" s="47">
        <f t="shared" si="1"/>
      </c>
      <c r="O46" s="47">
        <f t="shared" si="2"/>
      </c>
      <c r="P46" s="47">
        <f t="shared" si="3"/>
      </c>
      <c r="Q46" s="48">
        <f>IF($B46="","",SUM(((AE46*Q$2)*C46)*5)+((AE46*Q$2)*E46)+AE46)</f>
      </c>
      <c r="R46" s="48">
        <f>IF($B46="","",SUM(((AF46*R$2)*C46)*5)+((AF46*R$2)*G46)+AF46)</f>
      </c>
      <c r="S46" s="53">
        <f>IF($B46="","",VLOOKUP($B46,'武将一覧'!$A$7:$O$131,13,0))</f>
      </c>
      <c r="T46" s="49">
        <f>IF($B46="","",VLOOKUP($B46,'武将一覧'!$A$7:$O$131,14,0))</f>
      </c>
      <c r="U46" s="50"/>
      <c r="V46" s="50"/>
      <c r="W46" s="50"/>
      <c r="X46" s="50"/>
      <c r="Y46" s="50"/>
      <c r="Z46" s="51">
        <f>IF($B46="","",VLOOKUP($B46,'武将一覧'!$A$7:$O$131,6,0))</f>
      </c>
      <c r="AA46" s="51">
        <f>IF($B46="","",VLOOKUP($B46,'武将一覧'!$A$7:$O$131,7,0))</f>
      </c>
      <c r="AB46" s="51">
        <f>IF($B46="","",VLOOKUP($B46,'武将一覧'!$A$7:$O$131,8,0))</f>
      </c>
      <c r="AC46" s="51">
        <f>IF($B46="","",VLOOKUP($B46,'武将一覧'!$A$7:$O$131,9,0))</f>
      </c>
      <c r="AD46" s="51">
        <f>IF($B46="","",VLOOKUP($B46,'武将一覧'!$A$7:$O$131,10,0))</f>
      </c>
      <c r="AE46" s="51">
        <f>IF($B46="","",VLOOKUP($B46,'武将一覧'!$A$7:$O$131,11,0))</f>
      </c>
      <c r="AF46" s="51">
        <f>IF($B46="","",VLOOKUP($B46,'武将一覧'!$A$7:$O$131,12,0))</f>
      </c>
      <c r="AG46" s="52">
        <f>IF($B46="","",VLOOKUP($B46,'武将一覧'!$A$7:$O$131,15,0))</f>
      </c>
    </row>
    <row r="47" spans="1:33" ht="13.5">
      <c r="A47" s="35">
        <v>44</v>
      </c>
      <c r="B47" s="36"/>
      <c r="C47" s="37">
        <v>0</v>
      </c>
      <c r="D47" s="38">
        <v>0</v>
      </c>
      <c r="E47" s="39">
        <v>0</v>
      </c>
      <c r="F47" s="39">
        <v>0</v>
      </c>
      <c r="G47" s="40">
        <v>0</v>
      </c>
      <c r="H47" s="41">
        <f>IF($B47="","",VLOOKUP($B47,'武将一覧'!$A$7:$O$131,2,0))</f>
      </c>
      <c r="I47" s="42">
        <f>IF($B47="","",VLOOKUP($B47,'武将一覧'!$A$7:$O$131,3,0))</f>
      </c>
      <c r="J47" s="43">
        <f>IF($B47="","",VLOOKUP($B47,'武将一覧'!$A$7:$O$131,4,0))</f>
      </c>
      <c r="K47" s="44">
        <f>IF($B47="","",VLOOKUP($B47,'武将一覧'!$A$7:$O$131,5,0))</f>
      </c>
      <c r="L47" s="45">
        <f t="shared" si="0"/>
      </c>
      <c r="M47" s="46">
        <f>IF($B47="","",SUM(((AA47*M$2)*C47)*5)+((AA47*M$2)*F47)+AA47)</f>
      </c>
      <c r="N47" s="47">
        <f t="shared" si="1"/>
      </c>
      <c r="O47" s="47">
        <f t="shared" si="2"/>
      </c>
      <c r="P47" s="47">
        <f t="shared" si="3"/>
      </c>
      <c r="Q47" s="48">
        <f>IF($B47="","",SUM(((AE47*Q$2)*C47)*5)+((AE47*Q$2)*E47)+AE47)</f>
      </c>
      <c r="R47" s="48">
        <f>IF($B47="","",SUM(((AF47*R$2)*C47)*5)+((AF47*R$2)*G47)+AF47)</f>
      </c>
      <c r="S47" s="53">
        <f>IF($B47="","",VLOOKUP($B47,'武将一覧'!$A$7:$O$131,13,0))</f>
      </c>
      <c r="T47" s="49">
        <f>IF($B47="","",VLOOKUP($B47,'武将一覧'!$A$7:$O$131,14,0))</f>
      </c>
      <c r="U47" s="50"/>
      <c r="V47" s="50"/>
      <c r="W47" s="50"/>
      <c r="X47" s="50"/>
      <c r="Y47" s="50"/>
      <c r="Z47" s="51">
        <f>IF($B47="","",VLOOKUP($B47,'武将一覧'!$A$7:$O$131,6,0))</f>
      </c>
      <c r="AA47" s="51">
        <f>IF($B47="","",VLOOKUP($B47,'武将一覧'!$A$7:$O$131,7,0))</f>
      </c>
      <c r="AB47" s="51">
        <f>IF($B47="","",VLOOKUP($B47,'武将一覧'!$A$7:$O$131,8,0))</f>
      </c>
      <c r="AC47" s="51">
        <f>IF($B47="","",VLOOKUP($B47,'武将一覧'!$A$7:$O$131,9,0))</f>
      </c>
      <c r="AD47" s="51">
        <f>IF($B47="","",VLOOKUP($B47,'武将一覧'!$A$7:$O$131,10,0))</f>
      </c>
      <c r="AE47" s="51">
        <f>IF($B47="","",VLOOKUP($B47,'武将一覧'!$A$7:$O$131,11,0))</f>
      </c>
      <c r="AF47" s="51">
        <f>IF($B47="","",VLOOKUP($B47,'武将一覧'!$A$7:$O$131,12,0))</f>
      </c>
      <c r="AG47" s="52">
        <f>IF($B47="","",VLOOKUP($B47,'武将一覧'!$A$7:$O$131,15,0))</f>
      </c>
    </row>
    <row r="48" spans="1:33" ht="13.5">
      <c r="A48" s="35">
        <v>45</v>
      </c>
      <c r="B48" s="36"/>
      <c r="C48" s="37">
        <v>0</v>
      </c>
      <c r="D48" s="38">
        <v>0</v>
      </c>
      <c r="E48" s="39">
        <v>0</v>
      </c>
      <c r="F48" s="39">
        <v>0</v>
      </c>
      <c r="G48" s="40">
        <v>0</v>
      </c>
      <c r="H48" s="41">
        <f>IF($B48="","",VLOOKUP($B48,'武将一覧'!$A$7:$O$131,2,0))</f>
      </c>
      <c r="I48" s="42">
        <f>IF($B48="","",VLOOKUP($B48,'武将一覧'!$A$7:$O$131,3,0))</f>
      </c>
      <c r="J48" s="43">
        <f>IF($B48="","",VLOOKUP($B48,'武将一覧'!$A$7:$O$131,4,0))</f>
      </c>
      <c r="K48" s="44">
        <f>IF($B48="","",VLOOKUP($B48,'武将一覧'!$A$7:$O$131,5,0))</f>
      </c>
      <c r="L48" s="45">
        <f t="shared" si="0"/>
      </c>
      <c r="M48" s="46">
        <f>IF($B48="","",SUM(((AA48*M$2)*C48)*5)+((AA48*M$2)*F48)+AA48)</f>
      </c>
      <c r="N48" s="47">
        <f t="shared" si="1"/>
      </c>
      <c r="O48" s="47">
        <f t="shared" si="2"/>
      </c>
      <c r="P48" s="47">
        <f t="shared" si="3"/>
      </c>
      <c r="Q48" s="48">
        <f>IF($B48="","",SUM(((AE48*Q$2)*C48)*5)+((AE48*Q$2)*E48)+AE48)</f>
      </c>
      <c r="R48" s="48">
        <f>IF($B48="","",SUM(((AF48*R$2)*C48)*5)+((AF48*R$2)*G48)+AF48)</f>
      </c>
      <c r="S48" s="53">
        <f>IF($B48="","",VLOOKUP($B48,'武将一覧'!$A$7:$O$131,13,0))</f>
      </c>
      <c r="T48" s="49">
        <f>IF($B48="","",VLOOKUP($B48,'武将一覧'!$A$7:$O$131,14,0))</f>
      </c>
      <c r="U48" s="50"/>
      <c r="V48" s="50"/>
      <c r="W48" s="50"/>
      <c r="X48" s="50"/>
      <c r="Y48" s="50"/>
      <c r="Z48" s="51">
        <f>IF($B48="","",VLOOKUP($B48,'武将一覧'!$A$7:$O$131,6,0))</f>
      </c>
      <c r="AA48" s="51">
        <f>IF($B48="","",VLOOKUP($B48,'武将一覧'!$A$7:$O$131,7,0))</f>
      </c>
      <c r="AB48" s="51">
        <f>IF($B48="","",VLOOKUP($B48,'武将一覧'!$A$7:$O$131,8,0))</f>
      </c>
      <c r="AC48" s="51">
        <f>IF($B48="","",VLOOKUP($B48,'武将一覧'!$A$7:$O$131,9,0))</f>
      </c>
      <c r="AD48" s="51">
        <f>IF($B48="","",VLOOKUP($B48,'武将一覧'!$A$7:$O$131,10,0))</f>
      </c>
      <c r="AE48" s="51">
        <f>IF($B48="","",VLOOKUP($B48,'武将一覧'!$A$7:$O$131,11,0))</f>
      </c>
      <c r="AF48" s="51">
        <f>IF($B48="","",VLOOKUP($B48,'武将一覧'!$A$7:$O$131,12,0))</f>
      </c>
      <c r="AG48" s="52">
        <f>IF($B48="","",VLOOKUP($B48,'武将一覧'!$A$7:$O$131,15,0))</f>
      </c>
    </row>
    <row r="49" spans="1:33" ht="13.5">
      <c r="A49" s="35">
        <v>46</v>
      </c>
      <c r="B49" s="36"/>
      <c r="C49" s="37">
        <v>0</v>
      </c>
      <c r="D49" s="38">
        <v>0</v>
      </c>
      <c r="E49" s="39">
        <v>0</v>
      </c>
      <c r="F49" s="39">
        <v>0</v>
      </c>
      <c r="G49" s="40">
        <v>0</v>
      </c>
      <c r="H49" s="41">
        <f>IF($B49="","",VLOOKUP($B49,'武将一覧'!$A$7:$O$131,2,0))</f>
      </c>
      <c r="I49" s="42">
        <f>IF($B49="","",VLOOKUP($B49,'武将一覧'!$A$7:$O$131,3,0))</f>
      </c>
      <c r="J49" s="43">
        <f>IF($B49="","",VLOOKUP($B49,'武将一覧'!$A$7:$O$131,4,0))</f>
      </c>
      <c r="K49" s="44">
        <f>IF($B49="","",VLOOKUP($B49,'武将一覧'!$A$7:$O$131,5,0))</f>
      </c>
      <c r="L49" s="45">
        <f t="shared" si="0"/>
      </c>
      <c r="M49" s="46">
        <f>IF($B49="","",SUM(((AA49*M$2)*C49)*5)+((AA49*M$2)*F49)+AA49)</f>
      </c>
      <c r="N49" s="47">
        <f t="shared" si="1"/>
      </c>
      <c r="O49" s="47">
        <f t="shared" si="2"/>
      </c>
      <c r="P49" s="47">
        <f t="shared" si="3"/>
      </c>
      <c r="Q49" s="48">
        <f>IF($B49="","",SUM(((AE49*Q$2)*C49)*5)+((AE49*Q$2)*E49)+AE49)</f>
      </c>
      <c r="R49" s="48">
        <f>IF($B49="","",SUM(((AF49*R$2)*C49)*5)+((AF49*R$2)*G49)+AF49)</f>
      </c>
      <c r="S49" s="53">
        <f>IF($B49="","",VLOOKUP($B49,'武将一覧'!$A$7:$O$131,13,0))</f>
      </c>
      <c r="T49" s="49">
        <f>IF($B49="","",VLOOKUP($B49,'武将一覧'!$A$7:$O$131,14,0))</f>
      </c>
      <c r="U49" s="50"/>
      <c r="V49" s="50"/>
      <c r="W49" s="50"/>
      <c r="X49" s="50"/>
      <c r="Y49" s="50"/>
      <c r="Z49" s="51">
        <f>IF($B49="","",VLOOKUP($B49,'武将一覧'!$A$7:$O$131,6,0))</f>
      </c>
      <c r="AA49" s="51">
        <f>IF($B49="","",VLOOKUP($B49,'武将一覧'!$A$7:$O$131,7,0))</f>
      </c>
      <c r="AB49" s="51">
        <f>IF($B49="","",VLOOKUP($B49,'武将一覧'!$A$7:$O$131,8,0))</f>
      </c>
      <c r="AC49" s="51">
        <f>IF($B49="","",VLOOKUP($B49,'武将一覧'!$A$7:$O$131,9,0))</f>
      </c>
      <c r="AD49" s="51">
        <f>IF($B49="","",VLOOKUP($B49,'武将一覧'!$A$7:$O$131,10,0))</f>
      </c>
      <c r="AE49" s="51">
        <f>IF($B49="","",VLOOKUP($B49,'武将一覧'!$A$7:$O$131,11,0))</f>
      </c>
      <c r="AF49" s="51">
        <f>IF($B49="","",VLOOKUP($B49,'武将一覧'!$A$7:$O$131,12,0))</f>
      </c>
      <c r="AG49" s="52">
        <f>IF($B49="","",VLOOKUP($B49,'武将一覧'!$A$7:$O$131,15,0))</f>
      </c>
    </row>
    <row r="50" spans="1:33" ht="13.5">
      <c r="A50" s="35">
        <v>47</v>
      </c>
      <c r="B50" s="36"/>
      <c r="C50" s="37">
        <v>0</v>
      </c>
      <c r="D50" s="38">
        <v>0</v>
      </c>
      <c r="E50" s="39">
        <v>0</v>
      </c>
      <c r="F50" s="39">
        <v>0</v>
      </c>
      <c r="G50" s="40">
        <v>0</v>
      </c>
      <c r="H50" s="41">
        <f>IF($B50="","",VLOOKUP($B50,'武将一覧'!$A$7:$O$131,2,0))</f>
      </c>
      <c r="I50" s="42">
        <f>IF($B50="","",VLOOKUP($B50,'武将一覧'!$A$7:$O$131,3,0))</f>
      </c>
      <c r="J50" s="43">
        <f>IF($B50="","",VLOOKUP($B50,'武将一覧'!$A$7:$O$131,4,0))</f>
      </c>
      <c r="K50" s="44">
        <f>IF($B50="","",VLOOKUP($B50,'武将一覧'!$A$7:$O$131,5,0))</f>
      </c>
      <c r="L50" s="45">
        <f t="shared" si="0"/>
      </c>
      <c r="M50" s="46">
        <f>IF($B50="","",SUM(((AA50*M$2)*C50)*5)+((AA50*M$2)*F50)+AA50)</f>
      </c>
      <c r="N50" s="47">
        <f t="shared" si="1"/>
      </c>
      <c r="O50" s="47">
        <f t="shared" si="2"/>
      </c>
      <c r="P50" s="47">
        <f t="shared" si="3"/>
      </c>
      <c r="Q50" s="48">
        <f>IF($B50="","",SUM(((AE50*Q$2)*C50)*5)+((AE50*Q$2)*E50)+AE50)</f>
      </c>
      <c r="R50" s="48">
        <f>IF($B50="","",SUM(((AF50*R$2)*C50)*5)+((AF50*R$2)*G50)+AF50)</f>
      </c>
      <c r="S50" s="53">
        <f>IF($B50="","",VLOOKUP($B50,'武将一覧'!$A$7:$O$131,13,0))</f>
      </c>
      <c r="T50" s="49">
        <f>IF($B50="","",VLOOKUP($B50,'武将一覧'!$A$7:$O$131,14,0))</f>
      </c>
      <c r="U50" s="50"/>
      <c r="V50" s="50"/>
      <c r="W50" s="50"/>
      <c r="X50" s="50"/>
      <c r="Y50" s="50"/>
      <c r="Z50" s="51">
        <f>IF($B50="","",VLOOKUP($B50,'武将一覧'!$A$7:$O$131,6,0))</f>
      </c>
      <c r="AA50" s="51">
        <f>IF($B50="","",VLOOKUP($B50,'武将一覧'!$A$7:$O$131,7,0))</f>
      </c>
      <c r="AB50" s="51">
        <f>IF($B50="","",VLOOKUP($B50,'武将一覧'!$A$7:$O$131,8,0))</f>
      </c>
      <c r="AC50" s="51">
        <f>IF($B50="","",VLOOKUP($B50,'武将一覧'!$A$7:$O$131,9,0))</f>
      </c>
      <c r="AD50" s="51">
        <f>IF($B50="","",VLOOKUP($B50,'武将一覧'!$A$7:$O$131,10,0))</f>
      </c>
      <c r="AE50" s="51">
        <f>IF($B50="","",VLOOKUP($B50,'武将一覧'!$A$7:$O$131,11,0))</f>
      </c>
      <c r="AF50" s="51">
        <f>IF($B50="","",VLOOKUP($B50,'武将一覧'!$A$7:$O$131,12,0))</f>
      </c>
      <c r="AG50" s="52">
        <f>IF($B50="","",VLOOKUP($B50,'武将一覧'!$A$7:$O$131,15,0))</f>
      </c>
    </row>
    <row r="51" spans="1:33" ht="13.5">
      <c r="A51" s="35">
        <v>48</v>
      </c>
      <c r="B51" s="36"/>
      <c r="C51" s="37">
        <v>0</v>
      </c>
      <c r="D51" s="38">
        <v>0</v>
      </c>
      <c r="E51" s="39">
        <v>0</v>
      </c>
      <c r="F51" s="39">
        <v>0</v>
      </c>
      <c r="G51" s="40">
        <v>0</v>
      </c>
      <c r="H51" s="41">
        <f>IF($B51="","",VLOOKUP($B51,'武将一覧'!$A$7:$O$131,2,0))</f>
      </c>
      <c r="I51" s="42">
        <f>IF($B51="","",VLOOKUP($B51,'武将一覧'!$A$7:$O$131,3,0))</f>
      </c>
      <c r="J51" s="43">
        <f>IF($B51="","",VLOOKUP($B51,'武将一覧'!$A$7:$O$131,4,0))</f>
      </c>
      <c r="K51" s="44">
        <f>IF($B51="","",VLOOKUP($B51,'武将一覧'!$A$7:$O$131,5,0))</f>
      </c>
      <c r="L51" s="45">
        <f t="shared" si="0"/>
      </c>
      <c r="M51" s="46">
        <f>IF($B51="","",SUM(((AA51*M$2)*C51)*5)+((AA51*M$2)*F51)+AA51)</f>
      </c>
      <c r="N51" s="47">
        <f t="shared" si="1"/>
      </c>
      <c r="O51" s="47">
        <f t="shared" si="2"/>
      </c>
      <c r="P51" s="47">
        <f t="shared" si="3"/>
      </c>
      <c r="Q51" s="48">
        <f>IF($B51="","",SUM(((AE51*Q$2)*C51)*5)+((AE51*Q$2)*E51)+AE51)</f>
      </c>
      <c r="R51" s="48">
        <f>IF($B51="","",SUM(((AF51*R$2)*C51)*5)+((AF51*R$2)*G51)+AF51)</f>
      </c>
      <c r="S51" s="53">
        <f>IF($B51="","",VLOOKUP($B51,'武将一覧'!$A$7:$O$131,13,0))</f>
      </c>
      <c r="T51" s="49">
        <f>IF($B51="","",VLOOKUP($B51,'武将一覧'!$A$7:$O$131,14,0))</f>
      </c>
      <c r="U51" s="50"/>
      <c r="V51" s="50"/>
      <c r="W51" s="50"/>
      <c r="X51" s="50"/>
      <c r="Y51" s="50"/>
      <c r="Z51" s="51">
        <f>IF($B51="","",VLOOKUP($B51,'武将一覧'!$A$7:$O$131,6,0))</f>
      </c>
      <c r="AA51" s="51">
        <f>IF($B51="","",VLOOKUP($B51,'武将一覧'!$A$7:$O$131,7,0))</f>
      </c>
      <c r="AB51" s="51">
        <f>IF($B51="","",VLOOKUP($B51,'武将一覧'!$A$7:$O$131,8,0))</f>
      </c>
      <c r="AC51" s="51">
        <f>IF($B51="","",VLOOKUP($B51,'武将一覧'!$A$7:$O$131,9,0))</f>
      </c>
      <c r="AD51" s="51">
        <f>IF($B51="","",VLOOKUP($B51,'武将一覧'!$A$7:$O$131,10,0))</f>
      </c>
      <c r="AE51" s="51">
        <f>IF($B51="","",VLOOKUP($B51,'武将一覧'!$A$7:$O$131,11,0))</f>
      </c>
      <c r="AF51" s="51">
        <f>IF($B51="","",VLOOKUP($B51,'武将一覧'!$A$7:$O$131,12,0))</f>
      </c>
      <c r="AG51" s="52">
        <f>IF($B51="","",VLOOKUP($B51,'武将一覧'!$A$7:$O$131,15,0))</f>
      </c>
    </row>
    <row r="52" spans="1:33" ht="13.5">
      <c r="A52" s="35">
        <v>49</v>
      </c>
      <c r="B52" s="36"/>
      <c r="C52" s="37">
        <v>0</v>
      </c>
      <c r="D52" s="38">
        <v>0</v>
      </c>
      <c r="E52" s="39">
        <v>0</v>
      </c>
      <c r="F52" s="39">
        <v>0</v>
      </c>
      <c r="G52" s="40">
        <v>0</v>
      </c>
      <c r="H52" s="41">
        <f>IF($B52="","",VLOOKUP($B52,'武将一覧'!$A$7:$O$131,2,0))</f>
      </c>
      <c r="I52" s="42">
        <f>IF($B52="","",VLOOKUP($B52,'武将一覧'!$A$7:$O$131,3,0))</f>
      </c>
      <c r="J52" s="43">
        <f>IF($B52="","",VLOOKUP($B52,'武将一覧'!$A$7:$O$131,4,0))</f>
      </c>
      <c r="K52" s="44">
        <f>IF($B52="","",VLOOKUP($B52,'武将一覧'!$A$7:$O$131,5,0))</f>
      </c>
      <c r="L52" s="45">
        <f t="shared" si="0"/>
      </c>
      <c r="M52" s="46">
        <f>IF($B52="","",SUM(((AA52*M$2)*C52)*5)+((AA52*M$2)*F52)+AA52)</f>
      </c>
      <c r="N52" s="47">
        <f t="shared" si="1"/>
      </c>
      <c r="O52" s="47">
        <f t="shared" si="2"/>
      </c>
      <c r="P52" s="47">
        <f t="shared" si="3"/>
      </c>
      <c r="Q52" s="48">
        <f>IF($B52="","",SUM(((AE52*Q$2)*C52)*5)+((AE52*Q$2)*E52)+AE52)</f>
      </c>
      <c r="R52" s="48">
        <f>IF($B52="","",SUM(((AF52*R$2)*C52)*5)+((AF52*R$2)*G52)+AF52)</f>
      </c>
      <c r="S52" s="53">
        <f>IF($B52="","",VLOOKUP($B52,'武将一覧'!$A$7:$O$131,13,0))</f>
      </c>
      <c r="T52" s="49">
        <f>IF($B52="","",VLOOKUP($B52,'武将一覧'!$A$7:$O$131,14,0))</f>
      </c>
      <c r="U52" s="50"/>
      <c r="V52" s="50"/>
      <c r="W52" s="50"/>
      <c r="X52" s="50"/>
      <c r="Y52" s="50"/>
      <c r="Z52" s="51">
        <f>IF($B52="","",VLOOKUP($B52,'武将一覧'!$A$7:$O$131,6,0))</f>
      </c>
      <c r="AA52" s="51">
        <f>IF($B52="","",VLOOKUP($B52,'武将一覧'!$A$7:$O$131,7,0))</f>
      </c>
      <c r="AB52" s="51">
        <f>IF($B52="","",VLOOKUP($B52,'武将一覧'!$A$7:$O$131,8,0))</f>
      </c>
      <c r="AC52" s="51">
        <f>IF($B52="","",VLOOKUP($B52,'武将一覧'!$A$7:$O$131,9,0))</f>
      </c>
      <c r="AD52" s="51">
        <f>IF($B52="","",VLOOKUP($B52,'武将一覧'!$A$7:$O$131,10,0))</f>
      </c>
      <c r="AE52" s="51">
        <f>IF($B52="","",VLOOKUP($B52,'武将一覧'!$A$7:$O$131,11,0))</f>
      </c>
      <c r="AF52" s="51">
        <f>IF($B52="","",VLOOKUP($B52,'武将一覧'!$A$7:$O$131,12,0))</f>
      </c>
      <c r="AG52" s="52">
        <f>IF($B52="","",VLOOKUP($B52,'武将一覧'!$A$7:$O$131,15,0))</f>
      </c>
    </row>
    <row r="53" spans="1:33" ht="13.5">
      <c r="A53" s="35">
        <v>50</v>
      </c>
      <c r="B53" s="36"/>
      <c r="C53" s="37">
        <v>0</v>
      </c>
      <c r="D53" s="38">
        <v>0</v>
      </c>
      <c r="E53" s="39">
        <v>0</v>
      </c>
      <c r="F53" s="39">
        <v>0</v>
      </c>
      <c r="G53" s="40">
        <v>0</v>
      </c>
      <c r="H53" s="41">
        <f>IF($B53="","",VLOOKUP($B53,'武将一覧'!$A$7:$O$131,2,0))</f>
      </c>
      <c r="I53" s="42">
        <f>IF($B53="","",VLOOKUP($B53,'武将一覧'!$A$7:$O$131,3,0))</f>
      </c>
      <c r="J53" s="43">
        <f>IF($B53="","",VLOOKUP($B53,'武将一覧'!$A$7:$O$131,4,0))</f>
      </c>
      <c r="K53" s="44">
        <f>IF($B53="","",VLOOKUP($B53,'武将一覧'!$A$7:$O$131,5,0))</f>
      </c>
      <c r="L53" s="45">
        <f t="shared" si="0"/>
      </c>
      <c r="M53" s="46">
        <f>IF($B53="","",SUM(((AA53*M$2)*C53)*5)+((AA53*M$2)*F53)+AA53)</f>
      </c>
      <c r="N53" s="47">
        <f t="shared" si="1"/>
      </c>
      <c r="O53" s="47">
        <f t="shared" si="2"/>
      </c>
      <c r="P53" s="47">
        <f t="shared" si="3"/>
      </c>
      <c r="Q53" s="48">
        <f>IF($B53="","",SUM(((AE53*Q$2)*C53)*5)+((AE53*Q$2)*E53)+AE53)</f>
      </c>
      <c r="R53" s="48">
        <f>IF($B53="","",SUM(((AF53*R$2)*C53)*5)+((AF53*R$2)*G53)+AF53)</f>
      </c>
      <c r="S53" s="53">
        <f>IF($B53="","",VLOOKUP($B53,'武将一覧'!$A$7:$O$131,13,0))</f>
      </c>
      <c r="T53" s="49">
        <f>IF($B53="","",VLOOKUP($B53,'武将一覧'!$A$7:$O$131,14,0))</f>
      </c>
      <c r="U53" s="50"/>
      <c r="V53" s="50"/>
      <c r="W53" s="50"/>
      <c r="X53" s="50"/>
      <c r="Y53" s="50"/>
      <c r="Z53" s="51">
        <f>IF($B53="","",VLOOKUP($B53,'武将一覧'!$A$7:$O$131,6,0))</f>
      </c>
      <c r="AA53" s="51">
        <f>IF($B53="","",VLOOKUP($B53,'武将一覧'!$A$7:$O$131,7,0))</f>
      </c>
      <c r="AB53" s="51">
        <f>IF($B53="","",VLOOKUP($B53,'武将一覧'!$A$7:$O$131,8,0))</f>
      </c>
      <c r="AC53" s="51">
        <f>IF($B53="","",VLOOKUP($B53,'武将一覧'!$A$7:$O$131,9,0))</f>
      </c>
      <c r="AD53" s="51">
        <f>IF($B53="","",VLOOKUP($B53,'武将一覧'!$A$7:$O$131,10,0))</f>
      </c>
      <c r="AE53" s="51">
        <f>IF($B53="","",VLOOKUP($B53,'武将一覧'!$A$7:$O$131,11,0))</f>
      </c>
      <c r="AF53" s="51">
        <f>IF($B53="","",VLOOKUP($B53,'武将一覧'!$A$7:$O$131,12,0))</f>
      </c>
      <c r="AG53" s="52">
        <f>IF($B53="","",VLOOKUP($B53,'武将一覧'!$A$7:$O$131,15,0))</f>
      </c>
    </row>
    <row r="54" spans="1:33" ht="13.5">
      <c r="A54" s="35">
        <v>51</v>
      </c>
      <c r="B54" s="36"/>
      <c r="C54" s="37">
        <v>0</v>
      </c>
      <c r="D54" s="38">
        <v>0</v>
      </c>
      <c r="E54" s="39">
        <v>0</v>
      </c>
      <c r="F54" s="39">
        <v>0</v>
      </c>
      <c r="G54" s="40">
        <v>0</v>
      </c>
      <c r="H54" s="41">
        <f>IF($B54="","",VLOOKUP($B54,'武将一覧'!$A$7:$O$131,2,0))</f>
      </c>
      <c r="I54" s="42">
        <f>IF($B54="","",VLOOKUP($B54,'武将一覧'!$A$7:$O$131,3,0))</f>
      </c>
      <c r="J54" s="43">
        <f>IF($B54="","",VLOOKUP($B54,'武将一覧'!$A$7:$O$131,4,0))</f>
      </c>
      <c r="K54" s="44">
        <f>IF($B54="","",VLOOKUP($B54,'武将一覧'!$A$7:$O$131,5,0))</f>
      </c>
      <c r="L54" s="45">
        <f t="shared" si="0"/>
      </c>
      <c r="M54" s="46">
        <f>IF($B54="","",SUM(((AA54*M$2)*C54)*5)+((AA54*M$2)*F54)+AA54)</f>
      </c>
      <c r="N54" s="47">
        <f t="shared" si="1"/>
      </c>
      <c r="O54" s="47">
        <f t="shared" si="2"/>
      </c>
      <c r="P54" s="47">
        <f t="shared" si="3"/>
      </c>
      <c r="Q54" s="48">
        <f>IF($B54="","",SUM(((AE54*Q$2)*C54)*5)+((AE54*Q$2)*E54)+AE54)</f>
      </c>
      <c r="R54" s="48">
        <f>IF($B54="","",SUM(((AF54*R$2)*C54)*5)+((AF54*R$2)*G54)+AF54)</f>
      </c>
      <c r="S54" s="53">
        <f>IF($B54="","",VLOOKUP($B54,'武将一覧'!$A$7:$O$131,13,0))</f>
      </c>
      <c r="T54" s="49">
        <f>IF($B54="","",VLOOKUP($B54,'武将一覧'!$A$7:$O$131,14,0))</f>
      </c>
      <c r="U54" s="50"/>
      <c r="V54" s="50"/>
      <c r="W54" s="50"/>
      <c r="X54" s="50"/>
      <c r="Y54" s="50"/>
      <c r="Z54" s="51">
        <f>IF($B54="","",VLOOKUP($B54,'武将一覧'!$A$7:$O$131,6,0))</f>
      </c>
      <c r="AA54" s="51">
        <f>IF($B54="","",VLOOKUP($B54,'武将一覧'!$A$7:$O$131,7,0))</f>
      </c>
      <c r="AB54" s="51">
        <f>IF($B54="","",VLOOKUP($B54,'武将一覧'!$A$7:$O$131,8,0))</f>
      </c>
      <c r="AC54" s="51">
        <f>IF($B54="","",VLOOKUP($B54,'武将一覧'!$A$7:$O$131,9,0))</f>
      </c>
      <c r="AD54" s="51">
        <f>IF($B54="","",VLOOKUP($B54,'武将一覧'!$A$7:$O$131,10,0))</f>
      </c>
      <c r="AE54" s="51">
        <f>IF($B54="","",VLOOKUP($B54,'武将一覧'!$A$7:$O$131,11,0))</f>
      </c>
      <c r="AF54" s="51">
        <f>IF($B54="","",VLOOKUP($B54,'武将一覧'!$A$7:$O$131,12,0))</f>
      </c>
      <c r="AG54" s="52">
        <f>IF($B54="","",VLOOKUP($B54,'武将一覧'!$A$7:$O$131,15,0))</f>
      </c>
    </row>
    <row r="55" spans="1:33" ht="13.5">
      <c r="A55" s="35">
        <v>52</v>
      </c>
      <c r="B55" s="36"/>
      <c r="C55" s="37">
        <v>0</v>
      </c>
      <c r="D55" s="38">
        <v>0</v>
      </c>
      <c r="E55" s="39">
        <v>0</v>
      </c>
      <c r="F55" s="39">
        <v>0</v>
      </c>
      <c r="G55" s="40">
        <v>0</v>
      </c>
      <c r="H55" s="41">
        <f>IF($B55="","",VLOOKUP($B55,'武将一覧'!$A$7:$O$131,2,0))</f>
      </c>
      <c r="I55" s="42">
        <f>IF($B55="","",VLOOKUP($B55,'武将一覧'!$A$7:$O$131,3,0))</f>
      </c>
      <c r="J55" s="43">
        <f>IF($B55="","",VLOOKUP($B55,'武将一覧'!$A$7:$O$131,4,0))</f>
      </c>
      <c r="K55" s="44">
        <f>IF($B55="","",VLOOKUP($B55,'武将一覧'!$A$7:$O$131,5,0))</f>
      </c>
      <c r="L55" s="45">
        <f t="shared" si="0"/>
      </c>
      <c r="M55" s="46">
        <f>IF($B55="","",SUM(((AA55*M$2)*C55)*5)+((AA55*M$2)*F55)+AA55)</f>
      </c>
      <c r="N55" s="47">
        <f t="shared" si="1"/>
      </c>
      <c r="O55" s="47">
        <f t="shared" si="2"/>
      </c>
      <c r="P55" s="47">
        <f t="shared" si="3"/>
      </c>
      <c r="Q55" s="48">
        <f>IF($B55="","",SUM(((AE55*Q$2)*C55)*5)+((AE55*Q$2)*E55)+AE55)</f>
      </c>
      <c r="R55" s="48">
        <f>IF($B55="","",SUM(((AF55*R$2)*C55)*5)+((AF55*R$2)*G55)+AF55)</f>
      </c>
      <c r="S55" s="53">
        <f>IF($B55="","",VLOOKUP($B55,'武将一覧'!$A$7:$O$131,13,0))</f>
      </c>
      <c r="T55" s="49">
        <f>IF($B55="","",VLOOKUP($B55,'武将一覧'!$A$7:$O$131,14,0))</f>
      </c>
      <c r="U55" s="50"/>
      <c r="V55" s="50"/>
      <c r="W55" s="50"/>
      <c r="X55" s="50"/>
      <c r="Y55" s="50"/>
      <c r="Z55" s="51">
        <f>IF($B55="","",VLOOKUP($B55,'武将一覧'!$A$7:$O$131,6,0))</f>
      </c>
      <c r="AA55" s="51">
        <f>IF($B55="","",VLOOKUP($B55,'武将一覧'!$A$7:$O$131,7,0))</f>
      </c>
      <c r="AB55" s="51">
        <f>IF($B55="","",VLOOKUP($B55,'武将一覧'!$A$7:$O$131,8,0))</f>
      </c>
      <c r="AC55" s="51">
        <f>IF($B55="","",VLOOKUP($B55,'武将一覧'!$A$7:$O$131,9,0))</f>
      </c>
      <c r="AD55" s="51">
        <f>IF($B55="","",VLOOKUP($B55,'武将一覧'!$A$7:$O$131,10,0))</f>
      </c>
      <c r="AE55" s="51">
        <f>IF($B55="","",VLOOKUP($B55,'武将一覧'!$A$7:$O$131,11,0))</f>
      </c>
      <c r="AF55" s="51">
        <f>IF($B55="","",VLOOKUP($B55,'武将一覧'!$A$7:$O$131,12,0))</f>
      </c>
      <c r="AG55" s="52">
        <f>IF($B55="","",VLOOKUP($B55,'武将一覧'!$A$7:$O$131,15,0))</f>
      </c>
    </row>
    <row r="56" spans="1:33" ht="13.5">
      <c r="A56" s="35">
        <v>53</v>
      </c>
      <c r="B56" s="36"/>
      <c r="C56" s="37">
        <v>0</v>
      </c>
      <c r="D56" s="38">
        <v>0</v>
      </c>
      <c r="E56" s="39">
        <v>0</v>
      </c>
      <c r="F56" s="39">
        <v>0</v>
      </c>
      <c r="G56" s="40">
        <v>0</v>
      </c>
      <c r="H56" s="41">
        <f>IF($B56="","",VLOOKUP($B56,'武将一覧'!$A$7:$O$131,2,0))</f>
      </c>
      <c r="I56" s="42">
        <f>IF($B56="","",VLOOKUP($B56,'武将一覧'!$A$7:$O$131,3,0))</f>
      </c>
      <c r="J56" s="43">
        <f>IF($B56="","",VLOOKUP($B56,'武将一覧'!$A$7:$O$131,4,0))</f>
      </c>
      <c r="K56" s="44">
        <f>IF($B56="","",VLOOKUP($B56,'武将一覧'!$A$7:$O$131,5,0))</f>
      </c>
      <c r="L56" s="45">
        <f t="shared" si="0"/>
      </c>
      <c r="M56" s="46">
        <f>IF($B56="","",SUM(((AA56*M$2)*C56)*5)+((AA56*M$2)*F56)+AA56)</f>
      </c>
      <c r="N56" s="47">
        <f t="shared" si="1"/>
      </c>
      <c r="O56" s="47">
        <f t="shared" si="2"/>
      </c>
      <c r="P56" s="47">
        <f t="shared" si="3"/>
      </c>
      <c r="Q56" s="48">
        <f>IF($B56="","",SUM(((AE56*Q$2)*C56)*5)+((AE56*Q$2)*E56)+AE56)</f>
      </c>
      <c r="R56" s="48">
        <f>IF($B56="","",SUM(((AF56*R$2)*C56)*5)+((AF56*R$2)*G56)+AF56)</f>
      </c>
      <c r="S56" s="53">
        <f>IF($B56="","",VLOOKUP($B56,'武将一覧'!$A$7:$O$131,13,0))</f>
      </c>
      <c r="T56" s="49">
        <f>IF($B56="","",VLOOKUP($B56,'武将一覧'!$A$7:$O$131,14,0))</f>
      </c>
      <c r="U56" s="50"/>
      <c r="V56" s="50"/>
      <c r="W56" s="50"/>
      <c r="X56" s="50"/>
      <c r="Y56" s="50"/>
      <c r="Z56" s="51">
        <f>IF($B56="","",VLOOKUP($B56,'武将一覧'!$A$7:$O$131,6,0))</f>
      </c>
      <c r="AA56" s="51">
        <f>IF($B56="","",VLOOKUP($B56,'武将一覧'!$A$7:$O$131,7,0))</f>
      </c>
      <c r="AB56" s="51">
        <f>IF($B56="","",VLOOKUP($B56,'武将一覧'!$A$7:$O$131,8,0))</f>
      </c>
      <c r="AC56" s="51">
        <f>IF($B56="","",VLOOKUP($B56,'武将一覧'!$A$7:$O$131,9,0))</f>
      </c>
      <c r="AD56" s="51">
        <f>IF($B56="","",VLOOKUP($B56,'武将一覧'!$A$7:$O$131,10,0))</f>
      </c>
      <c r="AE56" s="51">
        <f>IF($B56="","",VLOOKUP($B56,'武将一覧'!$A$7:$O$131,11,0))</f>
      </c>
      <c r="AF56" s="51">
        <f>IF($B56="","",VLOOKUP($B56,'武将一覧'!$A$7:$O$131,12,0))</f>
      </c>
      <c r="AG56" s="52">
        <f>IF($B56="","",VLOOKUP($B56,'武将一覧'!$A$7:$O$131,15,0))</f>
      </c>
    </row>
    <row r="57" spans="1:33" ht="13.5">
      <c r="A57" s="35">
        <v>54</v>
      </c>
      <c r="B57" s="36"/>
      <c r="C57" s="37">
        <v>0</v>
      </c>
      <c r="D57" s="38">
        <v>0</v>
      </c>
      <c r="E57" s="39">
        <v>0</v>
      </c>
      <c r="F57" s="39">
        <v>0</v>
      </c>
      <c r="G57" s="40">
        <v>0</v>
      </c>
      <c r="H57" s="41">
        <f>IF($B57="","",VLOOKUP($B57,'武将一覧'!$A$7:$O$131,2,0))</f>
      </c>
      <c r="I57" s="42">
        <f>IF($B57="","",VLOOKUP($B57,'武将一覧'!$A$7:$O$131,3,0))</f>
      </c>
      <c r="J57" s="43">
        <f>IF($B57="","",VLOOKUP($B57,'武将一覧'!$A$7:$O$131,4,0))</f>
      </c>
      <c r="K57" s="44">
        <f>IF($B57="","",VLOOKUP($B57,'武将一覧'!$A$7:$O$131,5,0))</f>
      </c>
      <c r="L57" s="45">
        <f t="shared" si="0"/>
      </c>
      <c r="M57" s="46">
        <f>IF($B57="","",SUM(((AA57*M$2)*C57)*5)+((AA57*M$2)*F57)+AA57)</f>
      </c>
      <c r="N57" s="47">
        <f t="shared" si="1"/>
      </c>
      <c r="O57" s="47">
        <f t="shared" si="2"/>
      </c>
      <c r="P57" s="47">
        <f t="shared" si="3"/>
      </c>
      <c r="Q57" s="48">
        <f>IF($B57="","",SUM(((AE57*Q$2)*C57)*5)+((AE57*Q$2)*E57)+AE57)</f>
      </c>
      <c r="R57" s="48">
        <f>IF($B57="","",SUM(((AF57*R$2)*C57)*5)+((AF57*R$2)*G57)+AF57)</f>
      </c>
      <c r="S57" s="53">
        <f>IF($B57="","",VLOOKUP($B57,'武将一覧'!$A$7:$O$131,13,0))</f>
      </c>
      <c r="T57" s="49">
        <f>IF($B57="","",VLOOKUP($B57,'武将一覧'!$A$7:$O$131,14,0))</f>
      </c>
      <c r="U57" s="50"/>
      <c r="V57" s="50"/>
      <c r="W57" s="50"/>
      <c r="X57" s="50"/>
      <c r="Y57" s="50"/>
      <c r="Z57" s="51">
        <f>IF($B57="","",VLOOKUP($B57,'武将一覧'!$A$7:$O$131,6,0))</f>
      </c>
      <c r="AA57" s="51">
        <f>IF($B57="","",VLOOKUP($B57,'武将一覧'!$A$7:$O$131,7,0))</f>
      </c>
      <c r="AB57" s="51">
        <f>IF($B57="","",VLOOKUP($B57,'武将一覧'!$A$7:$O$131,8,0))</f>
      </c>
      <c r="AC57" s="51">
        <f>IF($B57="","",VLOOKUP($B57,'武将一覧'!$A$7:$O$131,9,0))</f>
      </c>
      <c r="AD57" s="51">
        <f>IF($B57="","",VLOOKUP($B57,'武将一覧'!$A$7:$O$131,10,0))</f>
      </c>
      <c r="AE57" s="51">
        <f>IF($B57="","",VLOOKUP($B57,'武将一覧'!$A$7:$O$131,11,0))</f>
      </c>
      <c r="AF57" s="51">
        <f>IF($B57="","",VLOOKUP($B57,'武将一覧'!$A$7:$O$131,12,0))</f>
      </c>
      <c r="AG57" s="52">
        <f>IF($B57="","",VLOOKUP($B57,'武将一覧'!$A$7:$O$131,15,0))</f>
      </c>
    </row>
    <row r="58" spans="1:33" ht="13.5">
      <c r="A58" s="35">
        <v>55</v>
      </c>
      <c r="B58" s="36"/>
      <c r="C58" s="37">
        <v>0</v>
      </c>
      <c r="D58" s="38">
        <v>0</v>
      </c>
      <c r="E58" s="39">
        <v>0</v>
      </c>
      <c r="F58" s="39">
        <v>0</v>
      </c>
      <c r="G58" s="40">
        <v>0</v>
      </c>
      <c r="H58" s="41">
        <f>IF($B58="","",VLOOKUP($B58,'武将一覧'!$A$7:$O$131,2,0))</f>
      </c>
      <c r="I58" s="42">
        <f>IF($B58="","",VLOOKUP($B58,'武将一覧'!$A$7:$O$131,3,0))</f>
      </c>
      <c r="J58" s="43">
        <f>IF($B58="","",VLOOKUP($B58,'武将一覧'!$A$7:$O$131,4,0))</f>
      </c>
      <c r="K58" s="44">
        <f>IF($B58="","",VLOOKUP($B58,'武将一覧'!$A$7:$O$131,5,0))</f>
      </c>
      <c r="L58" s="45">
        <f t="shared" si="0"/>
      </c>
      <c r="M58" s="46">
        <f>IF($B58="","",SUM(((AA58*M$2)*C58)*5)+((AA58*M$2)*F58)+AA58)</f>
      </c>
      <c r="N58" s="47">
        <f t="shared" si="1"/>
      </c>
      <c r="O58" s="47">
        <f t="shared" si="2"/>
      </c>
      <c r="P58" s="47">
        <f t="shared" si="3"/>
      </c>
      <c r="Q58" s="48">
        <f>IF($B58="","",SUM(((AE58*Q$2)*C58)*5)+((AE58*Q$2)*E58)+AE58)</f>
      </c>
      <c r="R58" s="48">
        <f>IF($B58="","",SUM(((AF58*R$2)*C58)*5)+((AF58*R$2)*G58)+AF58)</f>
      </c>
      <c r="S58" s="53">
        <f>IF($B58="","",VLOOKUP($B58,'武将一覧'!$A$7:$O$131,13,0))</f>
      </c>
      <c r="T58" s="49">
        <f>IF($B58="","",VLOOKUP($B58,'武将一覧'!$A$7:$O$131,14,0))</f>
      </c>
      <c r="U58" s="50"/>
      <c r="V58" s="50"/>
      <c r="W58" s="50"/>
      <c r="X58" s="50"/>
      <c r="Y58" s="50"/>
      <c r="Z58" s="51">
        <f>IF($B58="","",VLOOKUP($B58,'武将一覧'!$A$7:$O$131,6,0))</f>
      </c>
      <c r="AA58" s="51">
        <f>IF($B58="","",VLOOKUP($B58,'武将一覧'!$A$7:$O$131,7,0))</f>
      </c>
      <c r="AB58" s="51">
        <f>IF($B58="","",VLOOKUP($B58,'武将一覧'!$A$7:$O$131,8,0))</f>
      </c>
      <c r="AC58" s="51">
        <f>IF($B58="","",VLOOKUP($B58,'武将一覧'!$A$7:$O$131,9,0))</f>
      </c>
      <c r="AD58" s="51">
        <f>IF($B58="","",VLOOKUP($B58,'武将一覧'!$A$7:$O$131,10,0))</f>
      </c>
      <c r="AE58" s="51">
        <f>IF($B58="","",VLOOKUP($B58,'武将一覧'!$A$7:$O$131,11,0))</f>
      </c>
      <c r="AF58" s="51">
        <f>IF($B58="","",VLOOKUP($B58,'武将一覧'!$A$7:$O$131,12,0))</f>
      </c>
      <c r="AG58" s="52">
        <f>IF($B58="","",VLOOKUP($B58,'武将一覧'!$A$7:$O$131,15,0))</f>
      </c>
    </row>
    <row r="59" spans="1:33" ht="13.5">
      <c r="A59" s="35">
        <v>56</v>
      </c>
      <c r="B59" s="36"/>
      <c r="C59" s="37">
        <v>0</v>
      </c>
      <c r="D59" s="38">
        <v>0</v>
      </c>
      <c r="E59" s="39">
        <v>0</v>
      </c>
      <c r="F59" s="39">
        <v>0</v>
      </c>
      <c r="G59" s="40">
        <v>0</v>
      </c>
      <c r="H59" s="41">
        <f>IF($B59="","",VLOOKUP($B59,'武将一覧'!$A$7:$O$131,2,0))</f>
      </c>
      <c r="I59" s="42">
        <f>IF($B59="","",VLOOKUP($B59,'武将一覧'!$A$7:$O$131,3,0))</f>
      </c>
      <c r="J59" s="43">
        <f>IF($B59="","",VLOOKUP($B59,'武将一覧'!$A$7:$O$131,4,0))</f>
      </c>
      <c r="K59" s="44">
        <f>IF($B59="","",VLOOKUP($B59,'武将一覧'!$A$7:$O$131,5,0))</f>
      </c>
      <c r="L59" s="45">
        <f t="shared" si="0"/>
      </c>
      <c r="M59" s="46">
        <f>IF($B59="","",SUM(((AA59*M$2)*C59)*5)+((AA59*M$2)*F59)+AA59)</f>
      </c>
      <c r="N59" s="47">
        <f t="shared" si="1"/>
      </c>
      <c r="O59" s="47">
        <f t="shared" si="2"/>
      </c>
      <c r="P59" s="47">
        <f t="shared" si="3"/>
      </c>
      <c r="Q59" s="48">
        <f>IF($B59="","",SUM(((AE59*Q$2)*C59)*5)+((AE59*Q$2)*E59)+AE59)</f>
      </c>
      <c r="R59" s="48">
        <f>IF($B59="","",SUM(((AF59*R$2)*C59)*5)+((AF59*R$2)*G59)+AF59)</f>
      </c>
      <c r="S59" s="53">
        <f>IF($B59="","",VLOOKUP($B59,'武将一覧'!$A$7:$O$131,13,0))</f>
      </c>
      <c r="T59" s="49">
        <f>IF($B59="","",VLOOKUP($B59,'武将一覧'!$A$7:$O$131,14,0))</f>
      </c>
      <c r="U59" s="50"/>
      <c r="V59" s="50"/>
      <c r="W59" s="50"/>
      <c r="X59" s="50"/>
      <c r="Y59" s="50"/>
      <c r="Z59" s="51">
        <f>IF($B59="","",VLOOKUP($B59,'武将一覧'!$A$7:$O$131,6,0))</f>
      </c>
      <c r="AA59" s="51">
        <f>IF($B59="","",VLOOKUP($B59,'武将一覧'!$A$7:$O$131,7,0))</f>
      </c>
      <c r="AB59" s="51">
        <f>IF($B59="","",VLOOKUP($B59,'武将一覧'!$A$7:$O$131,8,0))</f>
      </c>
      <c r="AC59" s="51">
        <f>IF($B59="","",VLOOKUP($B59,'武将一覧'!$A$7:$O$131,9,0))</f>
      </c>
      <c r="AD59" s="51">
        <f>IF($B59="","",VLOOKUP($B59,'武将一覧'!$A$7:$O$131,10,0))</f>
      </c>
      <c r="AE59" s="51">
        <f>IF($B59="","",VLOOKUP($B59,'武将一覧'!$A$7:$O$131,11,0))</f>
      </c>
      <c r="AF59" s="51">
        <f>IF($B59="","",VLOOKUP($B59,'武将一覧'!$A$7:$O$131,12,0))</f>
      </c>
      <c r="AG59" s="52">
        <f>IF($B59="","",VLOOKUP($B59,'武将一覧'!$A$7:$O$131,15,0))</f>
      </c>
    </row>
    <row r="60" spans="1:33" ht="13.5">
      <c r="A60" s="35">
        <v>57</v>
      </c>
      <c r="B60" s="36"/>
      <c r="C60" s="37">
        <v>0</v>
      </c>
      <c r="D60" s="38">
        <v>0</v>
      </c>
      <c r="E60" s="39">
        <v>0</v>
      </c>
      <c r="F60" s="39">
        <v>0</v>
      </c>
      <c r="G60" s="40">
        <v>0</v>
      </c>
      <c r="H60" s="41">
        <f>IF($B60="","",VLOOKUP($B60,'武将一覧'!$A$7:$O$131,2,0))</f>
      </c>
      <c r="I60" s="42">
        <f>IF($B60="","",VLOOKUP($B60,'武将一覧'!$A$7:$O$131,3,0))</f>
      </c>
      <c r="J60" s="43">
        <f>IF($B60="","",VLOOKUP($B60,'武将一覧'!$A$7:$O$131,4,0))</f>
      </c>
      <c r="K60" s="44">
        <f>IF($B60="","",VLOOKUP($B60,'武将一覧'!$A$7:$O$131,5,0))</f>
      </c>
      <c r="L60" s="45">
        <f t="shared" si="0"/>
      </c>
      <c r="M60" s="46">
        <f>IF($B60="","",SUM(((AA60*M$2)*C60)*5)+((AA60*M$2)*F60)+AA60)</f>
      </c>
      <c r="N60" s="47">
        <f t="shared" si="1"/>
      </c>
      <c r="O60" s="47">
        <f t="shared" si="2"/>
      </c>
      <c r="P60" s="47">
        <f t="shared" si="3"/>
      </c>
      <c r="Q60" s="48">
        <f>IF($B60="","",SUM(((AE60*Q$2)*C60)*5)+((AE60*Q$2)*E60)+AE60)</f>
      </c>
      <c r="R60" s="48">
        <f>IF($B60="","",SUM(((AF60*R$2)*C60)*5)+((AF60*R$2)*G60)+AF60)</f>
      </c>
      <c r="S60" s="53">
        <f>IF($B60="","",VLOOKUP($B60,'武将一覧'!$A$7:$O$131,13,0))</f>
      </c>
      <c r="T60" s="49">
        <f>IF($B60="","",VLOOKUP($B60,'武将一覧'!$A$7:$O$131,14,0))</f>
      </c>
      <c r="U60" s="50"/>
      <c r="V60" s="50"/>
      <c r="W60" s="50"/>
      <c r="X60" s="50"/>
      <c r="Y60" s="50"/>
      <c r="Z60" s="51">
        <f>IF($B60="","",VLOOKUP($B60,'武将一覧'!$A$7:$O$131,6,0))</f>
      </c>
      <c r="AA60" s="51">
        <f>IF($B60="","",VLOOKUP($B60,'武将一覧'!$A$7:$O$131,7,0))</f>
      </c>
      <c r="AB60" s="51">
        <f>IF($B60="","",VLOOKUP($B60,'武将一覧'!$A$7:$O$131,8,0))</f>
      </c>
      <c r="AC60" s="51">
        <f>IF($B60="","",VLOOKUP($B60,'武将一覧'!$A$7:$O$131,9,0))</f>
      </c>
      <c r="AD60" s="51">
        <f>IF($B60="","",VLOOKUP($B60,'武将一覧'!$A$7:$O$131,10,0))</f>
      </c>
      <c r="AE60" s="51">
        <f>IF($B60="","",VLOOKUP($B60,'武将一覧'!$A$7:$O$131,11,0))</f>
      </c>
      <c r="AF60" s="51">
        <f>IF($B60="","",VLOOKUP($B60,'武将一覧'!$A$7:$O$131,12,0))</f>
      </c>
      <c r="AG60" s="52">
        <f>IF($B60="","",VLOOKUP($B60,'武将一覧'!$A$7:$O$131,15,0))</f>
      </c>
    </row>
    <row r="61" spans="1:33" ht="13.5">
      <c r="A61" s="35">
        <v>58</v>
      </c>
      <c r="B61" s="36"/>
      <c r="C61" s="37">
        <v>0</v>
      </c>
      <c r="D61" s="38">
        <v>0</v>
      </c>
      <c r="E61" s="39">
        <v>0</v>
      </c>
      <c r="F61" s="39">
        <v>0</v>
      </c>
      <c r="G61" s="40">
        <v>0</v>
      </c>
      <c r="H61" s="41">
        <f>IF($B61="","",VLOOKUP($B61,'武将一覧'!$A$7:$O$131,2,0))</f>
      </c>
      <c r="I61" s="42">
        <f>IF($B61="","",VLOOKUP($B61,'武将一覧'!$A$7:$O$131,3,0))</f>
      </c>
      <c r="J61" s="43">
        <f>IF($B61="","",VLOOKUP($B61,'武将一覧'!$A$7:$O$131,4,0))</f>
      </c>
      <c r="K61" s="44">
        <f>IF($B61="","",VLOOKUP($B61,'武将一覧'!$A$7:$O$131,5,0))</f>
      </c>
      <c r="L61" s="45">
        <f t="shared" si="0"/>
      </c>
      <c r="M61" s="46">
        <f>IF($B61="","",SUM(((AA61*M$2)*C61)*5)+((AA61*M$2)*F61)+AA61)</f>
      </c>
      <c r="N61" s="47">
        <f t="shared" si="1"/>
      </c>
      <c r="O61" s="47">
        <f t="shared" si="2"/>
      </c>
      <c r="P61" s="47">
        <f t="shared" si="3"/>
      </c>
      <c r="Q61" s="48">
        <f>IF($B61="","",SUM(((AE61*Q$2)*C61)*5)+((AE61*Q$2)*E61)+AE61)</f>
      </c>
      <c r="R61" s="48">
        <f>IF($B61="","",SUM(((AF61*R$2)*C61)*5)+((AF61*R$2)*G61)+AF61)</f>
      </c>
      <c r="S61" s="53">
        <f>IF($B61="","",VLOOKUP($B61,'武将一覧'!$A$7:$O$131,13,0))</f>
      </c>
      <c r="T61" s="49">
        <f>IF($B61="","",VLOOKUP($B61,'武将一覧'!$A$7:$O$131,14,0))</f>
      </c>
      <c r="U61" s="50"/>
      <c r="V61" s="50"/>
      <c r="W61" s="50"/>
      <c r="X61" s="50"/>
      <c r="Y61" s="50"/>
      <c r="Z61" s="51">
        <f>IF($B61="","",VLOOKUP($B61,'武将一覧'!$A$7:$O$131,6,0))</f>
      </c>
      <c r="AA61" s="51">
        <f>IF($B61="","",VLOOKUP($B61,'武将一覧'!$A$7:$O$131,7,0))</f>
      </c>
      <c r="AB61" s="51">
        <f>IF($B61="","",VLOOKUP($B61,'武将一覧'!$A$7:$O$131,8,0))</f>
      </c>
      <c r="AC61" s="51">
        <f>IF($B61="","",VLOOKUP($B61,'武将一覧'!$A$7:$O$131,9,0))</f>
      </c>
      <c r="AD61" s="51">
        <f>IF($B61="","",VLOOKUP($B61,'武将一覧'!$A$7:$O$131,10,0))</f>
      </c>
      <c r="AE61" s="51">
        <f>IF($B61="","",VLOOKUP($B61,'武将一覧'!$A$7:$O$131,11,0))</f>
      </c>
      <c r="AF61" s="51">
        <f>IF($B61="","",VLOOKUP($B61,'武将一覧'!$A$7:$O$131,12,0))</f>
      </c>
      <c r="AG61" s="52">
        <f>IF($B61="","",VLOOKUP($B61,'武将一覧'!$A$7:$O$131,15,0))</f>
      </c>
    </row>
    <row r="62" spans="1:33" ht="13.5">
      <c r="A62" s="35">
        <v>59</v>
      </c>
      <c r="B62" s="36"/>
      <c r="C62" s="37">
        <v>0</v>
      </c>
      <c r="D62" s="38">
        <v>0</v>
      </c>
      <c r="E62" s="39">
        <v>0</v>
      </c>
      <c r="F62" s="39">
        <v>0</v>
      </c>
      <c r="G62" s="40">
        <v>0</v>
      </c>
      <c r="H62" s="41">
        <f>IF($B62="","",VLOOKUP($B62,'武将一覧'!$A$7:$O$131,2,0))</f>
      </c>
      <c r="I62" s="42">
        <f>IF($B62="","",VLOOKUP($B62,'武将一覧'!$A$7:$O$131,3,0))</f>
      </c>
      <c r="J62" s="43">
        <f>IF($B62="","",VLOOKUP($B62,'武将一覧'!$A$7:$O$131,4,0))</f>
      </c>
      <c r="K62" s="44">
        <f>IF($B62="","",VLOOKUP($B62,'武将一覧'!$A$7:$O$131,5,0))</f>
      </c>
      <c r="L62" s="45">
        <f t="shared" si="0"/>
      </c>
      <c r="M62" s="46">
        <f>IF($B62="","",SUM(((AA62*M$2)*C62)*5)+((AA62*M$2)*F62)+AA62)</f>
      </c>
      <c r="N62" s="47">
        <f t="shared" si="1"/>
      </c>
      <c r="O62" s="47">
        <f t="shared" si="2"/>
      </c>
      <c r="P62" s="47">
        <f t="shared" si="3"/>
      </c>
      <c r="Q62" s="48">
        <f>IF($B62="","",SUM(((AE62*Q$2)*C62)*5)+((AE62*Q$2)*E62)+AE62)</f>
      </c>
      <c r="R62" s="48">
        <f>IF($B62="","",SUM(((AF62*R$2)*C62)*5)+((AF62*R$2)*G62)+AF62)</f>
      </c>
      <c r="S62" s="53">
        <f>IF($B62="","",VLOOKUP($B62,'武将一覧'!$A$7:$O$131,13,0))</f>
      </c>
      <c r="T62" s="49">
        <f>IF($B62="","",VLOOKUP($B62,'武将一覧'!$A$7:$O$131,14,0))</f>
      </c>
      <c r="U62" s="50"/>
      <c r="V62" s="50"/>
      <c r="W62" s="50"/>
      <c r="X62" s="50"/>
      <c r="Y62" s="50"/>
      <c r="Z62" s="51">
        <f>IF($B62="","",VLOOKUP($B62,'武将一覧'!$A$7:$O$131,6,0))</f>
      </c>
      <c r="AA62" s="51">
        <f>IF($B62="","",VLOOKUP($B62,'武将一覧'!$A$7:$O$131,7,0))</f>
      </c>
      <c r="AB62" s="51">
        <f>IF($B62="","",VLOOKUP($B62,'武将一覧'!$A$7:$O$131,8,0))</f>
      </c>
      <c r="AC62" s="51">
        <f>IF($B62="","",VLOOKUP($B62,'武将一覧'!$A$7:$O$131,9,0))</f>
      </c>
      <c r="AD62" s="51">
        <f>IF($B62="","",VLOOKUP($B62,'武将一覧'!$A$7:$O$131,10,0))</f>
      </c>
      <c r="AE62" s="51">
        <f>IF($B62="","",VLOOKUP($B62,'武将一覧'!$A$7:$O$131,11,0))</f>
      </c>
      <c r="AF62" s="51">
        <f>IF($B62="","",VLOOKUP($B62,'武将一覧'!$A$7:$O$131,12,0))</f>
      </c>
      <c r="AG62" s="52">
        <f>IF($B62="","",VLOOKUP($B62,'武将一覧'!$A$7:$O$131,15,0))</f>
      </c>
    </row>
    <row r="63" spans="1:33" ht="13.5">
      <c r="A63" s="35">
        <v>60</v>
      </c>
      <c r="B63" s="36"/>
      <c r="C63" s="37">
        <v>0</v>
      </c>
      <c r="D63" s="38">
        <v>0</v>
      </c>
      <c r="E63" s="39">
        <v>0</v>
      </c>
      <c r="F63" s="39">
        <v>0</v>
      </c>
      <c r="G63" s="40">
        <v>0</v>
      </c>
      <c r="H63" s="41">
        <f>IF($B63="","",VLOOKUP($B63,'武将一覧'!$A$7:$O$131,2,0))</f>
      </c>
      <c r="I63" s="42">
        <f>IF($B63="","",VLOOKUP($B63,'武将一覧'!$A$7:$O$131,3,0))</f>
      </c>
      <c r="J63" s="43">
        <f>IF($B63="","",VLOOKUP($B63,'武将一覧'!$A$7:$O$131,4,0))</f>
      </c>
      <c r="K63" s="44">
        <f>IF($B63="","",VLOOKUP($B63,'武将一覧'!$A$7:$O$131,5,0))</f>
      </c>
      <c r="L63" s="45">
        <f t="shared" si="0"/>
      </c>
      <c r="M63" s="46">
        <f>IF($B63="","",SUM(((AA63*M$2)*C63)*5)+((AA63*M$2)*F63)+AA63)</f>
      </c>
      <c r="N63" s="47">
        <f t="shared" si="1"/>
      </c>
      <c r="O63" s="47">
        <f t="shared" si="2"/>
      </c>
      <c r="P63" s="47">
        <f t="shared" si="3"/>
      </c>
      <c r="Q63" s="48">
        <f>IF($B63="","",SUM(((AE63*Q$2)*C63)*5)+((AE63*Q$2)*E63)+AE63)</f>
      </c>
      <c r="R63" s="48">
        <f>IF($B63="","",SUM(((AF63*R$2)*C63)*5)+((AF63*R$2)*G63)+AF63)</f>
      </c>
      <c r="S63" s="53">
        <f>IF($B63="","",VLOOKUP($B63,'武将一覧'!$A$7:$O$131,13,0))</f>
      </c>
      <c r="T63" s="49">
        <f>IF($B63="","",VLOOKUP($B63,'武将一覧'!$A$7:$O$131,14,0))</f>
      </c>
      <c r="U63" s="50"/>
      <c r="V63" s="50"/>
      <c r="W63" s="50"/>
      <c r="X63" s="50"/>
      <c r="Y63" s="50"/>
      <c r="Z63" s="51">
        <f>IF($B63="","",VLOOKUP($B63,'武将一覧'!$A$7:$O$131,6,0))</f>
      </c>
      <c r="AA63" s="51">
        <f>IF($B63="","",VLOOKUP($B63,'武将一覧'!$A$7:$O$131,7,0))</f>
      </c>
      <c r="AB63" s="51">
        <f>IF($B63="","",VLOOKUP($B63,'武将一覧'!$A$7:$O$131,8,0))</f>
      </c>
      <c r="AC63" s="51">
        <f>IF($B63="","",VLOOKUP($B63,'武将一覧'!$A$7:$O$131,9,0))</f>
      </c>
      <c r="AD63" s="51">
        <f>IF($B63="","",VLOOKUP($B63,'武将一覧'!$A$7:$O$131,10,0))</f>
      </c>
      <c r="AE63" s="51">
        <f>IF($B63="","",VLOOKUP($B63,'武将一覧'!$A$7:$O$131,11,0))</f>
      </c>
      <c r="AF63" s="51">
        <f>IF($B63="","",VLOOKUP($B63,'武将一覧'!$A$7:$O$131,12,0))</f>
      </c>
      <c r="AG63" s="52">
        <f>IF($B63="","",VLOOKUP($B63,'武将一覧'!$A$7:$O$131,15,0))</f>
      </c>
    </row>
    <row r="64" spans="1:33" ht="13.5">
      <c r="A64" s="35">
        <v>61</v>
      </c>
      <c r="B64" s="36"/>
      <c r="C64" s="37">
        <v>0</v>
      </c>
      <c r="D64" s="38">
        <v>0</v>
      </c>
      <c r="E64" s="39">
        <v>0</v>
      </c>
      <c r="F64" s="39">
        <v>0</v>
      </c>
      <c r="G64" s="40">
        <v>0</v>
      </c>
      <c r="H64" s="41">
        <f>IF($B64="","",VLOOKUP($B64,'武将一覧'!$A$7:$O$131,2,0))</f>
      </c>
      <c r="I64" s="42">
        <f>IF($B64="","",VLOOKUP($B64,'武将一覧'!$A$7:$O$131,3,0))</f>
      </c>
      <c r="J64" s="43">
        <f>IF($B64="","",VLOOKUP($B64,'武将一覧'!$A$7:$O$131,4,0))</f>
      </c>
      <c r="K64" s="44">
        <f>IF($B64="","",VLOOKUP($B64,'武将一覧'!$A$7:$O$131,5,0))</f>
      </c>
      <c r="L64" s="45">
        <f t="shared" si="0"/>
      </c>
      <c r="M64" s="46">
        <f>IF($B64="","",SUM(((AA64*M$2)*C64)*5)+((AA64*M$2)*F64)+AA64)</f>
      </c>
      <c r="N64" s="47">
        <f t="shared" si="1"/>
      </c>
      <c r="O64" s="47">
        <f t="shared" si="2"/>
      </c>
      <c r="P64" s="47">
        <f t="shared" si="3"/>
      </c>
      <c r="Q64" s="48">
        <f>IF($B64="","",SUM(((AE64*Q$2)*C64)*5)+((AE64*Q$2)*E64)+AE64)</f>
      </c>
      <c r="R64" s="48">
        <f>IF($B64="","",SUM(((AF64*R$2)*C64)*5)+((AF64*R$2)*G64)+AF64)</f>
      </c>
      <c r="S64" s="53">
        <f>IF($B64="","",VLOOKUP($B64,'武将一覧'!$A$7:$O$131,13,0))</f>
      </c>
      <c r="T64" s="49">
        <f>IF($B64="","",VLOOKUP($B64,'武将一覧'!$A$7:$O$131,14,0))</f>
      </c>
      <c r="U64" s="50"/>
      <c r="V64" s="50"/>
      <c r="W64" s="50"/>
      <c r="X64" s="50"/>
      <c r="Y64" s="50"/>
      <c r="Z64" s="51">
        <f>IF($B64="","",VLOOKUP($B64,'武将一覧'!$A$7:$O$131,6,0))</f>
      </c>
      <c r="AA64" s="51">
        <f>IF($B64="","",VLOOKUP($B64,'武将一覧'!$A$7:$O$131,7,0))</f>
      </c>
      <c r="AB64" s="51">
        <f>IF($B64="","",VLOOKUP($B64,'武将一覧'!$A$7:$O$131,8,0))</f>
      </c>
      <c r="AC64" s="51">
        <f>IF($B64="","",VLOOKUP($B64,'武将一覧'!$A$7:$O$131,9,0))</f>
      </c>
      <c r="AD64" s="51">
        <f>IF($B64="","",VLOOKUP($B64,'武将一覧'!$A$7:$O$131,10,0))</f>
      </c>
      <c r="AE64" s="51">
        <f>IF($B64="","",VLOOKUP($B64,'武将一覧'!$A$7:$O$131,11,0))</f>
      </c>
      <c r="AF64" s="51">
        <f>IF($B64="","",VLOOKUP($B64,'武将一覧'!$A$7:$O$131,12,0))</f>
      </c>
      <c r="AG64" s="52">
        <f>IF($B64="","",VLOOKUP($B64,'武将一覧'!$A$7:$O$131,15,0))</f>
      </c>
    </row>
    <row r="65" spans="1:33" ht="13.5">
      <c r="A65" s="35">
        <v>62</v>
      </c>
      <c r="B65" s="36"/>
      <c r="C65" s="37">
        <v>0</v>
      </c>
      <c r="D65" s="38">
        <v>0</v>
      </c>
      <c r="E65" s="39">
        <v>0</v>
      </c>
      <c r="F65" s="39">
        <v>0</v>
      </c>
      <c r="G65" s="40">
        <v>0</v>
      </c>
      <c r="H65" s="41">
        <f>IF($B65="","",VLOOKUP($B65,'武将一覧'!$A$7:$O$131,2,0))</f>
      </c>
      <c r="I65" s="42">
        <f>IF($B65="","",VLOOKUP($B65,'武将一覧'!$A$7:$O$131,3,0))</f>
      </c>
      <c r="J65" s="43">
        <f>IF($B65="","",VLOOKUP($B65,'武将一覧'!$A$7:$O$131,4,0))</f>
      </c>
      <c r="K65" s="44">
        <f>IF($B65="","",VLOOKUP($B65,'武将一覧'!$A$7:$O$131,5,0))</f>
      </c>
      <c r="L65" s="45">
        <f t="shared" si="0"/>
      </c>
      <c r="M65" s="46">
        <f>IF($B65="","",SUM(((AA65*M$2)*C65)*5)+((AA65*M$2)*F65)+AA65)</f>
      </c>
      <c r="N65" s="47">
        <f t="shared" si="1"/>
      </c>
      <c r="O65" s="47">
        <f t="shared" si="2"/>
      </c>
      <c r="P65" s="47">
        <f t="shared" si="3"/>
      </c>
      <c r="Q65" s="48">
        <f>IF($B65="","",SUM(((AE65*Q$2)*C65)*5)+((AE65*Q$2)*E65)+AE65)</f>
      </c>
      <c r="R65" s="48">
        <f>IF($B65="","",SUM(((AF65*R$2)*C65)*5)+((AF65*R$2)*G65)+AF65)</f>
      </c>
      <c r="S65" s="53">
        <f>IF($B65="","",VLOOKUP($B65,'武将一覧'!$A$7:$O$131,13,0))</f>
      </c>
      <c r="T65" s="49">
        <f>IF($B65="","",VLOOKUP($B65,'武将一覧'!$A$7:$O$131,14,0))</f>
      </c>
      <c r="U65" s="50"/>
      <c r="V65" s="50"/>
      <c r="W65" s="50"/>
      <c r="X65" s="50"/>
      <c r="Y65" s="50"/>
      <c r="Z65" s="51">
        <f>IF($B65="","",VLOOKUP($B65,'武将一覧'!$A$7:$O$131,6,0))</f>
      </c>
      <c r="AA65" s="51">
        <f>IF($B65="","",VLOOKUP($B65,'武将一覧'!$A$7:$O$131,7,0))</f>
      </c>
      <c r="AB65" s="51">
        <f>IF($B65="","",VLOOKUP($B65,'武将一覧'!$A$7:$O$131,8,0))</f>
      </c>
      <c r="AC65" s="51">
        <f>IF($B65="","",VLOOKUP($B65,'武将一覧'!$A$7:$O$131,9,0))</f>
      </c>
      <c r="AD65" s="51">
        <f>IF($B65="","",VLOOKUP($B65,'武将一覧'!$A$7:$O$131,10,0))</f>
      </c>
      <c r="AE65" s="51">
        <f>IF($B65="","",VLOOKUP($B65,'武将一覧'!$A$7:$O$131,11,0))</f>
      </c>
      <c r="AF65" s="51">
        <f>IF($B65="","",VLOOKUP($B65,'武将一覧'!$A$7:$O$131,12,0))</f>
      </c>
      <c r="AG65" s="52">
        <f>IF($B65="","",VLOOKUP($B65,'武将一覧'!$A$7:$O$131,15,0))</f>
      </c>
    </row>
    <row r="66" spans="1:33" ht="13.5">
      <c r="A66" s="35">
        <v>63</v>
      </c>
      <c r="B66" s="36"/>
      <c r="C66" s="37">
        <v>0</v>
      </c>
      <c r="D66" s="38">
        <v>0</v>
      </c>
      <c r="E66" s="39">
        <v>0</v>
      </c>
      <c r="F66" s="39">
        <v>0</v>
      </c>
      <c r="G66" s="40">
        <v>0</v>
      </c>
      <c r="H66" s="41">
        <f>IF($B66="","",VLOOKUP($B66,'武将一覧'!$A$7:$O$131,2,0))</f>
      </c>
      <c r="I66" s="42">
        <f>IF($B66="","",VLOOKUP($B66,'武将一覧'!$A$7:$O$131,3,0))</f>
      </c>
      <c r="J66" s="43">
        <f>IF($B66="","",VLOOKUP($B66,'武将一覧'!$A$7:$O$131,4,0))</f>
      </c>
      <c r="K66" s="44">
        <f>IF($B66="","",VLOOKUP($B66,'武将一覧'!$A$7:$O$131,5,0))</f>
      </c>
      <c r="L66" s="45">
        <f t="shared" si="0"/>
      </c>
      <c r="M66" s="46">
        <f>IF($B66="","",SUM(((AA66*M$2)*C66)*5)+((AA66*M$2)*F66)+AA66)</f>
      </c>
      <c r="N66" s="47">
        <f t="shared" si="1"/>
      </c>
      <c r="O66" s="47">
        <f t="shared" si="2"/>
      </c>
      <c r="P66" s="47">
        <f t="shared" si="3"/>
      </c>
      <c r="Q66" s="48">
        <f>IF($B66="","",SUM(((AE66*Q$2)*C66)*5)+((AE66*Q$2)*E66)+AE66)</f>
      </c>
      <c r="R66" s="48">
        <f>IF($B66="","",SUM(((AF66*R$2)*C66)*5)+((AF66*R$2)*G66)+AF66)</f>
      </c>
      <c r="S66" s="53">
        <f>IF($B66="","",VLOOKUP($B66,'武将一覧'!$A$7:$O$131,13,0))</f>
      </c>
      <c r="T66" s="49">
        <f>IF($B66="","",VLOOKUP($B66,'武将一覧'!$A$7:$O$131,14,0))</f>
      </c>
      <c r="U66" s="50"/>
      <c r="V66" s="50"/>
      <c r="W66" s="50"/>
      <c r="X66" s="50"/>
      <c r="Y66" s="50"/>
      <c r="Z66" s="51">
        <f>IF($B66="","",VLOOKUP($B66,'武将一覧'!$A$7:$O$131,6,0))</f>
      </c>
      <c r="AA66" s="51">
        <f>IF($B66="","",VLOOKUP($B66,'武将一覧'!$A$7:$O$131,7,0))</f>
      </c>
      <c r="AB66" s="51">
        <f>IF($B66="","",VLOOKUP($B66,'武将一覧'!$A$7:$O$131,8,0))</f>
      </c>
      <c r="AC66" s="51">
        <f>IF($B66="","",VLOOKUP($B66,'武将一覧'!$A$7:$O$131,9,0))</f>
      </c>
      <c r="AD66" s="51">
        <f>IF($B66="","",VLOOKUP($B66,'武将一覧'!$A$7:$O$131,10,0))</f>
      </c>
      <c r="AE66" s="51">
        <f>IF($B66="","",VLOOKUP($B66,'武将一覧'!$A$7:$O$131,11,0))</f>
      </c>
      <c r="AF66" s="51">
        <f>IF($B66="","",VLOOKUP($B66,'武将一覧'!$A$7:$O$131,12,0))</f>
      </c>
      <c r="AG66" s="52">
        <f>IF($B66="","",VLOOKUP($B66,'武将一覧'!$A$7:$O$131,15,0))</f>
      </c>
    </row>
    <row r="67" spans="1:33" ht="13.5">
      <c r="A67" s="35">
        <v>64</v>
      </c>
      <c r="B67" s="36"/>
      <c r="C67" s="37">
        <v>0</v>
      </c>
      <c r="D67" s="38">
        <v>0</v>
      </c>
      <c r="E67" s="39">
        <v>0</v>
      </c>
      <c r="F67" s="39">
        <v>0</v>
      </c>
      <c r="G67" s="40">
        <v>0</v>
      </c>
      <c r="H67" s="41">
        <f>IF($B67="","",VLOOKUP($B67,'武将一覧'!$A$7:$O$131,2,0))</f>
      </c>
      <c r="I67" s="42">
        <f>IF($B67="","",VLOOKUP($B67,'武将一覧'!$A$7:$O$131,3,0))</f>
      </c>
      <c r="J67" s="43">
        <f>IF($B67="","",VLOOKUP($B67,'武将一覧'!$A$7:$O$131,4,0))</f>
      </c>
      <c r="K67" s="44">
        <f>IF($B67="","",VLOOKUP($B67,'武将一覧'!$A$7:$O$131,5,0))</f>
      </c>
      <c r="L67" s="45">
        <f t="shared" si="0"/>
      </c>
      <c r="M67" s="46">
        <f>IF($B67="","",SUM(((AA67*M$2)*C67)*5)+((AA67*M$2)*F67)+AA67)</f>
      </c>
      <c r="N67" s="47">
        <f t="shared" si="1"/>
      </c>
      <c r="O67" s="47">
        <f t="shared" si="2"/>
      </c>
      <c r="P67" s="47">
        <f t="shared" si="3"/>
      </c>
      <c r="Q67" s="48">
        <f>IF($B67="","",SUM(((AE67*Q$2)*C67)*5)+((AE67*Q$2)*E67)+AE67)</f>
      </c>
      <c r="R67" s="48">
        <f>IF($B67="","",SUM(((AF67*R$2)*C67)*5)+((AF67*R$2)*G67)+AF67)</f>
      </c>
      <c r="S67" s="53">
        <f>IF($B67="","",VLOOKUP($B67,'武将一覧'!$A$7:$O$131,13,0))</f>
      </c>
      <c r="T67" s="49">
        <f>IF($B67="","",VLOOKUP($B67,'武将一覧'!$A$7:$O$131,14,0))</f>
      </c>
      <c r="U67" s="50"/>
      <c r="V67" s="50"/>
      <c r="W67" s="50"/>
      <c r="X67" s="50"/>
      <c r="Y67" s="50"/>
      <c r="Z67" s="51">
        <f>IF($B67="","",VLOOKUP($B67,'武将一覧'!$A$7:$O$131,6,0))</f>
      </c>
      <c r="AA67" s="51">
        <f>IF($B67="","",VLOOKUP($B67,'武将一覧'!$A$7:$O$131,7,0))</f>
      </c>
      <c r="AB67" s="51">
        <f>IF($B67="","",VLOOKUP($B67,'武将一覧'!$A$7:$O$131,8,0))</f>
      </c>
      <c r="AC67" s="51">
        <f>IF($B67="","",VLOOKUP($B67,'武将一覧'!$A$7:$O$131,9,0))</f>
      </c>
      <c r="AD67" s="51">
        <f>IF($B67="","",VLOOKUP($B67,'武将一覧'!$A$7:$O$131,10,0))</f>
      </c>
      <c r="AE67" s="51">
        <f>IF($B67="","",VLOOKUP($B67,'武将一覧'!$A$7:$O$131,11,0))</f>
      </c>
      <c r="AF67" s="51">
        <f>IF($B67="","",VLOOKUP($B67,'武将一覧'!$A$7:$O$131,12,0))</f>
      </c>
      <c r="AG67" s="52">
        <f>IF($B67="","",VLOOKUP($B67,'武将一覧'!$A$7:$O$131,15,0))</f>
      </c>
    </row>
    <row r="68" spans="1:33" ht="13.5">
      <c r="A68" s="35">
        <v>65</v>
      </c>
      <c r="B68" s="36"/>
      <c r="C68" s="37">
        <v>0</v>
      </c>
      <c r="D68" s="38">
        <v>0</v>
      </c>
      <c r="E68" s="39">
        <v>0</v>
      </c>
      <c r="F68" s="39">
        <v>0</v>
      </c>
      <c r="G68" s="40">
        <v>0</v>
      </c>
      <c r="H68" s="41">
        <f>IF($B68="","",VLOOKUP($B68,'武将一覧'!$A$7:$O$131,2,0))</f>
      </c>
      <c r="I68" s="42">
        <f>IF($B68="","",VLOOKUP($B68,'武将一覧'!$A$7:$O$131,3,0))</f>
      </c>
      <c r="J68" s="43">
        <f>IF($B68="","",VLOOKUP($B68,'武将一覧'!$A$7:$O$131,4,0))</f>
      </c>
      <c r="K68" s="44">
        <f>IF($B68="","",VLOOKUP($B68,'武将一覧'!$A$7:$O$131,5,0))</f>
      </c>
      <c r="L68" s="45">
        <f t="shared" si="0"/>
      </c>
      <c r="M68" s="46">
        <f>IF($B68="","",SUM(((AA68*M$2)*C68)*5)+((AA68*M$2)*F68)+AA68)</f>
      </c>
      <c r="N68" s="47">
        <f t="shared" si="1"/>
      </c>
      <c r="O68" s="47">
        <f t="shared" si="2"/>
      </c>
      <c r="P68" s="47">
        <f t="shared" si="3"/>
      </c>
      <c r="Q68" s="48">
        <f>IF($B68="","",SUM(((AE68*Q$2)*C68)*5)+((AE68*Q$2)*E68)+AE68)</f>
      </c>
      <c r="R68" s="48">
        <f>IF($B68="","",SUM(((AF68*R$2)*C68)*5)+((AF68*R$2)*G68)+AF68)</f>
      </c>
      <c r="S68" s="53">
        <f>IF($B68="","",VLOOKUP($B68,'武将一覧'!$A$7:$O$131,13,0))</f>
      </c>
      <c r="T68" s="49">
        <f>IF($B68="","",VLOOKUP($B68,'武将一覧'!$A$7:$O$131,14,0))</f>
      </c>
      <c r="U68" s="50"/>
      <c r="V68" s="50"/>
      <c r="W68" s="50"/>
      <c r="X68" s="50"/>
      <c r="Y68" s="50"/>
      <c r="Z68" s="51">
        <f>IF($B68="","",VLOOKUP($B68,'武将一覧'!$A$7:$O$131,6,0))</f>
      </c>
      <c r="AA68" s="51">
        <f>IF($B68="","",VLOOKUP($B68,'武将一覧'!$A$7:$O$131,7,0))</f>
      </c>
      <c r="AB68" s="51">
        <f>IF($B68="","",VLOOKUP($B68,'武将一覧'!$A$7:$O$131,8,0))</f>
      </c>
      <c r="AC68" s="51">
        <f>IF($B68="","",VLOOKUP($B68,'武将一覧'!$A$7:$O$131,9,0))</f>
      </c>
      <c r="AD68" s="51">
        <f>IF($B68="","",VLOOKUP($B68,'武将一覧'!$A$7:$O$131,10,0))</f>
      </c>
      <c r="AE68" s="51">
        <f>IF($B68="","",VLOOKUP($B68,'武将一覧'!$A$7:$O$131,11,0))</f>
      </c>
      <c r="AF68" s="51">
        <f>IF($B68="","",VLOOKUP($B68,'武将一覧'!$A$7:$O$131,12,0))</f>
      </c>
      <c r="AG68" s="52">
        <f>IF($B68="","",VLOOKUP($B68,'武将一覧'!$A$7:$O$131,15,0))</f>
      </c>
    </row>
    <row r="69" spans="1:33" ht="13.5">
      <c r="A69" s="35">
        <v>66</v>
      </c>
      <c r="B69" s="36"/>
      <c r="C69" s="37">
        <v>0</v>
      </c>
      <c r="D69" s="38">
        <v>0</v>
      </c>
      <c r="E69" s="39">
        <v>0</v>
      </c>
      <c r="F69" s="39">
        <v>0</v>
      </c>
      <c r="G69" s="40">
        <v>0</v>
      </c>
      <c r="H69" s="41">
        <f>IF($B69="","",VLOOKUP($B69,'武将一覧'!$A$7:$O$131,2,0))</f>
      </c>
      <c r="I69" s="42">
        <f>IF($B69="","",VLOOKUP($B69,'武将一覧'!$A$7:$O$131,3,0))</f>
      </c>
      <c r="J69" s="43">
        <f>IF($B69="","",VLOOKUP($B69,'武将一覧'!$A$7:$O$131,4,0))</f>
      </c>
      <c r="K69" s="44">
        <f>IF($B69="","",VLOOKUP($B69,'武将一覧'!$A$7:$O$131,5,0))</f>
      </c>
      <c r="L69" s="45">
        <f t="shared" si="0"/>
      </c>
      <c r="M69" s="46">
        <f>IF($B69="","",SUM(((AA69*M$2)*C69)*5)+((AA69*M$2)*F69)+AA69)</f>
      </c>
      <c r="N69" s="47">
        <f t="shared" si="1"/>
      </c>
      <c r="O69" s="47">
        <f t="shared" si="2"/>
      </c>
      <c r="P69" s="47">
        <f t="shared" si="3"/>
      </c>
      <c r="Q69" s="48">
        <f>IF($B69="","",SUM(((AE69*Q$2)*C69)*5)+((AE69*Q$2)*E69)+AE69)</f>
      </c>
      <c r="R69" s="48">
        <f>IF($B69="","",SUM(((AF69*R$2)*C69)*5)+((AF69*R$2)*G69)+AF69)</f>
      </c>
      <c r="S69" s="53">
        <f>IF($B69="","",VLOOKUP($B69,'武将一覧'!$A$7:$O$131,13,0))</f>
      </c>
      <c r="T69" s="49">
        <f>IF($B69="","",VLOOKUP($B69,'武将一覧'!$A$7:$O$131,14,0))</f>
      </c>
      <c r="U69" s="50"/>
      <c r="V69" s="50"/>
      <c r="W69" s="50"/>
      <c r="X69" s="50"/>
      <c r="Y69" s="50"/>
      <c r="Z69" s="51">
        <f>IF($B69="","",VLOOKUP($B69,'武将一覧'!$A$7:$O$131,6,0))</f>
      </c>
      <c r="AA69" s="51">
        <f>IF($B69="","",VLOOKUP($B69,'武将一覧'!$A$7:$O$131,7,0))</f>
      </c>
      <c r="AB69" s="51">
        <f>IF($B69="","",VLOOKUP($B69,'武将一覧'!$A$7:$O$131,8,0))</f>
      </c>
      <c r="AC69" s="51">
        <f>IF($B69="","",VLOOKUP($B69,'武将一覧'!$A$7:$O$131,9,0))</f>
      </c>
      <c r="AD69" s="51">
        <f>IF($B69="","",VLOOKUP($B69,'武将一覧'!$A$7:$O$131,10,0))</f>
      </c>
      <c r="AE69" s="51">
        <f>IF($B69="","",VLOOKUP($B69,'武将一覧'!$A$7:$O$131,11,0))</f>
      </c>
      <c r="AF69" s="51">
        <f>IF($B69="","",VLOOKUP($B69,'武将一覧'!$A$7:$O$131,12,0))</f>
      </c>
      <c r="AG69" s="52">
        <f>IF($B69="","",VLOOKUP($B69,'武将一覧'!$A$7:$O$131,15,0))</f>
      </c>
    </row>
    <row r="70" spans="1:33" ht="13.5">
      <c r="A70" s="35">
        <v>67</v>
      </c>
      <c r="B70" s="36"/>
      <c r="C70" s="37">
        <v>0</v>
      </c>
      <c r="D70" s="38">
        <v>0</v>
      </c>
      <c r="E70" s="39">
        <v>0</v>
      </c>
      <c r="F70" s="39">
        <v>0</v>
      </c>
      <c r="G70" s="40">
        <v>0</v>
      </c>
      <c r="H70" s="41">
        <f>IF($B70="","",VLOOKUP($B70,'武将一覧'!$A$7:$O$131,2,0))</f>
      </c>
      <c r="I70" s="42">
        <f>IF($B70="","",VLOOKUP($B70,'武将一覧'!$A$7:$O$131,3,0))</f>
      </c>
      <c r="J70" s="43">
        <f>IF($B70="","",VLOOKUP($B70,'武将一覧'!$A$7:$O$131,4,0))</f>
      </c>
      <c r="K70" s="44">
        <f>IF($B70="","",VLOOKUP($B70,'武将一覧'!$A$7:$O$131,5,0))</f>
      </c>
      <c r="L70" s="45">
        <f t="shared" si="0"/>
      </c>
      <c r="M70" s="46">
        <f>IF($B70="","",SUM(((AA70*M$2)*C70)*5)+((AA70*M$2)*F70)+AA70)</f>
      </c>
      <c r="N70" s="47">
        <f t="shared" si="1"/>
      </c>
      <c r="O70" s="47">
        <f t="shared" si="2"/>
      </c>
      <c r="P70" s="47">
        <f t="shared" si="3"/>
      </c>
      <c r="Q70" s="48">
        <f>IF($B70="","",SUM(((AE70*Q$2)*C70)*5)+((AE70*Q$2)*E70)+AE70)</f>
      </c>
      <c r="R70" s="48">
        <f>IF($B70="","",SUM(((AF70*R$2)*C70)*5)+((AF70*R$2)*G70)+AF70)</f>
      </c>
      <c r="S70" s="53">
        <f>IF($B70="","",VLOOKUP($B70,'武将一覧'!$A$7:$O$131,13,0))</f>
      </c>
      <c r="T70" s="49">
        <f>IF($B70="","",VLOOKUP($B70,'武将一覧'!$A$7:$O$131,14,0))</f>
      </c>
      <c r="U70" s="50"/>
      <c r="V70" s="50"/>
      <c r="W70" s="50"/>
      <c r="X70" s="50"/>
      <c r="Y70" s="50"/>
      <c r="Z70" s="51">
        <f>IF($B70="","",VLOOKUP($B70,'武将一覧'!$A$7:$O$131,6,0))</f>
      </c>
      <c r="AA70" s="51">
        <f>IF($B70="","",VLOOKUP($B70,'武将一覧'!$A$7:$O$131,7,0))</f>
      </c>
      <c r="AB70" s="51">
        <f>IF($B70="","",VLOOKUP($B70,'武将一覧'!$A$7:$O$131,8,0))</f>
      </c>
      <c r="AC70" s="51">
        <f>IF($B70="","",VLOOKUP($B70,'武将一覧'!$A$7:$O$131,9,0))</f>
      </c>
      <c r="AD70" s="51">
        <f>IF($B70="","",VLOOKUP($B70,'武将一覧'!$A$7:$O$131,10,0))</f>
      </c>
      <c r="AE70" s="51">
        <f>IF($B70="","",VLOOKUP($B70,'武将一覧'!$A$7:$O$131,11,0))</f>
      </c>
      <c r="AF70" s="51">
        <f>IF($B70="","",VLOOKUP($B70,'武将一覧'!$A$7:$O$131,12,0))</f>
      </c>
      <c r="AG70" s="52">
        <f>IF($B70="","",VLOOKUP($B70,'武将一覧'!$A$7:$O$131,15,0))</f>
      </c>
    </row>
    <row r="71" spans="1:33" ht="13.5">
      <c r="A71" s="35">
        <v>68</v>
      </c>
      <c r="B71" s="36"/>
      <c r="C71" s="37">
        <v>0</v>
      </c>
      <c r="D71" s="38">
        <v>0</v>
      </c>
      <c r="E71" s="39">
        <v>0</v>
      </c>
      <c r="F71" s="39">
        <v>0</v>
      </c>
      <c r="G71" s="40">
        <v>0</v>
      </c>
      <c r="H71" s="41">
        <f>IF($B71="","",VLOOKUP($B71,'武将一覧'!$A$7:$O$131,2,0))</f>
      </c>
      <c r="I71" s="42">
        <f>IF($B71="","",VLOOKUP($B71,'武将一覧'!$A$7:$O$131,3,0))</f>
      </c>
      <c r="J71" s="43">
        <f>IF($B71="","",VLOOKUP($B71,'武将一覧'!$A$7:$O$131,4,0))</f>
      </c>
      <c r="K71" s="44">
        <f>IF($B71="","",VLOOKUP($B71,'武将一覧'!$A$7:$O$131,5,0))</f>
      </c>
      <c r="L71" s="45">
        <f t="shared" si="0"/>
      </c>
      <c r="M71" s="46">
        <f>IF($B71="","",SUM(((AA71*M$2)*C71)*5)+((AA71*M$2)*F71)+AA71)</f>
      </c>
      <c r="N71" s="47">
        <f t="shared" si="1"/>
      </c>
      <c r="O71" s="47">
        <f t="shared" si="2"/>
      </c>
      <c r="P71" s="47">
        <f t="shared" si="3"/>
      </c>
      <c r="Q71" s="48">
        <f>IF($B71="","",SUM(((AE71*Q$2)*C71)*5)+((AE71*Q$2)*E71)+AE71)</f>
      </c>
      <c r="R71" s="48">
        <f>IF($B71="","",SUM(((AF71*R$2)*C71)*5)+((AF71*R$2)*G71)+AF71)</f>
      </c>
      <c r="S71" s="53">
        <f>IF($B71="","",VLOOKUP($B71,'武将一覧'!$A$7:$O$131,13,0))</f>
      </c>
      <c r="T71" s="49">
        <f>IF($B71="","",VLOOKUP($B71,'武将一覧'!$A$7:$O$131,14,0))</f>
      </c>
      <c r="U71" s="50"/>
      <c r="V71" s="50"/>
      <c r="W71" s="50"/>
      <c r="X71" s="50"/>
      <c r="Y71" s="50"/>
      <c r="Z71" s="51">
        <f>IF($B71="","",VLOOKUP($B71,'武将一覧'!$A$7:$O$131,6,0))</f>
      </c>
      <c r="AA71" s="51">
        <f>IF($B71="","",VLOOKUP($B71,'武将一覧'!$A$7:$O$131,7,0))</f>
      </c>
      <c r="AB71" s="51">
        <f>IF($B71="","",VLOOKUP($B71,'武将一覧'!$A$7:$O$131,8,0))</f>
      </c>
      <c r="AC71" s="51">
        <f>IF($B71="","",VLOOKUP($B71,'武将一覧'!$A$7:$O$131,9,0))</f>
      </c>
      <c r="AD71" s="51">
        <f>IF($B71="","",VLOOKUP($B71,'武将一覧'!$A$7:$O$131,10,0))</f>
      </c>
      <c r="AE71" s="51">
        <f>IF($B71="","",VLOOKUP($B71,'武将一覧'!$A$7:$O$131,11,0))</f>
      </c>
      <c r="AF71" s="51">
        <f>IF($B71="","",VLOOKUP($B71,'武将一覧'!$A$7:$O$131,12,0))</f>
      </c>
      <c r="AG71" s="52">
        <f>IF($B71="","",VLOOKUP($B71,'武将一覧'!$A$7:$O$131,15,0))</f>
      </c>
    </row>
    <row r="72" spans="1:33" ht="13.5">
      <c r="A72" s="35">
        <v>69</v>
      </c>
      <c r="B72" s="36"/>
      <c r="C72" s="37">
        <v>0</v>
      </c>
      <c r="D72" s="38">
        <v>0</v>
      </c>
      <c r="E72" s="39">
        <v>0</v>
      </c>
      <c r="F72" s="39">
        <v>0</v>
      </c>
      <c r="G72" s="40">
        <v>0</v>
      </c>
      <c r="H72" s="41">
        <f>IF($B72="","",VLOOKUP($B72,'武将一覧'!$A$7:$O$131,2,0))</f>
      </c>
      <c r="I72" s="42">
        <f>IF($B72="","",VLOOKUP($B72,'武将一覧'!$A$7:$O$131,3,0))</f>
      </c>
      <c r="J72" s="43">
        <f>IF($B72="","",VLOOKUP($B72,'武将一覧'!$A$7:$O$131,4,0))</f>
      </c>
      <c r="K72" s="44">
        <f>IF($B72="","",VLOOKUP($B72,'武将一覧'!$A$7:$O$131,5,0))</f>
      </c>
      <c r="L72" s="45">
        <f t="shared" si="0"/>
      </c>
      <c r="M72" s="46">
        <f>IF($B72="","",SUM(((AA72*M$2)*C72)*5)+((AA72*M$2)*F72)+AA72)</f>
      </c>
      <c r="N72" s="47">
        <f t="shared" si="1"/>
      </c>
      <c r="O72" s="47">
        <f t="shared" si="2"/>
      </c>
      <c r="P72" s="47">
        <f t="shared" si="3"/>
      </c>
      <c r="Q72" s="48">
        <f>IF($B72="","",SUM(((AE72*Q$2)*C72)*5)+((AE72*Q$2)*E72)+AE72)</f>
      </c>
      <c r="R72" s="48">
        <f>IF($B72="","",SUM(((AF72*R$2)*C72)*5)+((AF72*R$2)*G72)+AF72)</f>
      </c>
      <c r="S72" s="53">
        <f>IF($B72="","",VLOOKUP($B72,'武将一覧'!$A$7:$O$131,13,0))</f>
      </c>
      <c r="T72" s="49">
        <f>IF($B72="","",VLOOKUP($B72,'武将一覧'!$A$7:$O$131,14,0))</f>
      </c>
      <c r="U72" s="50"/>
      <c r="V72" s="50"/>
      <c r="W72" s="50"/>
      <c r="X72" s="50"/>
      <c r="Y72" s="50"/>
      <c r="Z72" s="51">
        <f>IF($B72="","",VLOOKUP($B72,'武将一覧'!$A$7:$O$131,6,0))</f>
      </c>
      <c r="AA72" s="51">
        <f>IF($B72="","",VLOOKUP($B72,'武将一覧'!$A$7:$O$131,7,0))</f>
      </c>
      <c r="AB72" s="51">
        <f>IF($B72="","",VLOOKUP($B72,'武将一覧'!$A$7:$O$131,8,0))</f>
      </c>
      <c r="AC72" s="51">
        <f>IF($B72="","",VLOOKUP($B72,'武将一覧'!$A$7:$O$131,9,0))</f>
      </c>
      <c r="AD72" s="51">
        <f>IF($B72="","",VLOOKUP($B72,'武将一覧'!$A$7:$O$131,10,0))</f>
      </c>
      <c r="AE72" s="51">
        <f>IF($B72="","",VLOOKUP($B72,'武将一覧'!$A$7:$O$131,11,0))</f>
      </c>
      <c r="AF72" s="51">
        <f>IF($B72="","",VLOOKUP($B72,'武将一覧'!$A$7:$O$131,12,0))</f>
      </c>
      <c r="AG72" s="52">
        <f>IF($B72="","",VLOOKUP($B72,'武将一覧'!$A$7:$O$131,15,0))</f>
      </c>
    </row>
    <row r="73" spans="1:33" ht="13.5">
      <c r="A73" s="35">
        <v>70</v>
      </c>
      <c r="B73" s="36"/>
      <c r="C73" s="37">
        <v>0</v>
      </c>
      <c r="D73" s="38">
        <v>0</v>
      </c>
      <c r="E73" s="39">
        <v>0</v>
      </c>
      <c r="F73" s="39">
        <v>0</v>
      </c>
      <c r="G73" s="40">
        <v>0</v>
      </c>
      <c r="H73" s="41">
        <f>IF($B73="","",VLOOKUP($B73,'武将一覧'!$A$7:$O$131,2,0))</f>
      </c>
      <c r="I73" s="42">
        <f>IF($B73="","",VLOOKUP($B73,'武将一覧'!$A$7:$O$131,3,0))</f>
      </c>
      <c r="J73" s="43">
        <f>IF($B73="","",VLOOKUP($B73,'武将一覧'!$A$7:$O$131,4,0))</f>
      </c>
      <c r="K73" s="44">
        <f>IF($B73="","",VLOOKUP($B73,'武将一覧'!$A$7:$O$131,5,0))</f>
      </c>
      <c r="L73" s="45">
        <f t="shared" si="0"/>
      </c>
      <c r="M73" s="46">
        <f>IF($B73="","",SUM(((AA73*M$2)*C73)*5)+((AA73*M$2)*F73)+AA73)</f>
      </c>
      <c r="N73" s="47">
        <f t="shared" si="1"/>
      </c>
      <c r="O73" s="47">
        <f t="shared" si="2"/>
      </c>
      <c r="P73" s="47">
        <f t="shared" si="3"/>
      </c>
      <c r="Q73" s="48">
        <f>IF($B73="","",SUM(((AE73*Q$2)*C73)*5)+((AE73*Q$2)*E73)+AE73)</f>
      </c>
      <c r="R73" s="48">
        <f>IF($B73="","",SUM(((AF73*R$2)*C73)*5)+((AF73*R$2)*G73)+AF73)</f>
      </c>
      <c r="S73" s="53">
        <f>IF($B73="","",VLOOKUP($B73,'武将一覧'!$A$7:$O$131,13,0))</f>
      </c>
      <c r="T73" s="49">
        <f>IF($B73="","",VLOOKUP($B73,'武将一覧'!$A$7:$O$131,14,0))</f>
      </c>
      <c r="U73" s="50"/>
      <c r="V73" s="50"/>
      <c r="W73" s="50"/>
      <c r="X73" s="50"/>
      <c r="Y73" s="50"/>
      <c r="Z73" s="51">
        <f>IF($B73="","",VLOOKUP($B73,'武将一覧'!$A$7:$O$131,6,0))</f>
      </c>
      <c r="AA73" s="51">
        <f>IF($B73="","",VLOOKUP($B73,'武将一覧'!$A$7:$O$131,7,0))</f>
      </c>
      <c r="AB73" s="51">
        <f>IF($B73="","",VLOOKUP($B73,'武将一覧'!$A$7:$O$131,8,0))</f>
      </c>
      <c r="AC73" s="51">
        <f>IF($B73="","",VLOOKUP($B73,'武将一覧'!$A$7:$O$131,9,0))</f>
      </c>
      <c r="AD73" s="51">
        <f>IF($B73="","",VLOOKUP($B73,'武将一覧'!$A$7:$O$131,10,0))</f>
      </c>
      <c r="AE73" s="51">
        <f>IF($B73="","",VLOOKUP($B73,'武将一覧'!$A$7:$O$131,11,0))</f>
      </c>
      <c r="AF73" s="51">
        <f>IF($B73="","",VLOOKUP($B73,'武将一覧'!$A$7:$O$131,12,0))</f>
      </c>
      <c r="AG73" s="52">
        <f>IF($B73="","",VLOOKUP($B73,'武将一覧'!$A$7:$O$131,15,0))</f>
      </c>
    </row>
    <row r="74" spans="1:33" ht="13.5">
      <c r="A74" s="35">
        <v>71</v>
      </c>
      <c r="B74" s="36"/>
      <c r="C74" s="37">
        <v>0</v>
      </c>
      <c r="D74" s="38">
        <v>0</v>
      </c>
      <c r="E74" s="39">
        <v>0</v>
      </c>
      <c r="F74" s="39">
        <v>0</v>
      </c>
      <c r="G74" s="40">
        <v>0</v>
      </c>
      <c r="H74" s="41">
        <f>IF($B74="","",VLOOKUP($B74,'武将一覧'!$A$7:$O$131,2,0))</f>
      </c>
      <c r="I74" s="42">
        <f>IF($B74="","",VLOOKUP($B74,'武将一覧'!$A$7:$O$131,3,0))</f>
      </c>
      <c r="J74" s="43">
        <f>IF($B74="","",VLOOKUP($B74,'武将一覧'!$A$7:$O$131,4,0))</f>
      </c>
      <c r="K74" s="44">
        <f>IF($B74="","",VLOOKUP($B74,'武将一覧'!$A$7:$O$131,5,0))</f>
      </c>
      <c r="L74" s="45">
        <f t="shared" si="0"/>
      </c>
      <c r="M74" s="46">
        <f>IF($B74="","",SUM(((AA74*M$2)*C74)*5)+((AA74*M$2)*F74)+AA74)</f>
      </c>
      <c r="N74" s="47">
        <f t="shared" si="1"/>
      </c>
      <c r="O74" s="47">
        <f t="shared" si="2"/>
      </c>
      <c r="P74" s="47">
        <f t="shared" si="3"/>
      </c>
      <c r="Q74" s="48">
        <f>IF($B74="","",SUM(((AE74*Q$2)*C74)*5)+((AE74*Q$2)*E74)+AE74)</f>
      </c>
      <c r="R74" s="48">
        <f>IF($B74="","",SUM(((AF74*R$2)*C74)*5)+((AF74*R$2)*G74)+AF74)</f>
      </c>
      <c r="S74" s="53">
        <f>IF($B74="","",VLOOKUP($B74,'武将一覧'!$A$7:$O$131,13,0))</f>
      </c>
      <c r="T74" s="49">
        <f>IF($B74="","",VLOOKUP($B74,'武将一覧'!$A$7:$O$131,14,0))</f>
      </c>
      <c r="U74" s="50"/>
      <c r="V74" s="50"/>
      <c r="W74" s="50"/>
      <c r="X74" s="50"/>
      <c r="Y74" s="50"/>
      <c r="Z74" s="51">
        <f>IF($B74="","",VLOOKUP($B74,'武将一覧'!$A$7:$O$131,6,0))</f>
      </c>
      <c r="AA74" s="51">
        <f>IF($B74="","",VLOOKUP($B74,'武将一覧'!$A$7:$O$131,7,0))</f>
      </c>
      <c r="AB74" s="51">
        <f>IF($B74="","",VLOOKUP($B74,'武将一覧'!$A$7:$O$131,8,0))</f>
      </c>
      <c r="AC74" s="51">
        <f>IF($B74="","",VLOOKUP($B74,'武将一覧'!$A$7:$O$131,9,0))</f>
      </c>
      <c r="AD74" s="51">
        <f>IF($B74="","",VLOOKUP($B74,'武将一覧'!$A$7:$O$131,10,0))</f>
      </c>
      <c r="AE74" s="51">
        <f>IF($B74="","",VLOOKUP($B74,'武将一覧'!$A$7:$O$131,11,0))</f>
      </c>
      <c r="AF74" s="51">
        <f>IF($B74="","",VLOOKUP($B74,'武将一覧'!$A$7:$O$131,12,0))</f>
      </c>
      <c r="AG74" s="52">
        <f>IF($B74="","",VLOOKUP($B74,'武将一覧'!$A$7:$O$131,15,0))</f>
      </c>
    </row>
    <row r="75" spans="1:33" ht="13.5">
      <c r="A75" s="35">
        <v>72</v>
      </c>
      <c r="B75" s="36"/>
      <c r="C75" s="37">
        <v>0</v>
      </c>
      <c r="D75" s="38">
        <v>0</v>
      </c>
      <c r="E75" s="39">
        <v>0</v>
      </c>
      <c r="F75" s="39">
        <v>0</v>
      </c>
      <c r="G75" s="40">
        <v>0</v>
      </c>
      <c r="H75" s="41">
        <f>IF($B75="","",VLOOKUP($B75,'武将一覧'!$A$7:$O$131,2,0))</f>
      </c>
      <c r="I75" s="42">
        <f>IF($B75="","",VLOOKUP($B75,'武将一覧'!$A$7:$O$131,3,0))</f>
      </c>
      <c r="J75" s="43">
        <f>IF($B75="","",VLOOKUP($B75,'武将一覧'!$A$7:$O$131,4,0))</f>
      </c>
      <c r="K75" s="44">
        <f>IF($B75="","",VLOOKUP($B75,'武将一覧'!$A$7:$O$131,5,0))</f>
      </c>
      <c r="L75" s="45">
        <f t="shared" si="0"/>
      </c>
      <c r="M75" s="46">
        <f>IF($B75="","",SUM(((AA75*M$2)*C75)*5)+((AA75*M$2)*F75)+AA75)</f>
      </c>
      <c r="N75" s="47">
        <f t="shared" si="1"/>
      </c>
      <c r="O75" s="47">
        <f t="shared" si="2"/>
      </c>
      <c r="P75" s="47">
        <f t="shared" si="3"/>
      </c>
      <c r="Q75" s="48">
        <f>IF($B75="","",SUM(((AE75*Q$2)*C75)*5)+((AE75*Q$2)*E75)+AE75)</f>
      </c>
      <c r="R75" s="48">
        <f>IF($B75="","",SUM(((AF75*R$2)*C75)*5)+((AF75*R$2)*G75)+AF75)</f>
      </c>
      <c r="S75" s="53">
        <f>IF($B75="","",VLOOKUP($B75,'武将一覧'!$A$7:$O$131,13,0))</f>
      </c>
      <c r="T75" s="49">
        <f>IF($B75="","",VLOOKUP($B75,'武将一覧'!$A$7:$O$131,14,0))</f>
      </c>
      <c r="U75" s="50"/>
      <c r="V75" s="50"/>
      <c r="W75" s="50"/>
      <c r="X75" s="50"/>
      <c r="Y75" s="50"/>
      <c r="Z75" s="51">
        <f>IF($B75="","",VLOOKUP($B75,'武将一覧'!$A$7:$O$131,6,0))</f>
      </c>
      <c r="AA75" s="51">
        <f>IF($B75="","",VLOOKUP($B75,'武将一覧'!$A$7:$O$131,7,0))</f>
      </c>
      <c r="AB75" s="51">
        <f>IF($B75="","",VLOOKUP($B75,'武将一覧'!$A$7:$O$131,8,0))</f>
      </c>
      <c r="AC75" s="51">
        <f>IF($B75="","",VLOOKUP($B75,'武将一覧'!$A$7:$O$131,9,0))</f>
      </c>
      <c r="AD75" s="51">
        <f>IF($B75="","",VLOOKUP($B75,'武将一覧'!$A$7:$O$131,10,0))</f>
      </c>
      <c r="AE75" s="51">
        <f>IF($B75="","",VLOOKUP($B75,'武将一覧'!$A$7:$O$131,11,0))</f>
      </c>
      <c r="AF75" s="51">
        <f>IF($B75="","",VLOOKUP($B75,'武将一覧'!$A$7:$O$131,12,0))</f>
      </c>
      <c r="AG75" s="52">
        <f>IF($B75="","",VLOOKUP($B75,'武将一覧'!$A$7:$O$131,15,0))</f>
      </c>
    </row>
    <row r="76" spans="1:33" ht="13.5">
      <c r="A76" s="35">
        <v>73</v>
      </c>
      <c r="B76" s="36"/>
      <c r="C76" s="37">
        <v>0</v>
      </c>
      <c r="D76" s="38">
        <v>0</v>
      </c>
      <c r="E76" s="39">
        <v>0</v>
      </c>
      <c r="F76" s="39">
        <v>0</v>
      </c>
      <c r="G76" s="40">
        <v>0</v>
      </c>
      <c r="H76" s="41">
        <f>IF($B76="","",VLOOKUP($B76,'武将一覧'!$A$7:$O$131,2,0))</f>
      </c>
      <c r="I76" s="42">
        <f>IF($B76="","",VLOOKUP($B76,'武将一覧'!$A$7:$O$131,3,0))</f>
      </c>
      <c r="J76" s="43">
        <f>IF($B76="","",VLOOKUP($B76,'武将一覧'!$A$7:$O$131,4,0))</f>
      </c>
      <c r="K76" s="44">
        <f>IF($B76="","",VLOOKUP($B76,'武将一覧'!$A$7:$O$131,5,0))</f>
      </c>
      <c r="L76" s="45">
        <f t="shared" si="0"/>
      </c>
      <c r="M76" s="46">
        <f>IF($B76="","",SUM(((AA76*M$2)*C76)*5)+((AA76*M$2)*F76)+AA76)</f>
      </c>
      <c r="N76" s="47">
        <f t="shared" si="1"/>
      </c>
      <c r="O76" s="47">
        <f t="shared" si="2"/>
      </c>
      <c r="P76" s="47">
        <f t="shared" si="3"/>
      </c>
      <c r="Q76" s="48">
        <f>IF($B76="","",SUM(((AE76*Q$2)*C76)*5)+((AE76*Q$2)*E76)+AE76)</f>
      </c>
      <c r="R76" s="48">
        <f>IF($B76="","",SUM(((AF76*R$2)*C76)*5)+((AF76*R$2)*G76)+AF76)</f>
      </c>
      <c r="S76" s="53">
        <f>IF($B76="","",VLOOKUP($B76,'武将一覧'!$A$7:$O$131,13,0))</f>
      </c>
      <c r="T76" s="49">
        <f>IF($B76="","",VLOOKUP($B76,'武将一覧'!$A$7:$O$131,14,0))</f>
      </c>
      <c r="U76" s="50"/>
      <c r="V76" s="50"/>
      <c r="W76" s="50"/>
      <c r="X76" s="50"/>
      <c r="Y76" s="50"/>
      <c r="Z76" s="51">
        <f>IF($B76="","",VLOOKUP($B76,'武将一覧'!$A$7:$O$131,6,0))</f>
      </c>
      <c r="AA76" s="51">
        <f>IF($B76="","",VLOOKUP($B76,'武将一覧'!$A$7:$O$131,7,0))</f>
      </c>
      <c r="AB76" s="51">
        <f>IF($B76="","",VLOOKUP($B76,'武将一覧'!$A$7:$O$131,8,0))</f>
      </c>
      <c r="AC76" s="51">
        <f>IF($B76="","",VLOOKUP($B76,'武将一覧'!$A$7:$O$131,9,0))</f>
      </c>
      <c r="AD76" s="51">
        <f>IF($B76="","",VLOOKUP($B76,'武将一覧'!$A$7:$O$131,10,0))</f>
      </c>
      <c r="AE76" s="51">
        <f>IF($B76="","",VLOOKUP($B76,'武将一覧'!$A$7:$O$131,11,0))</f>
      </c>
      <c r="AF76" s="51">
        <f>IF($B76="","",VLOOKUP($B76,'武将一覧'!$A$7:$O$131,12,0))</f>
      </c>
      <c r="AG76" s="52">
        <f>IF($B76="","",VLOOKUP($B76,'武将一覧'!$A$7:$O$131,15,0))</f>
      </c>
    </row>
    <row r="77" spans="1:33" ht="13.5">
      <c r="A77" s="35">
        <v>74</v>
      </c>
      <c r="B77" s="36"/>
      <c r="C77" s="37">
        <v>0</v>
      </c>
      <c r="D77" s="38">
        <v>0</v>
      </c>
      <c r="E77" s="39">
        <v>0</v>
      </c>
      <c r="F77" s="39">
        <v>0</v>
      </c>
      <c r="G77" s="40">
        <v>0</v>
      </c>
      <c r="H77" s="41">
        <f>IF($B77="","",VLOOKUP($B77,'武将一覧'!$A$7:$O$131,2,0))</f>
      </c>
      <c r="I77" s="42">
        <f>IF($B77="","",VLOOKUP($B77,'武将一覧'!$A$7:$O$131,3,0))</f>
      </c>
      <c r="J77" s="43">
        <f>IF($B77="","",VLOOKUP($B77,'武将一覧'!$A$7:$O$131,4,0))</f>
      </c>
      <c r="K77" s="44">
        <f>IF($B77="","",VLOOKUP($B77,'武将一覧'!$A$7:$O$131,5,0))</f>
      </c>
      <c r="L77" s="45">
        <f t="shared" si="0"/>
      </c>
      <c r="M77" s="46">
        <f>IF($B77="","",SUM(((AA77*M$2)*C77)*5)+((AA77*M$2)*F77)+AA77)</f>
      </c>
      <c r="N77" s="47">
        <f t="shared" si="1"/>
      </c>
      <c r="O77" s="47">
        <f t="shared" si="2"/>
      </c>
      <c r="P77" s="47">
        <f t="shared" si="3"/>
      </c>
      <c r="Q77" s="48">
        <f>IF($B77="","",SUM(((AE77*Q$2)*C77)*5)+((AE77*Q$2)*E77)+AE77)</f>
      </c>
      <c r="R77" s="48">
        <f>IF($B77="","",SUM(((AF77*R$2)*C77)*5)+((AF77*R$2)*G77)+AF77)</f>
      </c>
      <c r="S77" s="53">
        <f>IF($B77="","",VLOOKUP($B77,'武将一覧'!$A$7:$O$131,13,0))</f>
      </c>
      <c r="T77" s="49">
        <f>IF($B77="","",VLOOKUP($B77,'武将一覧'!$A$7:$O$131,14,0))</f>
      </c>
      <c r="U77" s="50"/>
      <c r="V77" s="50"/>
      <c r="W77" s="50"/>
      <c r="X77" s="50"/>
      <c r="Y77" s="50"/>
      <c r="Z77" s="51">
        <f>IF($B77="","",VLOOKUP($B77,'武将一覧'!$A$7:$O$131,6,0))</f>
      </c>
      <c r="AA77" s="51">
        <f>IF($B77="","",VLOOKUP($B77,'武将一覧'!$A$7:$O$131,7,0))</f>
      </c>
      <c r="AB77" s="51">
        <f>IF($B77="","",VLOOKUP($B77,'武将一覧'!$A$7:$O$131,8,0))</f>
      </c>
      <c r="AC77" s="51">
        <f>IF($B77="","",VLOOKUP($B77,'武将一覧'!$A$7:$O$131,9,0))</f>
      </c>
      <c r="AD77" s="51">
        <f>IF($B77="","",VLOOKUP($B77,'武将一覧'!$A$7:$O$131,10,0))</f>
      </c>
      <c r="AE77" s="51">
        <f>IF($B77="","",VLOOKUP($B77,'武将一覧'!$A$7:$O$131,11,0))</f>
      </c>
      <c r="AF77" s="51">
        <f>IF($B77="","",VLOOKUP($B77,'武将一覧'!$A$7:$O$131,12,0))</f>
      </c>
      <c r="AG77" s="52">
        <f>IF($B77="","",VLOOKUP($B77,'武将一覧'!$A$7:$O$131,15,0))</f>
      </c>
    </row>
    <row r="78" spans="1:33" ht="13.5">
      <c r="A78" s="35">
        <v>75</v>
      </c>
      <c r="B78" s="36"/>
      <c r="C78" s="37">
        <v>0</v>
      </c>
      <c r="D78" s="38">
        <v>0</v>
      </c>
      <c r="E78" s="39">
        <v>0</v>
      </c>
      <c r="F78" s="39">
        <v>0</v>
      </c>
      <c r="G78" s="40">
        <v>0</v>
      </c>
      <c r="H78" s="41">
        <f>IF($B78="","",VLOOKUP($B78,'武将一覧'!$A$7:$O$131,2,0))</f>
      </c>
      <c r="I78" s="42">
        <f>IF($B78="","",VLOOKUP($B78,'武将一覧'!$A$7:$O$131,3,0))</f>
      </c>
      <c r="J78" s="43">
        <f>IF($B78="","",VLOOKUP($B78,'武将一覧'!$A$7:$O$131,4,0))</f>
      </c>
      <c r="K78" s="44">
        <f>IF($B78="","",VLOOKUP($B78,'武将一覧'!$A$7:$O$131,5,0))</f>
      </c>
      <c r="L78" s="45">
        <f t="shared" si="0"/>
      </c>
      <c r="M78" s="46">
        <f>IF($B78="","",SUM(((AA78*M$2)*C78)*5)+((AA78*M$2)*F78)+AA78)</f>
      </c>
      <c r="N78" s="47">
        <f t="shared" si="1"/>
      </c>
      <c r="O78" s="47">
        <f t="shared" si="2"/>
      </c>
      <c r="P78" s="47">
        <f t="shared" si="3"/>
      </c>
      <c r="Q78" s="48">
        <f>IF($B78="","",SUM(((AE78*Q$2)*C78)*5)+((AE78*Q$2)*E78)+AE78)</f>
      </c>
      <c r="R78" s="48">
        <f>IF($B78="","",SUM(((AF78*R$2)*C78)*5)+((AF78*R$2)*G78)+AF78)</f>
      </c>
      <c r="S78" s="53">
        <f>IF($B78="","",VLOOKUP($B78,'武将一覧'!$A$7:$O$131,13,0))</f>
      </c>
      <c r="T78" s="49">
        <f>IF($B78="","",VLOOKUP($B78,'武将一覧'!$A$7:$O$131,14,0))</f>
      </c>
      <c r="U78" s="50"/>
      <c r="V78" s="50"/>
      <c r="W78" s="50"/>
      <c r="X78" s="50"/>
      <c r="Y78" s="50"/>
      <c r="Z78" s="51">
        <f>IF($B78="","",VLOOKUP($B78,'武将一覧'!$A$7:$O$131,6,0))</f>
      </c>
      <c r="AA78" s="51">
        <f>IF($B78="","",VLOOKUP($B78,'武将一覧'!$A$7:$O$131,7,0))</f>
      </c>
      <c r="AB78" s="51">
        <f>IF($B78="","",VLOOKUP($B78,'武将一覧'!$A$7:$O$131,8,0))</f>
      </c>
      <c r="AC78" s="51">
        <f>IF($B78="","",VLOOKUP($B78,'武将一覧'!$A$7:$O$131,9,0))</f>
      </c>
      <c r="AD78" s="51">
        <f>IF($B78="","",VLOOKUP($B78,'武将一覧'!$A$7:$O$131,10,0))</f>
      </c>
      <c r="AE78" s="51">
        <f>IF($B78="","",VLOOKUP($B78,'武将一覧'!$A$7:$O$131,11,0))</f>
      </c>
      <c r="AF78" s="51">
        <f>IF($B78="","",VLOOKUP($B78,'武将一覧'!$A$7:$O$131,12,0))</f>
      </c>
      <c r="AG78" s="52">
        <f>IF($B78="","",VLOOKUP($B78,'武将一覧'!$A$7:$O$131,15,0))</f>
      </c>
    </row>
    <row r="79" spans="1:33" ht="13.5">
      <c r="A79" s="35">
        <v>76</v>
      </c>
      <c r="B79" s="36"/>
      <c r="C79" s="37">
        <v>0</v>
      </c>
      <c r="D79" s="38">
        <v>0</v>
      </c>
      <c r="E79" s="39">
        <v>0</v>
      </c>
      <c r="F79" s="39">
        <v>0</v>
      </c>
      <c r="G79" s="40">
        <v>0</v>
      </c>
      <c r="H79" s="41">
        <f>IF($B79="","",VLOOKUP($B79,'武将一覧'!$A$7:$O$131,2,0))</f>
      </c>
      <c r="I79" s="42">
        <f>IF($B79="","",VLOOKUP($B79,'武将一覧'!$A$7:$O$131,3,0))</f>
      </c>
      <c r="J79" s="43">
        <f>IF($B79="","",VLOOKUP($B79,'武将一覧'!$A$7:$O$131,4,0))</f>
      </c>
      <c r="K79" s="44">
        <f>IF($B79="","",VLOOKUP($B79,'武将一覧'!$A$7:$O$131,5,0))</f>
      </c>
      <c r="L79" s="45">
        <f t="shared" si="0"/>
      </c>
      <c r="M79" s="46">
        <f>IF($B79="","",SUM(((AA79*M$2)*C79)*5)+((AA79*M$2)*F79)+AA79)</f>
      </c>
      <c r="N79" s="47">
        <f t="shared" si="1"/>
      </c>
      <c r="O79" s="47">
        <f t="shared" si="2"/>
      </c>
      <c r="P79" s="47">
        <f t="shared" si="3"/>
      </c>
      <c r="Q79" s="48">
        <f>IF($B79="","",SUM(((AE79*Q$2)*C79)*5)+((AE79*Q$2)*E79)+AE79)</f>
      </c>
      <c r="R79" s="48">
        <f>IF($B79="","",SUM(((AF79*R$2)*C79)*5)+((AF79*R$2)*G79)+AF79)</f>
      </c>
      <c r="S79" s="53">
        <f>IF($B79="","",VLOOKUP($B79,'武将一覧'!$A$7:$O$131,13,0))</f>
      </c>
      <c r="T79" s="49">
        <f>IF($B79="","",VLOOKUP($B79,'武将一覧'!$A$7:$O$131,14,0))</f>
      </c>
      <c r="U79" s="50"/>
      <c r="V79" s="50"/>
      <c r="W79" s="50"/>
      <c r="X79" s="50"/>
      <c r="Y79" s="50"/>
      <c r="Z79" s="51">
        <f>IF($B79="","",VLOOKUP($B79,'武将一覧'!$A$7:$O$131,6,0))</f>
      </c>
      <c r="AA79" s="51">
        <f>IF($B79="","",VLOOKUP($B79,'武将一覧'!$A$7:$O$131,7,0))</f>
      </c>
      <c r="AB79" s="51">
        <f>IF($B79="","",VLOOKUP($B79,'武将一覧'!$A$7:$O$131,8,0))</f>
      </c>
      <c r="AC79" s="51">
        <f>IF($B79="","",VLOOKUP($B79,'武将一覧'!$A$7:$O$131,9,0))</f>
      </c>
      <c r="AD79" s="51">
        <f>IF($B79="","",VLOOKUP($B79,'武将一覧'!$A$7:$O$131,10,0))</f>
      </c>
      <c r="AE79" s="51">
        <f>IF($B79="","",VLOOKUP($B79,'武将一覧'!$A$7:$O$131,11,0))</f>
      </c>
      <c r="AF79" s="51">
        <f>IF($B79="","",VLOOKUP($B79,'武将一覧'!$A$7:$O$131,12,0))</f>
      </c>
      <c r="AG79" s="52">
        <f>IF($B79="","",VLOOKUP($B79,'武将一覧'!$A$7:$O$131,15,0))</f>
      </c>
    </row>
    <row r="80" spans="1:33" ht="13.5">
      <c r="A80" s="35">
        <v>77</v>
      </c>
      <c r="B80" s="36"/>
      <c r="C80" s="37">
        <v>0</v>
      </c>
      <c r="D80" s="38">
        <v>0</v>
      </c>
      <c r="E80" s="39">
        <v>0</v>
      </c>
      <c r="F80" s="39">
        <v>0</v>
      </c>
      <c r="G80" s="40">
        <v>0</v>
      </c>
      <c r="H80" s="41">
        <f>IF($B80="","",VLOOKUP($B80,'武将一覧'!$A$7:$O$131,2,0))</f>
      </c>
      <c r="I80" s="42">
        <f>IF($B80="","",VLOOKUP($B80,'武将一覧'!$A$7:$O$131,3,0))</f>
      </c>
      <c r="J80" s="43">
        <f>IF($B80="","",VLOOKUP($B80,'武将一覧'!$A$7:$O$131,4,0))</f>
      </c>
      <c r="K80" s="44">
        <f>IF($B80="","",VLOOKUP($B80,'武将一覧'!$A$7:$O$131,5,0))</f>
      </c>
      <c r="L80" s="45">
        <f t="shared" si="0"/>
      </c>
      <c r="M80" s="46">
        <f>IF($B80="","",SUM(((AA80*M$2)*C80)*5)+((AA80*M$2)*F80)+AA80)</f>
      </c>
      <c r="N80" s="47">
        <f t="shared" si="1"/>
      </c>
      <c r="O80" s="47">
        <f t="shared" si="2"/>
      </c>
      <c r="P80" s="47">
        <f t="shared" si="3"/>
      </c>
      <c r="Q80" s="48">
        <f>IF($B80="","",SUM(((AE80*Q$2)*C80)*5)+((AE80*Q$2)*E80)+AE80)</f>
      </c>
      <c r="R80" s="48">
        <f>IF($B80="","",SUM(((AF80*R$2)*C80)*5)+((AF80*R$2)*G80)+AF80)</f>
      </c>
      <c r="S80" s="53">
        <f>IF($B80="","",VLOOKUP($B80,'武将一覧'!$A$7:$O$131,13,0))</f>
      </c>
      <c r="T80" s="49">
        <f>IF($B80="","",VLOOKUP($B80,'武将一覧'!$A$7:$O$131,14,0))</f>
      </c>
      <c r="U80" s="50"/>
      <c r="V80" s="50"/>
      <c r="W80" s="50"/>
      <c r="X80" s="50"/>
      <c r="Y80" s="50"/>
      <c r="Z80" s="51">
        <f>IF($B80="","",VLOOKUP($B80,'武将一覧'!$A$7:$O$131,6,0))</f>
      </c>
      <c r="AA80" s="51">
        <f>IF($B80="","",VLOOKUP($B80,'武将一覧'!$A$7:$O$131,7,0))</f>
      </c>
      <c r="AB80" s="51">
        <f>IF($B80="","",VLOOKUP($B80,'武将一覧'!$A$7:$O$131,8,0))</f>
      </c>
      <c r="AC80" s="51">
        <f>IF($B80="","",VLOOKUP($B80,'武将一覧'!$A$7:$O$131,9,0))</f>
      </c>
      <c r="AD80" s="51">
        <f>IF($B80="","",VLOOKUP($B80,'武将一覧'!$A$7:$O$131,10,0))</f>
      </c>
      <c r="AE80" s="51">
        <f>IF($B80="","",VLOOKUP($B80,'武将一覧'!$A$7:$O$131,11,0))</f>
      </c>
      <c r="AF80" s="51">
        <f>IF($B80="","",VLOOKUP($B80,'武将一覧'!$A$7:$O$131,12,0))</f>
      </c>
      <c r="AG80" s="52">
        <f>IF($B80="","",VLOOKUP($B80,'武将一覧'!$A$7:$O$131,15,0))</f>
      </c>
    </row>
    <row r="81" spans="1:33" ht="13.5">
      <c r="A81" s="35">
        <v>78</v>
      </c>
      <c r="B81" s="36"/>
      <c r="C81" s="37">
        <v>0</v>
      </c>
      <c r="D81" s="38">
        <v>0</v>
      </c>
      <c r="E81" s="39">
        <v>0</v>
      </c>
      <c r="F81" s="39">
        <v>0</v>
      </c>
      <c r="G81" s="40">
        <v>0</v>
      </c>
      <c r="H81" s="41">
        <f>IF($B81="","",VLOOKUP($B81,'武将一覧'!$A$7:$O$131,2,0))</f>
      </c>
      <c r="I81" s="42">
        <f>IF($B81="","",VLOOKUP($B81,'武将一覧'!$A$7:$O$131,3,0))</f>
      </c>
      <c r="J81" s="43">
        <f>IF($B81="","",VLOOKUP($B81,'武将一覧'!$A$7:$O$131,4,0))</f>
      </c>
      <c r="K81" s="44">
        <f>IF($B81="","",VLOOKUP($B81,'武将一覧'!$A$7:$O$131,5,0))</f>
      </c>
      <c r="L81" s="45">
        <f t="shared" si="0"/>
      </c>
      <c r="M81" s="46">
        <f>IF($B81="","",SUM(((AA81*M$2)*C81)*5)+((AA81*M$2)*F81)+AA81)</f>
      </c>
      <c r="N81" s="47">
        <f t="shared" si="1"/>
      </c>
      <c r="O81" s="47">
        <f t="shared" si="2"/>
      </c>
      <c r="P81" s="47">
        <f t="shared" si="3"/>
      </c>
      <c r="Q81" s="48">
        <f>IF($B81="","",SUM(((AE81*Q$2)*C81)*5)+((AE81*Q$2)*E81)+AE81)</f>
      </c>
      <c r="R81" s="48">
        <f>IF($B81="","",SUM(((AF81*R$2)*C81)*5)+((AF81*R$2)*G81)+AF81)</f>
      </c>
      <c r="S81" s="53">
        <f>IF($B81="","",VLOOKUP($B81,'武将一覧'!$A$7:$O$131,13,0))</f>
      </c>
      <c r="T81" s="49">
        <f>IF($B81="","",VLOOKUP($B81,'武将一覧'!$A$7:$O$131,14,0))</f>
      </c>
      <c r="U81" s="50"/>
      <c r="V81" s="50"/>
      <c r="W81" s="50"/>
      <c r="X81" s="50"/>
      <c r="Y81" s="50"/>
      <c r="Z81" s="51">
        <f>IF($B81="","",VLOOKUP($B81,'武将一覧'!$A$7:$O$131,6,0))</f>
      </c>
      <c r="AA81" s="51">
        <f>IF($B81="","",VLOOKUP($B81,'武将一覧'!$A$7:$O$131,7,0))</f>
      </c>
      <c r="AB81" s="51">
        <f>IF($B81="","",VLOOKUP($B81,'武将一覧'!$A$7:$O$131,8,0))</f>
      </c>
      <c r="AC81" s="51">
        <f>IF($B81="","",VLOOKUP($B81,'武将一覧'!$A$7:$O$131,9,0))</f>
      </c>
      <c r="AD81" s="51">
        <f>IF($B81="","",VLOOKUP($B81,'武将一覧'!$A$7:$O$131,10,0))</f>
      </c>
      <c r="AE81" s="51">
        <f>IF($B81="","",VLOOKUP($B81,'武将一覧'!$A$7:$O$131,11,0))</f>
      </c>
      <c r="AF81" s="51">
        <f>IF($B81="","",VLOOKUP($B81,'武将一覧'!$A$7:$O$131,12,0))</f>
      </c>
      <c r="AG81" s="52">
        <f>IF($B81="","",VLOOKUP($B81,'武将一覧'!$A$7:$O$131,15,0))</f>
      </c>
    </row>
    <row r="82" spans="1:33" ht="13.5">
      <c r="A82" s="35">
        <v>79</v>
      </c>
      <c r="B82" s="36"/>
      <c r="C82" s="37">
        <v>0</v>
      </c>
      <c r="D82" s="38">
        <v>0</v>
      </c>
      <c r="E82" s="39">
        <v>0</v>
      </c>
      <c r="F82" s="39">
        <v>0</v>
      </c>
      <c r="G82" s="40">
        <v>0</v>
      </c>
      <c r="H82" s="41">
        <f>IF($B82="","",VLOOKUP($B82,'武将一覧'!$A$7:$O$131,2,0))</f>
      </c>
      <c r="I82" s="42">
        <f>IF($B82="","",VLOOKUP($B82,'武将一覧'!$A$7:$O$131,3,0))</f>
      </c>
      <c r="J82" s="43">
        <f>IF($B82="","",VLOOKUP($B82,'武将一覧'!$A$7:$O$131,4,0))</f>
      </c>
      <c r="K82" s="44">
        <f>IF($B82="","",VLOOKUP($B82,'武将一覧'!$A$7:$O$131,5,0))</f>
      </c>
      <c r="L82" s="45">
        <f t="shared" si="0"/>
      </c>
      <c r="M82" s="46">
        <f>IF($B82="","",SUM(((AA82*M$2)*C82)*5)+((AA82*M$2)*F82)+AA82)</f>
      </c>
      <c r="N82" s="47">
        <f t="shared" si="1"/>
      </c>
      <c r="O82" s="47">
        <f t="shared" si="2"/>
      </c>
      <c r="P82" s="47">
        <f t="shared" si="3"/>
      </c>
      <c r="Q82" s="48">
        <f>IF($B82="","",SUM(((AE82*Q$2)*C82)*5)+((AE82*Q$2)*E82)+AE82)</f>
      </c>
      <c r="R82" s="48">
        <f>IF($B82="","",SUM(((AF82*R$2)*C82)*5)+((AF82*R$2)*G82)+AF82)</f>
      </c>
      <c r="S82" s="53">
        <f>IF($B82="","",VLOOKUP($B82,'武将一覧'!$A$7:$O$131,13,0))</f>
      </c>
      <c r="T82" s="49">
        <f>IF($B82="","",VLOOKUP($B82,'武将一覧'!$A$7:$O$131,14,0))</f>
      </c>
      <c r="U82" s="50"/>
      <c r="V82" s="50"/>
      <c r="W82" s="50"/>
      <c r="X82" s="50"/>
      <c r="Y82" s="50"/>
      <c r="Z82" s="51">
        <f>IF($B82="","",VLOOKUP($B82,'武将一覧'!$A$7:$O$131,6,0))</f>
      </c>
      <c r="AA82" s="51">
        <f>IF($B82="","",VLOOKUP($B82,'武将一覧'!$A$7:$O$131,7,0))</f>
      </c>
      <c r="AB82" s="51">
        <f>IF($B82="","",VLOOKUP($B82,'武将一覧'!$A$7:$O$131,8,0))</f>
      </c>
      <c r="AC82" s="51">
        <f>IF($B82="","",VLOOKUP($B82,'武将一覧'!$A$7:$O$131,9,0))</f>
      </c>
      <c r="AD82" s="51">
        <f>IF($B82="","",VLOOKUP($B82,'武将一覧'!$A$7:$O$131,10,0))</f>
      </c>
      <c r="AE82" s="51">
        <f>IF($B82="","",VLOOKUP($B82,'武将一覧'!$A$7:$O$131,11,0))</f>
      </c>
      <c r="AF82" s="51">
        <f>IF($B82="","",VLOOKUP($B82,'武将一覧'!$A$7:$O$131,12,0))</f>
      </c>
      <c r="AG82" s="52">
        <f>IF($B82="","",VLOOKUP($B82,'武将一覧'!$A$7:$O$131,15,0))</f>
      </c>
    </row>
    <row r="83" spans="1:33" ht="13.5">
      <c r="A83" s="35">
        <v>80</v>
      </c>
      <c r="B83" s="36"/>
      <c r="C83" s="37">
        <v>0</v>
      </c>
      <c r="D83" s="38">
        <v>0</v>
      </c>
      <c r="E83" s="39">
        <v>0</v>
      </c>
      <c r="F83" s="39">
        <v>0</v>
      </c>
      <c r="G83" s="40">
        <v>0</v>
      </c>
      <c r="H83" s="41">
        <f>IF($B83="","",VLOOKUP($B83,'武将一覧'!$A$7:$O$131,2,0))</f>
      </c>
      <c r="I83" s="42">
        <f>IF($B83="","",VLOOKUP($B83,'武将一覧'!$A$7:$O$131,3,0))</f>
      </c>
      <c r="J83" s="43">
        <f>IF($B83="","",VLOOKUP($B83,'武将一覧'!$A$7:$O$131,4,0))</f>
      </c>
      <c r="K83" s="44">
        <f>IF($B83="","",VLOOKUP($B83,'武将一覧'!$A$7:$O$131,5,0))</f>
      </c>
      <c r="L83" s="45">
        <f t="shared" si="0"/>
      </c>
      <c r="M83" s="46">
        <f>IF($B83="","",SUM(((AA83*M$2)*C83)*5)+((AA83*M$2)*F83)+AA83)</f>
      </c>
      <c r="N83" s="47">
        <f t="shared" si="1"/>
      </c>
      <c r="O83" s="47">
        <f t="shared" si="2"/>
      </c>
      <c r="P83" s="47">
        <f t="shared" si="3"/>
      </c>
      <c r="Q83" s="48">
        <f>IF($B83="","",SUM(((AE83*Q$2)*C83)*5)+((AE83*Q$2)*E83)+AE83)</f>
      </c>
      <c r="R83" s="48">
        <f>IF($B83="","",SUM(((AF83*R$2)*C83)*5)+((AF83*R$2)*G83)+AF83)</f>
      </c>
      <c r="S83" s="53">
        <f>IF($B83="","",VLOOKUP($B83,'武将一覧'!$A$7:$O$131,13,0))</f>
      </c>
      <c r="T83" s="49">
        <f>IF($B83="","",VLOOKUP($B83,'武将一覧'!$A$7:$O$131,14,0))</f>
      </c>
      <c r="U83" s="50"/>
      <c r="V83" s="50"/>
      <c r="W83" s="50"/>
      <c r="X83" s="50"/>
      <c r="Y83" s="50"/>
      <c r="Z83" s="51">
        <f>IF($B83="","",VLOOKUP($B83,'武将一覧'!$A$7:$O$131,6,0))</f>
      </c>
      <c r="AA83" s="51">
        <f>IF($B83="","",VLOOKUP($B83,'武将一覧'!$A$7:$O$131,7,0))</f>
      </c>
      <c r="AB83" s="51">
        <f>IF($B83="","",VLOOKUP($B83,'武将一覧'!$A$7:$O$131,8,0))</f>
      </c>
      <c r="AC83" s="51">
        <f>IF($B83="","",VLOOKUP($B83,'武将一覧'!$A$7:$O$131,9,0))</f>
      </c>
      <c r="AD83" s="51">
        <f>IF($B83="","",VLOOKUP($B83,'武将一覧'!$A$7:$O$131,10,0))</f>
      </c>
      <c r="AE83" s="51">
        <f>IF($B83="","",VLOOKUP($B83,'武将一覧'!$A$7:$O$131,11,0))</f>
      </c>
      <c r="AF83" s="51">
        <f>IF($B83="","",VLOOKUP($B83,'武将一覧'!$A$7:$O$131,12,0))</f>
      </c>
      <c r="AG83" s="52">
        <f>IF($B83="","",VLOOKUP($B83,'武将一覧'!$A$7:$O$131,15,0))</f>
      </c>
    </row>
    <row r="84" spans="1:33" ht="13.5">
      <c r="A84" s="35">
        <v>81</v>
      </c>
      <c r="B84" s="36"/>
      <c r="C84" s="37">
        <v>0</v>
      </c>
      <c r="D84" s="38">
        <v>0</v>
      </c>
      <c r="E84" s="39">
        <v>0</v>
      </c>
      <c r="F84" s="39">
        <v>0</v>
      </c>
      <c r="G84" s="40">
        <v>0</v>
      </c>
      <c r="H84" s="41">
        <f>IF($B84="","",VLOOKUP($B84,'武将一覧'!$A$7:$O$131,2,0))</f>
      </c>
      <c r="I84" s="42">
        <f>IF($B84="","",VLOOKUP($B84,'武将一覧'!$A$7:$O$131,3,0))</f>
      </c>
      <c r="J84" s="43">
        <f>IF($B84="","",VLOOKUP($B84,'武将一覧'!$A$7:$O$131,4,0))</f>
      </c>
      <c r="K84" s="44">
        <f>IF($B84="","",VLOOKUP($B84,'武将一覧'!$A$7:$O$131,5,0))</f>
      </c>
      <c r="L84" s="45">
        <f t="shared" si="0"/>
      </c>
      <c r="M84" s="46">
        <f>IF($B84="","",SUM(((AA84*M$2)*C84)*5)+((AA84*M$2)*F84)+AA84)</f>
      </c>
      <c r="N84" s="47">
        <f t="shared" si="1"/>
      </c>
      <c r="O84" s="47">
        <f t="shared" si="2"/>
      </c>
      <c r="P84" s="47">
        <f t="shared" si="3"/>
      </c>
      <c r="Q84" s="48">
        <f>IF($B84="","",SUM(((AE84*Q$2)*C84)*5)+((AE84*Q$2)*E84)+AE84)</f>
      </c>
      <c r="R84" s="48">
        <f>IF($B84="","",SUM(((AF84*R$2)*C84)*5)+((AF84*R$2)*G84)+AF84)</f>
      </c>
      <c r="S84" s="53">
        <f>IF($B84="","",VLOOKUP($B84,'武将一覧'!$A$7:$O$131,13,0))</f>
      </c>
      <c r="T84" s="49">
        <f>IF($B84="","",VLOOKUP($B84,'武将一覧'!$A$7:$O$131,14,0))</f>
      </c>
      <c r="U84" s="50"/>
      <c r="V84" s="50"/>
      <c r="W84" s="50"/>
      <c r="X84" s="50"/>
      <c r="Y84" s="50"/>
      <c r="Z84" s="51">
        <f>IF($B84="","",VLOOKUP($B84,'武将一覧'!$A$7:$O$131,6,0))</f>
      </c>
      <c r="AA84" s="51">
        <f>IF($B84="","",VLOOKUP($B84,'武将一覧'!$A$7:$O$131,7,0))</f>
      </c>
      <c r="AB84" s="51">
        <f>IF($B84="","",VLOOKUP($B84,'武将一覧'!$A$7:$O$131,8,0))</f>
      </c>
      <c r="AC84" s="51">
        <f>IF($B84="","",VLOOKUP($B84,'武将一覧'!$A$7:$O$131,9,0))</f>
      </c>
      <c r="AD84" s="51">
        <f>IF($B84="","",VLOOKUP($B84,'武将一覧'!$A$7:$O$131,10,0))</f>
      </c>
      <c r="AE84" s="51">
        <f>IF($B84="","",VLOOKUP($B84,'武将一覧'!$A$7:$O$131,11,0))</f>
      </c>
      <c r="AF84" s="51">
        <f>IF($B84="","",VLOOKUP($B84,'武将一覧'!$A$7:$O$131,12,0))</f>
      </c>
      <c r="AG84" s="52">
        <f>IF($B84="","",VLOOKUP($B84,'武将一覧'!$A$7:$O$131,15,0))</f>
      </c>
    </row>
    <row r="85" spans="1:33" ht="13.5">
      <c r="A85" s="35">
        <v>82</v>
      </c>
      <c r="B85" s="36"/>
      <c r="C85" s="37">
        <v>0</v>
      </c>
      <c r="D85" s="38">
        <v>0</v>
      </c>
      <c r="E85" s="39">
        <v>0</v>
      </c>
      <c r="F85" s="39">
        <v>0</v>
      </c>
      <c r="G85" s="40">
        <v>0</v>
      </c>
      <c r="H85" s="41">
        <f>IF($B85="","",VLOOKUP($B85,'武将一覧'!$A$7:$O$131,2,0))</f>
      </c>
      <c r="I85" s="42">
        <f>IF($B85="","",VLOOKUP($B85,'武将一覧'!$A$7:$O$131,3,0))</f>
      </c>
      <c r="J85" s="43">
        <f>IF($B85="","",VLOOKUP($B85,'武将一覧'!$A$7:$O$131,4,0))</f>
      </c>
      <c r="K85" s="44">
        <f>IF($B85="","",VLOOKUP($B85,'武将一覧'!$A$7:$O$131,5,0))</f>
      </c>
      <c r="L85" s="45">
        <f t="shared" si="0"/>
      </c>
      <c r="M85" s="46">
        <f>IF($B85="","",SUM(((AA85*M$2)*C85)*5)+((AA85*M$2)*F85)+AA85)</f>
      </c>
      <c r="N85" s="47">
        <f t="shared" si="1"/>
      </c>
      <c r="O85" s="47">
        <f t="shared" si="2"/>
      </c>
      <c r="P85" s="47">
        <f t="shared" si="3"/>
      </c>
      <c r="Q85" s="48">
        <f>IF($B85="","",SUM(((AE85*Q$2)*C85)*5)+((AE85*Q$2)*E85)+AE85)</f>
      </c>
      <c r="R85" s="48">
        <f>IF($B85="","",SUM(((AF85*R$2)*C85)*5)+((AF85*R$2)*G85)+AF85)</f>
      </c>
      <c r="S85" s="53">
        <f>IF($B85="","",VLOOKUP($B85,'武将一覧'!$A$7:$O$131,13,0))</f>
      </c>
      <c r="T85" s="49">
        <f>IF($B85="","",VLOOKUP($B85,'武将一覧'!$A$7:$O$131,14,0))</f>
      </c>
      <c r="U85" s="50"/>
      <c r="V85" s="50"/>
      <c r="W85" s="50"/>
      <c r="X85" s="50"/>
      <c r="Y85" s="50"/>
      <c r="Z85" s="51">
        <f>IF($B85="","",VLOOKUP($B85,'武将一覧'!$A$7:$O$131,6,0))</f>
      </c>
      <c r="AA85" s="51">
        <f>IF($B85="","",VLOOKUP($B85,'武将一覧'!$A$7:$O$131,7,0))</f>
      </c>
      <c r="AB85" s="51">
        <f>IF($B85="","",VLOOKUP($B85,'武将一覧'!$A$7:$O$131,8,0))</f>
      </c>
      <c r="AC85" s="51">
        <f>IF($B85="","",VLOOKUP($B85,'武将一覧'!$A$7:$O$131,9,0))</f>
      </c>
      <c r="AD85" s="51">
        <f>IF($B85="","",VLOOKUP($B85,'武将一覧'!$A$7:$O$131,10,0))</f>
      </c>
      <c r="AE85" s="51">
        <f>IF($B85="","",VLOOKUP($B85,'武将一覧'!$A$7:$O$131,11,0))</f>
      </c>
      <c r="AF85" s="51">
        <f>IF($B85="","",VLOOKUP($B85,'武将一覧'!$A$7:$O$131,12,0))</f>
      </c>
      <c r="AG85" s="52">
        <f>IF($B85="","",VLOOKUP($B85,'武将一覧'!$A$7:$O$131,15,0))</f>
      </c>
    </row>
    <row r="86" spans="1:33" ht="13.5">
      <c r="A86" s="35">
        <v>83</v>
      </c>
      <c r="B86" s="36"/>
      <c r="C86" s="37">
        <v>0</v>
      </c>
      <c r="D86" s="38">
        <v>0</v>
      </c>
      <c r="E86" s="39">
        <v>0</v>
      </c>
      <c r="F86" s="39">
        <v>0</v>
      </c>
      <c r="G86" s="40">
        <v>0</v>
      </c>
      <c r="H86" s="41">
        <f>IF($B86="","",VLOOKUP($B86,'武将一覧'!$A$7:$O$131,2,0))</f>
      </c>
      <c r="I86" s="42">
        <f>IF($B86="","",VLOOKUP($B86,'武将一覧'!$A$7:$O$131,3,0))</f>
      </c>
      <c r="J86" s="43">
        <f>IF($B86="","",VLOOKUP($B86,'武将一覧'!$A$7:$O$131,4,0))</f>
      </c>
      <c r="K86" s="44">
        <f>IF($B86="","",VLOOKUP($B86,'武将一覧'!$A$7:$O$131,5,0))</f>
      </c>
      <c r="L86" s="45">
        <f t="shared" si="0"/>
      </c>
      <c r="M86" s="46">
        <f>IF($B86="","",SUM(((AA86*M$2)*C86)*5)+((AA86*M$2)*F86)+AA86)</f>
      </c>
      <c r="N86" s="47">
        <f t="shared" si="1"/>
      </c>
      <c r="O86" s="47">
        <f t="shared" si="2"/>
      </c>
      <c r="P86" s="47">
        <f t="shared" si="3"/>
      </c>
      <c r="Q86" s="48">
        <f>IF($B86="","",SUM(((AE86*Q$2)*C86)*5)+((AE86*Q$2)*E86)+AE86)</f>
      </c>
      <c r="R86" s="48">
        <f>IF($B86="","",SUM(((AF86*R$2)*C86)*5)+((AF86*R$2)*G86)+AF86)</f>
      </c>
      <c r="S86" s="53">
        <f>IF($B86="","",VLOOKUP($B86,'武将一覧'!$A$7:$O$131,13,0))</f>
      </c>
      <c r="T86" s="49">
        <f>IF($B86="","",VLOOKUP($B86,'武将一覧'!$A$7:$O$131,14,0))</f>
      </c>
      <c r="U86" s="50"/>
      <c r="V86" s="50"/>
      <c r="W86" s="50"/>
      <c r="X86" s="50"/>
      <c r="Y86" s="50"/>
      <c r="Z86" s="51">
        <f>IF($B86="","",VLOOKUP($B86,'武将一覧'!$A$7:$O$131,6,0))</f>
      </c>
      <c r="AA86" s="51">
        <f>IF($B86="","",VLOOKUP($B86,'武将一覧'!$A$7:$O$131,7,0))</f>
      </c>
      <c r="AB86" s="51">
        <f>IF($B86="","",VLOOKUP($B86,'武将一覧'!$A$7:$O$131,8,0))</f>
      </c>
      <c r="AC86" s="51">
        <f>IF($B86="","",VLOOKUP($B86,'武将一覧'!$A$7:$O$131,9,0))</f>
      </c>
      <c r="AD86" s="51">
        <f>IF($B86="","",VLOOKUP($B86,'武将一覧'!$A$7:$O$131,10,0))</f>
      </c>
      <c r="AE86" s="51">
        <f>IF($B86="","",VLOOKUP($B86,'武将一覧'!$A$7:$O$131,11,0))</f>
      </c>
      <c r="AF86" s="51">
        <f>IF($B86="","",VLOOKUP($B86,'武将一覧'!$A$7:$O$131,12,0))</f>
      </c>
      <c r="AG86" s="52">
        <f>IF($B86="","",VLOOKUP($B86,'武将一覧'!$A$7:$O$131,15,0))</f>
      </c>
    </row>
    <row r="87" spans="1:33" ht="13.5">
      <c r="A87" s="35">
        <v>84</v>
      </c>
      <c r="B87" s="36"/>
      <c r="C87" s="37">
        <v>0</v>
      </c>
      <c r="D87" s="38">
        <v>0</v>
      </c>
      <c r="E87" s="39">
        <v>0</v>
      </c>
      <c r="F87" s="39">
        <v>0</v>
      </c>
      <c r="G87" s="40">
        <v>0</v>
      </c>
      <c r="H87" s="41">
        <f>IF($B87="","",VLOOKUP($B87,'武将一覧'!$A$7:$O$131,2,0))</f>
      </c>
      <c r="I87" s="42">
        <f>IF($B87="","",VLOOKUP($B87,'武将一覧'!$A$7:$O$131,3,0))</f>
      </c>
      <c r="J87" s="43">
        <f>IF($B87="","",VLOOKUP($B87,'武将一覧'!$A$7:$O$131,4,0))</f>
      </c>
      <c r="K87" s="44">
        <f>IF($B87="","",VLOOKUP($B87,'武将一覧'!$A$7:$O$131,5,0))</f>
      </c>
      <c r="L87" s="45">
        <f t="shared" si="0"/>
      </c>
      <c r="M87" s="46">
        <f>IF($B87="","",SUM(((AA87*M$2)*C87)*5)+((AA87*M$2)*F87)+AA87)</f>
      </c>
      <c r="N87" s="47">
        <f t="shared" si="1"/>
      </c>
      <c r="O87" s="47">
        <f t="shared" si="2"/>
      </c>
      <c r="P87" s="47">
        <f t="shared" si="3"/>
      </c>
      <c r="Q87" s="48">
        <f>IF($B87="","",SUM(((AE87*Q$2)*C87)*5)+((AE87*Q$2)*E87)+AE87)</f>
      </c>
      <c r="R87" s="48">
        <f>IF($B87="","",SUM(((AF87*R$2)*C87)*5)+((AF87*R$2)*G87)+AF87)</f>
      </c>
      <c r="S87" s="53">
        <f>IF($B87="","",VLOOKUP($B87,'武将一覧'!$A$7:$O$131,13,0))</f>
      </c>
      <c r="T87" s="49">
        <f>IF($B87="","",VLOOKUP($B87,'武将一覧'!$A$7:$O$131,14,0))</f>
      </c>
      <c r="U87" s="50"/>
      <c r="V87" s="50"/>
      <c r="W87" s="50"/>
      <c r="X87" s="50"/>
      <c r="Y87" s="50"/>
      <c r="Z87" s="51">
        <f>IF($B87="","",VLOOKUP($B87,'武将一覧'!$A$7:$O$131,6,0))</f>
      </c>
      <c r="AA87" s="51">
        <f>IF($B87="","",VLOOKUP($B87,'武将一覧'!$A$7:$O$131,7,0))</f>
      </c>
      <c r="AB87" s="51">
        <f>IF($B87="","",VLOOKUP($B87,'武将一覧'!$A$7:$O$131,8,0))</f>
      </c>
      <c r="AC87" s="51">
        <f>IF($B87="","",VLOOKUP($B87,'武将一覧'!$A$7:$O$131,9,0))</f>
      </c>
      <c r="AD87" s="51">
        <f>IF($B87="","",VLOOKUP($B87,'武将一覧'!$A$7:$O$131,10,0))</f>
      </c>
      <c r="AE87" s="51">
        <f>IF($B87="","",VLOOKUP($B87,'武将一覧'!$A$7:$O$131,11,0))</f>
      </c>
      <c r="AF87" s="51">
        <f>IF($B87="","",VLOOKUP($B87,'武将一覧'!$A$7:$O$131,12,0))</f>
      </c>
      <c r="AG87" s="52">
        <f>IF($B87="","",VLOOKUP($B87,'武将一覧'!$A$7:$O$131,15,0))</f>
      </c>
    </row>
    <row r="88" spans="1:33" ht="13.5">
      <c r="A88" s="35">
        <v>85</v>
      </c>
      <c r="B88" s="36"/>
      <c r="C88" s="37">
        <v>0</v>
      </c>
      <c r="D88" s="38">
        <v>0</v>
      </c>
      <c r="E88" s="39">
        <v>0</v>
      </c>
      <c r="F88" s="39">
        <v>0</v>
      </c>
      <c r="G88" s="40">
        <v>0</v>
      </c>
      <c r="H88" s="41">
        <f>IF($B88="","",VLOOKUP($B88,'武将一覧'!$A$7:$O$131,2,0))</f>
      </c>
      <c r="I88" s="42">
        <f>IF($B88="","",VLOOKUP($B88,'武将一覧'!$A$7:$O$131,3,0))</f>
      </c>
      <c r="J88" s="43">
        <f>IF($B88="","",VLOOKUP($B88,'武将一覧'!$A$7:$O$131,4,0))</f>
      </c>
      <c r="K88" s="44">
        <f>IF($B88="","",VLOOKUP($B88,'武将一覧'!$A$7:$O$131,5,0))</f>
      </c>
      <c r="L88" s="45">
        <f t="shared" si="0"/>
      </c>
      <c r="M88" s="46">
        <f>IF($B88="","",SUM(((AA88*M$2)*C88)*5)+((AA88*M$2)*F88)+AA88)</f>
      </c>
      <c r="N88" s="47">
        <f t="shared" si="1"/>
      </c>
      <c r="O88" s="47">
        <f t="shared" si="2"/>
      </c>
      <c r="P88" s="47">
        <f t="shared" si="3"/>
      </c>
      <c r="Q88" s="48">
        <f>IF($B88="","",SUM(((AE88*Q$2)*C88)*5)+((AE88*Q$2)*E88)+AE88)</f>
      </c>
      <c r="R88" s="48">
        <f>IF($B88="","",SUM(((AF88*R$2)*C88)*5)+((AF88*R$2)*G88)+AF88)</f>
      </c>
      <c r="S88" s="53">
        <f>IF($B88="","",VLOOKUP($B88,'武将一覧'!$A$7:$O$131,13,0))</f>
      </c>
      <c r="T88" s="49">
        <f>IF($B88="","",VLOOKUP($B88,'武将一覧'!$A$7:$O$131,14,0))</f>
      </c>
      <c r="U88" s="50"/>
      <c r="V88" s="50"/>
      <c r="W88" s="50"/>
      <c r="X88" s="50"/>
      <c r="Y88" s="50"/>
      <c r="Z88" s="51">
        <f>IF($B88="","",VLOOKUP($B88,'武将一覧'!$A$7:$O$131,6,0))</f>
      </c>
      <c r="AA88" s="51">
        <f>IF($B88="","",VLOOKUP($B88,'武将一覧'!$A$7:$O$131,7,0))</f>
      </c>
      <c r="AB88" s="51">
        <f>IF($B88="","",VLOOKUP($B88,'武将一覧'!$A$7:$O$131,8,0))</f>
      </c>
      <c r="AC88" s="51">
        <f>IF($B88="","",VLOOKUP($B88,'武将一覧'!$A$7:$O$131,9,0))</f>
      </c>
      <c r="AD88" s="51">
        <f>IF($B88="","",VLOOKUP($B88,'武将一覧'!$A$7:$O$131,10,0))</f>
      </c>
      <c r="AE88" s="51">
        <f>IF($B88="","",VLOOKUP($B88,'武将一覧'!$A$7:$O$131,11,0))</f>
      </c>
      <c r="AF88" s="51">
        <f>IF($B88="","",VLOOKUP($B88,'武将一覧'!$A$7:$O$131,12,0))</f>
      </c>
      <c r="AG88" s="52">
        <f>IF($B88="","",VLOOKUP($B88,'武将一覧'!$A$7:$O$131,15,0))</f>
      </c>
    </row>
    <row r="89" spans="1:33" ht="13.5">
      <c r="A89" s="35">
        <v>86</v>
      </c>
      <c r="B89" s="36"/>
      <c r="C89" s="37">
        <v>0</v>
      </c>
      <c r="D89" s="38">
        <v>0</v>
      </c>
      <c r="E89" s="39">
        <v>0</v>
      </c>
      <c r="F89" s="39">
        <v>0</v>
      </c>
      <c r="G89" s="40">
        <v>0</v>
      </c>
      <c r="H89" s="41">
        <f>IF($B89="","",VLOOKUP($B89,'武将一覧'!$A$7:$O$131,2,0))</f>
      </c>
      <c r="I89" s="42">
        <f>IF($B89="","",VLOOKUP($B89,'武将一覧'!$A$7:$O$131,3,0))</f>
      </c>
      <c r="J89" s="43">
        <f>IF($B89="","",VLOOKUP($B89,'武将一覧'!$A$7:$O$131,4,0))</f>
      </c>
      <c r="K89" s="44">
        <f>IF($B89="","",VLOOKUP($B89,'武将一覧'!$A$7:$O$131,5,0))</f>
      </c>
      <c r="L89" s="45">
        <f t="shared" si="0"/>
      </c>
      <c r="M89" s="46">
        <f>IF($B89="","",SUM(((AA89*M$2)*C89)*5)+((AA89*M$2)*F89)+AA89)</f>
      </c>
      <c r="N89" s="47">
        <f t="shared" si="1"/>
      </c>
      <c r="O89" s="47">
        <f t="shared" si="2"/>
      </c>
      <c r="P89" s="47">
        <f t="shared" si="3"/>
      </c>
      <c r="Q89" s="48">
        <f>IF($B89="","",SUM(((AE89*Q$2)*C89)*5)+((AE89*Q$2)*E89)+AE89)</f>
      </c>
      <c r="R89" s="48">
        <f>IF($B89="","",SUM(((AF89*R$2)*C89)*5)+((AF89*R$2)*G89)+AF89)</f>
      </c>
      <c r="S89" s="53">
        <f>IF($B89="","",VLOOKUP($B89,'武将一覧'!$A$7:$O$131,13,0))</f>
      </c>
      <c r="T89" s="49">
        <f>IF($B89="","",VLOOKUP($B89,'武将一覧'!$A$7:$O$131,14,0))</f>
      </c>
      <c r="U89" s="50"/>
      <c r="V89" s="50"/>
      <c r="W89" s="50"/>
      <c r="X89" s="50"/>
      <c r="Y89" s="50"/>
      <c r="Z89" s="51">
        <f>IF($B89="","",VLOOKUP($B89,'武将一覧'!$A$7:$O$131,6,0))</f>
      </c>
      <c r="AA89" s="51">
        <f>IF($B89="","",VLOOKUP($B89,'武将一覧'!$A$7:$O$131,7,0))</f>
      </c>
      <c r="AB89" s="51">
        <f>IF($B89="","",VLOOKUP($B89,'武将一覧'!$A$7:$O$131,8,0))</f>
      </c>
      <c r="AC89" s="51">
        <f>IF($B89="","",VLOOKUP($B89,'武将一覧'!$A$7:$O$131,9,0))</f>
      </c>
      <c r="AD89" s="51">
        <f>IF($B89="","",VLOOKUP($B89,'武将一覧'!$A$7:$O$131,10,0))</f>
      </c>
      <c r="AE89" s="51">
        <f>IF($B89="","",VLOOKUP($B89,'武将一覧'!$A$7:$O$131,11,0))</f>
      </c>
      <c r="AF89" s="51">
        <f>IF($B89="","",VLOOKUP($B89,'武将一覧'!$A$7:$O$131,12,0))</f>
      </c>
      <c r="AG89" s="52">
        <f>IF($B89="","",VLOOKUP($B89,'武将一覧'!$A$7:$O$131,15,0))</f>
      </c>
    </row>
    <row r="90" spans="1:33" ht="13.5">
      <c r="A90" s="35">
        <v>87</v>
      </c>
      <c r="B90" s="36"/>
      <c r="C90" s="37">
        <v>0</v>
      </c>
      <c r="D90" s="38">
        <v>0</v>
      </c>
      <c r="E90" s="39">
        <v>0</v>
      </c>
      <c r="F90" s="39">
        <v>0</v>
      </c>
      <c r="G90" s="40">
        <v>0</v>
      </c>
      <c r="H90" s="41">
        <f>IF($B90="","",VLOOKUP($B90,'武将一覧'!$A$7:$O$131,2,0))</f>
      </c>
      <c r="I90" s="42">
        <f>IF($B90="","",VLOOKUP($B90,'武将一覧'!$A$7:$O$131,3,0))</f>
      </c>
      <c r="J90" s="43">
        <f>IF($B90="","",VLOOKUP($B90,'武将一覧'!$A$7:$O$131,4,0))</f>
      </c>
      <c r="K90" s="44">
        <f>IF($B90="","",VLOOKUP($B90,'武将一覧'!$A$7:$O$131,5,0))</f>
      </c>
      <c r="L90" s="45">
        <f t="shared" si="0"/>
      </c>
      <c r="M90" s="46">
        <f>IF($B90="","",SUM(((AA90*M$2)*C90)*5)+((AA90*M$2)*F90)+AA90)</f>
      </c>
      <c r="N90" s="47">
        <f t="shared" si="1"/>
      </c>
      <c r="O90" s="47">
        <f t="shared" si="2"/>
      </c>
      <c r="P90" s="47">
        <f t="shared" si="3"/>
      </c>
      <c r="Q90" s="48">
        <f>IF($B90="","",SUM(((AE90*Q$2)*C90)*5)+((AE90*Q$2)*E90)+AE90)</f>
      </c>
      <c r="R90" s="48">
        <f>IF($B90="","",SUM(((AF90*R$2)*C90)*5)+((AF90*R$2)*G90)+AF90)</f>
      </c>
      <c r="S90" s="53">
        <f>IF($B90="","",VLOOKUP($B90,'武将一覧'!$A$7:$O$131,13,0))</f>
      </c>
      <c r="T90" s="49">
        <f>IF($B90="","",VLOOKUP($B90,'武将一覧'!$A$7:$O$131,14,0))</f>
      </c>
      <c r="U90" s="50"/>
      <c r="V90" s="50"/>
      <c r="W90" s="50"/>
      <c r="X90" s="50"/>
      <c r="Y90" s="50"/>
      <c r="Z90" s="51">
        <f>IF($B90="","",VLOOKUP($B90,'武将一覧'!$A$7:$O$131,6,0))</f>
      </c>
      <c r="AA90" s="51">
        <f>IF($B90="","",VLOOKUP($B90,'武将一覧'!$A$7:$O$131,7,0))</f>
      </c>
      <c r="AB90" s="51">
        <f>IF($B90="","",VLOOKUP($B90,'武将一覧'!$A$7:$O$131,8,0))</f>
      </c>
      <c r="AC90" s="51">
        <f>IF($B90="","",VLOOKUP($B90,'武将一覧'!$A$7:$O$131,9,0))</f>
      </c>
      <c r="AD90" s="51">
        <f>IF($B90="","",VLOOKUP($B90,'武将一覧'!$A$7:$O$131,10,0))</f>
      </c>
      <c r="AE90" s="51">
        <f>IF($B90="","",VLOOKUP($B90,'武将一覧'!$A$7:$O$131,11,0))</f>
      </c>
      <c r="AF90" s="51">
        <f>IF($B90="","",VLOOKUP($B90,'武将一覧'!$A$7:$O$131,12,0))</f>
      </c>
      <c r="AG90" s="52">
        <f>IF($B90="","",VLOOKUP($B90,'武将一覧'!$A$7:$O$131,15,0))</f>
      </c>
    </row>
    <row r="91" spans="1:33" ht="13.5">
      <c r="A91" s="35">
        <v>88</v>
      </c>
      <c r="B91" s="36"/>
      <c r="C91" s="37">
        <v>0</v>
      </c>
      <c r="D91" s="38">
        <v>0</v>
      </c>
      <c r="E91" s="39">
        <v>0</v>
      </c>
      <c r="F91" s="39">
        <v>0</v>
      </c>
      <c r="G91" s="40">
        <v>0</v>
      </c>
      <c r="H91" s="41">
        <f>IF($B91="","",VLOOKUP($B91,'武将一覧'!$A$7:$O$131,2,0))</f>
      </c>
      <c r="I91" s="42">
        <f>IF($B91="","",VLOOKUP($B91,'武将一覧'!$A$7:$O$131,3,0))</f>
      </c>
      <c r="J91" s="43">
        <f>IF($B91="","",VLOOKUP($B91,'武将一覧'!$A$7:$O$131,4,0))</f>
      </c>
      <c r="K91" s="44">
        <f>IF($B91="","",VLOOKUP($B91,'武将一覧'!$A$7:$O$131,5,0))</f>
      </c>
      <c r="L91" s="45">
        <f t="shared" si="0"/>
      </c>
      <c r="M91" s="46">
        <f>IF($B91="","",SUM(((AA91*M$2)*C91)*5)+((AA91*M$2)*F91)+AA91)</f>
      </c>
      <c r="N91" s="47">
        <f t="shared" si="1"/>
      </c>
      <c r="O91" s="47">
        <f t="shared" si="2"/>
      </c>
      <c r="P91" s="47">
        <f t="shared" si="3"/>
      </c>
      <c r="Q91" s="48">
        <f>IF($B91="","",SUM(((AE91*Q$2)*C91)*5)+((AE91*Q$2)*E91)+AE91)</f>
      </c>
      <c r="R91" s="48">
        <f>IF($B91="","",SUM(((AF91*R$2)*C91)*5)+((AF91*R$2)*G91)+AF91)</f>
      </c>
      <c r="S91" s="53">
        <f>IF($B91="","",VLOOKUP($B91,'武将一覧'!$A$7:$O$131,13,0))</f>
      </c>
      <c r="T91" s="49">
        <f>IF($B91="","",VLOOKUP($B91,'武将一覧'!$A$7:$O$131,14,0))</f>
      </c>
      <c r="U91" s="50"/>
      <c r="V91" s="50"/>
      <c r="W91" s="50"/>
      <c r="X91" s="50"/>
      <c r="Y91" s="50"/>
      <c r="Z91" s="51">
        <f>IF($B91="","",VLOOKUP($B91,'武将一覧'!$A$7:$O$131,6,0))</f>
      </c>
      <c r="AA91" s="51">
        <f>IF($B91="","",VLOOKUP($B91,'武将一覧'!$A$7:$O$131,7,0))</f>
      </c>
      <c r="AB91" s="51">
        <f>IF($B91="","",VLOOKUP($B91,'武将一覧'!$A$7:$O$131,8,0))</f>
      </c>
      <c r="AC91" s="51">
        <f>IF($B91="","",VLOOKUP($B91,'武将一覧'!$A$7:$O$131,9,0))</f>
      </c>
      <c r="AD91" s="51">
        <f>IF($B91="","",VLOOKUP($B91,'武将一覧'!$A$7:$O$131,10,0))</f>
      </c>
      <c r="AE91" s="51">
        <f>IF($B91="","",VLOOKUP($B91,'武将一覧'!$A$7:$O$131,11,0))</f>
      </c>
      <c r="AF91" s="51">
        <f>IF($B91="","",VLOOKUP($B91,'武将一覧'!$A$7:$O$131,12,0))</f>
      </c>
      <c r="AG91" s="52">
        <f>IF($B91="","",VLOOKUP($B91,'武将一覧'!$A$7:$O$131,15,0))</f>
      </c>
    </row>
    <row r="92" spans="1:33" ht="13.5">
      <c r="A92" s="35">
        <v>89</v>
      </c>
      <c r="B92" s="36"/>
      <c r="C92" s="37">
        <v>0</v>
      </c>
      <c r="D92" s="38">
        <v>0</v>
      </c>
      <c r="E92" s="39">
        <v>0</v>
      </c>
      <c r="F92" s="39">
        <v>0</v>
      </c>
      <c r="G92" s="40">
        <v>0</v>
      </c>
      <c r="H92" s="41">
        <f>IF($B92="","",VLOOKUP($B92,'武将一覧'!$A$7:$O$131,2,0))</f>
      </c>
      <c r="I92" s="42">
        <f>IF($B92="","",VLOOKUP($B92,'武将一覧'!$A$7:$O$131,3,0))</f>
      </c>
      <c r="J92" s="43">
        <f>IF($B92="","",VLOOKUP($B92,'武将一覧'!$A$7:$O$131,4,0))</f>
      </c>
      <c r="K92" s="44">
        <f>IF($B92="","",VLOOKUP($B92,'武将一覧'!$A$7:$O$131,5,0))</f>
      </c>
      <c r="L92" s="45">
        <f t="shared" si="0"/>
      </c>
      <c r="M92" s="46">
        <f>IF($B92="","",SUM(((AA92*M$2)*C92)*5)+((AA92*M$2)*F92)+AA92)</f>
      </c>
      <c r="N92" s="47">
        <f t="shared" si="1"/>
      </c>
      <c r="O92" s="47">
        <f t="shared" si="2"/>
      </c>
      <c r="P92" s="47">
        <f t="shared" si="3"/>
      </c>
      <c r="Q92" s="48">
        <f>IF($B92="","",SUM(((AE92*Q$2)*C92)*5)+((AE92*Q$2)*E92)+AE92)</f>
      </c>
      <c r="R92" s="48">
        <f>IF($B92="","",SUM(((AF92*R$2)*C92)*5)+((AF92*R$2)*G92)+AF92)</f>
      </c>
      <c r="S92" s="53">
        <f>IF($B92="","",VLOOKUP($B92,'武将一覧'!$A$7:$O$131,13,0))</f>
      </c>
      <c r="T92" s="49">
        <f>IF($B92="","",VLOOKUP($B92,'武将一覧'!$A$7:$O$131,14,0))</f>
      </c>
      <c r="U92" s="50"/>
      <c r="V92" s="50"/>
      <c r="W92" s="50"/>
      <c r="X92" s="50"/>
      <c r="Y92" s="50"/>
      <c r="Z92" s="51">
        <f>IF($B92="","",VLOOKUP($B92,'武将一覧'!$A$7:$O$131,6,0))</f>
      </c>
      <c r="AA92" s="51">
        <f>IF($B92="","",VLOOKUP($B92,'武将一覧'!$A$7:$O$131,7,0))</f>
      </c>
      <c r="AB92" s="51">
        <f>IF($B92="","",VLOOKUP($B92,'武将一覧'!$A$7:$O$131,8,0))</f>
      </c>
      <c r="AC92" s="51">
        <f>IF($B92="","",VLOOKUP($B92,'武将一覧'!$A$7:$O$131,9,0))</f>
      </c>
      <c r="AD92" s="51">
        <f>IF($B92="","",VLOOKUP($B92,'武将一覧'!$A$7:$O$131,10,0))</f>
      </c>
      <c r="AE92" s="51">
        <f>IF($B92="","",VLOOKUP($B92,'武将一覧'!$A$7:$O$131,11,0))</f>
      </c>
      <c r="AF92" s="51">
        <f>IF($B92="","",VLOOKUP($B92,'武将一覧'!$A$7:$O$131,12,0))</f>
      </c>
      <c r="AG92" s="52">
        <f>IF($B92="","",VLOOKUP($B92,'武将一覧'!$A$7:$O$131,15,0))</f>
      </c>
    </row>
    <row r="93" spans="1:33" ht="13.5">
      <c r="A93" s="35">
        <v>90</v>
      </c>
      <c r="B93" s="36"/>
      <c r="C93" s="37">
        <v>0</v>
      </c>
      <c r="D93" s="38">
        <v>0</v>
      </c>
      <c r="E93" s="39">
        <v>0</v>
      </c>
      <c r="F93" s="39">
        <v>0</v>
      </c>
      <c r="G93" s="40">
        <v>0</v>
      </c>
      <c r="H93" s="41">
        <f>IF($B93="","",VLOOKUP($B93,'武将一覧'!$A$7:$O$131,2,0))</f>
      </c>
      <c r="I93" s="42">
        <f>IF($B93="","",VLOOKUP($B93,'武将一覧'!$A$7:$O$131,3,0))</f>
      </c>
      <c r="J93" s="43">
        <f>IF($B93="","",VLOOKUP($B93,'武将一覧'!$A$7:$O$131,4,0))</f>
      </c>
      <c r="K93" s="44">
        <f>IF($B93="","",VLOOKUP($B93,'武将一覧'!$A$7:$O$131,5,0))</f>
      </c>
      <c r="L93" s="45">
        <f t="shared" si="0"/>
      </c>
      <c r="M93" s="46">
        <f>IF($B93="","",SUM(((AA93*M$2)*C93)*5)+((AA93*M$2)*F93)+AA93)</f>
      </c>
      <c r="N93" s="47">
        <f t="shared" si="1"/>
      </c>
      <c r="O93" s="47">
        <f t="shared" si="2"/>
      </c>
      <c r="P93" s="47">
        <f t="shared" si="3"/>
      </c>
      <c r="Q93" s="48">
        <f>IF($B93="","",SUM(((AE93*Q$2)*C93)*5)+((AE93*Q$2)*E93)+AE93)</f>
      </c>
      <c r="R93" s="48">
        <f>IF($B93="","",SUM(((AF93*R$2)*C93)*5)+((AF93*R$2)*G93)+AF93)</f>
      </c>
      <c r="S93" s="53">
        <f>IF($B93="","",VLOOKUP($B93,'武将一覧'!$A$7:$O$131,13,0))</f>
      </c>
      <c r="T93" s="49">
        <f>IF($B93="","",VLOOKUP($B93,'武将一覧'!$A$7:$O$131,14,0))</f>
      </c>
      <c r="U93" s="50"/>
      <c r="V93" s="50"/>
      <c r="W93" s="50"/>
      <c r="X93" s="50"/>
      <c r="Y93" s="50"/>
      <c r="Z93" s="51">
        <f>IF($B93="","",VLOOKUP($B93,'武将一覧'!$A$7:$O$131,6,0))</f>
      </c>
      <c r="AA93" s="51">
        <f>IF($B93="","",VLOOKUP($B93,'武将一覧'!$A$7:$O$131,7,0))</f>
      </c>
      <c r="AB93" s="51">
        <f>IF($B93="","",VLOOKUP($B93,'武将一覧'!$A$7:$O$131,8,0))</f>
      </c>
      <c r="AC93" s="51">
        <f>IF($B93="","",VLOOKUP($B93,'武将一覧'!$A$7:$O$131,9,0))</f>
      </c>
      <c r="AD93" s="51">
        <f>IF($B93="","",VLOOKUP($B93,'武将一覧'!$A$7:$O$131,10,0))</f>
      </c>
      <c r="AE93" s="51">
        <f>IF($B93="","",VLOOKUP($B93,'武将一覧'!$A$7:$O$131,11,0))</f>
      </c>
      <c r="AF93" s="51">
        <f>IF($B93="","",VLOOKUP($B93,'武将一覧'!$A$7:$O$131,12,0))</f>
      </c>
      <c r="AG93" s="52">
        <f>IF($B93="","",VLOOKUP($B93,'武将一覧'!$A$7:$O$131,15,0))</f>
      </c>
    </row>
    <row r="94" spans="1:33" ht="13.5">
      <c r="A94" s="35">
        <v>91</v>
      </c>
      <c r="B94" s="36"/>
      <c r="C94" s="37">
        <v>0</v>
      </c>
      <c r="D94" s="38">
        <v>0</v>
      </c>
      <c r="E94" s="39">
        <v>0</v>
      </c>
      <c r="F94" s="39">
        <v>0</v>
      </c>
      <c r="G94" s="40">
        <v>0</v>
      </c>
      <c r="H94" s="41">
        <f>IF($B94="","",VLOOKUP($B94,'武将一覧'!$A$7:$O$131,2,0))</f>
      </c>
      <c r="I94" s="42">
        <f>IF($B94="","",VLOOKUP($B94,'武将一覧'!$A$7:$O$131,3,0))</f>
      </c>
      <c r="J94" s="43">
        <f>IF($B94="","",VLOOKUP($B94,'武将一覧'!$A$7:$O$131,4,0))</f>
      </c>
      <c r="K94" s="44">
        <f>IF($B94="","",VLOOKUP($B94,'武将一覧'!$A$7:$O$131,5,0))</f>
      </c>
      <c r="L94" s="45">
        <f t="shared" si="0"/>
      </c>
      <c r="M94" s="46">
        <f>IF($B94="","",SUM(((AA94*M$2)*C94)*5)+((AA94*M$2)*F94)+AA94)</f>
      </c>
      <c r="N94" s="47">
        <f t="shared" si="1"/>
      </c>
      <c r="O94" s="47">
        <f t="shared" si="2"/>
      </c>
      <c r="P94" s="47">
        <f t="shared" si="3"/>
      </c>
      <c r="Q94" s="48">
        <f>IF($B94="","",SUM(((AE94*Q$2)*C94)*5)+((AE94*Q$2)*E94)+AE94)</f>
      </c>
      <c r="R94" s="48">
        <f>IF($B94="","",SUM(((AF94*R$2)*C94)*5)+((AF94*R$2)*G94)+AF94)</f>
      </c>
      <c r="S94" s="53">
        <f>IF($B94="","",VLOOKUP($B94,'武将一覧'!$A$7:$O$131,13,0))</f>
      </c>
      <c r="T94" s="49">
        <f>IF($B94="","",VLOOKUP($B94,'武将一覧'!$A$7:$O$131,14,0))</f>
      </c>
      <c r="U94" s="50"/>
      <c r="V94" s="50"/>
      <c r="W94" s="50"/>
      <c r="X94" s="50"/>
      <c r="Y94" s="50"/>
      <c r="Z94" s="51">
        <f>IF($B94="","",VLOOKUP($B94,'武将一覧'!$A$7:$O$131,6,0))</f>
      </c>
      <c r="AA94" s="51">
        <f>IF($B94="","",VLOOKUP($B94,'武将一覧'!$A$7:$O$131,7,0))</f>
      </c>
      <c r="AB94" s="51">
        <f>IF($B94="","",VLOOKUP($B94,'武将一覧'!$A$7:$O$131,8,0))</f>
      </c>
      <c r="AC94" s="51">
        <f>IF($B94="","",VLOOKUP($B94,'武将一覧'!$A$7:$O$131,9,0))</f>
      </c>
      <c r="AD94" s="51">
        <f>IF($B94="","",VLOOKUP($B94,'武将一覧'!$A$7:$O$131,10,0))</f>
      </c>
      <c r="AE94" s="51">
        <f>IF($B94="","",VLOOKUP($B94,'武将一覧'!$A$7:$O$131,11,0))</f>
      </c>
      <c r="AF94" s="51">
        <f>IF($B94="","",VLOOKUP($B94,'武将一覧'!$A$7:$O$131,12,0))</f>
      </c>
      <c r="AG94" s="52">
        <f>IF($B94="","",VLOOKUP($B94,'武将一覧'!$A$7:$O$131,15,0))</f>
      </c>
    </row>
    <row r="95" spans="1:33" ht="13.5">
      <c r="A95" s="35">
        <v>92</v>
      </c>
      <c r="B95" s="36"/>
      <c r="C95" s="37">
        <v>0</v>
      </c>
      <c r="D95" s="38">
        <v>0</v>
      </c>
      <c r="E95" s="39">
        <v>0</v>
      </c>
      <c r="F95" s="39">
        <v>0</v>
      </c>
      <c r="G95" s="40">
        <v>0</v>
      </c>
      <c r="H95" s="41">
        <f>IF($B95="","",VLOOKUP($B95,'武将一覧'!$A$7:$O$131,2,0))</f>
      </c>
      <c r="I95" s="42">
        <f>IF($B95="","",VLOOKUP($B95,'武将一覧'!$A$7:$O$131,3,0))</f>
      </c>
      <c r="J95" s="43">
        <f>IF($B95="","",VLOOKUP($B95,'武将一覧'!$A$7:$O$131,4,0))</f>
      </c>
      <c r="K95" s="44">
        <f>IF($B95="","",VLOOKUP($B95,'武将一覧'!$A$7:$O$131,5,0))</f>
      </c>
      <c r="L95" s="45">
        <f t="shared" si="0"/>
      </c>
      <c r="M95" s="46">
        <f>IF($B95="","",SUM(((AA95*M$2)*C95)*5)+((AA95*M$2)*F95)+AA95)</f>
      </c>
      <c r="N95" s="47">
        <f t="shared" si="1"/>
      </c>
      <c r="O95" s="47">
        <f t="shared" si="2"/>
      </c>
      <c r="P95" s="47">
        <f t="shared" si="3"/>
      </c>
      <c r="Q95" s="48">
        <f>IF($B95="","",SUM(((AE95*Q$2)*C95)*5)+((AE95*Q$2)*E95)+AE95)</f>
      </c>
      <c r="R95" s="48">
        <f>IF($B95="","",SUM(((AF95*R$2)*C95)*5)+((AF95*R$2)*G95)+AF95)</f>
      </c>
      <c r="S95" s="53">
        <f>IF($B95="","",VLOOKUP($B95,'武将一覧'!$A$7:$O$131,13,0))</f>
      </c>
      <c r="T95" s="49">
        <f>IF($B95="","",VLOOKUP($B95,'武将一覧'!$A$7:$O$131,14,0))</f>
      </c>
      <c r="U95" s="50"/>
      <c r="V95" s="50"/>
      <c r="W95" s="50"/>
      <c r="X95" s="50"/>
      <c r="Y95" s="50"/>
      <c r="Z95" s="51">
        <f>IF($B95="","",VLOOKUP($B95,'武将一覧'!$A$7:$O$131,6,0))</f>
      </c>
      <c r="AA95" s="51">
        <f>IF($B95="","",VLOOKUP($B95,'武将一覧'!$A$7:$O$131,7,0))</f>
      </c>
      <c r="AB95" s="51">
        <f>IF($B95="","",VLOOKUP($B95,'武将一覧'!$A$7:$O$131,8,0))</f>
      </c>
      <c r="AC95" s="51">
        <f>IF($B95="","",VLOOKUP($B95,'武将一覧'!$A$7:$O$131,9,0))</f>
      </c>
      <c r="AD95" s="51">
        <f>IF($B95="","",VLOOKUP($B95,'武将一覧'!$A$7:$O$131,10,0))</f>
      </c>
      <c r="AE95" s="51">
        <f>IF($B95="","",VLOOKUP($B95,'武将一覧'!$A$7:$O$131,11,0))</f>
      </c>
      <c r="AF95" s="51">
        <f>IF($B95="","",VLOOKUP($B95,'武将一覧'!$A$7:$O$131,12,0))</f>
      </c>
      <c r="AG95" s="52">
        <f>IF($B95="","",VLOOKUP($B95,'武将一覧'!$A$7:$O$131,15,0))</f>
      </c>
    </row>
    <row r="96" spans="1:33" ht="13.5">
      <c r="A96" s="35">
        <v>93</v>
      </c>
      <c r="B96" s="36"/>
      <c r="C96" s="37">
        <v>0</v>
      </c>
      <c r="D96" s="38">
        <v>0</v>
      </c>
      <c r="E96" s="39">
        <v>0</v>
      </c>
      <c r="F96" s="39">
        <v>0</v>
      </c>
      <c r="G96" s="40">
        <v>0</v>
      </c>
      <c r="H96" s="41">
        <f>IF($B96="","",VLOOKUP($B96,'武将一覧'!$A$7:$O$131,2,0))</f>
      </c>
      <c r="I96" s="42">
        <f>IF($B96="","",VLOOKUP($B96,'武将一覧'!$A$7:$O$131,3,0))</f>
      </c>
      <c r="J96" s="43">
        <f>IF($B96="","",VLOOKUP($B96,'武将一覧'!$A$7:$O$131,4,0))</f>
      </c>
      <c r="K96" s="44">
        <f>IF($B96="","",VLOOKUP($B96,'武将一覧'!$A$7:$O$131,5,0))</f>
      </c>
      <c r="L96" s="45">
        <f t="shared" si="0"/>
      </c>
      <c r="M96" s="46">
        <f>IF($B96="","",SUM(((AA96*M$2)*C96)*5)+((AA96*M$2)*F96)+AA96)</f>
      </c>
      <c r="N96" s="47">
        <f t="shared" si="1"/>
      </c>
      <c r="O96" s="47">
        <f t="shared" si="2"/>
      </c>
      <c r="P96" s="47">
        <f t="shared" si="3"/>
      </c>
      <c r="Q96" s="48">
        <f>IF($B96="","",SUM(((AE96*Q$2)*C96)*5)+((AE96*Q$2)*E96)+AE96)</f>
      </c>
      <c r="R96" s="48">
        <f>IF($B96="","",SUM(((AF96*R$2)*C96)*5)+((AF96*R$2)*G96)+AF96)</f>
      </c>
      <c r="S96" s="53">
        <f>IF($B96="","",VLOOKUP($B96,'武将一覧'!$A$7:$O$131,13,0))</f>
      </c>
      <c r="T96" s="49">
        <f>IF($B96="","",VLOOKUP($B96,'武将一覧'!$A$7:$O$131,14,0))</f>
      </c>
      <c r="U96" s="50"/>
      <c r="V96" s="50"/>
      <c r="W96" s="50"/>
      <c r="X96" s="50"/>
      <c r="Y96" s="50"/>
      <c r="Z96" s="51">
        <f>IF($B96="","",VLOOKUP($B96,'武将一覧'!$A$7:$O$131,6,0))</f>
      </c>
      <c r="AA96" s="51">
        <f>IF($B96="","",VLOOKUP($B96,'武将一覧'!$A$7:$O$131,7,0))</f>
      </c>
      <c r="AB96" s="51">
        <f>IF($B96="","",VLOOKUP($B96,'武将一覧'!$A$7:$O$131,8,0))</f>
      </c>
      <c r="AC96" s="51">
        <f>IF($B96="","",VLOOKUP($B96,'武将一覧'!$A$7:$O$131,9,0))</f>
      </c>
      <c r="AD96" s="51">
        <f>IF($B96="","",VLOOKUP($B96,'武将一覧'!$A$7:$O$131,10,0))</f>
      </c>
      <c r="AE96" s="51">
        <f>IF($B96="","",VLOOKUP($B96,'武将一覧'!$A$7:$O$131,11,0))</f>
      </c>
      <c r="AF96" s="51">
        <f>IF($B96="","",VLOOKUP($B96,'武将一覧'!$A$7:$O$131,12,0))</f>
      </c>
      <c r="AG96" s="52">
        <f>IF($B96="","",VLOOKUP($B96,'武将一覧'!$A$7:$O$131,15,0))</f>
      </c>
    </row>
    <row r="97" spans="1:33" ht="13.5">
      <c r="A97" s="35">
        <v>94</v>
      </c>
      <c r="B97" s="36"/>
      <c r="C97" s="37">
        <v>0</v>
      </c>
      <c r="D97" s="38">
        <v>0</v>
      </c>
      <c r="E97" s="39">
        <v>0</v>
      </c>
      <c r="F97" s="39">
        <v>0</v>
      </c>
      <c r="G97" s="40">
        <v>0</v>
      </c>
      <c r="H97" s="41">
        <f>IF($B97="","",VLOOKUP($B97,'武将一覧'!$A$7:$O$131,2,0))</f>
      </c>
      <c r="I97" s="42">
        <f>IF($B97="","",VLOOKUP($B97,'武将一覧'!$A$7:$O$131,3,0))</f>
      </c>
      <c r="J97" s="43">
        <f>IF($B97="","",VLOOKUP($B97,'武将一覧'!$A$7:$O$131,4,0))</f>
      </c>
      <c r="K97" s="44">
        <f>IF($B97="","",VLOOKUP($B97,'武将一覧'!$A$7:$O$131,5,0))</f>
      </c>
      <c r="L97" s="45">
        <f t="shared" si="0"/>
      </c>
      <c r="M97" s="46">
        <f>IF($B97="","",SUM(((AA97*M$2)*C97)*5)+((AA97*M$2)*F97)+AA97)</f>
      </c>
      <c r="N97" s="47">
        <f t="shared" si="1"/>
      </c>
      <c r="O97" s="47">
        <f t="shared" si="2"/>
      </c>
      <c r="P97" s="47">
        <f t="shared" si="3"/>
      </c>
      <c r="Q97" s="48">
        <f>IF($B97="","",SUM(((AE97*Q$2)*C97)*5)+((AE97*Q$2)*E97)+AE97)</f>
      </c>
      <c r="R97" s="48">
        <f>IF($B97="","",SUM(((AF97*R$2)*C97)*5)+((AF97*R$2)*G97)+AF97)</f>
      </c>
      <c r="S97" s="53">
        <f>IF($B97="","",VLOOKUP($B97,'武将一覧'!$A$7:$O$131,13,0))</f>
      </c>
      <c r="T97" s="49">
        <f>IF($B97="","",VLOOKUP($B97,'武将一覧'!$A$7:$O$131,14,0))</f>
      </c>
      <c r="U97" s="50"/>
      <c r="V97" s="50"/>
      <c r="W97" s="50"/>
      <c r="X97" s="50"/>
      <c r="Y97" s="50"/>
      <c r="Z97" s="51">
        <f>IF($B97="","",VLOOKUP($B97,'武将一覧'!$A$7:$O$131,6,0))</f>
      </c>
      <c r="AA97" s="51">
        <f>IF($B97="","",VLOOKUP($B97,'武将一覧'!$A$7:$O$131,7,0))</f>
      </c>
      <c r="AB97" s="51">
        <f>IF($B97="","",VLOOKUP($B97,'武将一覧'!$A$7:$O$131,8,0))</f>
      </c>
      <c r="AC97" s="51">
        <f>IF($B97="","",VLOOKUP($B97,'武将一覧'!$A$7:$O$131,9,0))</f>
      </c>
      <c r="AD97" s="51">
        <f>IF($B97="","",VLOOKUP($B97,'武将一覧'!$A$7:$O$131,10,0))</f>
      </c>
      <c r="AE97" s="51">
        <f>IF($B97="","",VLOOKUP($B97,'武将一覧'!$A$7:$O$131,11,0))</f>
      </c>
      <c r="AF97" s="51">
        <f>IF($B97="","",VLOOKUP($B97,'武将一覧'!$A$7:$O$131,12,0))</f>
      </c>
      <c r="AG97" s="52">
        <f>IF($B97="","",VLOOKUP($B97,'武将一覧'!$A$7:$O$131,15,0))</f>
      </c>
    </row>
    <row r="98" spans="1:33" ht="13.5">
      <c r="A98" s="35">
        <v>95</v>
      </c>
      <c r="B98" s="36"/>
      <c r="C98" s="37">
        <v>0</v>
      </c>
      <c r="D98" s="38">
        <v>0</v>
      </c>
      <c r="E98" s="39">
        <v>0</v>
      </c>
      <c r="F98" s="39">
        <v>0</v>
      </c>
      <c r="G98" s="40">
        <v>0</v>
      </c>
      <c r="H98" s="41">
        <f>IF($B98="","",VLOOKUP($B98,'武将一覧'!$A$7:$O$131,2,0))</f>
      </c>
      <c r="I98" s="42">
        <f>IF($B98="","",VLOOKUP($B98,'武将一覧'!$A$7:$O$131,3,0))</f>
      </c>
      <c r="J98" s="43">
        <f>IF($B98="","",VLOOKUP($B98,'武将一覧'!$A$7:$O$131,4,0))</f>
      </c>
      <c r="K98" s="44">
        <f>IF($B98="","",VLOOKUP($B98,'武将一覧'!$A$7:$O$131,5,0))</f>
      </c>
      <c r="L98" s="45">
        <f t="shared" si="0"/>
      </c>
      <c r="M98" s="46">
        <f>IF($B98="","",SUM(((AA98*M$2)*C98)*5)+((AA98*M$2)*F98)+AA98)</f>
      </c>
      <c r="N98" s="47">
        <f t="shared" si="1"/>
      </c>
      <c r="O98" s="47">
        <f t="shared" si="2"/>
      </c>
      <c r="P98" s="47">
        <f t="shared" si="3"/>
      </c>
      <c r="Q98" s="48">
        <f>IF($B98="","",SUM(((AE98*Q$2)*C98)*5)+((AE98*Q$2)*E98)+AE98)</f>
      </c>
      <c r="R98" s="48">
        <f>IF($B98="","",SUM(((AF98*R$2)*C98)*5)+((AF98*R$2)*G98)+AF98)</f>
      </c>
      <c r="S98" s="53">
        <f>IF($B98="","",VLOOKUP($B98,'武将一覧'!$A$7:$O$131,13,0))</f>
      </c>
      <c r="T98" s="49">
        <f>IF($B98="","",VLOOKUP($B98,'武将一覧'!$A$7:$O$131,14,0))</f>
      </c>
      <c r="U98" s="50"/>
      <c r="V98" s="50"/>
      <c r="W98" s="50"/>
      <c r="X98" s="50"/>
      <c r="Y98" s="50"/>
      <c r="Z98" s="51">
        <f>IF($B98="","",VLOOKUP($B98,'武将一覧'!$A$7:$O$131,6,0))</f>
      </c>
      <c r="AA98" s="51">
        <f>IF($B98="","",VLOOKUP($B98,'武将一覧'!$A$7:$O$131,7,0))</f>
      </c>
      <c r="AB98" s="51">
        <f>IF($B98="","",VLOOKUP($B98,'武将一覧'!$A$7:$O$131,8,0))</f>
      </c>
      <c r="AC98" s="51">
        <f>IF($B98="","",VLOOKUP($B98,'武将一覧'!$A$7:$O$131,9,0))</f>
      </c>
      <c r="AD98" s="51">
        <f>IF($B98="","",VLOOKUP($B98,'武将一覧'!$A$7:$O$131,10,0))</f>
      </c>
      <c r="AE98" s="51">
        <f>IF($B98="","",VLOOKUP($B98,'武将一覧'!$A$7:$O$131,11,0))</f>
      </c>
      <c r="AF98" s="51">
        <f>IF($B98="","",VLOOKUP($B98,'武将一覧'!$A$7:$O$131,12,0))</f>
      </c>
      <c r="AG98" s="52">
        <f>IF($B98="","",VLOOKUP($B98,'武将一覧'!$A$7:$O$131,15,0))</f>
      </c>
    </row>
    <row r="99" spans="1:33" ht="13.5">
      <c r="A99" s="35">
        <v>96</v>
      </c>
      <c r="B99" s="36"/>
      <c r="C99" s="37">
        <v>0</v>
      </c>
      <c r="D99" s="38">
        <v>0</v>
      </c>
      <c r="E99" s="39">
        <v>0</v>
      </c>
      <c r="F99" s="39">
        <v>0</v>
      </c>
      <c r="G99" s="40">
        <v>0</v>
      </c>
      <c r="H99" s="41">
        <f>IF($B99="","",VLOOKUP($B99,'武将一覧'!$A$7:$O$131,2,0))</f>
      </c>
      <c r="I99" s="42">
        <f>IF($B99="","",VLOOKUP($B99,'武将一覧'!$A$7:$O$131,3,0))</f>
      </c>
      <c r="J99" s="43">
        <f>IF($B99="","",VLOOKUP($B99,'武将一覧'!$A$7:$O$131,4,0))</f>
      </c>
      <c r="K99" s="44">
        <f>IF($B99="","",VLOOKUP($B99,'武将一覧'!$A$7:$O$131,5,0))</f>
      </c>
      <c r="L99" s="45">
        <f t="shared" si="0"/>
      </c>
      <c r="M99" s="46">
        <f>IF($B99="","",SUM(((AA99*M$2)*C99)*5)+((AA99*M$2)*F99)+AA99)</f>
      </c>
      <c r="N99" s="47">
        <f t="shared" si="1"/>
      </c>
      <c r="O99" s="47">
        <f t="shared" si="2"/>
      </c>
      <c r="P99" s="47">
        <f t="shared" si="3"/>
      </c>
      <c r="Q99" s="48">
        <f>IF($B99="","",SUM(((AE99*Q$2)*C99)*5)+((AE99*Q$2)*E99)+AE99)</f>
      </c>
      <c r="R99" s="48">
        <f>IF($B99="","",SUM(((AF99*R$2)*C99)*5)+((AF99*R$2)*G99)+AF99)</f>
      </c>
      <c r="S99" s="53">
        <f>IF($B99="","",VLOOKUP($B99,'武将一覧'!$A$7:$O$131,13,0))</f>
      </c>
      <c r="T99" s="49">
        <f>IF($B99="","",VLOOKUP($B99,'武将一覧'!$A$7:$O$131,14,0))</f>
      </c>
      <c r="U99" s="50"/>
      <c r="V99" s="50"/>
      <c r="W99" s="50"/>
      <c r="X99" s="50"/>
      <c r="Y99" s="50"/>
      <c r="Z99" s="51">
        <f>IF($B99="","",VLOOKUP($B99,'武将一覧'!$A$7:$O$131,6,0))</f>
      </c>
      <c r="AA99" s="51">
        <f>IF($B99="","",VLOOKUP($B99,'武将一覧'!$A$7:$O$131,7,0))</f>
      </c>
      <c r="AB99" s="51">
        <f>IF($B99="","",VLOOKUP($B99,'武将一覧'!$A$7:$O$131,8,0))</f>
      </c>
      <c r="AC99" s="51">
        <f>IF($B99="","",VLOOKUP($B99,'武将一覧'!$A$7:$O$131,9,0))</f>
      </c>
      <c r="AD99" s="51">
        <f>IF($B99="","",VLOOKUP($B99,'武将一覧'!$A$7:$O$131,10,0))</f>
      </c>
      <c r="AE99" s="51">
        <f>IF($B99="","",VLOOKUP($B99,'武将一覧'!$A$7:$O$131,11,0))</f>
      </c>
      <c r="AF99" s="51">
        <f>IF($B99="","",VLOOKUP($B99,'武将一覧'!$A$7:$O$131,12,0))</f>
      </c>
      <c r="AG99" s="52">
        <f>IF($B99="","",VLOOKUP($B99,'武将一覧'!$A$7:$O$131,15,0))</f>
      </c>
    </row>
    <row r="100" spans="1:33" ht="13.5">
      <c r="A100" s="35">
        <v>97</v>
      </c>
      <c r="B100" s="36"/>
      <c r="C100" s="37">
        <v>0</v>
      </c>
      <c r="D100" s="38">
        <v>0</v>
      </c>
      <c r="E100" s="39">
        <v>0</v>
      </c>
      <c r="F100" s="39">
        <v>0</v>
      </c>
      <c r="G100" s="40">
        <v>0</v>
      </c>
      <c r="H100" s="41">
        <f>IF($B100="","",VLOOKUP($B100,'武将一覧'!$A$7:$O$131,2,0))</f>
      </c>
      <c r="I100" s="42">
        <f>IF($B100="","",VLOOKUP($B100,'武将一覧'!$A$7:$O$131,3,0))</f>
      </c>
      <c r="J100" s="43">
        <f>IF($B100="","",VLOOKUP($B100,'武将一覧'!$A$7:$O$131,4,0))</f>
      </c>
      <c r="K100" s="44">
        <f>IF($B100="","",VLOOKUP($B100,'武将一覧'!$A$7:$O$131,5,0))</f>
      </c>
      <c r="L100" s="45">
        <f t="shared" si="0"/>
      </c>
      <c r="M100" s="46">
        <f>IF($B100="","",SUM(((AA100*M$2)*C100)*5)+((AA100*M$2)*F100)+AA100)</f>
      </c>
      <c r="N100" s="47">
        <f t="shared" si="1"/>
      </c>
      <c r="O100" s="47">
        <f t="shared" si="2"/>
      </c>
      <c r="P100" s="47">
        <f t="shared" si="3"/>
      </c>
      <c r="Q100" s="48">
        <f>IF($B100="","",SUM(((AE100*Q$2)*C100)*5)+((AE100*Q$2)*E100)+AE100)</f>
      </c>
      <c r="R100" s="48">
        <f>IF($B100="","",SUM(((AF100*R$2)*C100)*5)+((AF100*R$2)*G100)+AF100)</f>
      </c>
      <c r="S100" s="53">
        <f>IF($B100="","",VLOOKUP($B100,'武将一覧'!$A$7:$O$131,13,0))</f>
      </c>
      <c r="T100" s="49">
        <f>IF($B100="","",VLOOKUP($B100,'武将一覧'!$A$7:$O$131,14,0))</f>
      </c>
      <c r="U100" s="50"/>
      <c r="V100" s="50"/>
      <c r="W100" s="50"/>
      <c r="X100" s="50"/>
      <c r="Y100" s="50"/>
      <c r="Z100" s="51">
        <f>IF($B100="","",VLOOKUP($B100,'武将一覧'!$A$7:$O$131,6,0))</f>
      </c>
      <c r="AA100" s="51">
        <f>IF($B100="","",VLOOKUP($B100,'武将一覧'!$A$7:$O$131,7,0))</f>
      </c>
      <c r="AB100" s="51">
        <f>IF($B100="","",VLOOKUP($B100,'武将一覧'!$A$7:$O$131,8,0))</f>
      </c>
      <c r="AC100" s="51">
        <f>IF($B100="","",VLOOKUP($B100,'武将一覧'!$A$7:$O$131,9,0))</f>
      </c>
      <c r="AD100" s="51">
        <f>IF($B100="","",VLOOKUP($B100,'武将一覧'!$A$7:$O$131,10,0))</f>
      </c>
      <c r="AE100" s="51">
        <f>IF($B100="","",VLOOKUP($B100,'武将一覧'!$A$7:$O$131,11,0))</f>
      </c>
      <c r="AF100" s="51">
        <f>IF($B100="","",VLOOKUP($B100,'武将一覧'!$A$7:$O$131,12,0))</f>
      </c>
      <c r="AG100" s="52">
        <f>IF($B100="","",VLOOKUP($B100,'武将一覧'!$A$7:$O$131,15,0))</f>
      </c>
    </row>
    <row r="101" spans="1:33" ht="13.5">
      <c r="A101" s="35">
        <v>98</v>
      </c>
      <c r="B101" s="36"/>
      <c r="C101" s="37">
        <v>0</v>
      </c>
      <c r="D101" s="38">
        <v>0</v>
      </c>
      <c r="E101" s="39">
        <v>0</v>
      </c>
      <c r="F101" s="39">
        <v>0</v>
      </c>
      <c r="G101" s="40">
        <v>0</v>
      </c>
      <c r="H101" s="41">
        <f>IF($B101="","",VLOOKUP($B101,'武将一覧'!$A$7:$O$131,2,0))</f>
      </c>
      <c r="I101" s="42">
        <f>IF($B101="","",VLOOKUP($B101,'武将一覧'!$A$7:$O$131,3,0))</f>
      </c>
      <c r="J101" s="43">
        <f>IF($B101="","",VLOOKUP($B101,'武将一覧'!$A$7:$O$131,4,0))</f>
      </c>
      <c r="K101" s="44">
        <f>IF($B101="","",VLOOKUP($B101,'武将一覧'!$A$7:$O$131,5,0))</f>
      </c>
      <c r="L101" s="45">
        <f t="shared" si="0"/>
      </c>
      <c r="M101" s="46">
        <f>IF($B101="","",SUM(((AA101*M$2)*C101)*5)+((AA101*M$2)*F101)+AA101)</f>
      </c>
      <c r="N101" s="47">
        <f t="shared" si="1"/>
      </c>
      <c r="O101" s="47">
        <f t="shared" si="2"/>
      </c>
      <c r="P101" s="47">
        <f t="shared" si="3"/>
      </c>
      <c r="Q101" s="48">
        <f>IF($B101="","",SUM(((AE101*Q$2)*C101)*5)+((AE101*Q$2)*E101)+AE101)</f>
      </c>
      <c r="R101" s="48">
        <f>IF($B101="","",SUM(((AF101*R$2)*C101)*5)+((AF101*R$2)*G101)+AF101)</f>
      </c>
      <c r="S101" s="53">
        <f>IF($B101="","",VLOOKUP($B101,'武将一覧'!$A$7:$O$131,13,0))</f>
      </c>
      <c r="T101" s="49">
        <f>IF($B101="","",VLOOKUP($B101,'武将一覧'!$A$7:$O$131,14,0))</f>
      </c>
      <c r="U101" s="50"/>
      <c r="V101" s="50"/>
      <c r="W101" s="50"/>
      <c r="X101" s="50"/>
      <c r="Y101" s="50"/>
      <c r="Z101" s="51">
        <f>IF($B101="","",VLOOKUP($B101,'武将一覧'!$A$7:$O$131,6,0))</f>
      </c>
      <c r="AA101" s="51">
        <f>IF($B101="","",VLOOKUP($B101,'武将一覧'!$A$7:$O$131,7,0))</f>
      </c>
      <c r="AB101" s="51">
        <f>IF($B101="","",VLOOKUP($B101,'武将一覧'!$A$7:$O$131,8,0))</f>
      </c>
      <c r="AC101" s="51">
        <f>IF($B101="","",VLOOKUP($B101,'武将一覧'!$A$7:$O$131,9,0))</f>
      </c>
      <c r="AD101" s="51">
        <f>IF($B101="","",VLOOKUP($B101,'武将一覧'!$A$7:$O$131,10,0))</f>
      </c>
      <c r="AE101" s="51">
        <f>IF($B101="","",VLOOKUP($B101,'武将一覧'!$A$7:$O$131,11,0))</f>
      </c>
      <c r="AF101" s="51">
        <f>IF($B101="","",VLOOKUP($B101,'武将一覧'!$A$7:$O$131,12,0))</f>
      </c>
      <c r="AG101" s="52">
        <f>IF($B101="","",VLOOKUP($B101,'武将一覧'!$A$7:$O$131,15,0))</f>
      </c>
    </row>
    <row r="102" spans="1:33" ht="13.5">
      <c r="A102" s="35">
        <v>99</v>
      </c>
      <c r="B102" s="36"/>
      <c r="C102" s="37">
        <v>0</v>
      </c>
      <c r="D102" s="38">
        <v>0</v>
      </c>
      <c r="E102" s="39">
        <v>0</v>
      </c>
      <c r="F102" s="39">
        <v>0</v>
      </c>
      <c r="G102" s="40">
        <v>0</v>
      </c>
      <c r="H102" s="41">
        <f>IF($B102="","",VLOOKUP($B102,'武将一覧'!$A$7:$O$131,2,0))</f>
      </c>
      <c r="I102" s="42">
        <f>IF($B102="","",VLOOKUP($B102,'武将一覧'!$A$7:$O$131,3,0))</f>
      </c>
      <c r="J102" s="43">
        <f>IF($B102="","",VLOOKUP($B102,'武将一覧'!$A$7:$O$131,4,0))</f>
      </c>
      <c r="K102" s="44">
        <f>IF($B102="","",VLOOKUP($B102,'武将一覧'!$A$7:$O$131,5,0))</f>
      </c>
      <c r="L102" s="45">
        <f t="shared" si="0"/>
      </c>
      <c r="M102" s="46">
        <f>IF($B102="","",SUM(((AA102*M$2)*C102)*5)+((AA102*M$2)*F102)+AA102)</f>
      </c>
      <c r="N102" s="47">
        <f t="shared" si="1"/>
      </c>
      <c r="O102" s="47">
        <f t="shared" si="2"/>
      </c>
      <c r="P102" s="47">
        <f t="shared" si="3"/>
      </c>
      <c r="Q102" s="48">
        <f>IF($B102="","",SUM(((AE102*Q$2)*C102)*5)+((AE102*Q$2)*E102)+AE102)</f>
      </c>
      <c r="R102" s="48">
        <f>IF($B102="","",SUM(((AF102*R$2)*C102)*5)+((AF102*R$2)*G102)+AF102)</f>
      </c>
      <c r="S102" s="53">
        <f>IF($B102="","",VLOOKUP($B102,'武将一覧'!$A$7:$O$131,13,0))</f>
      </c>
      <c r="T102" s="49">
        <f>IF($B102="","",VLOOKUP($B102,'武将一覧'!$A$7:$O$131,14,0))</f>
      </c>
      <c r="U102" s="50"/>
      <c r="V102" s="50"/>
      <c r="W102" s="50"/>
      <c r="X102" s="50"/>
      <c r="Y102" s="50"/>
      <c r="Z102" s="51">
        <f>IF($B102="","",VLOOKUP($B102,'武将一覧'!$A$7:$O$131,6,0))</f>
      </c>
      <c r="AA102" s="51">
        <f>IF($B102="","",VLOOKUP($B102,'武将一覧'!$A$7:$O$131,7,0))</f>
      </c>
      <c r="AB102" s="51">
        <f>IF($B102="","",VLOOKUP($B102,'武将一覧'!$A$7:$O$131,8,0))</f>
      </c>
      <c r="AC102" s="51">
        <f>IF($B102="","",VLOOKUP($B102,'武将一覧'!$A$7:$O$131,9,0))</f>
      </c>
      <c r="AD102" s="51">
        <f>IF($B102="","",VLOOKUP($B102,'武将一覧'!$A$7:$O$131,10,0))</f>
      </c>
      <c r="AE102" s="51">
        <f>IF($B102="","",VLOOKUP($B102,'武将一覧'!$A$7:$O$131,11,0))</f>
      </c>
      <c r="AF102" s="51">
        <f>IF($B102="","",VLOOKUP($B102,'武将一覧'!$A$7:$O$131,12,0))</f>
      </c>
      <c r="AG102" s="52">
        <f>IF($B102="","",VLOOKUP($B102,'武将一覧'!$A$7:$O$131,15,0))</f>
      </c>
    </row>
    <row r="103" spans="1:33" ht="13.5">
      <c r="A103" s="35">
        <v>100</v>
      </c>
      <c r="B103" s="36"/>
      <c r="C103" s="37">
        <v>0</v>
      </c>
      <c r="D103" s="38">
        <v>0</v>
      </c>
      <c r="E103" s="39">
        <v>0</v>
      </c>
      <c r="F103" s="39">
        <v>0</v>
      </c>
      <c r="G103" s="40">
        <v>0</v>
      </c>
      <c r="H103" s="41">
        <f>IF($B103="","",VLOOKUP($B103,'武将一覧'!$A$7:$O$131,2,0))</f>
      </c>
      <c r="I103" s="42">
        <f>IF($B103="","",VLOOKUP($B103,'武将一覧'!$A$7:$O$131,3,0))</f>
      </c>
      <c r="J103" s="43">
        <f>IF($B103="","",VLOOKUP($B103,'武将一覧'!$A$7:$O$131,4,0))</f>
      </c>
      <c r="K103" s="44">
        <f>IF($B103="","",VLOOKUP($B103,'武将一覧'!$A$7:$O$131,5,0))</f>
      </c>
      <c r="L103" s="45">
        <f t="shared" si="0"/>
      </c>
      <c r="M103" s="46">
        <f>IF($B103="","",SUM(((AA103*M$2)*C103)*5)+((AA103*M$2)*F103)+AA103)</f>
      </c>
      <c r="N103" s="47">
        <f t="shared" si="1"/>
      </c>
      <c r="O103" s="47">
        <f t="shared" si="2"/>
      </c>
      <c r="P103" s="47">
        <f t="shared" si="3"/>
      </c>
      <c r="Q103" s="48">
        <f>IF($B103="","",SUM(((AE103*Q$2)*C103)*5)+((AE103*Q$2)*E103)+AE103)</f>
      </c>
      <c r="R103" s="48">
        <f>IF($B103="","",SUM(((AF103*R$2)*C103)*5)+((AF103*R$2)*G103)+AF103)</f>
      </c>
      <c r="S103" s="53">
        <f>IF($B103="","",VLOOKUP($B103,'武将一覧'!$A$7:$O$131,13,0))</f>
      </c>
      <c r="T103" s="49">
        <f>IF($B103="","",VLOOKUP($B103,'武将一覧'!$A$7:$O$131,14,0))</f>
      </c>
      <c r="U103" s="50"/>
      <c r="V103" s="50"/>
      <c r="W103" s="50"/>
      <c r="X103" s="50"/>
      <c r="Y103" s="50"/>
      <c r="Z103" s="51">
        <f>IF($B103="","",VLOOKUP($B103,'武将一覧'!$A$7:$O$131,6,0))</f>
      </c>
      <c r="AA103" s="51">
        <f>IF($B103="","",VLOOKUP($B103,'武将一覧'!$A$7:$O$131,7,0))</f>
      </c>
      <c r="AB103" s="51">
        <f>IF($B103="","",VLOOKUP($B103,'武将一覧'!$A$7:$O$131,8,0))</f>
      </c>
      <c r="AC103" s="51">
        <f>IF($B103="","",VLOOKUP($B103,'武将一覧'!$A$7:$O$131,9,0))</f>
      </c>
      <c r="AD103" s="51">
        <f>IF($B103="","",VLOOKUP($B103,'武将一覧'!$A$7:$O$131,10,0))</f>
      </c>
      <c r="AE103" s="51">
        <f>IF($B103="","",VLOOKUP($B103,'武将一覧'!$A$7:$O$131,11,0))</f>
      </c>
      <c r="AF103" s="51">
        <f>IF($B103="","",VLOOKUP($B103,'武将一覧'!$A$7:$O$131,12,0))</f>
      </c>
      <c r="AG103" s="52">
        <f>IF($B103="","",VLOOKUP($B103,'武将一覧'!$A$7:$O$131,15,0))</f>
      </c>
    </row>
    <row r="104" spans="1:33" ht="13.5">
      <c r="A104" s="35">
        <v>101</v>
      </c>
      <c r="B104" s="36"/>
      <c r="C104" s="37">
        <v>0</v>
      </c>
      <c r="D104" s="38">
        <v>0</v>
      </c>
      <c r="E104" s="39">
        <v>0</v>
      </c>
      <c r="F104" s="39">
        <v>0</v>
      </c>
      <c r="G104" s="40">
        <v>0</v>
      </c>
      <c r="H104" s="41">
        <f>IF($B104="","",VLOOKUP($B104,'武将一覧'!$A$7:$O$131,2,0))</f>
      </c>
      <c r="I104" s="42">
        <f>IF($B104="","",VLOOKUP($B104,'武将一覧'!$A$7:$O$131,3,0))</f>
      </c>
      <c r="J104" s="43">
        <f>IF($B104="","",VLOOKUP($B104,'武将一覧'!$A$7:$O$131,4,0))</f>
      </c>
      <c r="K104" s="44">
        <f>IF($B104="","",VLOOKUP($B104,'武将一覧'!$A$7:$O$131,5,0))</f>
      </c>
      <c r="L104" s="45">
        <f t="shared" si="0"/>
      </c>
      <c r="M104" s="46">
        <f>IF($B104="","",SUM(((AA104*M$2)*C104)*5)+((AA104*M$2)*F104)+AA104)</f>
      </c>
      <c r="N104" s="47">
        <f t="shared" si="1"/>
      </c>
      <c r="O104" s="47">
        <f t="shared" si="2"/>
      </c>
      <c r="P104" s="47">
        <f t="shared" si="3"/>
      </c>
      <c r="Q104" s="48">
        <f>IF($B104="","",SUM(((AE104*Q$2)*C104)*5)+((AE104*Q$2)*E104)+AE104)</f>
      </c>
      <c r="R104" s="48">
        <f>IF($B104="","",SUM(((AF104*R$2)*C104)*5)+((AF104*R$2)*G104)+AF104)</f>
      </c>
      <c r="S104" s="53">
        <f>IF($B104="","",VLOOKUP($B104,'武将一覧'!$A$7:$O$131,13,0))</f>
      </c>
      <c r="T104" s="49">
        <f>IF($B104="","",VLOOKUP($B104,'武将一覧'!$A$7:$O$131,14,0))</f>
      </c>
      <c r="U104" s="50"/>
      <c r="V104" s="50"/>
      <c r="W104" s="50"/>
      <c r="X104" s="50"/>
      <c r="Y104" s="50"/>
      <c r="Z104" s="51">
        <f>IF($B104="","",VLOOKUP($B104,'武将一覧'!$A$7:$O$131,6,0))</f>
      </c>
      <c r="AA104" s="51">
        <f>IF($B104="","",VLOOKUP($B104,'武将一覧'!$A$7:$O$131,7,0))</f>
      </c>
      <c r="AB104" s="51">
        <f>IF($B104="","",VLOOKUP($B104,'武将一覧'!$A$7:$O$131,8,0))</f>
      </c>
      <c r="AC104" s="51">
        <f>IF($B104="","",VLOOKUP($B104,'武将一覧'!$A$7:$O$131,9,0))</f>
      </c>
      <c r="AD104" s="51">
        <f>IF($B104="","",VLOOKUP($B104,'武将一覧'!$A$7:$O$131,10,0))</f>
      </c>
      <c r="AE104" s="51">
        <f>IF($B104="","",VLOOKUP($B104,'武将一覧'!$A$7:$O$131,11,0))</f>
      </c>
      <c r="AF104" s="51">
        <f>IF($B104="","",VLOOKUP($B104,'武将一覧'!$A$7:$O$131,12,0))</f>
      </c>
      <c r="AG104" s="52">
        <f>IF($B104="","",VLOOKUP($B104,'武将一覧'!$A$7:$O$131,15,0))</f>
      </c>
    </row>
    <row r="105" spans="1:33" ht="13.5">
      <c r="A105" s="35">
        <v>102</v>
      </c>
      <c r="B105" s="36"/>
      <c r="C105" s="37">
        <v>0</v>
      </c>
      <c r="D105" s="38">
        <v>0</v>
      </c>
      <c r="E105" s="39">
        <v>0</v>
      </c>
      <c r="F105" s="39">
        <v>0</v>
      </c>
      <c r="G105" s="40">
        <v>0</v>
      </c>
      <c r="H105" s="41">
        <f>IF($B105="","",VLOOKUP($B105,'武将一覧'!$A$7:$O$131,2,0))</f>
      </c>
      <c r="I105" s="42">
        <f>IF($B105="","",VLOOKUP($B105,'武将一覧'!$A$7:$O$131,3,0))</f>
      </c>
      <c r="J105" s="43">
        <f>IF($B105="","",VLOOKUP($B105,'武将一覧'!$A$7:$O$131,4,0))</f>
      </c>
      <c r="K105" s="44">
        <f>IF($B105="","",VLOOKUP($B105,'武将一覧'!$A$7:$O$131,5,0))</f>
      </c>
      <c r="L105" s="45">
        <f t="shared" si="0"/>
      </c>
      <c r="M105" s="46">
        <f>IF($B105="","",SUM(((AA105*M$2)*C105)*5)+((AA105*M$2)*F105)+AA105)</f>
      </c>
      <c r="N105" s="47">
        <f t="shared" si="1"/>
      </c>
      <c r="O105" s="47">
        <f t="shared" si="2"/>
      </c>
      <c r="P105" s="47">
        <f t="shared" si="3"/>
      </c>
      <c r="Q105" s="48">
        <f>IF($B105="","",SUM(((AE105*Q$2)*C105)*5)+((AE105*Q$2)*E105)+AE105)</f>
      </c>
      <c r="R105" s="48">
        <f>IF($B105="","",SUM(((AF105*R$2)*C105)*5)+((AF105*R$2)*G105)+AF105)</f>
      </c>
      <c r="S105" s="53">
        <f>IF($B105="","",VLOOKUP($B105,'武将一覧'!$A$7:$O$131,13,0))</f>
      </c>
      <c r="T105" s="49">
        <f>IF($B105="","",VLOOKUP($B105,'武将一覧'!$A$7:$O$131,14,0))</f>
      </c>
      <c r="U105" s="50"/>
      <c r="V105" s="50"/>
      <c r="W105" s="50"/>
      <c r="X105" s="50"/>
      <c r="Y105" s="50"/>
      <c r="Z105" s="51">
        <f>IF($B105="","",VLOOKUP($B105,'武将一覧'!$A$7:$O$131,6,0))</f>
      </c>
      <c r="AA105" s="51">
        <f>IF($B105="","",VLOOKUP($B105,'武将一覧'!$A$7:$O$131,7,0))</f>
      </c>
      <c r="AB105" s="51">
        <f>IF($B105="","",VLOOKUP($B105,'武将一覧'!$A$7:$O$131,8,0))</f>
      </c>
      <c r="AC105" s="51">
        <f>IF($B105="","",VLOOKUP($B105,'武将一覧'!$A$7:$O$131,9,0))</f>
      </c>
      <c r="AD105" s="51">
        <f>IF($B105="","",VLOOKUP($B105,'武将一覧'!$A$7:$O$131,10,0))</f>
      </c>
      <c r="AE105" s="51">
        <f>IF($B105="","",VLOOKUP($B105,'武将一覧'!$A$7:$O$131,11,0))</f>
      </c>
      <c r="AF105" s="51">
        <f>IF($B105="","",VLOOKUP($B105,'武将一覧'!$A$7:$O$131,12,0))</f>
      </c>
      <c r="AG105" s="52">
        <f>IF($B105="","",VLOOKUP($B105,'武将一覧'!$A$7:$O$131,15,0))</f>
      </c>
    </row>
    <row r="106" spans="1:33" ht="13.5">
      <c r="A106" s="35">
        <v>103</v>
      </c>
      <c r="B106" s="36"/>
      <c r="C106" s="37">
        <v>0</v>
      </c>
      <c r="D106" s="38">
        <v>0</v>
      </c>
      <c r="E106" s="39">
        <v>0</v>
      </c>
      <c r="F106" s="39">
        <v>0</v>
      </c>
      <c r="G106" s="40">
        <v>0</v>
      </c>
      <c r="H106" s="41">
        <f>IF($B106="","",VLOOKUP($B106,'武将一覧'!$A$7:$O$131,2,0))</f>
      </c>
      <c r="I106" s="42">
        <f>IF($B106="","",VLOOKUP($B106,'武将一覧'!$A$7:$O$131,3,0))</f>
      </c>
      <c r="J106" s="43">
        <f>IF($B106="","",VLOOKUP($B106,'武将一覧'!$A$7:$O$131,4,0))</f>
      </c>
      <c r="K106" s="44">
        <f>IF($B106="","",VLOOKUP($B106,'武将一覧'!$A$7:$O$131,5,0))</f>
      </c>
      <c r="L106" s="45">
        <f t="shared" si="0"/>
      </c>
      <c r="M106" s="46">
        <f>IF($B106="","",SUM(((AA106*M$2)*C106)*5)+((AA106*M$2)*F106)+AA106)</f>
      </c>
      <c r="N106" s="47">
        <f t="shared" si="1"/>
      </c>
      <c r="O106" s="47">
        <f t="shared" si="2"/>
      </c>
      <c r="P106" s="47">
        <f t="shared" si="3"/>
      </c>
      <c r="Q106" s="48">
        <f>IF($B106="","",SUM(((AE106*Q$2)*C106)*5)+((AE106*Q$2)*E106)+AE106)</f>
      </c>
      <c r="R106" s="48">
        <f>IF($B106="","",SUM(((AF106*R$2)*C106)*5)+((AF106*R$2)*G106)+AF106)</f>
      </c>
      <c r="S106" s="53">
        <f>IF($B106="","",VLOOKUP($B106,'武将一覧'!$A$7:$O$131,13,0))</f>
      </c>
      <c r="T106" s="49">
        <f>IF($B106="","",VLOOKUP($B106,'武将一覧'!$A$7:$O$131,14,0))</f>
      </c>
      <c r="U106" s="50"/>
      <c r="V106" s="50"/>
      <c r="W106" s="50"/>
      <c r="X106" s="50"/>
      <c r="Y106" s="50"/>
      <c r="Z106" s="51">
        <f>IF($B106="","",VLOOKUP($B106,'武将一覧'!$A$7:$O$131,6,0))</f>
      </c>
      <c r="AA106" s="51">
        <f>IF($B106="","",VLOOKUP($B106,'武将一覧'!$A$7:$O$131,7,0))</f>
      </c>
      <c r="AB106" s="51">
        <f>IF($B106="","",VLOOKUP($B106,'武将一覧'!$A$7:$O$131,8,0))</f>
      </c>
      <c r="AC106" s="51">
        <f>IF($B106="","",VLOOKUP($B106,'武将一覧'!$A$7:$O$131,9,0))</f>
      </c>
      <c r="AD106" s="51">
        <f>IF($B106="","",VLOOKUP($B106,'武将一覧'!$A$7:$O$131,10,0))</f>
      </c>
      <c r="AE106" s="51">
        <f>IF($B106="","",VLOOKUP($B106,'武将一覧'!$A$7:$O$131,11,0))</f>
      </c>
      <c r="AF106" s="51">
        <f>IF($B106="","",VLOOKUP($B106,'武将一覧'!$A$7:$O$131,12,0))</f>
      </c>
      <c r="AG106" s="52">
        <f>IF($B106="","",VLOOKUP($B106,'武将一覧'!$A$7:$O$131,15,0))</f>
      </c>
    </row>
    <row r="107" spans="1:33" ht="13.5">
      <c r="A107" s="35">
        <v>104</v>
      </c>
      <c r="B107" s="36"/>
      <c r="C107" s="37">
        <v>0</v>
      </c>
      <c r="D107" s="38">
        <v>0</v>
      </c>
      <c r="E107" s="39">
        <v>0</v>
      </c>
      <c r="F107" s="39">
        <v>0</v>
      </c>
      <c r="G107" s="40">
        <v>0</v>
      </c>
      <c r="H107" s="41">
        <f>IF($B107="","",VLOOKUP($B107,'武将一覧'!$A$7:$O$131,2,0))</f>
      </c>
      <c r="I107" s="42">
        <f>IF($B107="","",VLOOKUP($B107,'武将一覧'!$A$7:$O$131,3,0))</f>
      </c>
      <c r="J107" s="43">
        <f>IF($B107="","",VLOOKUP($B107,'武将一覧'!$A$7:$O$131,4,0))</f>
      </c>
      <c r="K107" s="44">
        <f>IF($B107="","",VLOOKUP($B107,'武将一覧'!$A$7:$O$131,5,0))</f>
      </c>
      <c r="L107" s="45">
        <f t="shared" si="0"/>
      </c>
      <c r="M107" s="46">
        <f>IF($B107="","",SUM(((AA107*M$2)*C107)*5)+((AA107*M$2)*F107)+AA107)</f>
      </c>
      <c r="N107" s="47">
        <f t="shared" si="1"/>
      </c>
      <c r="O107" s="47">
        <f t="shared" si="2"/>
      </c>
      <c r="P107" s="47">
        <f t="shared" si="3"/>
      </c>
      <c r="Q107" s="48">
        <f>IF($B107="","",SUM(((AE107*Q$2)*C107)*5)+((AE107*Q$2)*E107)+AE107)</f>
      </c>
      <c r="R107" s="48">
        <f>IF($B107="","",SUM(((AF107*R$2)*C107)*5)+((AF107*R$2)*G107)+AF107)</f>
      </c>
      <c r="S107" s="53">
        <f>IF($B107="","",VLOOKUP($B107,'武将一覧'!$A$7:$O$131,13,0))</f>
      </c>
      <c r="T107" s="49">
        <f>IF($B107="","",VLOOKUP($B107,'武将一覧'!$A$7:$O$131,14,0))</f>
      </c>
      <c r="U107" s="50"/>
      <c r="V107" s="50"/>
      <c r="W107" s="50"/>
      <c r="X107" s="50"/>
      <c r="Y107" s="50"/>
      <c r="Z107" s="51">
        <f>IF($B107="","",VLOOKUP($B107,'武将一覧'!$A$7:$O$131,6,0))</f>
      </c>
      <c r="AA107" s="51">
        <f>IF($B107="","",VLOOKUP($B107,'武将一覧'!$A$7:$O$131,7,0))</f>
      </c>
      <c r="AB107" s="51">
        <f>IF($B107="","",VLOOKUP($B107,'武将一覧'!$A$7:$O$131,8,0))</f>
      </c>
      <c r="AC107" s="51">
        <f>IF($B107="","",VLOOKUP($B107,'武将一覧'!$A$7:$O$131,9,0))</f>
      </c>
      <c r="AD107" s="51">
        <f>IF($B107="","",VLOOKUP($B107,'武将一覧'!$A$7:$O$131,10,0))</f>
      </c>
      <c r="AE107" s="51">
        <f>IF($B107="","",VLOOKUP($B107,'武将一覧'!$A$7:$O$131,11,0))</f>
      </c>
      <c r="AF107" s="51">
        <f>IF($B107="","",VLOOKUP($B107,'武将一覧'!$A$7:$O$131,12,0))</f>
      </c>
      <c r="AG107" s="52">
        <f>IF($B107="","",VLOOKUP($B107,'武将一覧'!$A$7:$O$131,15,0))</f>
      </c>
    </row>
    <row r="108" spans="1:33" ht="13.5">
      <c r="A108" s="35">
        <v>105</v>
      </c>
      <c r="B108" s="36"/>
      <c r="C108" s="37">
        <v>0</v>
      </c>
      <c r="D108" s="38">
        <v>0</v>
      </c>
      <c r="E108" s="39">
        <v>0</v>
      </c>
      <c r="F108" s="39">
        <v>0</v>
      </c>
      <c r="G108" s="40">
        <v>0</v>
      </c>
      <c r="H108" s="41">
        <f>IF($B108="","",VLOOKUP($B108,'武将一覧'!$A$7:$O$131,2,0))</f>
      </c>
      <c r="I108" s="42">
        <f>IF($B108="","",VLOOKUP($B108,'武将一覧'!$A$7:$O$131,3,0))</f>
      </c>
      <c r="J108" s="43">
        <f>IF($B108="","",VLOOKUP($B108,'武将一覧'!$A$7:$O$131,4,0))</f>
      </c>
      <c r="K108" s="44">
        <f>IF($B108="","",VLOOKUP($B108,'武将一覧'!$A$7:$O$131,5,0))</f>
      </c>
      <c r="L108" s="45">
        <f t="shared" si="0"/>
      </c>
      <c r="M108" s="46">
        <f>IF($B108="","",SUM(((AA108*M$2)*C108)*5)+((AA108*M$2)*F108)+AA108)</f>
      </c>
      <c r="N108" s="47">
        <f t="shared" si="1"/>
      </c>
      <c r="O108" s="47">
        <f t="shared" si="2"/>
      </c>
      <c r="P108" s="47">
        <f t="shared" si="3"/>
      </c>
      <c r="Q108" s="48">
        <f>IF($B108="","",SUM(((AE108*Q$2)*C108)*5)+((AE108*Q$2)*E108)+AE108)</f>
      </c>
      <c r="R108" s="48">
        <f>IF($B108="","",SUM(((AF108*R$2)*C108)*5)+((AF108*R$2)*G108)+AF108)</f>
      </c>
      <c r="S108" s="53">
        <f>IF($B108="","",VLOOKUP($B108,'武将一覧'!$A$7:$O$131,13,0))</f>
      </c>
      <c r="T108" s="49">
        <f>IF($B108="","",VLOOKUP($B108,'武将一覧'!$A$7:$O$131,14,0))</f>
      </c>
      <c r="U108" s="50"/>
      <c r="V108" s="50"/>
      <c r="W108" s="50"/>
      <c r="X108" s="50"/>
      <c r="Y108" s="50"/>
      <c r="Z108" s="51">
        <f>IF($B108="","",VLOOKUP($B108,'武将一覧'!$A$7:$O$131,6,0))</f>
      </c>
      <c r="AA108" s="51">
        <f>IF($B108="","",VLOOKUP($B108,'武将一覧'!$A$7:$O$131,7,0))</f>
      </c>
      <c r="AB108" s="51">
        <f>IF($B108="","",VLOOKUP($B108,'武将一覧'!$A$7:$O$131,8,0))</f>
      </c>
      <c r="AC108" s="51">
        <f>IF($B108="","",VLOOKUP($B108,'武将一覧'!$A$7:$O$131,9,0))</f>
      </c>
      <c r="AD108" s="51">
        <f>IF($B108="","",VLOOKUP($B108,'武将一覧'!$A$7:$O$131,10,0))</f>
      </c>
      <c r="AE108" s="51">
        <f>IF($B108="","",VLOOKUP($B108,'武将一覧'!$A$7:$O$131,11,0))</f>
      </c>
      <c r="AF108" s="51">
        <f>IF($B108="","",VLOOKUP($B108,'武将一覧'!$A$7:$O$131,12,0))</f>
      </c>
      <c r="AG108" s="52">
        <f>IF($B108="","",VLOOKUP($B108,'武将一覧'!$A$7:$O$131,15,0))</f>
      </c>
    </row>
    <row r="109" spans="1:33" ht="13.5">
      <c r="A109" s="35">
        <v>106</v>
      </c>
      <c r="B109" s="36"/>
      <c r="C109" s="37">
        <v>0</v>
      </c>
      <c r="D109" s="38">
        <v>0</v>
      </c>
      <c r="E109" s="39">
        <v>0</v>
      </c>
      <c r="F109" s="39">
        <v>0</v>
      </c>
      <c r="G109" s="40">
        <v>0</v>
      </c>
      <c r="H109" s="41">
        <f>IF($B109="","",VLOOKUP($B109,'武将一覧'!$A$7:$O$131,2,0))</f>
      </c>
      <c r="I109" s="42">
        <f>IF($B109="","",VLOOKUP($B109,'武将一覧'!$A$7:$O$131,3,0))</f>
      </c>
      <c r="J109" s="43">
        <f>IF($B109="","",VLOOKUP($B109,'武将一覧'!$A$7:$O$131,4,0))</f>
      </c>
      <c r="K109" s="44">
        <f>IF($B109="","",VLOOKUP($B109,'武将一覧'!$A$7:$O$131,5,0))</f>
      </c>
      <c r="L109" s="45">
        <f t="shared" si="0"/>
      </c>
      <c r="M109" s="46">
        <f>IF($B109="","",SUM(((AA109*M$2)*C109)*5)+((AA109*M$2)*F109)+AA109)</f>
      </c>
      <c r="N109" s="47">
        <f t="shared" si="1"/>
      </c>
      <c r="O109" s="47">
        <f t="shared" si="2"/>
      </c>
      <c r="P109" s="47">
        <f t="shared" si="3"/>
      </c>
      <c r="Q109" s="48">
        <f>IF($B109="","",SUM(((AE109*Q$2)*C109)*5)+((AE109*Q$2)*E109)+AE109)</f>
      </c>
      <c r="R109" s="48">
        <f>IF($B109="","",SUM(((AF109*R$2)*C109)*5)+((AF109*R$2)*G109)+AF109)</f>
      </c>
      <c r="S109" s="53">
        <f>IF($B109="","",VLOOKUP($B109,'武将一覧'!$A$7:$O$131,13,0))</f>
      </c>
      <c r="T109" s="49">
        <f>IF($B109="","",VLOOKUP($B109,'武将一覧'!$A$7:$O$131,14,0))</f>
      </c>
      <c r="U109" s="50"/>
      <c r="V109" s="50"/>
      <c r="W109" s="50"/>
      <c r="X109" s="50"/>
      <c r="Y109" s="50"/>
      <c r="Z109" s="51">
        <f>IF($B109="","",VLOOKUP($B109,'武将一覧'!$A$7:$O$131,6,0))</f>
      </c>
      <c r="AA109" s="51">
        <f>IF($B109="","",VLOOKUP($B109,'武将一覧'!$A$7:$O$131,7,0))</f>
      </c>
      <c r="AB109" s="51">
        <f>IF($B109="","",VLOOKUP($B109,'武将一覧'!$A$7:$O$131,8,0))</f>
      </c>
      <c r="AC109" s="51">
        <f>IF($B109="","",VLOOKUP($B109,'武将一覧'!$A$7:$O$131,9,0))</f>
      </c>
      <c r="AD109" s="51">
        <f>IF($B109="","",VLOOKUP($B109,'武将一覧'!$A$7:$O$131,10,0))</f>
      </c>
      <c r="AE109" s="51">
        <f>IF($B109="","",VLOOKUP($B109,'武将一覧'!$A$7:$O$131,11,0))</f>
      </c>
      <c r="AF109" s="51">
        <f>IF($B109="","",VLOOKUP($B109,'武将一覧'!$A$7:$O$131,12,0))</f>
      </c>
      <c r="AG109" s="52">
        <f>IF($B109="","",VLOOKUP($B109,'武将一覧'!$A$7:$O$131,15,0))</f>
      </c>
    </row>
    <row r="110" spans="1:33" ht="13.5">
      <c r="A110" s="35">
        <v>107</v>
      </c>
      <c r="B110" s="36"/>
      <c r="C110" s="37">
        <v>0</v>
      </c>
      <c r="D110" s="38">
        <v>0</v>
      </c>
      <c r="E110" s="39">
        <v>0</v>
      </c>
      <c r="F110" s="39">
        <v>0</v>
      </c>
      <c r="G110" s="40">
        <v>0</v>
      </c>
      <c r="H110" s="41">
        <f>IF($B110="","",VLOOKUP($B110,'武将一覧'!$A$7:$O$131,2,0))</f>
      </c>
      <c r="I110" s="42">
        <f>IF($B110="","",VLOOKUP($B110,'武将一覧'!$A$7:$O$131,3,0))</f>
      </c>
      <c r="J110" s="43">
        <f>IF($B110="","",VLOOKUP($B110,'武将一覧'!$A$7:$O$131,4,0))</f>
      </c>
      <c r="K110" s="44">
        <f>IF($B110="","",VLOOKUP($B110,'武将一覧'!$A$7:$O$131,5,0))</f>
      </c>
      <c r="L110" s="45">
        <f t="shared" si="0"/>
      </c>
      <c r="M110" s="46">
        <f>IF($B110="","",SUM(((AA110*M$2)*C110)*5)+((AA110*M$2)*F110)+AA110)</f>
      </c>
      <c r="N110" s="47">
        <f t="shared" si="1"/>
      </c>
      <c r="O110" s="47">
        <f t="shared" si="2"/>
      </c>
      <c r="P110" s="47">
        <f t="shared" si="3"/>
      </c>
      <c r="Q110" s="48">
        <f>IF($B110="","",SUM(((AE110*Q$2)*C110)*5)+((AE110*Q$2)*E110)+AE110)</f>
      </c>
      <c r="R110" s="48">
        <f>IF($B110="","",SUM(((AF110*R$2)*C110)*5)+((AF110*R$2)*G110)+AF110)</f>
      </c>
      <c r="S110" s="53">
        <f>IF($B110="","",VLOOKUP($B110,'武将一覧'!$A$7:$O$131,13,0))</f>
      </c>
      <c r="T110" s="49">
        <f>IF($B110="","",VLOOKUP($B110,'武将一覧'!$A$7:$O$131,14,0))</f>
      </c>
      <c r="U110" s="50"/>
      <c r="V110" s="50"/>
      <c r="W110" s="50"/>
      <c r="X110" s="50"/>
      <c r="Y110" s="50"/>
      <c r="Z110" s="51">
        <f>IF($B110="","",VLOOKUP($B110,'武将一覧'!$A$7:$O$131,6,0))</f>
      </c>
      <c r="AA110" s="51">
        <f>IF($B110="","",VLOOKUP($B110,'武将一覧'!$A$7:$O$131,7,0))</f>
      </c>
      <c r="AB110" s="51">
        <f>IF($B110="","",VLOOKUP($B110,'武将一覧'!$A$7:$O$131,8,0))</f>
      </c>
      <c r="AC110" s="51">
        <f>IF($B110="","",VLOOKUP($B110,'武将一覧'!$A$7:$O$131,9,0))</f>
      </c>
      <c r="AD110" s="51">
        <f>IF($B110="","",VLOOKUP($B110,'武将一覧'!$A$7:$O$131,10,0))</f>
      </c>
      <c r="AE110" s="51">
        <f>IF($B110="","",VLOOKUP($B110,'武将一覧'!$A$7:$O$131,11,0))</f>
      </c>
      <c r="AF110" s="51">
        <f>IF($B110="","",VLOOKUP($B110,'武将一覧'!$A$7:$O$131,12,0))</f>
      </c>
      <c r="AG110" s="52">
        <f>IF($B110="","",VLOOKUP($B110,'武将一覧'!$A$7:$O$131,15,0))</f>
      </c>
    </row>
    <row r="111" spans="1:33" ht="13.5">
      <c r="A111" s="35">
        <v>108</v>
      </c>
      <c r="B111" s="36">
        <v>4023</v>
      </c>
      <c r="C111" s="37">
        <v>0</v>
      </c>
      <c r="D111" s="38">
        <v>80</v>
      </c>
      <c r="E111" s="39">
        <v>0</v>
      </c>
      <c r="F111" s="39"/>
      <c r="G111" s="40">
        <v>5</v>
      </c>
      <c r="H111" s="41" t="str">
        <f>IF($B111="","",VLOOKUP($B111,'武将一覧'!$A$7:$O$131,2,0))</f>
        <v>李傕</v>
      </c>
      <c r="I111" s="42" t="str">
        <f>IF($B111="","",VLOOKUP($B111,'武将一覧'!$A$7:$O$131,3,0))</f>
        <v>C</v>
      </c>
      <c r="J111" s="43">
        <f>IF($B111="","",VLOOKUP($B111,'武将一覧'!$A$7:$O$131,4,0))</f>
        <v>2</v>
      </c>
      <c r="K111" s="44" t="str">
        <f>IF($B111="","",VLOOKUP($B111,'武将一覧'!$A$7:$O$131,5,0))</f>
        <v>騎</v>
      </c>
      <c r="L111" s="45">
        <f t="shared" si="0"/>
        <v>1661.3999999999999</v>
      </c>
      <c r="M111" s="46">
        <f>IF($B111="","",SUM(((AA111*M$2)*C111)*5)+((AA111*M$2)*F111)+AA111)</f>
        <v>195</v>
      </c>
      <c r="N111" s="47">
        <f t="shared" si="1"/>
        <v>90</v>
      </c>
      <c r="O111" s="47">
        <f t="shared" si="2"/>
        <v>170</v>
      </c>
      <c r="P111" s="47">
        <f t="shared" si="3"/>
        <v>195</v>
      </c>
      <c r="Q111" s="48">
        <f>IF($B111="","",SUM(((AE111*Q$2)*C111)*5)+((AE111*Q$2)*E111)+AE111)</f>
        <v>2</v>
      </c>
      <c r="R111" s="48">
        <f>IF($B111="","",SUM(((AF111*R$2)*C111)*5)+((AF111*R$2)*G111)+AF111)</f>
        <v>14.84</v>
      </c>
      <c r="S111" s="53" t="str">
        <f>IF($B111="","",VLOOKUP($B111,'武将一覧'!$A$7:$O$131,13,0))</f>
        <v>防</v>
      </c>
      <c r="T111" s="49" t="str">
        <f>IF($B111="","",VLOOKUP($B111,'武将一覧'!$A$7:$O$131,14,0))</f>
        <v>騎兵防御Lv1</v>
      </c>
      <c r="U111" s="50"/>
      <c r="V111" s="50"/>
      <c r="W111" s="50"/>
      <c r="X111" s="50"/>
      <c r="Y111" s="50"/>
      <c r="Z111" s="51">
        <f>IF($B111="","",VLOOKUP($B111,'武将一覧'!$A$7:$O$131,6,0))</f>
        <v>195</v>
      </c>
      <c r="AA111" s="51">
        <f>IF($B111="","",VLOOKUP($B111,'武将一覧'!$A$7:$O$131,7,0))</f>
        <v>195</v>
      </c>
      <c r="AB111" s="51">
        <f>IF($B111="","",VLOOKUP($B111,'武将一覧'!$A$7:$O$131,8,0))</f>
        <v>90</v>
      </c>
      <c r="AC111" s="51">
        <f>IF($B111="","",VLOOKUP($B111,'武将一覧'!$A$7:$O$131,9,0))</f>
        <v>170</v>
      </c>
      <c r="AD111" s="51">
        <f>IF($B111="","",VLOOKUP($B111,'武将一覧'!$A$7:$O$131,10,0))</f>
        <v>300</v>
      </c>
      <c r="AE111" s="51">
        <f>IF($B111="","",VLOOKUP($B111,'武将一覧'!$A$7:$O$131,11,0))</f>
        <v>2</v>
      </c>
      <c r="AF111" s="51">
        <f>IF($B111="","",VLOOKUP($B111,'武将一覧'!$A$7:$O$131,12,0))</f>
        <v>14</v>
      </c>
      <c r="AG111" s="52" t="str">
        <f>IF($B111="","",VLOOKUP($B111,'武将一覧'!$A$7:$O$131,15,0))</f>
        <v>2009/07/13追加</v>
      </c>
    </row>
    <row r="112" spans="1:33" ht="13.5">
      <c r="A112" s="35">
        <v>109</v>
      </c>
      <c r="B112" s="36">
        <v>4022</v>
      </c>
      <c r="C112" s="37">
        <v>0</v>
      </c>
      <c r="D112" s="38">
        <v>80</v>
      </c>
      <c r="E112" s="39">
        <v>10</v>
      </c>
      <c r="F112" s="39">
        <v>10</v>
      </c>
      <c r="G112" s="40">
        <v>5</v>
      </c>
      <c r="H112" s="41" t="str">
        <f>IF($B112="","",VLOOKUP($B112,'武将一覧'!$A$7:$O$131,2,0))</f>
        <v>李傕</v>
      </c>
      <c r="I112" s="42" t="str">
        <f>IF($B112="","",VLOOKUP($B112,'武将一覧'!$A$7:$O$131,3,0))</f>
        <v>UC</v>
      </c>
      <c r="J112" s="43">
        <f>IF($B112="","",VLOOKUP($B112,'武将一覧'!$A$7:$O$131,4,0))</f>
        <v>2</v>
      </c>
      <c r="K112" s="44" t="str">
        <f>IF($B112="","",VLOOKUP($B112,'武将一覧'!$A$7:$O$131,5,0))</f>
        <v>騎</v>
      </c>
      <c r="L112" s="45">
        <f t="shared" si="0"/>
        <v>1704</v>
      </c>
      <c r="M112" s="46">
        <f>IF($B112="","",SUM(((AA112*M$2)*C112)*5)+((AA112*M$2)*F112)+AA112)</f>
        <v>389.5</v>
      </c>
      <c r="N112" s="47">
        <f t="shared" si="1"/>
        <v>184.3</v>
      </c>
      <c r="O112" s="47">
        <f t="shared" si="2"/>
        <v>349.20000000000005</v>
      </c>
      <c r="P112" s="47">
        <f t="shared" si="3"/>
        <v>496.1</v>
      </c>
      <c r="Q112" s="48">
        <f>IF($B112="","",SUM(((AE112*Q$2)*C112)*5)+((AE112*Q$2)*E112)+AE112)</f>
        <v>2.032</v>
      </c>
      <c r="R112" s="48">
        <f>IF($B112="","",SUM(((AF112*R$2)*C112)*5)+((AF112*R$2)*G112)+AF112)</f>
        <v>14.84</v>
      </c>
      <c r="S112" s="53" t="str">
        <f>IF($B112="","",VLOOKUP($B112,'武将一覧'!$A$7:$O$131,13,0))</f>
        <v>攻</v>
      </c>
      <c r="T112" s="49" t="str">
        <f>IF($B112="","",VLOOKUP($B112,'武将一覧'!$A$7:$O$131,14,0))</f>
        <v>騎兵の進撃LV2</v>
      </c>
      <c r="U112" s="50"/>
      <c r="V112" s="50"/>
      <c r="W112" s="50"/>
      <c r="X112" s="50"/>
      <c r="Y112" s="50"/>
      <c r="Z112" s="51">
        <f>IF($B112="","",VLOOKUP($B112,'武将一覧'!$A$7:$O$131,6,0))</f>
        <v>200</v>
      </c>
      <c r="AA112" s="51">
        <f>IF($B112="","",VLOOKUP($B112,'武将一覧'!$A$7:$O$131,7,0))</f>
        <v>205</v>
      </c>
      <c r="AB112" s="51">
        <f>IF($B112="","",VLOOKUP($B112,'武将一覧'!$A$7:$O$131,8,0))</f>
        <v>95</v>
      </c>
      <c r="AC112" s="51">
        <f>IF($B112="","",VLOOKUP($B112,'武将一覧'!$A$7:$O$131,9,0))</f>
        <v>180</v>
      </c>
      <c r="AD112" s="51">
        <f>IF($B112="","",VLOOKUP($B112,'武将一覧'!$A$7:$O$131,10,0))</f>
        <v>315</v>
      </c>
      <c r="AE112" s="51">
        <f>IF($B112="","",VLOOKUP($B112,'武将一覧'!$A$7:$O$131,11,0))</f>
        <v>2</v>
      </c>
      <c r="AF112" s="51">
        <f>IF($B112="","",VLOOKUP($B112,'武将一覧'!$A$7:$O$131,12,0))</f>
        <v>14</v>
      </c>
      <c r="AG112" s="52" t="str">
        <f>IF($B112="","",VLOOKUP($B112,'武将一覧'!$A$7:$O$131,15,0))</f>
        <v>2009/07/13追加</v>
      </c>
    </row>
    <row r="113" spans="1:33" ht="13.5">
      <c r="A113" s="35">
        <v>110</v>
      </c>
      <c r="B113" s="36">
        <v>1007</v>
      </c>
      <c r="C113" s="37">
        <v>0</v>
      </c>
      <c r="D113" s="38">
        <v>100</v>
      </c>
      <c r="E113" s="39">
        <v>100</v>
      </c>
      <c r="F113" s="39">
        <v>100</v>
      </c>
      <c r="G113" s="40">
        <v>100</v>
      </c>
      <c r="H113" s="41" t="str">
        <f>IF($B113="","",VLOOKUP($B113,'武将一覧'!$A$7:$O$131,2,0))</f>
        <v>劉備</v>
      </c>
      <c r="I113" s="42" t="str">
        <f>IF($B113="","",VLOOKUP($B113,'武将一覧'!$A$7:$O$131,3,0))</f>
        <v>UC</v>
      </c>
      <c r="J113" s="43">
        <f>IF($B113="","",VLOOKUP($B113,'武将一覧'!$A$7:$O$131,4,0))</f>
        <v>2.5</v>
      </c>
      <c r="K113" s="44" t="str">
        <f>IF($B113="","",VLOOKUP($B113,'武将一覧'!$A$7:$O$131,5,0))</f>
        <v>槍</v>
      </c>
      <c r="L113" s="45">
        <f t="shared" si="0"/>
        <v>2548</v>
      </c>
      <c r="M113" s="46">
        <f>IF($B113="","",SUM(((AA113*M$2)*C113)*5)+((AA113*M$2)*F113)+AA113)</f>
        <v>3250</v>
      </c>
      <c r="N113" s="47">
        <f t="shared" si="1"/>
        <v>2704</v>
      </c>
      <c r="O113" s="47">
        <f t="shared" si="2"/>
        <v>4576</v>
      </c>
      <c r="P113" s="47">
        <f t="shared" si="3"/>
        <v>1655</v>
      </c>
      <c r="Q113" s="48">
        <f>IF($B113="","",SUM(((AE113*Q$2)*C113)*5)+((AE113*Q$2)*E113)+AE113)</f>
        <v>11.6</v>
      </c>
      <c r="R113" s="48">
        <f>IF($B113="","",SUM(((AF113*R$2)*C113)*5)+((AF113*R$2)*G113)+AF113)</f>
        <v>22</v>
      </c>
      <c r="S113" s="53" t="str">
        <f>IF($B113="","",VLOOKUP($B113,'武将一覧'!$A$7:$O$131,13,0))</f>
        <v>防</v>
      </c>
      <c r="T113" s="49" t="str">
        <f>IF($B113="","",VLOOKUP($B113,'武将一覧'!$A$7:$O$131,14,0))</f>
        <v>仁君Lv1</v>
      </c>
      <c r="U113" s="50"/>
      <c r="V113" s="50"/>
      <c r="W113" s="50"/>
      <c r="X113" s="50"/>
      <c r="Y113" s="50"/>
      <c r="Z113" s="51">
        <f>IF($B113="","",VLOOKUP($B113,'武将一覧'!$A$7:$O$131,6,0))</f>
        <v>245</v>
      </c>
      <c r="AA113" s="51">
        <f>IF($B113="","",VLOOKUP($B113,'武将一覧'!$A$7:$O$131,7,0))</f>
        <v>325</v>
      </c>
      <c r="AB113" s="51">
        <f>IF($B113="","",VLOOKUP($B113,'武将一覧'!$A$7:$O$131,8,0))</f>
        <v>260</v>
      </c>
      <c r="AC113" s="51">
        <f>IF($B113="","",VLOOKUP($B113,'武将一覧'!$A$7:$O$131,9,0))</f>
        <v>440</v>
      </c>
      <c r="AD113" s="51">
        <f>IF($B113="","",VLOOKUP($B113,'武将一覧'!$A$7:$O$131,10,0))</f>
        <v>150</v>
      </c>
      <c r="AE113" s="51">
        <f>IF($B113="","",VLOOKUP($B113,'武将一覧'!$A$7:$O$131,11,0))</f>
        <v>10</v>
      </c>
      <c r="AF113" s="51">
        <f>IF($B113="","",VLOOKUP($B113,'武将一覧'!$A$7:$O$131,12,0))</f>
        <v>10</v>
      </c>
      <c r="AG113" s="52" t="str">
        <f>IF($B113="","",VLOOKUP($B113,'武将一覧'!$A$7:$O$131,15,0))</f>
        <v>2次β初期</v>
      </c>
    </row>
    <row r="116" ht="21">
      <c r="A116" s="54" t="s">
        <v>1</v>
      </c>
    </row>
    <row r="117" ht="13.5">
      <c r="A117" s="52">
        <v>1001</v>
      </c>
    </row>
    <row r="118" ht="13.5">
      <c r="A118" s="52">
        <v>1002</v>
      </c>
    </row>
    <row r="119" ht="13.5">
      <c r="A119" s="52">
        <v>1003</v>
      </c>
    </row>
    <row r="120" ht="13.5">
      <c r="A120" s="52">
        <v>1004</v>
      </c>
    </row>
    <row r="121" ht="13.5">
      <c r="A121" s="52">
        <v>1005</v>
      </c>
    </row>
    <row r="122" ht="13.5">
      <c r="A122" s="52">
        <v>1006</v>
      </c>
    </row>
    <row r="123" ht="13.5">
      <c r="A123" s="52">
        <v>1007</v>
      </c>
    </row>
    <row r="124" ht="13.5">
      <c r="A124" s="52">
        <v>1008</v>
      </c>
    </row>
    <row r="125" ht="13.5">
      <c r="A125" s="52">
        <v>1009</v>
      </c>
    </row>
    <row r="126" ht="13.5">
      <c r="A126" s="52">
        <v>1010</v>
      </c>
    </row>
    <row r="127" ht="13.5">
      <c r="A127" s="52">
        <v>1011</v>
      </c>
    </row>
    <row r="128" ht="13.5">
      <c r="A128" s="52">
        <v>1012</v>
      </c>
    </row>
    <row r="129" ht="13.5">
      <c r="A129" s="52">
        <v>1013</v>
      </c>
    </row>
    <row r="130" ht="13.5">
      <c r="A130" s="52">
        <v>1014</v>
      </c>
    </row>
    <row r="131" ht="13.5">
      <c r="A131" s="52">
        <v>1015</v>
      </c>
    </row>
    <row r="132" ht="13.5">
      <c r="A132" s="52">
        <v>1016</v>
      </c>
    </row>
    <row r="133" ht="13.5">
      <c r="A133" s="52">
        <v>1017</v>
      </c>
    </row>
    <row r="134" ht="13.5">
      <c r="A134" s="52">
        <v>1018</v>
      </c>
    </row>
    <row r="135" ht="13.5">
      <c r="A135" s="52">
        <v>1019</v>
      </c>
    </row>
    <row r="136" ht="13.5">
      <c r="A136" s="52">
        <v>1020</v>
      </c>
    </row>
    <row r="137" ht="13.5">
      <c r="A137" s="52">
        <v>1021</v>
      </c>
    </row>
    <row r="138" ht="13.5">
      <c r="A138" s="52">
        <v>1022</v>
      </c>
    </row>
    <row r="139" ht="13.5">
      <c r="A139" s="52">
        <v>1023</v>
      </c>
    </row>
    <row r="140" ht="13.5">
      <c r="A140" s="52">
        <v>1024</v>
      </c>
    </row>
    <row r="141" ht="13.5">
      <c r="A141" s="52">
        <v>1025</v>
      </c>
    </row>
    <row r="142" ht="13.5">
      <c r="A142" s="52">
        <v>1026</v>
      </c>
    </row>
    <row r="143" ht="13.5">
      <c r="A143" s="52">
        <v>1027</v>
      </c>
    </row>
    <row r="144" ht="13.5">
      <c r="A144" s="52">
        <v>1028</v>
      </c>
    </row>
    <row r="145" ht="13.5">
      <c r="A145" s="52">
        <v>1029</v>
      </c>
    </row>
    <row r="146" ht="13.5">
      <c r="A146" s="52">
        <v>1030</v>
      </c>
    </row>
    <row r="147" ht="13.5">
      <c r="A147" s="52">
        <v>1031</v>
      </c>
    </row>
    <row r="148" ht="13.5">
      <c r="A148" s="52">
        <v>1032</v>
      </c>
    </row>
    <row r="149" ht="13.5">
      <c r="A149" s="52">
        <v>1033</v>
      </c>
    </row>
    <row r="150" ht="13.5">
      <c r="A150" s="52">
        <v>1034</v>
      </c>
    </row>
    <row r="151" ht="13.5">
      <c r="A151" s="52">
        <v>2001</v>
      </c>
    </row>
    <row r="152" ht="13.5">
      <c r="A152" s="52">
        <v>2002</v>
      </c>
    </row>
    <row r="153" ht="13.5">
      <c r="A153" s="52">
        <v>2003</v>
      </c>
    </row>
    <row r="154" ht="13.5">
      <c r="A154" s="52">
        <v>2004</v>
      </c>
    </row>
    <row r="155" ht="13.5">
      <c r="A155" s="52">
        <v>2005</v>
      </c>
    </row>
    <row r="156" ht="13.5">
      <c r="A156" s="52">
        <v>2006</v>
      </c>
    </row>
    <row r="157" ht="13.5">
      <c r="A157" s="52">
        <v>2007</v>
      </c>
    </row>
    <row r="158" ht="13.5">
      <c r="A158" s="52">
        <v>2008</v>
      </c>
    </row>
    <row r="159" ht="13.5">
      <c r="A159" s="52">
        <v>2009</v>
      </c>
    </row>
    <row r="160" ht="13.5">
      <c r="A160" s="52">
        <v>2010</v>
      </c>
    </row>
    <row r="161" ht="13.5">
      <c r="A161" s="52">
        <v>2011</v>
      </c>
    </row>
    <row r="162" ht="13.5">
      <c r="A162" s="52">
        <v>2012</v>
      </c>
    </row>
    <row r="163" ht="13.5">
      <c r="A163" s="52">
        <v>2013</v>
      </c>
    </row>
    <row r="164" ht="13.5">
      <c r="A164" s="52">
        <v>2014</v>
      </c>
    </row>
    <row r="165" ht="13.5">
      <c r="A165" s="52">
        <v>2015</v>
      </c>
    </row>
    <row r="166" ht="13.5">
      <c r="A166" s="52">
        <v>2016</v>
      </c>
    </row>
    <row r="167" ht="13.5">
      <c r="A167" s="52">
        <v>2017</v>
      </c>
    </row>
    <row r="168" ht="13.5">
      <c r="A168" s="52">
        <v>2018</v>
      </c>
    </row>
    <row r="169" ht="13.5">
      <c r="A169" s="52">
        <v>2019</v>
      </c>
    </row>
    <row r="170" ht="13.5">
      <c r="A170" s="52">
        <v>2020</v>
      </c>
    </row>
    <row r="171" ht="13.5">
      <c r="A171" s="52">
        <v>2021</v>
      </c>
    </row>
    <row r="172" ht="13.5">
      <c r="A172" s="52">
        <v>2022</v>
      </c>
    </row>
    <row r="173" ht="13.5">
      <c r="A173" s="52">
        <v>2023</v>
      </c>
    </row>
    <row r="174" ht="13.5">
      <c r="A174" s="52">
        <v>2024</v>
      </c>
    </row>
    <row r="175" ht="13.5">
      <c r="A175" s="52">
        <v>2025</v>
      </c>
    </row>
    <row r="176" ht="13.5">
      <c r="A176" s="52">
        <v>2026</v>
      </c>
    </row>
    <row r="177" ht="13.5">
      <c r="A177" s="52">
        <v>2027</v>
      </c>
    </row>
    <row r="178" ht="13.5">
      <c r="A178" s="52">
        <v>2028</v>
      </c>
    </row>
    <row r="179" ht="13.5">
      <c r="A179" s="52">
        <v>2029</v>
      </c>
    </row>
    <row r="180" ht="13.5">
      <c r="A180" s="52">
        <v>2030</v>
      </c>
    </row>
    <row r="181" ht="13.5">
      <c r="A181" s="52">
        <v>2031</v>
      </c>
    </row>
    <row r="182" ht="13.5">
      <c r="A182" s="52">
        <v>2032</v>
      </c>
    </row>
    <row r="183" ht="13.5">
      <c r="A183" s="52">
        <v>2033</v>
      </c>
    </row>
    <row r="184" ht="13.5">
      <c r="A184" s="52">
        <v>2034</v>
      </c>
    </row>
    <row r="185" ht="13.5">
      <c r="A185" s="52">
        <v>2035</v>
      </c>
    </row>
    <row r="186" ht="13.5">
      <c r="A186" s="52">
        <v>2036</v>
      </c>
    </row>
    <row r="187" ht="13.5">
      <c r="A187" s="52">
        <v>2037</v>
      </c>
    </row>
    <row r="188" ht="13.5">
      <c r="A188" s="52">
        <v>2038</v>
      </c>
    </row>
    <row r="189" ht="13.5">
      <c r="A189" s="52">
        <v>3001</v>
      </c>
    </row>
    <row r="190" ht="13.5">
      <c r="A190" s="52">
        <v>3002</v>
      </c>
    </row>
    <row r="191" ht="13.5">
      <c r="A191" s="52">
        <v>3003</v>
      </c>
    </row>
    <row r="192" ht="13.5">
      <c r="A192" s="52">
        <v>3004</v>
      </c>
    </row>
    <row r="193" ht="13.5">
      <c r="A193" s="52">
        <v>3005</v>
      </c>
    </row>
    <row r="194" ht="13.5">
      <c r="A194" s="52">
        <v>3006</v>
      </c>
    </row>
    <row r="195" ht="13.5">
      <c r="A195" s="52">
        <v>3007</v>
      </c>
    </row>
    <row r="196" ht="13.5">
      <c r="A196" s="52">
        <v>3008</v>
      </c>
    </row>
    <row r="197" ht="13.5">
      <c r="A197" s="52">
        <v>3009</v>
      </c>
    </row>
    <row r="198" ht="13.5">
      <c r="A198" s="52">
        <v>3010</v>
      </c>
    </row>
    <row r="199" ht="13.5">
      <c r="A199" s="52">
        <v>3011</v>
      </c>
    </row>
    <row r="200" ht="13.5">
      <c r="A200" s="52">
        <v>3012</v>
      </c>
    </row>
    <row r="201" ht="13.5">
      <c r="A201" s="52">
        <v>3013</v>
      </c>
    </row>
    <row r="202" ht="13.5">
      <c r="A202" s="52">
        <v>3014</v>
      </c>
    </row>
    <row r="203" ht="13.5">
      <c r="A203" s="52">
        <v>3015</v>
      </c>
    </row>
    <row r="204" ht="13.5">
      <c r="A204" s="52">
        <v>3016</v>
      </c>
    </row>
    <row r="205" ht="13.5">
      <c r="A205" s="52">
        <v>3017</v>
      </c>
    </row>
    <row r="206" ht="13.5">
      <c r="A206" s="52">
        <v>3018</v>
      </c>
    </row>
    <row r="207" ht="13.5">
      <c r="A207" s="52">
        <v>3019</v>
      </c>
    </row>
    <row r="208" ht="13.5">
      <c r="A208" s="52">
        <v>3020</v>
      </c>
    </row>
    <row r="209" ht="13.5">
      <c r="A209" s="52">
        <v>3021</v>
      </c>
    </row>
    <row r="210" ht="13.5">
      <c r="A210" s="52">
        <v>3022</v>
      </c>
    </row>
    <row r="211" ht="13.5">
      <c r="A211" s="52">
        <v>3023</v>
      </c>
    </row>
    <row r="212" ht="13.5">
      <c r="A212" s="52">
        <v>3024</v>
      </c>
    </row>
    <row r="213" ht="13.5">
      <c r="A213" s="52">
        <v>3025</v>
      </c>
    </row>
    <row r="214" ht="13.5">
      <c r="A214" s="52">
        <v>3026</v>
      </c>
    </row>
    <row r="215" ht="13.5">
      <c r="A215" s="52">
        <v>3027</v>
      </c>
    </row>
    <row r="216" ht="13.5">
      <c r="A216" s="52">
        <v>3028</v>
      </c>
    </row>
    <row r="217" ht="13.5">
      <c r="A217" s="52">
        <v>3029</v>
      </c>
    </row>
    <row r="218" ht="13.5">
      <c r="A218" s="52">
        <v>3030</v>
      </c>
    </row>
    <row r="219" ht="13.5">
      <c r="A219" s="52">
        <v>4001</v>
      </c>
    </row>
    <row r="220" ht="13.5">
      <c r="A220" s="52">
        <v>4002</v>
      </c>
    </row>
    <row r="221" ht="13.5">
      <c r="A221" s="52">
        <v>4003</v>
      </c>
    </row>
    <row r="222" ht="13.5">
      <c r="A222" s="52">
        <v>4004</v>
      </c>
    </row>
    <row r="223" ht="13.5">
      <c r="A223" s="52">
        <v>4005</v>
      </c>
    </row>
    <row r="224" ht="13.5">
      <c r="A224" s="52">
        <v>4006</v>
      </c>
    </row>
    <row r="225" ht="13.5">
      <c r="A225" s="52">
        <v>4007</v>
      </c>
    </row>
    <row r="226" ht="13.5">
      <c r="A226" s="52">
        <v>4008</v>
      </c>
    </row>
    <row r="227" ht="13.5">
      <c r="A227" s="52">
        <v>4009</v>
      </c>
    </row>
    <row r="228" ht="13.5">
      <c r="A228" s="52">
        <v>4010</v>
      </c>
    </row>
    <row r="229" ht="13.5">
      <c r="A229" s="52">
        <v>4011</v>
      </c>
    </row>
    <row r="230" ht="13.5">
      <c r="A230" s="52">
        <v>4012</v>
      </c>
    </row>
    <row r="231" ht="13.5">
      <c r="A231" s="52">
        <v>4013</v>
      </c>
    </row>
    <row r="232" ht="13.5">
      <c r="A232" s="52">
        <v>4014</v>
      </c>
    </row>
    <row r="233" ht="13.5">
      <c r="A233" s="52">
        <v>4015</v>
      </c>
    </row>
    <row r="234" ht="13.5">
      <c r="A234" s="52">
        <v>4016</v>
      </c>
    </row>
    <row r="235" ht="13.5">
      <c r="A235" s="52">
        <v>4017</v>
      </c>
    </row>
    <row r="236" ht="13.5">
      <c r="A236" s="52">
        <v>4018</v>
      </c>
    </row>
    <row r="237" ht="13.5">
      <c r="A237" s="52">
        <v>4019</v>
      </c>
    </row>
    <row r="238" ht="13.5">
      <c r="A238" s="52">
        <v>4020</v>
      </c>
    </row>
    <row r="239" ht="13.5">
      <c r="A239" s="52">
        <v>4021</v>
      </c>
    </row>
    <row r="240" ht="13.5">
      <c r="A240" s="52">
        <v>4022</v>
      </c>
    </row>
    <row r="241" ht="13.5">
      <c r="A241" s="52">
        <v>4023</v>
      </c>
    </row>
  </sheetData>
  <autoFilter ref="A3:AF113"/>
  <mergeCells count="10">
    <mergeCell ref="A1:A3"/>
    <mergeCell ref="B1:B3"/>
    <mergeCell ref="C1:G1"/>
    <mergeCell ref="H1:K1"/>
    <mergeCell ref="L1:T1"/>
    <mergeCell ref="U1:Y2"/>
    <mergeCell ref="Z1:AF2"/>
    <mergeCell ref="C2:C3"/>
    <mergeCell ref="D2:G2"/>
    <mergeCell ref="J2:K2"/>
  </mergeCells>
  <conditionalFormatting sqref="C4:G113">
    <cfRule type="expression" priority="1" dxfId="0" stopIfTrue="1">
      <formula>$B4&lt;&gt;""</formula>
    </cfRule>
    <cfRule type="expression" priority="2" dxfId="1" stopIfTrue="1">
      <formula>$B4=""</formula>
    </cfRule>
  </conditionalFormatting>
  <dataValidations count="2">
    <dataValidation type="list" allowBlank="1" showErrorMessage="1" sqref="B4:B113">
      <formula1>$A$117:$A$241</formula1>
      <formula2>0</formula2>
    </dataValidation>
    <dataValidation type="whole" allowBlank="1" showErrorMessage="1" sqref="C4:G113">
      <formula1>0</formula1>
      <formula2>1500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I289"/>
  <sheetViews>
    <sheetView showGridLines="0" zoomScale="95" zoomScaleNormal="95" workbookViewId="0" topLeftCell="A1">
      <selection activeCell="B5" sqref="B5"/>
    </sheetView>
  </sheetViews>
  <sheetFormatPr defaultColWidth="6.00390625" defaultRowHeight="12.75" customHeight="1"/>
  <cols>
    <col min="1" max="1" width="1.75390625" style="55" customWidth="1"/>
    <col min="2" max="2" width="6.625" style="55" customWidth="1"/>
    <col min="3" max="10" width="5.50390625" style="55" customWidth="1"/>
    <col min="11" max="12" width="2.625" style="55" customWidth="1"/>
    <col min="13" max="16384" width="5.50390625" style="55" customWidth="1"/>
  </cols>
  <sheetData>
    <row r="1" ht="10.5" customHeight="1"/>
    <row r="2" spans="2:3" ht="12.75" customHeight="1">
      <c r="B2" s="56" t="s">
        <v>33</v>
      </c>
      <c r="C2" s="56"/>
    </row>
    <row r="3" spans="2:3" ht="12.75" customHeight="1">
      <c r="B3" s="56"/>
      <c r="C3" s="56"/>
    </row>
    <row r="4" spans="2:3" ht="12.75" customHeight="1">
      <c r="B4" s="57"/>
      <c r="C4" s="57"/>
    </row>
    <row r="5" ht="12.75" customHeight="1">
      <c r="E5" s="58"/>
    </row>
    <row r="6" spans="2:23" ht="12.75" customHeight="1">
      <c r="B6" s="59" t="s">
        <v>34</v>
      </c>
      <c r="C6" s="59"/>
      <c r="D6" s="60"/>
      <c r="E6" s="61"/>
      <c r="F6" s="61"/>
      <c r="G6" s="62"/>
      <c r="H6" s="62"/>
      <c r="I6" s="61"/>
      <c r="J6" s="63"/>
      <c r="M6" s="59" t="s">
        <v>35</v>
      </c>
      <c r="N6" s="59"/>
      <c r="O6" s="61"/>
      <c r="P6" s="61"/>
      <c r="Q6" s="61"/>
      <c r="R6" s="61"/>
      <c r="S6" s="61"/>
      <c r="T6" s="61"/>
      <c r="U6" s="61"/>
      <c r="V6" s="63"/>
      <c r="W6" s="64"/>
    </row>
    <row r="7" spans="2:23" ht="12.75" customHeight="1">
      <c r="B7" s="59"/>
      <c r="C7" s="59"/>
      <c r="D7" s="65"/>
      <c r="E7" s="66"/>
      <c r="F7" s="66"/>
      <c r="G7" s="67" t="s">
        <v>36</v>
      </c>
      <c r="H7" s="67"/>
      <c r="I7" s="67"/>
      <c r="J7" s="68"/>
      <c r="M7" s="59"/>
      <c r="N7" s="59"/>
      <c r="O7" s="64"/>
      <c r="P7" s="64"/>
      <c r="Q7" s="64"/>
      <c r="R7" s="64"/>
      <c r="S7" s="64"/>
      <c r="T7" s="64"/>
      <c r="U7" s="64"/>
      <c r="V7" s="68"/>
      <c r="W7" s="64"/>
    </row>
    <row r="8" spans="2:23" ht="12.75" customHeight="1">
      <c r="B8" s="69"/>
      <c r="C8" s="70"/>
      <c r="D8" s="65"/>
      <c r="E8" s="66"/>
      <c r="F8" s="66"/>
      <c r="G8" s="71" t="s">
        <v>37</v>
      </c>
      <c r="H8" s="71"/>
      <c r="I8" s="71"/>
      <c r="J8" s="68"/>
      <c r="M8" s="72"/>
      <c r="N8" s="73"/>
      <c r="O8" s="64"/>
      <c r="P8" s="64"/>
      <c r="Q8" s="64"/>
      <c r="R8" s="64"/>
      <c r="S8" s="64"/>
      <c r="T8" s="64"/>
      <c r="U8" s="64"/>
      <c r="V8" s="68"/>
      <c r="W8" s="64"/>
    </row>
    <row r="9" spans="2:23" ht="12.75" customHeight="1">
      <c r="B9" s="74" t="s">
        <v>38</v>
      </c>
      <c r="C9" s="74"/>
      <c r="D9" s="66"/>
      <c r="E9" s="66"/>
      <c r="F9" s="66"/>
      <c r="G9" s="75" t="s">
        <v>39</v>
      </c>
      <c r="H9" s="75"/>
      <c r="I9" s="76">
        <v>100</v>
      </c>
      <c r="J9" s="68"/>
      <c r="M9" s="77"/>
      <c r="N9" s="78" t="s">
        <v>40</v>
      </c>
      <c r="O9" s="79" t="s">
        <v>41</v>
      </c>
      <c r="P9" s="79" t="s">
        <v>42</v>
      </c>
      <c r="Q9" s="79" t="s">
        <v>43</v>
      </c>
      <c r="R9" s="79" t="s">
        <v>44</v>
      </c>
      <c r="S9" s="80" t="s">
        <v>45</v>
      </c>
      <c r="T9" s="81" t="s">
        <v>46</v>
      </c>
      <c r="U9" s="58"/>
      <c r="V9" s="82" t="s">
        <v>47</v>
      </c>
      <c r="W9" s="64"/>
    </row>
    <row r="10" spans="2:23" ht="12.75" customHeight="1">
      <c r="B10" s="83"/>
      <c r="C10" s="66"/>
      <c r="D10" s="66"/>
      <c r="E10" s="66"/>
      <c r="F10" s="66"/>
      <c r="G10" s="84" t="s">
        <v>18</v>
      </c>
      <c r="H10" s="84"/>
      <c r="I10" s="85">
        <v>919</v>
      </c>
      <c r="J10" s="68"/>
      <c r="M10" s="86" t="s">
        <v>48</v>
      </c>
      <c r="N10" s="87">
        <f>C12</f>
        <v>20</v>
      </c>
      <c r="O10" s="87">
        <f>C13</f>
        <v>0</v>
      </c>
      <c r="P10" s="87">
        <f>C14</f>
        <v>0</v>
      </c>
      <c r="Q10" s="87">
        <f>C15</f>
        <v>0</v>
      </c>
      <c r="R10" s="87">
        <f>C16</f>
        <v>0</v>
      </c>
      <c r="S10" s="87">
        <f>C17</f>
        <v>0</v>
      </c>
      <c r="T10" s="88">
        <f>C18</f>
        <v>0</v>
      </c>
      <c r="U10" s="64"/>
      <c r="V10" s="89">
        <f>I9</f>
        <v>100</v>
      </c>
      <c r="W10" s="64"/>
    </row>
    <row r="11" spans="2:23" ht="12.75" customHeight="1">
      <c r="B11" s="90" t="s">
        <v>49</v>
      </c>
      <c r="C11" s="91" t="s">
        <v>50</v>
      </c>
      <c r="D11" s="92" t="s">
        <v>51</v>
      </c>
      <c r="E11" s="93" t="s">
        <v>50</v>
      </c>
      <c r="F11" s="66"/>
      <c r="G11" s="84" t="s">
        <v>52</v>
      </c>
      <c r="H11" s="84"/>
      <c r="I11" s="94" t="s">
        <v>53</v>
      </c>
      <c r="J11" s="68"/>
      <c r="M11" s="95" t="s">
        <v>54</v>
      </c>
      <c r="N11" s="96">
        <f aca="true" t="shared" si="0" ref="N11:T11">IF($T$114&gt;=$Q$114,N10,N10*$U$114/100)</f>
        <v>20</v>
      </c>
      <c r="O11" s="96">
        <f t="shared" si="0"/>
        <v>0</v>
      </c>
      <c r="P11" s="96">
        <f t="shared" si="0"/>
        <v>0</v>
      </c>
      <c r="Q11" s="96">
        <f t="shared" si="0"/>
        <v>0</v>
      </c>
      <c r="R11" s="96">
        <f t="shared" si="0"/>
        <v>0</v>
      </c>
      <c r="S11" s="96">
        <f t="shared" si="0"/>
        <v>0</v>
      </c>
      <c r="T11" s="97">
        <f t="shared" si="0"/>
        <v>0</v>
      </c>
      <c r="U11" s="64"/>
      <c r="V11" s="98">
        <f>IF(Q114&gt;T114,U114*V10/100,0)</f>
        <v>0</v>
      </c>
      <c r="W11" s="64"/>
    </row>
    <row r="12" spans="2:23" ht="12.75" customHeight="1">
      <c r="B12" s="99" t="s">
        <v>40</v>
      </c>
      <c r="C12" s="100">
        <v>20</v>
      </c>
      <c r="D12" s="101" t="s">
        <v>40</v>
      </c>
      <c r="E12" s="102"/>
      <c r="F12" s="103"/>
      <c r="G12" s="104" t="s">
        <v>55</v>
      </c>
      <c r="H12" s="104"/>
      <c r="I12" s="105">
        <v>185</v>
      </c>
      <c r="J12" s="68"/>
      <c r="M12" s="106" t="s">
        <v>56</v>
      </c>
      <c r="N12" s="96">
        <f aca="true" t="shared" si="1" ref="N12:T12">N10-N11</f>
        <v>0</v>
      </c>
      <c r="O12" s="96">
        <f t="shared" si="1"/>
        <v>0</v>
      </c>
      <c r="P12" s="96">
        <f t="shared" si="1"/>
        <v>0</v>
      </c>
      <c r="Q12" s="96">
        <f t="shared" si="1"/>
        <v>0</v>
      </c>
      <c r="R12" s="96">
        <f t="shared" si="1"/>
        <v>0</v>
      </c>
      <c r="S12" s="96">
        <f t="shared" si="1"/>
        <v>0</v>
      </c>
      <c r="T12" s="97">
        <f t="shared" si="1"/>
        <v>0</v>
      </c>
      <c r="U12" s="64"/>
      <c r="V12" s="107">
        <f>V10-V11</f>
        <v>100</v>
      </c>
      <c r="W12" s="64"/>
    </row>
    <row r="13" spans="2:23" ht="12.75" customHeight="1">
      <c r="B13" s="99" t="s">
        <v>41</v>
      </c>
      <c r="C13" s="100"/>
      <c r="D13" s="101" t="s">
        <v>41</v>
      </c>
      <c r="E13" s="102">
        <v>20</v>
      </c>
      <c r="F13" s="103"/>
      <c r="G13" s="108" t="s">
        <v>57</v>
      </c>
      <c r="H13" s="108"/>
      <c r="I13" s="108"/>
      <c r="J13" s="108"/>
      <c r="M13" s="109"/>
      <c r="N13" s="64"/>
      <c r="O13" s="64"/>
      <c r="P13" s="64"/>
      <c r="Q13" s="64"/>
      <c r="R13" s="64"/>
      <c r="S13" s="64"/>
      <c r="T13" s="64"/>
      <c r="U13" s="64"/>
      <c r="V13" s="68"/>
      <c r="W13" s="64"/>
    </row>
    <row r="14" spans="2:23" ht="12.75" customHeight="1">
      <c r="B14" s="99" t="s">
        <v>42</v>
      </c>
      <c r="C14" s="100"/>
      <c r="D14" s="101" t="s">
        <v>42</v>
      </c>
      <c r="E14" s="102">
        <v>20</v>
      </c>
      <c r="F14" s="103"/>
      <c r="G14" s="110" t="s">
        <v>3</v>
      </c>
      <c r="H14" s="110"/>
      <c r="I14" s="76"/>
      <c r="J14" s="68"/>
      <c r="M14" s="111"/>
      <c r="N14" s="112" t="s">
        <v>40</v>
      </c>
      <c r="O14" s="113" t="s">
        <v>41</v>
      </c>
      <c r="P14" s="113" t="s">
        <v>42</v>
      </c>
      <c r="Q14" s="113" t="s">
        <v>43</v>
      </c>
      <c r="R14" s="113" t="s">
        <v>44</v>
      </c>
      <c r="S14" s="113" t="s">
        <v>58</v>
      </c>
      <c r="T14" s="113" t="s">
        <v>46</v>
      </c>
      <c r="U14" s="113" t="s">
        <v>59</v>
      </c>
      <c r="V14" s="114" t="s">
        <v>60</v>
      </c>
      <c r="W14" s="58"/>
    </row>
    <row r="15" spans="2:23" ht="12.75" customHeight="1">
      <c r="B15" s="99" t="s">
        <v>43</v>
      </c>
      <c r="C15" s="100"/>
      <c r="D15" s="101" t="s">
        <v>43</v>
      </c>
      <c r="E15" s="102">
        <v>20</v>
      </c>
      <c r="F15" s="103"/>
      <c r="G15" s="115" t="s">
        <v>61</v>
      </c>
      <c r="H15" s="115"/>
      <c r="I15" s="85"/>
      <c r="J15" s="68"/>
      <c r="M15" s="116" t="s">
        <v>48</v>
      </c>
      <c r="N15" s="117">
        <f>E12</f>
        <v>0</v>
      </c>
      <c r="O15" s="117">
        <f>E13</f>
        <v>20</v>
      </c>
      <c r="P15" s="117">
        <f>E14</f>
        <v>20</v>
      </c>
      <c r="Q15" s="117">
        <f>E15</f>
        <v>20</v>
      </c>
      <c r="R15" s="117"/>
      <c r="S15" s="117"/>
      <c r="T15" s="117"/>
      <c r="U15" s="117"/>
      <c r="V15" s="118"/>
      <c r="W15" s="64"/>
    </row>
    <row r="16" spans="2:23" ht="12.75" customHeight="1">
      <c r="B16" s="99" t="s">
        <v>62</v>
      </c>
      <c r="C16" s="100"/>
      <c r="D16" s="101" t="s">
        <v>62</v>
      </c>
      <c r="E16" s="102"/>
      <c r="F16" s="103"/>
      <c r="G16" s="115" t="s">
        <v>63</v>
      </c>
      <c r="H16" s="115"/>
      <c r="I16" s="85"/>
      <c r="J16" s="68"/>
      <c r="M16" s="119" t="s">
        <v>54</v>
      </c>
      <c r="N16" s="120">
        <f>IF($Q$114&gt;=$T$114,N15,N15*$U$114/100)</f>
        <v>0</v>
      </c>
      <c r="O16" s="120">
        <f aca="true" t="shared" si="2" ref="O16:V16">IF($Q$114&gt;=$T$114,O15,O15*$U$114/100)</f>
        <v>6.259074966572907</v>
      </c>
      <c r="P16" s="120">
        <f t="shared" si="2"/>
        <v>6.259074966572907</v>
      </c>
      <c r="Q16" s="120">
        <f t="shared" si="2"/>
        <v>6.259074966572907</v>
      </c>
      <c r="R16" s="120">
        <f t="shared" si="2"/>
        <v>0</v>
      </c>
      <c r="S16" s="120">
        <f t="shared" si="2"/>
        <v>0</v>
      </c>
      <c r="T16" s="120">
        <f t="shared" si="2"/>
        <v>0</v>
      </c>
      <c r="U16" s="120">
        <f t="shared" si="2"/>
        <v>0</v>
      </c>
      <c r="V16" s="121">
        <f t="shared" si="2"/>
        <v>0</v>
      </c>
      <c r="W16" s="64"/>
    </row>
    <row r="17" spans="2:23" ht="12.75" customHeight="1">
      <c r="B17" s="122" t="s">
        <v>64</v>
      </c>
      <c r="C17" s="100"/>
      <c r="D17" s="123" t="s">
        <v>64</v>
      </c>
      <c r="E17" s="102"/>
      <c r="F17" s="103"/>
      <c r="G17" s="115" t="s">
        <v>41</v>
      </c>
      <c r="H17" s="115"/>
      <c r="I17" s="85"/>
      <c r="J17" s="68"/>
      <c r="M17" s="124" t="s">
        <v>56</v>
      </c>
      <c r="N17" s="120">
        <f aca="true" t="shared" si="3" ref="N17:V17">N15-N16</f>
        <v>0</v>
      </c>
      <c r="O17" s="120">
        <f t="shared" si="3"/>
        <v>13.740925033427093</v>
      </c>
      <c r="P17" s="120">
        <f t="shared" si="3"/>
        <v>13.740925033427093</v>
      </c>
      <c r="Q17" s="120">
        <f t="shared" si="3"/>
        <v>13.740925033427093</v>
      </c>
      <c r="R17" s="120">
        <f t="shared" si="3"/>
        <v>0</v>
      </c>
      <c r="S17" s="120">
        <f t="shared" si="3"/>
        <v>0</v>
      </c>
      <c r="T17" s="120">
        <f t="shared" si="3"/>
        <v>0</v>
      </c>
      <c r="U17" s="120">
        <f t="shared" si="3"/>
        <v>0</v>
      </c>
      <c r="V17" s="121">
        <f t="shared" si="3"/>
        <v>0</v>
      </c>
      <c r="W17" s="64"/>
    </row>
    <row r="18" spans="2:23" ht="12.75" customHeight="1">
      <c r="B18" s="99" t="s">
        <v>65</v>
      </c>
      <c r="C18" s="100"/>
      <c r="D18" s="101" t="s">
        <v>65</v>
      </c>
      <c r="E18" s="102"/>
      <c r="F18" s="103"/>
      <c r="G18" s="115" t="s">
        <v>42</v>
      </c>
      <c r="H18" s="115"/>
      <c r="I18" s="85"/>
      <c r="J18" s="68"/>
      <c r="M18" s="109"/>
      <c r="N18" s="64"/>
      <c r="O18" s="64"/>
      <c r="P18" s="64"/>
      <c r="Q18" s="64"/>
      <c r="R18" s="64"/>
      <c r="S18" s="64"/>
      <c r="T18" s="64"/>
      <c r="U18" s="64"/>
      <c r="V18" s="68"/>
      <c r="W18" s="64"/>
    </row>
    <row r="19" spans="2:23" ht="12.75" customHeight="1">
      <c r="B19" s="125"/>
      <c r="C19" s="126"/>
      <c r="D19" s="101" t="s">
        <v>59</v>
      </c>
      <c r="E19" s="102"/>
      <c r="F19" s="103"/>
      <c r="G19" s="127" t="s">
        <v>43</v>
      </c>
      <c r="H19" s="127"/>
      <c r="I19" s="105"/>
      <c r="J19" s="68"/>
      <c r="M19" s="109"/>
      <c r="N19" s="64"/>
      <c r="O19" s="64"/>
      <c r="P19" s="64"/>
      <c r="Q19" s="64"/>
      <c r="R19" s="64"/>
      <c r="S19" s="64"/>
      <c r="T19" s="64"/>
      <c r="U19" s="64"/>
      <c r="V19" s="68"/>
      <c r="W19" s="64"/>
    </row>
    <row r="20" spans="2:23" ht="12.75" customHeight="1">
      <c r="B20" s="125"/>
      <c r="C20" s="126"/>
      <c r="D20" s="101" t="s">
        <v>66</v>
      </c>
      <c r="E20" s="102"/>
      <c r="F20" s="103"/>
      <c r="G20" s="128" t="s">
        <v>67</v>
      </c>
      <c r="H20" s="129"/>
      <c r="I20" s="130"/>
      <c r="J20" s="131"/>
      <c r="M20" s="109"/>
      <c r="N20" s="132" t="s">
        <v>68</v>
      </c>
      <c r="O20" s="132"/>
      <c r="P20" s="133">
        <f>(H48*1+(H49+H50+H51)*2+(H52+H53+H54)*4)*I12/100</f>
        <v>222</v>
      </c>
      <c r="Q20" s="133"/>
      <c r="R20" s="64"/>
      <c r="S20" s="64"/>
      <c r="T20" s="64"/>
      <c r="U20" s="64"/>
      <c r="V20" s="68"/>
      <c r="W20" s="64"/>
    </row>
    <row r="21" spans="2:23" ht="12.75" customHeight="1">
      <c r="B21" s="134" t="s">
        <v>69</v>
      </c>
      <c r="C21" s="135"/>
      <c r="D21" s="136" t="s">
        <v>69</v>
      </c>
      <c r="E21" s="137"/>
      <c r="F21" s="103"/>
      <c r="G21" s="138" t="s">
        <v>70</v>
      </c>
      <c r="H21" s="138"/>
      <c r="I21" s="139">
        <v>0.015</v>
      </c>
      <c r="J21" s="68"/>
      <c r="M21" s="140"/>
      <c r="N21" s="141"/>
      <c r="O21" s="141"/>
      <c r="P21" s="141"/>
      <c r="Q21" s="141"/>
      <c r="R21" s="141"/>
      <c r="S21" s="141"/>
      <c r="T21" s="141"/>
      <c r="U21" s="141"/>
      <c r="V21" s="142"/>
      <c r="W21" s="64"/>
    </row>
    <row r="22" spans="2:10" ht="12.75" customHeight="1">
      <c r="B22" s="143"/>
      <c r="C22" s="103"/>
      <c r="D22" s="103"/>
      <c r="E22" s="103"/>
      <c r="F22" s="103"/>
      <c r="G22" s="84" t="s">
        <v>71</v>
      </c>
      <c r="H22" s="84"/>
      <c r="I22" s="85">
        <v>1</v>
      </c>
      <c r="J22" s="68"/>
    </row>
    <row r="23" spans="2:10" ht="12.75" customHeight="1">
      <c r="B23" s="144"/>
      <c r="C23" s="144"/>
      <c r="D23" s="103"/>
      <c r="E23" s="103"/>
      <c r="F23" s="103"/>
      <c r="G23" s="84" t="s">
        <v>72</v>
      </c>
      <c r="H23" s="84"/>
      <c r="I23" s="85">
        <v>1</v>
      </c>
      <c r="J23" s="68"/>
    </row>
    <row r="24" spans="2:10" ht="12.75" customHeight="1">
      <c r="B24" s="145"/>
      <c r="C24" s="64"/>
      <c r="D24" s="64"/>
      <c r="E24" s="66"/>
      <c r="F24" s="66"/>
      <c r="G24" s="115" t="s">
        <v>73</v>
      </c>
      <c r="H24" s="115"/>
      <c r="I24" s="85">
        <v>1</v>
      </c>
      <c r="J24" s="68"/>
    </row>
    <row r="25" spans="2:10" ht="12.75" customHeight="1">
      <c r="B25" s="146"/>
      <c r="C25" s="58"/>
      <c r="D25" s="66"/>
      <c r="E25" s="66"/>
      <c r="F25" s="66"/>
      <c r="G25" s="115" t="s">
        <v>74</v>
      </c>
      <c r="H25" s="115"/>
      <c r="I25" s="85">
        <v>1</v>
      </c>
      <c r="J25" s="68"/>
    </row>
    <row r="26" spans="2:10" ht="12.75" customHeight="1">
      <c r="B26" s="145"/>
      <c r="C26" s="66"/>
      <c r="D26" s="66"/>
      <c r="E26" s="66"/>
      <c r="F26" s="66"/>
      <c r="G26" s="147" t="s">
        <v>75</v>
      </c>
      <c r="H26" s="148"/>
      <c r="I26" s="85">
        <v>1</v>
      </c>
      <c r="J26" s="68"/>
    </row>
    <row r="27" spans="2:10" ht="12.75" customHeight="1">
      <c r="B27" s="145"/>
      <c r="C27" s="66"/>
      <c r="D27" s="66"/>
      <c r="E27" s="66"/>
      <c r="F27" s="66"/>
      <c r="G27" s="147" t="s">
        <v>76</v>
      </c>
      <c r="H27" s="148"/>
      <c r="I27" s="85">
        <v>1</v>
      </c>
      <c r="J27" s="68"/>
    </row>
    <row r="28" spans="2:10" ht="12.75" customHeight="1">
      <c r="B28" s="145"/>
      <c r="C28" s="66"/>
      <c r="D28" s="66"/>
      <c r="E28" s="66"/>
      <c r="F28" s="66"/>
      <c r="G28" s="147" t="s">
        <v>77</v>
      </c>
      <c r="H28" s="148"/>
      <c r="I28" s="85">
        <v>1</v>
      </c>
      <c r="J28" s="68"/>
    </row>
    <row r="29" spans="2:10" ht="12.75" customHeight="1">
      <c r="B29" s="149"/>
      <c r="C29" s="150"/>
      <c r="D29" s="150"/>
      <c r="E29" s="150"/>
      <c r="F29" s="150"/>
      <c r="G29" s="150"/>
      <c r="H29" s="150"/>
      <c r="I29" s="141"/>
      <c r="J29" s="142"/>
    </row>
    <row r="30" spans="2:10" ht="12.75" customHeight="1">
      <c r="B30" s="66"/>
      <c r="C30" s="66"/>
      <c r="D30" s="66"/>
      <c r="E30" s="66"/>
      <c r="F30" s="66"/>
      <c r="G30" s="66"/>
      <c r="H30" s="66"/>
      <c r="I30" s="64"/>
      <c r="J30" s="64"/>
    </row>
    <row r="31" spans="2:10" ht="12.75" customHeight="1">
      <c r="B31" s="66"/>
      <c r="C31" s="66"/>
      <c r="D31" s="66"/>
      <c r="E31" s="66"/>
      <c r="F31" s="66"/>
      <c r="G31" s="66"/>
      <c r="H31" s="66"/>
      <c r="I31" s="64"/>
      <c r="J31" s="64"/>
    </row>
    <row r="32" spans="2:10" ht="12.75" customHeight="1">
      <c r="B32" s="66"/>
      <c r="C32" s="66"/>
      <c r="D32" s="66"/>
      <c r="E32" s="66"/>
      <c r="F32" s="66"/>
      <c r="G32" s="66"/>
      <c r="H32" s="66"/>
      <c r="I32" s="64"/>
      <c r="J32" s="64"/>
    </row>
    <row r="33" spans="2:10" ht="12.75" customHeight="1">
      <c r="B33" s="66"/>
      <c r="C33" s="66"/>
      <c r="D33" s="66"/>
      <c r="E33" s="66"/>
      <c r="F33" s="66"/>
      <c r="G33" s="66"/>
      <c r="H33" s="66"/>
      <c r="I33" s="64"/>
      <c r="J33" s="64"/>
    </row>
    <row r="34" spans="2:15" ht="12.75" customHeight="1">
      <c r="B34" s="151" t="s">
        <v>78</v>
      </c>
      <c r="C34" s="151"/>
      <c r="D34" s="151"/>
      <c r="E34" s="66"/>
      <c r="F34" s="66"/>
      <c r="G34" s="66"/>
      <c r="H34" s="66"/>
      <c r="I34" s="64"/>
      <c r="J34" s="64"/>
      <c r="M34" s="151" t="s">
        <v>79</v>
      </c>
      <c r="N34" s="151"/>
      <c r="O34" s="151"/>
    </row>
    <row r="35" spans="7:8" ht="12.75" customHeight="1">
      <c r="G35" s="152"/>
      <c r="H35" s="152"/>
    </row>
    <row r="36" spans="2:21" ht="12.75" customHeight="1">
      <c r="B36" s="153" t="s">
        <v>80</v>
      </c>
      <c r="C36" s="85">
        <f>I10</f>
        <v>919</v>
      </c>
      <c r="D36" s="154">
        <f>I10*(1+I14)*I9/100</f>
        <v>919</v>
      </c>
      <c r="M36" s="155" t="s">
        <v>40</v>
      </c>
      <c r="N36" s="156" t="s">
        <v>49</v>
      </c>
      <c r="O36" s="157" t="s">
        <v>81</v>
      </c>
      <c r="P36" s="158" t="s">
        <v>82</v>
      </c>
      <c r="Q36" s="158" t="s">
        <v>83</v>
      </c>
      <c r="R36" s="158" t="s">
        <v>84</v>
      </c>
      <c r="S36" s="158" t="s">
        <v>85</v>
      </c>
      <c r="T36" s="159" t="s">
        <v>86</v>
      </c>
      <c r="U36" s="160"/>
    </row>
    <row r="37" spans="2:21" ht="12.75" customHeight="1">
      <c r="B37" s="153" t="s">
        <v>40</v>
      </c>
      <c r="C37" s="85">
        <v>15</v>
      </c>
      <c r="D37" s="154">
        <f>C37*($I$21+I22+I16+$I$15)</f>
        <v>15.224999999999998</v>
      </c>
      <c r="M37" s="161" t="s">
        <v>87</v>
      </c>
      <c r="N37" s="162">
        <f aca="true" t="shared" si="4" ref="N37:N45">$C$12*I48</f>
        <v>0</v>
      </c>
      <c r="O37" s="163">
        <f aca="true" t="shared" si="5" ref="O37:O45">$C$48*I48</f>
        <v>0</v>
      </c>
      <c r="P37" s="164">
        <f aca="true" t="shared" si="6" ref="P37:P46">$D$48*I48</f>
        <v>0</v>
      </c>
      <c r="Q37" s="164">
        <f aca="true" t="shared" si="7" ref="Q37:Q46">O37+P37</f>
        <v>0</v>
      </c>
      <c r="R37" s="165">
        <v>15</v>
      </c>
      <c r="S37" s="166">
        <f aca="true" t="shared" si="8" ref="S37:S45">H48*$E$48</f>
        <v>0</v>
      </c>
      <c r="T37" s="167">
        <f aca="true" t="shared" si="9" ref="T37:T45">R37*S37</f>
        <v>0</v>
      </c>
      <c r="U37" s="168">
        <f aca="true" t="shared" si="10" ref="U37:U68">IF(T37&lt;=Q37,0,100*(T37/Q37)^(3/2))+IF(T37&gt;=Q37,0,100*(Q37/T37)^(3/2))</f>
        <v>0</v>
      </c>
    </row>
    <row r="38" spans="2:21" ht="12.75" customHeight="1">
      <c r="B38" s="153" t="s">
        <v>41</v>
      </c>
      <c r="C38" s="85">
        <v>40</v>
      </c>
      <c r="D38" s="154">
        <f>C38*($I$21+I23+I17+$I$15)</f>
        <v>40.599999999999994</v>
      </c>
      <c r="M38" s="169" t="s">
        <v>88</v>
      </c>
      <c r="N38" s="162">
        <f t="shared" si="4"/>
        <v>6.666666666666666</v>
      </c>
      <c r="O38" s="162">
        <f t="shared" si="5"/>
        <v>101.49999999999997</v>
      </c>
      <c r="P38" s="170">
        <f t="shared" si="6"/>
        <v>0</v>
      </c>
      <c r="Q38" s="170">
        <f t="shared" si="7"/>
        <v>101.49999999999997</v>
      </c>
      <c r="R38" s="171">
        <v>50</v>
      </c>
      <c r="S38" s="172">
        <f t="shared" si="8"/>
        <v>4.977523498161013</v>
      </c>
      <c r="T38" s="173">
        <f t="shared" si="9"/>
        <v>248.87617490805064</v>
      </c>
      <c r="U38" s="168">
        <f t="shared" si="10"/>
        <v>383.95110476504397</v>
      </c>
    </row>
    <row r="39" spans="2:21" ht="12.75" customHeight="1">
      <c r="B39" s="153" t="s">
        <v>42</v>
      </c>
      <c r="C39" s="85">
        <v>42</v>
      </c>
      <c r="D39" s="154">
        <f>C39*($I$21+I24+I18+$I$15)</f>
        <v>42.629999999999995</v>
      </c>
      <c r="M39" s="169" t="s">
        <v>89</v>
      </c>
      <c r="N39" s="162">
        <f t="shared" si="4"/>
        <v>6.666666666666666</v>
      </c>
      <c r="O39" s="162">
        <f t="shared" si="5"/>
        <v>101.49999999999997</v>
      </c>
      <c r="P39" s="170">
        <f t="shared" si="6"/>
        <v>0</v>
      </c>
      <c r="Q39" s="170">
        <f t="shared" si="7"/>
        <v>101.49999999999997</v>
      </c>
      <c r="R39" s="171">
        <v>52</v>
      </c>
      <c r="S39" s="172">
        <f t="shared" si="8"/>
        <v>4.977523498161013</v>
      </c>
      <c r="T39" s="173">
        <f t="shared" si="9"/>
        <v>258.8312219043727</v>
      </c>
      <c r="U39" s="168">
        <f t="shared" si="10"/>
        <v>407.2170284961932</v>
      </c>
    </row>
    <row r="40" spans="2:21" ht="12.75" customHeight="1">
      <c r="B40" s="153" t="s">
        <v>43</v>
      </c>
      <c r="C40" s="85">
        <v>44</v>
      </c>
      <c r="D40" s="154">
        <f>C40*($I$21+I25+I19+$I$15)</f>
        <v>44.66</v>
      </c>
      <c r="M40" s="169" t="s">
        <v>53</v>
      </c>
      <c r="N40" s="162">
        <f t="shared" si="4"/>
        <v>6.666666666666666</v>
      </c>
      <c r="O40" s="162">
        <f t="shared" si="5"/>
        <v>101.49999999999997</v>
      </c>
      <c r="P40" s="170">
        <f t="shared" si="6"/>
        <v>0</v>
      </c>
      <c r="Q40" s="170">
        <f t="shared" si="7"/>
        <v>101.49999999999997</v>
      </c>
      <c r="R40" s="171">
        <v>54</v>
      </c>
      <c r="S40" s="172">
        <f t="shared" si="8"/>
        <v>4.977523498161013</v>
      </c>
      <c r="T40" s="173">
        <f t="shared" si="9"/>
        <v>268.78626890069467</v>
      </c>
      <c r="U40" s="168">
        <f t="shared" si="10"/>
        <v>430.9347880567665</v>
      </c>
    </row>
    <row r="41" spans="2:21" ht="12.75" customHeight="1">
      <c r="B41" s="85" t="s">
        <v>62</v>
      </c>
      <c r="C41" s="85">
        <v>100</v>
      </c>
      <c r="D41" s="154">
        <f>C41*($I$21+I26+I17+$I$15)</f>
        <v>101.49999999999999</v>
      </c>
      <c r="M41" s="169" t="s">
        <v>62</v>
      </c>
      <c r="N41" s="162">
        <f t="shared" si="4"/>
        <v>0</v>
      </c>
      <c r="O41" s="162">
        <f t="shared" si="5"/>
        <v>0</v>
      </c>
      <c r="P41" s="170">
        <f t="shared" si="6"/>
        <v>0</v>
      </c>
      <c r="Q41" s="170">
        <f t="shared" si="7"/>
        <v>0</v>
      </c>
      <c r="R41" s="171">
        <v>200</v>
      </c>
      <c r="S41" s="172">
        <f t="shared" si="8"/>
        <v>0</v>
      </c>
      <c r="T41" s="173">
        <f t="shared" si="9"/>
        <v>0</v>
      </c>
      <c r="U41" s="168">
        <f t="shared" si="10"/>
        <v>0</v>
      </c>
    </row>
    <row r="42" spans="2:21" ht="12.75" customHeight="1">
      <c r="B42" s="174" t="s">
        <v>64</v>
      </c>
      <c r="C42" s="85">
        <v>105</v>
      </c>
      <c r="D42" s="154">
        <f>C42*($I$21+I27+I18+$I$15)</f>
        <v>106.57499999999999</v>
      </c>
      <c r="E42" s="64"/>
      <c r="F42" s="64"/>
      <c r="M42" s="169" t="s">
        <v>90</v>
      </c>
      <c r="N42" s="162">
        <f t="shared" si="4"/>
        <v>0</v>
      </c>
      <c r="O42" s="162">
        <f t="shared" si="5"/>
        <v>0</v>
      </c>
      <c r="P42" s="170">
        <f t="shared" si="6"/>
        <v>0</v>
      </c>
      <c r="Q42" s="170">
        <f t="shared" si="7"/>
        <v>0</v>
      </c>
      <c r="R42" s="171">
        <v>208</v>
      </c>
      <c r="S42" s="172">
        <f t="shared" si="8"/>
        <v>0</v>
      </c>
      <c r="T42" s="173">
        <f t="shared" si="9"/>
        <v>0</v>
      </c>
      <c r="U42" s="168">
        <f t="shared" si="10"/>
        <v>0</v>
      </c>
    </row>
    <row r="43" spans="2:21" ht="12.75" customHeight="1">
      <c r="B43" s="175" t="s">
        <v>65</v>
      </c>
      <c r="C43" s="85">
        <v>110</v>
      </c>
      <c r="D43" s="154">
        <f>C43*($I$21+I28+I20+$I$15)</f>
        <v>111.64999999999999</v>
      </c>
      <c r="M43" s="169" t="s">
        <v>65</v>
      </c>
      <c r="N43" s="162">
        <f t="shared" si="4"/>
        <v>0</v>
      </c>
      <c r="O43" s="162">
        <f t="shared" si="5"/>
        <v>0</v>
      </c>
      <c r="P43" s="170">
        <f t="shared" si="6"/>
        <v>0</v>
      </c>
      <c r="Q43" s="170">
        <f t="shared" si="7"/>
        <v>0</v>
      </c>
      <c r="R43" s="171">
        <v>216</v>
      </c>
      <c r="S43" s="172">
        <f t="shared" si="8"/>
        <v>0</v>
      </c>
      <c r="T43" s="173">
        <f t="shared" si="9"/>
        <v>0</v>
      </c>
      <c r="U43" s="168">
        <f t="shared" si="10"/>
        <v>0</v>
      </c>
    </row>
    <row r="44" spans="13:21" ht="12.75" customHeight="1">
      <c r="M44" s="169" t="s">
        <v>59</v>
      </c>
      <c r="N44" s="162">
        <f t="shared" si="4"/>
        <v>0</v>
      </c>
      <c r="O44" s="162">
        <f t="shared" si="5"/>
        <v>0</v>
      </c>
      <c r="P44" s="170">
        <f t="shared" si="6"/>
        <v>0</v>
      </c>
      <c r="Q44" s="170">
        <f t="shared" si="7"/>
        <v>0</v>
      </c>
      <c r="R44" s="171">
        <v>10</v>
      </c>
      <c r="S44" s="172">
        <f t="shared" si="8"/>
        <v>0</v>
      </c>
      <c r="T44" s="173">
        <f t="shared" si="9"/>
        <v>0</v>
      </c>
      <c r="U44" s="168">
        <f t="shared" si="10"/>
        <v>0</v>
      </c>
    </row>
    <row r="45" spans="2:21" ht="12.75" customHeight="1">
      <c r="B45" s="176" t="s">
        <v>91</v>
      </c>
      <c r="C45" s="176"/>
      <c r="D45" s="176"/>
      <c r="E45" s="176"/>
      <c r="F45" s="64"/>
      <c r="G45" s="176" t="s">
        <v>92</v>
      </c>
      <c r="H45" s="176"/>
      <c r="I45" s="176"/>
      <c r="M45" s="177" t="s">
        <v>66</v>
      </c>
      <c r="N45" s="162">
        <f t="shared" si="4"/>
        <v>0</v>
      </c>
      <c r="O45" s="178">
        <f t="shared" si="5"/>
        <v>0</v>
      </c>
      <c r="P45" s="179">
        <f t="shared" si="6"/>
        <v>0</v>
      </c>
      <c r="Q45" s="179">
        <f t="shared" si="7"/>
        <v>0</v>
      </c>
      <c r="R45" s="180">
        <v>30</v>
      </c>
      <c r="S45" s="181">
        <f t="shared" si="8"/>
        <v>0</v>
      </c>
      <c r="T45" s="182">
        <f t="shared" si="9"/>
        <v>0</v>
      </c>
      <c r="U45" s="168">
        <f t="shared" si="10"/>
        <v>0</v>
      </c>
    </row>
    <row r="46" spans="13:21" ht="12.75" customHeight="1">
      <c r="M46" s="183" t="s">
        <v>93</v>
      </c>
      <c r="N46" s="162">
        <f>SUM(N37:N45)</f>
        <v>20</v>
      </c>
      <c r="O46" s="184">
        <f>SUM(O37:O45)</f>
        <v>304.4999999999999</v>
      </c>
      <c r="P46" s="184">
        <f t="shared" si="6"/>
        <v>0</v>
      </c>
      <c r="Q46" s="185">
        <f t="shared" si="7"/>
        <v>304.4999999999999</v>
      </c>
      <c r="R46" s="186"/>
      <c r="S46" s="187">
        <f>SUM(S37:S45)</f>
        <v>14.932570494483038</v>
      </c>
      <c r="T46" s="188">
        <f>SUM(T37:T45)</f>
        <v>776.4936657131179</v>
      </c>
      <c r="U46" s="168">
        <f t="shared" si="10"/>
        <v>407.2170284961932</v>
      </c>
    </row>
    <row r="47" spans="2:21" ht="12.75" customHeight="1">
      <c r="B47" s="189" t="s">
        <v>49</v>
      </c>
      <c r="C47" s="190" t="s">
        <v>94</v>
      </c>
      <c r="D47" s="190" t="s">
        <v>95</v>
      </c>
      <c r="E47" s="191" t="s">
        <v>96</v>
      </c>
      <c r="F47" s="192"/>
      <c r="G47" s="193" t="s">
        <v>51</v>
      </c>
      <c r="H47" s="194" t="s">
        <v>50</v>
      </c>
      <c r="I47" s="195" t="s">
        <v>97</v>
      </c>
      <c r="M47" s="196" t="s">
        <v>41</v>
      </c>
      <c r="N47" s="197"/>
      <c r="O47" s="198"/>
      <c r="P47" s="199"/>
      <c r="Q47" s="199"/>
      <c r="R47" s="199"/>
      <c r="S47" s="199"/>
      <c r="T47" s="199"/>
      <c r="U47" s="168">
        <f t="shared" si="10"/>
        <v>0</v>
      </c>
    </row>
    <row r="48" spans="2:21" ht="12.75" customHeight="1">
      <c r="B48" s="200" t="s">
        <v>40</v>
      </c>
      <c r="C48" s="201">
        <f aca="true" t="shared" si="11" ref="C48:C54">C12*D37</f>
        <v>304.49999999999994</v>
      </c>
      <c r="D48" s="202"/>
      <c r="E48" s="203">
        <f aca="true" t="shared" si="12" ref="E48:E54">(C48+D48)/($C$55+$D$55)</f>
        <v>0.24887617490805064</v>
      </c>
      <c r="F48" s="64"/>
      <c r="G48" s="204" t="s">
        <v>40</v>
      </c>
      <c r="H48" s="205">
        <f aca="true" t="shared" si="13" ref="H48:H56">E12</f>
        <v>0</v>
      </c>
      <c r="I48" s="206">
        <f aca="true" t="shared" si="14" ref="I48:I56">H48/$H$57</f>
        <v>0</v>
      </c>
      <c r="M48" s="161" t="s">
        <v>87</v>
      </c>
      <c r="N48" s="162">
        <f aca="true" t="shared" si="15" ref="N48:N56">$C$13*I48</f>
        <v>0</v>
      </c>
      <c r="O48" s="207">
        <f aca="true" t="shared" si="16" ref="O48:O56">$C$49*I48</f>
        <v>0</v>
      </c>
      <c r="P48" s="208">
        <f aca="true" t="shared" si="17" ref="P48:P56">$D$49*I48</f>
        <v>0</v>
      </c>
      <c r="Q48" s="208">
        <f aca="true" t="shared" si="18" ref="Q48:Q56">O48+P48</f>
        <v>0</v>
      </c>
      <c r="R48" s="165">
        <v>10</v>
      </c>
      <c r="S48" s="166">
        <f aca="true" t="shared" si="19" ref="S48:S56">H48*$E$49</f>
        <v>0</v>
      </c>
      <c r="T48" s="167">
        <f aca="true" t="shared" si="20" ref="T48:T56">R48*S48</f>
        <v>0</v>
      </c>
      <c r="U48" s="168">
        <f t="shared" si="10"/>
        <v>0</v>
      </c>
    </row>
    <row r="49" spans="2:21" ht="12.75" customHeight="1">
      <c r="B49" s="200" t="s">
        <v>41</v>
      </c>
      <c r="C49" s="201">
        <f t="shared" si="11"/>
        <v>0</v>
      </c>
      <c r="D49" s="202">
        <f>IF($I$11="槍",$D$36,0)</f>
        <v>0</v>
      </c>
      <c r="E49" s="203">
        <f t="shared" si="12"/>
        <v>0</v>
      </c>
      <c r="F49" s="64"/>
      <c r="G49" s="204" t="s">
        <v>41</v>
      </c>
      <c r="H49" s="205">
        <f t="shared" si="13"/>
        <v>20</v>
      </c>
      <c r="I49" s="206">
        <f t="shared" si="14"/>
        <v>0.3333333333333333</v>
      </c>
      <c r="L49" s="64"/>
      <c r="M49" s="169" t="s">
        <v>88</v>
      </c>
      <c r="N49" s="162">
        <f t="shared" si="15"/>
        <v>0</v>
      </c>
      <c r="O49" s="162">
        <f t="shared" si="16"/>
        <v>0</v>
      </c>
      <c r="P49" s="170">
        <f t="shared" si="17"/>
        <v>0</v>
      </c>
      <c r="Q49" s="170">
        <f t="shared" si="18"/>
        <v>0</v>
      </c>
      <c r="R49" s="171">
        <v>40</v>
      </c>
      <c r="S49" s="172">
        <f t="shared" si="19"/>
        <v>0</v>
      </c>
      <c r="T49" s="173">
        <f t="shared" si="20"/>
        <v>0</v>
      </c>
      <c r="U49" s="168">
        <f t="shared" si="10"/>
        <v>0</v>
      </c>
    </row>
    <row r="50" spans="2:21" ht="12.75" customHeight="1">
      <c r="B50" s="200" t="s">
        <v>42</v>
      </c>
      <c r="C50" s="201">
        <f t="shared" si="11"/>
        <v>0</v>
      </c>
      <c r="D50" s="202">
        <f>IF($I$11="弓",$D$36,0)</f>
        <v>0</v>
      </c>
      <c r="E50" s="203">
        <f t="shared" si="12"/>
        <v>0</v>
      </c>
      <c r="F50" s="64"/>
      <c r="G50" s="204" t="s">
        <v>42</v>
      </c>
      <c r="H50" s="205">
        <f t="shared" si="13"/>
        <v>20</v>
      </c>
      <c r="I50" s="206">
        <f t="shared" si="14"/>
        <v>0.3333333333333333</v>
      </c>
      <c r="L50" s="64"/>
      <c r="M50" s="169" t="s">
        <v>89</v>
      </c>
      <c r="N50" s="162">
        <f t="shared" si="15"/>
        <v>0</v>
      </c>
      <c r="O50" s="162">
        <f t="shared" si="16"/>
        <v>0</v>
      </c>
      <c r="P50" s="170">
        <f t="shared" si="17"/>
        <v>0</v>
      </c>
      <c r="Q50" s="170">
        <f t="shared" si="18"/>
        <v>0</v>
      </c>
      <c r="R50" s="171">
        <v>58</v>
      </c>
      <c r="S50" s="172">
        <f t="shared" si="19"/>
        <v>0</v>
      </c>
      <c r="T50" s="173">
        <f t="shared" si="20"/>
        <v>0</v>
      </c>
      <c r="U50" s="168">
        <f t="shared" si="10"/>
        <v>0</v>
      </c>
    </row>
    <row r="51" spans="2:21" ht="12.75" customHeight="1">
      <c r="B51" s="200" t="s">
        <v>43</v>
      </c>
      <c r="C51" s="201">
        <f t="shared" si="11"/>
        <v>0</v>
      </c>
      <c r="D51" s="202">
        <f>IF($I$11="騎馬",$D$36,0)</f>
        <v>919</v>
      </c>
      <c r="E51" s="203">
        <f t="shared" si="12"/>
        <v>0.7511238250919493</v>
      </c>
      <c r="F51" s="64"/>
      <c r="G51" s="204" t="s">
        <v>43</v>
      </c>
      <c r="H51" s="205">
        <f t="shared" si="13"/>
        <v>20</v>
      </c>
      <c r="I51" s="206">
        <f t="shared" si="14"/>
        <v>0.3333333333333333</v>
      </c>
      <c r="M51" s="169" t="s">
        <v>53</v>
      </c>
      <c r="N51" s="162">
        <f t="shared" si="15"/>
        <v>0</v>
      </c>
      <c r="O51" s="162">
        <f t="shared" si="16"/>
        <v>0</v>
      </c>
      <c r="P51" s="170">
        <f t="shared" si="17"/>
        <v>0</v>
      </c>
      <c r="Q51" s="170">
        <f t="shared" si="18"/>
        <v>0</v>
      </c>
      <c r="R51" s="171">
        <v>28</v>
      </c>
      <c r="S51" s="172">
        <f t="shared" si="19"/>
        <v>0</v>
      </c>
      <c r="T51" s="173">
        <f t="shared" si="20"/>
        <v>0</v>
      </c>
      <c r="U51" s="168">
        <f t="shared" si="10"/>
        <v>0</v>
      </c>
    </row>
    <row r="52" spans="2:21" ht="12.75" customHeight="1">
      <c r="B52" s="200" t="s">
        <v>62</v>
      </c>
      <c r="C52" s="201">
        <f t="shared" si="11"/>
        <v>0</v>
      </c>
      <c r="D52" s="209"/>
      <c r="E52" s="203">
        <f t="shared" si="12"/>
        <v>0</v>
      </c>
      <c r="F52" s="64"/>
      <c r="G52" s="204" t="s">
        <v>62</v>
      </c>
      <c r="H52" s="205">
        <f t="shared" si="13"/>
        <v>0</v>
      </c>
      <c r="I52" s="206">
        <f t="shared" si="14"/>
        <v>0</v>
      </c>
      <c r="M52" s="169" t="s">
        <v>62</v>
      </c>
      <c r="N52" s="162">
        <f t="shared" si="15"/>
        <v>0</v>
      </c>
      <c r="O52" s="162">
        <f t="shared" si="16"/>
        <v>0</v>
      </c>
      <c r="P52" s="170">
        <f t="shared" si="17"/>
        <v>0</v>
      </c>
      <c r="Q52" s="170">
        <f t="shared" si="18"/>
        <v>0</v>
      </c>
      <c r="R52" s="171">
        <v>100</v>
      </c>
      <c r="S52" s="172">
        <f t="shared" si="19"/>
        <v>0</v>
      </c>
      <c r="T52" s="173">
        <f t="shared" si="20"/>
        <v>0</v>
      </c>
      <c r="U52" s="168">
        <f t="shared" si="10"/>
        <v>0</v>
      </c>
    </row>
    <row r="53" spans="2:21" ht="12.75" customHeight="1">
      <c r="B53" s="200" t="s">
        <v>45</v>
      </c>
      <c r="C53" s="201">
        <f t="shared" si="11"/>
        <v>0</v>
      </c>
      <c r="D53" s="209"/>
      <c r="E53" s="203">
        <f t="shared" si="12"/>
        <v>0</v>
      </c>
      <c r="F53" s="64"/>
      <c r="G53" s="204" t="s">
        <v>45</v>
      </c>
      <c r="H53" s="205">
        <f t="shared" si="13"/>
        <v>0</v>
      </c>
      <c r="I53" s="206">
        <f t="shared" si="14"/>
        <v>0</v>
      </c>
      <c r="M53" s="169" t="s">
        <v>90</v>
      </c>
      <c r="N53" s="162">
        <f t="shared" si="15"/>
        <v>0</v>
      </c>
      <c r="O53" s="162">
        <f t="shared" si="16"/>
        <v>0</v>
      </c>
      <c r="P53" s="170">
        <f t="shared" si="17"/>
        <v>0</v>
      </c>
      <c r="Q53" s="170">
        <f t="shared" si="18"/>
        <v>0</v>
      </c>
      <c r="R53" s="171">
        <v>145</v>
      </c>
      <c r="S53" s="172">
        <f t="shared" si="19"/>
        <v>0</v>
      </c>
      <c r="T53" s="173">
        <f t="shared" si="20"/>
        <v>0</v>
      </c>
      <c r="U53" s="168">
        <f t="shared" si="10"/>
        <v>0</v>
      </c>
    </row>
    <row r="54" spans="2:21" ht="12.75" customHeight="1">
      <c r="B54" s="200" t="s">
        <v>65</v>
      </c>
      <c r="C54" s="201">
        <f t="shared" si="11"/>
        <v>0</v>
      </c>
      <c r="D54" s="209"/>
      <c r="E54" s="203">
        <f t="shared" si="12"/>
        <v>0</v>
      </c>
      <c r="F54" s="64"/>
      <c r="G54" s="204" t="s">
        <v>65</v>
      </c>
      <c r="H54" s="205">
        <f t="shared" si="13"/>
        <v>0</v>
      </c>
      <c r="I54" s="206">
        <f t="shared" si="14"/>
        <v>0</v>
      </c>
      <c r="M54" s="169" t="s">
        <v>65</v>
      </c>
      <c r="N54" s="162">
        <f t="shared" si="15"/>
        <v>0</v>
      </c>
      <c r="O54" s="162">
        <f t="shared" si="16"/>
        <v>0</v>
      </c>
      <c r="P54" s="170">
        <f t="shared" si="17"/>
        <v>0</v>
      </c>
      <c r="Q54" s="170">
        <f t="shared" si="18"/>
        <v>0</v>
      </c>
      <c r="R54" s="171">
        <v>70</v>
      </c>
      <c r="S54" s="172">
        <f t="shared" si="19"/>
        <v>0</v>
      </c>
      <c r="T54" s="173">
        <f t="shared" si="20"/>
        <v>0</v>
      </c>
      <c r="U54" s="168">
        <f t="shared" si="10"/>
        <v>0</v>
      </c>
    </row>
    <row r="55" spans="2:21" ht="12.75" customHeight="1">
      <c r="B55" s="210"/>
      <c r="C55" s="211">
        <f>SUM(C48:C54)</f>
        <v>304.49999999999994</v>
      </c>
      <c r="D55" s="211">
        <f>SUM(D48:D54)</f>
        <v>919</v>
      </c>
      <c r="E55" s="212">
        <f>SUM(E48:E54)</f>
        <v>1</v>
      </c>
      <c r="F55" s="64"/>
      <c r="G55" s="204" t="s">
        <v>59</v>
      </c>
      <c r="H55" s="205">
        <f t="shared" si="13"/>
        <v>0</v>
      </c>
      <c r="I55" s="206">
        <f t="shared" si="14"/>
        <v>0</v>
      </c>
      <c r="M55" s="169" t="s">
        <v>59</v>
      </c>
      <c r="N55" s="162">
        <f t="shared" si="15"/>
        <v>0</v>
      </c>
      <c r="O55" s="162">
        <f t="shared" si="16"/>
        <v>0</v>
      </c>
      <c r="P55" s="170">
        <f t="shared" si="17"/>
        <v>0</v>
      </c>
      <c r="Q55" s="170">
        <f t="shared" si="18"/>
        <v>0</v>
      </c>
      <c r="R55" s="171">
        <v>10</v>
      </c>
      <c r="S55" s="172">
        <f t="shared" si="19"/>
        <v>0</v>
      </c>
      <c r="T55" s="173">
        <f t="shared" si="20"/>
        <v>0</v>
      </c>
      <c r="U55" s="168">
        <f t="shared" si="10"/>
        <v>0</v>
      </c>
    </row>
    <row r="56" spans="2:21" ht="12.75" customHeight="1">
      <c r="B56" s="64"/>
      <c r="C56" s="64"/>
      <c r="D56" s="64"/>
      <c r="E56" s="64"/>
      <c r="F56" s="64"/>
      <c r="G56" s="204" t="s">
        <v>66</v>
      </c>
      <c r="H56" s="205">
        <f t="shared" si="13"/>
        <v>0</v>
      </c>
      <c r="I56" s="206">
        <f t="shared" si="14"/>
        <v>0</v>
      </c>
      <c r="M56" s="213" t="s">
        <v>66</v>
      </c>
      <c r="N56" s="162">
        <f t="shared" si="15"/>
        <v>0</v>
      </c>
      <c r="O56" s="178">
        <f t="shared" si="16"/>
        <v>0</v>
      </c>
      <c r="P56" s="179">
        <f t="shared" si="17"/>
        <v>0</v>
      </c>
      <c r="Q56" s="179">
        <f t="shared" si="18"/>
        <v>0</v>
      </c>
      <c r="R56" s="180">
        <v>10</v>
      </c>
      <c r="S56" s="181">
        <f t="shared" si="19"/>
        <v>0</v>
      </c>
      <c r="T56" s="182">
        <f t="shared" si="20"/>
        <v>0</v>
      </c>
      <c r="U56" s="168">
        <f t="shared" si="10"/>
        <v>0</v>
      </c>
    </row>
    <row r="57" spans="5:21" ht="12.75" customHeight="1">
      <c r="E57" s="64"/>
      <c r="F57" s="64"/>
      <c r="G57" s="214" t="s">
        <v>69</v>
      </c>
      <c r="H57" s="215">
        <f>SUM(H48:H56)</f>
        <v>60</v>
      </c>
      <c r="I57" s="216">
        <f>SUM(I48:I56)</f>
        <v>1</v>
      </c>
      <c r="M57" s="183"/>
      <c r="N57" s="162"/>
      <c r="O57" s="184">
        <f>SUM(O48:O56)</f>
        <v>0</v>
      </c>
      <c r="P57" s="184">
        <f>SUM(P48:P56)</f>
        <v>0</v>
      </c>
      <c r="Q57" s="185">
        <f>SUM(Q47:Q56)</f>
        <v>0</v>
      </c>
      <c r="R57" s="186"/>
      <c r="S57" s="187">
        <f>SUM(S48:S56)</f>
        <v>0</v>
      </c>
      <c r="T57" s="188">
        <f>SUM(T47:T56)</f>
        <v>0</v>
      </c>
      <c r="U57" s="168">
        <f t="shared" si="10"/>
        <v>0</v>
      </c>
    </row>
    <row r="58" spans="13:21" ht="12.75" customHeight="1">
      <c r="M58" s="196" t="s">
        <v>42</v>
      </c>
      <c r="N58" s="197"/>
      <c r="O58" s="217"/>
      <c r="P58" s="199"/>
      <c r="Q58" s="199"/>
      <c r="R58" s="199"/>
      <c r="S58" s="199"/>
      <c r="T58" s="199"/>
      <c r="U58" s="168">
        <f t="shared" si="10"/>
        <v>0</v>
      </c>
    </row>
    <row r="59" spans="13:21" ht="12.75" customHeight="1">
      <c r="M59" s="161" t="s">
        <v>87</v>
      </c>
      <c r="N59" s="162">
        <f aca="true" t="shared" si="21" ref="N59:N67">$C$14*I48</f>
        <v>0</v>
      </c>
      <c r="O59" s="218">
        <f aca="true" t="shared" si="22" ref="O59:O67">$C$50*I48</f>
        <v>0</v>
      </c>
      <c r="P59" s="218">
        <f aca="true" t="shared" si="23" ref="P59:P67">$D$50*I48</f>
        <v>0</v>
      </c>
      <c r="Q59" s="219">
        <f aca="true" t="shared" si="24" ref="Q59:Q67">O59+P59</f>
        <v>0</v>
      </c>
      <c r="R59" s="165">
        <v>10</v>
      </c>
      <c r="S59" s="166">
        <f aca="true" t="shared" si="25" ref="S59:S67">H48*$E$50</f>
        <v>0</v>
      </c>
      <c r="T59" s="167">
        <f aca="true" t="shared" si="26" ref="T59:T67">R59*S59</f>
        <v>0</v>
      </c>
      <c r="U59" s="168">
        <f t="shared" si="10"/>
        <v>0</v>
      </c>
    </row>
    <row r="60" spans="13:21" ht="12.75" customHeight="1">
      <c r="M60" s="169" t="s">
        <v>88</v>
      </c>
      <c r="N60" s="162">
        <f t="shared" si="21"/>
        <v>0</v>
      </c>
      <c r="O60" s="218">
        <f t="shared" si="22"/>
        <v>0</v>
      </c>
      <c r="P60" s="218">
        <f t="shared" si="23"/>
        <v>0</v>
      </c>
      <c r="Q60" s="220">
        <f t="shared" si="24"/>
        <v>0</v>
      </c>
      <c r="R60" s="171">
        <v>25</v>
      </c>
      <c r="S60" s="172">
        <f t="shared" si="25"/>
        <v>0</v>
      </c>
      <c r="T60" s="173">
        <f t="shared" si="26"/>
        <v>0</v>
      </c>
      <c r="U60" s="168">
        <f t="shared" si="10"/>
        <v>0</v>
      </c>
    </row>
    <row r="61" spans="13:21" ht="12.75" customHeight="1">
      <c r="M61" s="169" t="s">
        <v>89</v>
      </c>
      <c r="N61" s="162">
        <f t="shared" si="21"/>
        <v>0</v>
      </c>
      <c r="O61" s="218">
        <f t="shared" si="22"/>
        <v>0</v>
      </c>
      <c r="P61" s="218">
        <f t="shared" si="23"/>
        <v>0</v>
      </c>
      <c r="Q61" s="220">
        <f t="shared" si="24"/>
        <v>0</v>
      </c>
      <c r="R61" s="171">
        <v>42</v>
      </c>
      <c r="S61" s="172">
        <f t="shared" si="25"/>
        <v>0</v>
      </c>
      <c r="T61" s="173">
        <f t="shared" si="26"/>
        <v>0</v>
      </c>
      <c r="U61" s="168">
        <f t="shared" si="10"/>
        <v>0</v>
      </c>
    </row>
    <row r="62" spans="13:21" ht="12.75" customHeight="1">
      <c r="M62" s="169" t="s">
        <v>53</v>
      </c>
      <c r="N62" s="162">
        <f t="shared" si="21"/>
        <v>0</v>
      </c>
      <c r="O62" s="218">
        <f t="shared" si="22"/>
        <v>0</v>
      </c>
      <c r="P62" s="218">
        <f t="shared" si="23"/>
        <v>0</v>
      </c>
      <c r="Q62" s="220">
        <f t="shared" si="24"/>
        <v>0</v>
      </c>
      <c r="R62" s="171">
        <v>60</v>
      </c>
      <c r="S62" s="172">
        <f t="shared" si="25"/>
        <v>0</v>
      </c>
      <c r="T62" s="173">
        <f t="shared" si="26"/>
        <v>0</v>
      </c>
      <c r="U62" s="168">
        <f t="shared" si="10"/>
        <v>0</v>
      </c>
    </row>
    <row r="63" spans="13:21" ht="12.75" customHeight="1">
      <c r="M63" s="169" t="s">
        <v>62</v>
      </c>
      <c r="N63" s="162">
        <f t="shared" si="21"/>
        <v>0</v>
      </c>
      <c r="O63" s="218">
        <f t="shared" si="22"/>
        <v>0</v>
      </c>
      <c r="P63" s="218">
        <f t="shared" si="23"/>
        <v>0</v>
      </c>
      <c r="Q63" s="220">
        <f t="shared" si="24"/>
        <v>0</v>
      </c>
      <c r="R63" s="171">
        <v>63</v>
      </c>
      <c r="S63" s="172">
        <f t="shared" si="25"/>
        <v>0</v>
      </c>
      <c r="T63" s="173">
        <f t="shared" si="26"/>
        <v>0</v>
      </c>
      <c r="U63" s="168">
        <f t="shared" si="10"/>
        <v>0</v>
      </c>
    </row>
    <row r="64" spans="13:21" ht="12.75" customHeight="1">
      <c r="M64" s="169" t="s">
        <v>90</v>
      </c>
      <c r="N64" s="162">
        <f t="shared" si="21"/>
        <v>0</v>
      </c>
      <c r="O64" s="218">
        <f t="shared" si="22"/>
        <v>0</v>
      </c>
      <c r="P64" s="218">
        <f t="shared" si="23"/>
        <v>0</v>
      </c>
      <c r="Q64" s="220">
        <f t="shared" si="24"/>
        <v>0</v>
      </c>
      <c r="R64" s="171">
        <v>105</v>
      </c>
      <c r="S64" s="172">
        <f t="shared" si="25"/>
        <v>0</v>
      </c>
      <c r="T64" s="173">
        <f t="shared" si="26"/>
        <v>0</v>
      </c>
      <c r="U64" s="168">
        <f t="shared" si="10"/>
        <v>0</v>
      </c>
    </row>
    <row r="65" spans="13:21" ht="12.75" customHeight="1">
      <c r="M65" s="169" t="s">
        <v>65</v>
      </c>
      <c r="N65" s="162">
        <f t="shared" si="21"/>
        <v>0</v>
      </c>
      <c r="O65" s="218">
        <f t="shared" si="22"/>
        <v>0</v>
      </c>
      <c r="P65" s="218">
        <f t="shared" si="23"/>
        <v>0</v>
      </c>
      <c r="Q65" s="220">
        <f t="shared" si="24"/>
        <v>0</v>
      </c>
      <c r="R65" s="171">
        <v>150</v>
      </c>
      <c r="S65" s="172">
        <f t="shared" si="25"/>
        <v>0</v>
      </c>
      <c r="T65" s="173">
        <f t="shared" si="26"/>
        <v>0</v>
      </c>
      <c r="U65" s="168">
        <f t="shared" si="10"/>
        <v>0</v>
      </c>
    </row>
    <row r="66" spans="13:21" ht="12.75" customHeight="1">
      <c r="M66" s="169" t="s">
        <v>59</v>
      </c>
      <c r="N66" s="162">
        <f t="shared" si="21"/>
        <v>0</v>
      </c>
      <c r="O66" s="218">
        <f t="shared" si="22"/>
        <v>0</v>
      </c>
      <c r="P66" s="218">
        <f t="shared" si="23"/>
        <v>0</v>
      </c>
      <c r="Q66" s="220">
        <f t="shared" si="24"/>
        <v>0</v>
      </c>
      <c r="R66" s="171">
        <v>5</v>
      </c>
      <c r="S66" s="172">
        <f t="shared" si="25"/>
        <v>0</v>
      </c>
      <c r="T66" s="173">
        <f t="shared" si="26"/>
        <v>0</v>
      </c>
      <c r="U66" s="168">
        <f t="shared" si="10"/>
        <v>0</v>
      </c>
    </row>
    <row r="67" spans="13:21" ht="12.75" customHeight="1">
      <c r="M67" s="177" t="s">
        <v>66</v>
      </c>
      <c r="N67" s="162">
        <f t="shared" si="21"/>
        <v>0</v>
      </c>
      <c r="O67" s="218">
        <f t="shared" si="22"/>
        <v>0</v>
      </c>
      <c r="P67" s="218">
        <f t="shared" si="23"/>
        <v>0</v>
      </c>
      <c r="Q67" s="221">
        <f t="shared" si="24"/>
        <v>0</v>
      </c>
      <c r="R67" s="180">
        <v>40</v>
      </c>
      <c r="S67" s="181">
        <f t="shared" si="25"/>
        <v>0</v>
      </c>
      <c r="T67" s="182">
        <f t="shared" si="26"/>
        <v>0</v>
      </c>
      <c r="U67" s="168">
        <f t="shared" si="10"/>
        <v>0</v>
      </c>
    </row>
    <row r="68" spans="13:21" ht="12.75" customHeight="1">
      <c r="M68" s="183"/>
      <c r="N68" s="162"/>
      <c r="O68" s="222">
        <f>SUM(O59:O67)</f>
        <v>0</v>
      </c>
      <c r="P68" s="222">
        <f>SUM(P59:P67)</f>
        <v>0</v>
      </c>
      <c r="Q68" s="223">
        <f>SUM(Q59:Q67)</f>
        <v>0</v>
      </c>
      <c r="R68" s="224"/>
      <c r="S68" s="225">
        <f>SUM(S59:S67)</f>
        <v>0</v>
      </c>
      <c r="T68" s="226">
        <f>SUM(T58:T67)</f>
        <v>0</v>
      </c>
      <c r="U68" s="168">
        <f t="shared" si="10"/>
        <v>0</v>
      </c>
    </row>
    <row r="69" spans="11:21" ht="12.75" customHeight="1">
      <c r="K69" s="227"/>
      <c r="M69" s="196" t="s">
        <v>53</v>
      </c>
      <c r="N69" s="228"/>
      <c r="O69" s="229"/>
      <c r="P69" s="230"/>
      <c r="Q69" s="230"/>
      <c r="R69" s="230"/>
      <c r="S69" s="230"/>
      <c r="T69" s="230"/>
      <c r="U69" s="168">
        <f aca="true" t="shared" si="27" ref="U69:U100">IF(T69&lt;=Q69,0,100*(T69/Q69)^(3/2))+IF(T69&gt;=Q69,0,100*(Q69/T69)^(3/2))</f>
        <v>0</v>
      </c>
    </row>
    <row r="70" spans="11:21" ht="12.75" customHeight="1">
      <c r="K70" s="227"/>
      <c r="M70" s="161" t="s">
        <v>87</v>
      </c>
      <c r="N70" s="162">
        <f aca="true" t="shared" si="28" ref="N70:N78">$C$15*I48</f>
        <v>0</v>
      </c>
      <c r="O70" s="218">
        <f aca="true" t="shared" si="29" ref="O70:O78">$C$51*I48</f>
        <v>0</v>
      </c>
      <c r="P70" s="218">
        <f aca="true" t="shared" si="30" ref="P70:P78">$D$51*I48</f>
        <v>0</v>
      </c>
      <c r="Q70" s="219">
        <f aca="true" t="shared" si="31" ref="Q70:Q78">O70+P70</f>
        <v>0</v>
      </c>
      <c r="R70" s="165">
        <v>10</v>
      </c>
      <c r="S70" s="166">
        <f aca="true" t="shared" si="32" ref="S70:S78">H48*$E$51</f>
        <v>0</v>
      </c>
      <c r="T70" s="167">
        <f aca="true" t="shared" si="33" ref="T70:T78">R70*S70</f>
        <v>0</v>
      </c>
      <c r="U70" s="168">
        <f t="shared" si="27"/>
        <v>0</v>
      </c>
    </row>
    <row r="71" spans="11:21" ht="12.75" customHeight="1">
      <c r="K71" s="227"/>
      <c r="M71" s="169" t="s">
        <v>88</v>
      </c>
      <c r="N71" s="162">
        <f t="shared" si="28"/>
        <v>0</v>
      </c>
      <c r="O71" s="218">
        <f t="shared" si="29"/>
        <v>0</v>
      </c>
      <c r="P71" s="218">
        <f t="shared" si="30"/>
        <v>306.3333333333333</v>
      </c>
      <c r="Q71" s="220">
        <f t="shared" si="31"/>
        <v>306.3333333333333</v>
      </c>
      <c r="R71" s="171">
        <v>55</v>
      </c>
      <c r="S71" s="172">
        <f t="shared" si="32"/>
        <v>15.022476501838986</v>
      </c>
      <c r="T71" s="173">
        <f t="shared" si="33"/>
        <v>826.2362076011442</v>
      </c>
      <c r="U71" s="168">
        <f t="shared" si="27"/>
        <v>442.9604475365112</v>
      </c>
    </row>
    <row r="72" spans="11:21" ht="12.75" customHeight="1">
      <c r="K72" s="227"/>
      <c r="M72" s="169" t="s">
        <v>89</v>
      </c>
      <c r="N72" s="162">
        <f t="shared" si="28"/>
        <v>0</v>
      </c>
      <c r="O72" s="218">
        <f t="shared" si="29"/>
        <v>0</v>
      </c>
      <c r="P72" s="218">
        <f t="shared" si="30"/>
        <v>306.3333333333333</v>
      </c>
      <c r="Q72" s="220">
        <f t="shared" si="31"/>
        <v>306.3333333333333</v>
      </c>
      <c r="R72" s="171">
        <v>26</v>
      </c>
      <c r="S72" s="172">
        <f t="shared" si="32"/>
        <v>15.022476501838986</v>
      </c>
      <c r="T72" s="173">
        <f t="shared" si="33"/>
        <v>390.5843890478136</v>
      </c>
      <c r="U72" s="168">
        <f t="shared" si="27"/>
        <v>143.97296113214682</v>
      </c>
    </row>
    <row r="73" spans="11:21" ht="12.75" customHeight="1">
      <c r="K73" s="64"/>
      <c r="M73" s="169" t="s">
        <v>53</v>
      </c>
      <c r="N73" s="162">
        <f t="shared" si="28"/>
        <v>0</v>
      </c>
      <c r="O73" s="218">
        <f t="shared" si="29"/>
        <v>0</v>
      </c>
      <c r="P73" s="218">
        <f t="shared" si="30"/>
        <v>306.3333333333333</v>
      </c>
      <c r="Q73" s="220">
        <f t="shared" si="31"/>
        <v>306.3333333333333</v>
      </c>
      <c r="R73" s="171">
        <v>44</v>
      </c>
      <c r="S73" s="172">
        <f t="shared" si="32"/>
        <v>15.022476501838986</v>
      </c>
      <c r="T73" s="173">
        <f t="shared" si="33"/>
        <v>660.9889660809154</v>
      </c>
      <c r="U73" s="168">
        <f t="shared" si="27"/>
        <v>316.95669505131787</v>
      </c>
    </row>
    <row r="74" spans="11:21" ht="12.75" customHeight="1">
      <c r="K74" s="64"/>
      <c r="M74" s="169" t="s">
        <v>62</v>
      </c>
      <c r="N74" s="162">
        <f t="shared" si="28"/>
        <v>0</v>
      </c>
      <c r="O74" s="218">
        <f t="shared" si="29"/>
        <v>0</v>
      </c>
      <c r="P74" s="218">
        <f t="shared" si="30"/>
        <v>0</v>
      </c>
      <c r="Q74" s="220">
        <f t="shared" si="31"/>
        <v>0</v>
      </c>
      <c r="R74" s="171">
        <v>137</v>
      </c>
      <c r="S74" s="172">
        <f t="shared" si="32"/>
        <v>0</v>
      </c>
      <c r="T74" s="173">
        <f t="shared" si="33"/>
        <v>0</v>
      </c>
      <c r="U74" s="168">
        <f t="shared" si="27"/>
        <v>0</v>
      </c>
    </row>
    <row r="75" spans="11:21" ht="12.75" customHeight="1">
      <c r="K75" s="64"/>
      <c r="M75" s="169" t="s">
        <v>90</v>
      </c>
      <c r="N75" s="162">
        <f t="shared" si="28"/>
        <v>0</v>
      </c>
      <c r="O75" s="218">
        <f t="shared" si="29"/>
        <v>0</v>
      </c>
      <c r="P75" s="218">
        <f t="shared" si="30"/>
        <v>0</v>
      </c>
      <c r="Q75" s="220">
        <f t="shared" si="31"/>
        <v>0</v>
      </c>
      <c r="R75" s="171">
        <v>65</v>
      </c>
      <c r="S75" s="172">
        <f t="shared" si="32"/>
        <v>0</v>
      </c>
      <c r="T75" s="173">
        <f t="shared" si="33"/>
        <v>0</v>
      </c>
      <c r="U75" s="168">
        <f t="shared" si="27"/>
        <v>0</v>
      </c>
    </row>
    <row r="76" spans="13:21" ht="12.75" customHeight="1">
      <c r="M76" s="169" t="s">
        <v>65</v>
      </c>
      <c r="N76" s="162">
        <f t="shared" si="28"/>
        <v>0</v>
      </c>
      <c r="O76" s="218">
        <f t="shared" si="29"/>
        <v>0</v>
      </c>
      <c r="P76" s="218">
        <f t="shared" si="30"/>
        <v>0</v>
      </c>
      <c r="Q76" s="220">
        <f t="shared" si="31"/>
        <v>0</v>
      </c>
      <c r="R76" s="171">
        <v>110</v>
      </c>
      <c r="S76" s="172">
        <f t="shared" si="32"/>
        <v>0</v>
      </c>
      <c r="T76" s="173">
        <f t="shared" si="33"/>
        <v>0</v>
      </c>
      <c r="U76" s="168">
        <f t="shared" si="27"/>
        <v>0</v>
      </c>
    </row>
    <row r="77" spans="13:21" ht="12.75" customHeight="1">
      <c r="M77" s="169" t="s">
        <v>59</v>
      </c>
      <c r="N77" s="162">
        <f t="shared" si="28"/>
        <v>0</v>
      </c>
      <c r="O77" s="218">
        <f t="shared" si="29"/>
        <v>0</v>
      </c>
      <c r="P77" s="218">
        <f t="shared" si="30"/>
        <v>0</v>
      </c>
      <c r="Q77" s="220">
        <f t="shared" si="31"/>
        <v>0</v>
      </c>
      <c r="R77" s="171">
        <v>5</v>
      </c>
      <c r="S77" s="172">
        <f t="shared" si="32"/>
        <v>0</v>
      </c>
      <c r="T77" s="173">
        <f t="shared" si="33"/>
        <v>0</v>
      </c>
      <c r="U77" s="168">
        <f t="shared" si="27"/>
        <v>0</v>
      </c>
    </row>
    <row r="78" spans="13:21" ht="12.75" customHeight="1">
      <c r="M78" s="177" t="s">
        <v>66</v>
      </c>
      <c r="N78" s="162">
        <f t="shared" si="28"/>
        <v>0</v>
      </c>
      <c r="O78" s="218">
        <f t="shared" si="29"/>
        <v>0</v>
      </c>
      <c r="P78" s="218">
        <f t="shared" si="30"/>
        <v>0</v>
      </c>
      <c r="Q78" s="221">
        <f t="shared" si="31"/>
        <v>0</v>
      </c>
      <c r="R78" s="180">
        <v>20</v>
      </c>
      <c r="S78" s="181">
        <f t="shared" si="32"/>
        <v>0</v>
      </c>
      <c r="T78" s="182">
        <f t="shared" si="33"/>
        <v>0</v>
      </c>
      <c r="U78" s="168">
        <f t="shared" si="27"/>
        <v>0</v>
      </c>
    </row>
    <row r="79" spans="11:21" ht="12.75" customHeight="1">
      <c r="K79" s="58"/>
      <c r="M79" s="231"/>
      <c r="N79" s="232"/>
      <c r="O79" s="233">
        <f>SUM(O70:O78)</f>
        <v>0</v>
      </c>
      <c r="P79" s="233">
        <f>SUM(P70:P78)</f>
        <v>919</v>
      </c>
      <c r="Q79" s="233">
        <f>SUM(Q70:Q78)</f>
        <v>919</v>
      </c>
      <c r="R79" s="233"/>
      <c r="S79" s="233">
        <f>SUM(S70:S78)</f>
        <v>45.067429505516955</v>
      </c>
      <c r="T79" s="233">
        <f>SUM(T69:T78)</f>
        <v>1877.809562729873</v>
      </c>
      <c r="U79" s="168">
        <f t="shared" si="27"/>
        <v>292.08150147061633</v>
      </c>
    </row>
    <row r="80" spans="11:21" s="234" customFormat="1" ht="12.75" customHeight="1">
      <c r="K80" s="235"/>
      <c r="M80" s="236" t="s">
        <v>62</v>
      </c>
      <c r="N80" s="228"/>
      <c r="O80" s="237"/>
      <c r="P80" s="230"/>
      <c r="Q80" s="230"/>
      <c r="R80" s="230"/>
      <c r="S80" s="230"/>
      <c r="T80" s="230"/>
      <c r="U80" s="168">
        <f t="shared" si="27"/>
        <v>0</v>
      </c>
    </row>
    <row r="81" spans="11:21" s="234" customFormat="1" ht="12.75" customHeight="1">
      <c r="K81" s="235"/>
      <c r="M81" s="161" t="s">
        <v>87</v>
      </c>
      <c r="N81" s="162">
        <f aca="true" t="shared" si="34" ref="N81:N89">$C$16*I48</f>
        <v>0</v>
      </c>
      <c r="O81" s="207">
        <f aca="true" t="shared" si="35" ref="O81:O89">$C$52*I48</f>
        <v>0</v>
      </c>
      <c r="P81" s="238"/>
      <c r="Q81" s="237">
        <f aca="true" t="shared" si="36" ref="Q81:Q89">O81</f>
        <v>0</v>
      </c>
      <c r="R81" s="165">
        <v>10</v>
      </c>
      <c r="S81" s="166">
        <f aca="true" t="shared" si="37" ref="S81:S89">H48*$E$52</f>
        <v>0</v>
      </c>
      <c r="T81" s="237">
        <f aca="true" t="shared" si="38" ref="T81:T89">R81*S81</f>
        <v>0</v>
      </c>
      <c r="U81" s="168">
        <f t="shared" si="27"/>
        <v>0</v>
      </c>
    </row>
    <row r="82" spans="11:21" s="234" customFormat="1" ht="12.75" customHeight="1">
      <c r="K82" s="235"/>
      <c r="M82" s="169" t="s">
        <v>88</v>
      </c>
      <c r="N82" s="162">
        <f t="shared" si="34"/>
        <v>0</v>
      </c>
      <c r="O82" s="163">
        <f t="shared" si="35"/>
        <v>0</v>
      </c>
      <c r="P82" s="238"/>
      <c r="Q82" s="237">
        <f t="shared" si="36"/>
        <v>0</v>
      </c>
      <c r="R82" s="171">
        <v>40</v>
      </c>
      <c r="S82" s="166">
        <f t="shared" si="37"/>
        <v>0</v>
      </c>
      <c r="T82" s="237">
        <f t="shared" si="38"/>
        <v>0</v>
      </c>
      <c r="U82" s="168">
        <f t="shared" si="27"/>
        <v>0</v>
      </c>
    </row>
    <row r="83" spans="11:21" s="234" customFormat="1" ht="12.75" customHeight="1">
      <c r="K83" s="235"/>
      <c r="M83" s="169" t="s">
        <v>89</v>
      </c>
      <c r="N83" s="162">
        <f t="shared" si="34"/>
        <v>0</v>
      </c>
      <c r="O83" s="163">
        <f t="shared" si="35"/>
        <v>0</v>
      </c>
      <c r="P83" s="238"/>
      <c r="Q83" s="237">
        <f t="shared" si="36"/>
        <v>0</v>
      </c>
      <c r="R83" s="171">
        <v>58</v>
      </c>
      <c r="S83" s="166">
        <f t="shared" si="37"/>
        <v>0</v>
      </c>
      <c r="T83" s="237">
        <f t="shared" si="38"/>
        <v>0</v>
      </c>
      <c r="U83" s="168">
        <f t="shared" si="27"/>
        <v>0</v>
      </c>
    </row>
    <row r="84" spans="11:21" s="234" customFormat="1" ht="12.75" customHeight="1">
      <c r="K84" s="235"/>
      <c r="M84" s="169" t="s">
        <v>53</v>
      </c>
      <c r="N84" s="162">
        <f t="shared" si="34"/>
        <v>0</v>
      </c>
      <c r="O84" s="163">
        <f t="shared" si="35"/>
        <v>0</v>
      </c>
      <c r="P84" s="238"/>
      <c r="Q84" s="237">
        <f t="shared" si="36"/>
        <v>0</v>
      </c>
      <c r="R84" s="171">
        <v>28</v>
      </c>
      <c r="S84" s="166">
        <f t="shared" si="37"/>
        <v>0</v>
      </c>
      <c r="T84" s="237">
        <f t="shared" si="38"/>
        <v>0</v>
      </c>
      <c r="U84" s="168">
        <f t="shared" si="27"/>
        <v>0</v>
      </c>
    </row>
    <row r="85" spans="11:21" s="234" customFormat="1" ht="12.75" customHeight="1">
      <c r="K85" s="235"/>
      <c r="M85" s="169" t="s">
        <v>62</v>
      </c>
      <c r="N85" s="162">
        <f t="shared" si="34"/>
        <v>0</v>
      </c>
      <c r="O85" s="163">
        <f t="shared" si="35"/>
        <v>0</v>
      </c>
      <c r="P85" s="238"/>
      <c r="Q85" s="237">
        <f t="shared" si="36"/>
        <v>0</v>
      </c>
      <c r="R85" s="171">
        <v>100</v>
      </c>
      <c r="S85" s="166">
        <f t="shared" si="37"/>
        <v>0</v>
      </c>
      <c r="T85" s="237">
        <f t="shared" si="38"/>
        <v>0</v>
      </c>
      <c r="U85" s="168">
        <f t="shared" si="27"/>
        <v>0</v>
      </c>
    </row>
    <row r="86" spans="11:21" s="234" customFormat="1" ht="12.75" customHeight="1">
      <c r="K86" s="235"/>
      <c r="M86" s="169" t="s">
        <v>90</v>
      </c>
      <c r="N86" s="162">
        <f t="shared" si="34"/>
        <v>0</v>
      </c>
      <c r="O86" s="163">
        <f t="shared" si="35"/>
        <v>0</v>
      </c>
      <c r="P86" s="238"/>
      <c r="Q86" s="237">
        <f t="shared" si="36"/>
        <v>0</v>
      </c>
      <c r="R86" s="171">
        <v>145</v>
      </c>
      <c r="S86" s="166">
        <f t="shared" si="37"/>
        <v>0</v>
      </c>
      <c r="T86" s="237">
        <f t="shared" si="38"/>
        <v>0</v>
      </c>
      <c r="U86" s="168">
        <f t="shared" si="27"/>
        <v>0</v>
      </c>
    </row>
    <row r="87" spans="11:21" s="234" customFormat="1" ht="12.75" customHeight="1">
      <c r="K87" s="235"/>
      <c r="M87" s="169" t="s">
        <v>65</v>
      </c>
      <c r="N87" s="162">
        <f t="shared" si="34"/>
        <v>0</v>
      </c>
      <c r="O87" s="163">
        <f t="shared" si="35"/>
        <v>0</v>
      </c>
      <c r="P87" s="238"/>
      <c r="Q87" s="237">
        <f t="shared" si="36"/>
        <v>0</v>
      </c>
      <c r="R87" s="171">
        <v>70</v>
      </c>
      <c r="S87" s="166">
        <f t="shared" si="37"/>
        <v>0</v>
      </c>
      <c r="T87" s="237">
        <f t="shared" si="38"/>
        <v>0</v>
      </c>
      <c r="U87" s="168">
        <f t="shared" si="27"/>
        <v>0</v>
      </c>
    </row>
    <row r="88" spans="11:21" s="234" customFormat="1" ht="12.75" customHeight="1">
      <c r="K88" s="235"/>
      <c r="M88" s="169" t="s">
        <v>59</v>
      </c>
      <c r="N88" s="162">
        <f t="shared" si="34"/>
        <v>0</v>
      </c>
      <c r="O88" s="163">
        <f t="shared" si="35"/>
        <v>0</v>
      </c>
      <c r="P88" s="238"/>
      <c r="Q88" s="237">
        <f t="shared" si="36"/>
        <v>0</v>
      </c>
      <c r="R88" s="171">
        <v>10</v>
      </c>
      <c r="S88" s="166">
        <f t="shared" si="37"/>
        <v>0</v>
      </c>
      <c r="T88" s="237">
        <f t="shared" si="38"/>
        <v>0</v>
      </c>
      <c r="U88" s="168">
        <f t="shared" si="27"/>
        <v>0</v>
      </c>
    </row>
    <row r="89" spans="11:21" s="234" customFormat="1" ht="12.75" customHeight="1">
      <c r="K89" s="235"/>
      <c r="M89" s="177" t="s">
        <v>66</v>
      </c>
      <c r="N89" s="162">
        <f t="shared" si="34"/>
        <v>0</v>
      </c>
      <c r="O89" s="239">
        <f t="shared" si="35"/>
        <v>0</v>
      </c>
      <c r="P89" s="240"/>
      <c r="Q89" s="241">
        <f t="shared" si="36"/>
        <v>0</v>
      </c>
      <c r="R89" s="180">
        <v>10</v>
      </c>
      <c r="S89" s="242">
        <f t="shared" si="37"/>
        <v>0</v>
      </c>
      <c r="T89" s="241">
        <f t="shared" si="38"/>
        <v>0</v>
      </c>
      <c r="U89" s="168">
        <f t="shared" si="27"/>
        <v>0</v>
      </c>
    </row>
    <row r="90" spans="11:21" s="234" customFormat="1" ht="12.75" customHeight="1">
      <c r="K90" s="235"/>
      <c r="M90" s="243"/>
      <c r="N90" s="244"/>
      <c r="O90" s="233">
        <f>SUM(O81:O89)</f>
        <v>0</v>
      </c>
      <c r="P90" s="245"/>
      <c r="Q90" s="233">
        <f>SUM(Q81:Q89)</f>
        <v>0</v>
      </c>
      <c r="R90" s="233"/>
      <c r="S90" s="233">
        <f>SUM(S81:S89)</f>
        <v>0</v>
      </c>
      <c r="T90" s="233">
        <f>SUM(T81:T89)</f>
        <v>0</v>
      </c>
      <c r="U90" s="168">
        <f t="shared" si="27"/>
        <v>0</v>
      </c>
    </row>
    <row r="91" spans="11:21" s="234" customFormat="1" ht="12.75" customHeight="1">
      <c r="K91" s="235"/>
      <c r="M91" s="236" t="s">
        <v>45</v>
      </c>
      <c r="N91" s="228"/>
      <c r="O91" s="237"/>
      <c r="P91" s="230"/>
      <c r="Q91" s="230"/>
      <c r="R91" s="230"/>
      <c r="S91" s="230"/>
      <c r="T91" s="230"/>
      <c r="U91" s="168">
        <f t="shared" si="27"/>
        <v>0</v>
      </c>
    </row>
    <row r="92" spans="11:21" s="234" customFormat="1" ht="12.75" customHeight="1">
      <c r="K92" s="235"/>
      <c r="M92" s="161" t="s">
        <v>87</v>
      </c>
      <c r="N92" s="162">
        <f aca="true" t="shared" si="39" ref="N92:N100">$C$17*I48</f>
        <v>0</v>
      </c>
      <c r="O92" s="207">
        <f aca="true" t="shared" si="40" ref="O92:O100">$C$53*I48</f>
        <v>0</v>
      </c>
      <c r="P92" s="238"/>
      <c r="Q92" s="237">
        <f aca="true" t="shared" si="41" ref="Q92:Q100">O92</f>
        <v>0</v>
      </c>
      <c r="R92" s="165">
        <v>10</v>
      </c>
      <c r="S92" s="166">
        <f aca="true" t="shared" si="42" ref="S92:S100">H48*$E$53</f>
        <v>0</v>
      </c>
      <c r="T92" s="237">
        <f aca="true" t="shared" si="43" ref="T92:T100">R92*S92</f>
        <v>0</v>
      </c>
      <c r="U92" s="168">
        <f t="shared" si="27"/>
        <v>0</v>
      </c>
    </row>
    <row r="93" spans="11:21" s="234" customFormat="1" ht="12.75" customHeight="1">
      <c r="K93" s="235"/>
      <c r="M93" s="169" t="s">
        <v>88</v>
      </c>
      <c r="N93" s="162">
        <f t="shared" si="39"/>
        <v>0</v>
      </c>
      <c r="O93" s="163">
        <f t="shared" si="40"/>
        <v>0</v>
      </c>
      <c r="P93" s="238"/>
      <c r="Q93" s="237">
        <f t="shared" si="41"/>
        <v>0</v>
      </c>
      <c r="R93" s="171">
        <v>25</v>
      </c>
      <c r="S93" s="166">
        <f t="shared" si="42"/>
        <v>0</v>
      </c>
      <c r="T93" s="237">
        <f t="shared" si="43"/>
        <v>0</v>
      </c>
      <c r="U93" s="168">
        <f t="shared" si="27"/>
        <v>0</v>
      </c>
    </row>
    <row r="94" spans="11:21" s="234" customFormat="1" ht="12.75" customHeight="1">
      <c r="K94" s="235"/>
      <c r="M94" s="169" t="s">
        <v>89</v>
      </c>
      <c r="N94" s="162">
        <f t="shared" si="39"/>
        <v>0</v>
      </c>
      <c r="O94" s="163">
        <f t="shared" si="40"/>
        <v>0</v>
      </c>
      <c r="P94" s="238"/>
      <c r="Q94" s="237">
        <f t="shared" si="41"/>
        <v>0</v>
      </c>
      <c r="R94" s="171">
        <v>42</v>
      </c>
      <c r="S94" s="166">
        <f t="shared" si="42"/>
        <v>0</v>
      </c>
      <c r="T94" s="237">
        <f t="shared" si="43"/>
        <v>0</v>
      </c>
      <c r="U94" s="168">
        <f t="shared" si="27"/>
        <v>0</v>
      </c>
    </row>
    <row r="95" spans="11:21" s="234" customFormat="1" ht="12.75" customHeight="1">
      <c r="K95" s="235"/>
      <c r="M95" s="169" t="s">
        <v>53</v>
      </c>
      <c r="N95" s="162">
        <f t="shared" si="39"/>
        <v>0</v>
      </c>
      <c r="O95" s="163">
        <f t="shared" si="40"/>
        <v>0</v>
      </c>
      <c r="P95" s="238"/>
      <c r="Q95" s="237">
        <f t="shared" si="41"/>
        <v>0</v>
      </c>
      <c r="R95" s="171">
        <v>60</v>
      </c>
      <c r="S95" s="166">
        <f t="shared" si="42"/>
        <v>0</v>
      </c>
      <c r="T95" s="237">
        <f t="shared" si="43"/>
        <v>0</v>
      </c>
      <c r="U95" s="168">
        <f t="shared" si="27"/>
        <v>0</v>
      </c>
    </row>
    <row r="96" spans="11:21" s="234" customFormat="1" ht="12.75" customHeight="1">
      <c r="K96" s="235"/>
      <c r="M96" s="169" t="s">
        <v>62</v>
      </c>
      <c r="N96" s="162">
        <f t="shared" si="39"/>
        <v>0</v>
      </c>
      <c r="O96" s="163">
        <f t="shared" si="40"/>
        <v>0</v>
      </c>
      <c r="P96" s="238"/>
      <c r="Q96" s="237">
        <f t="shared" si="41"/>
        <v>0</v>
      </c>
      <c r="R96" s="171">
        <v>63</v>
      </c>
      <c r="S96" s="166">
        <f t="shared" si="42"/>
        <v>0</v>
      </c>
      <c r="T96" s="237">
        <f t="shared" si="43"/>
        <v>0</v>
      </c>
      <c r="U96" s="168">
        <f t="shared" si="27"/>
        <v>0</v>
      </c>
    </row>
    <row r="97" spans="11:21" s="234" customFormat="1" ht="12.75" customHeight="1">
      <c r="K97" s="235"/>
      <c r="M97" s="169" t="s">
        <v>90</v>
      </c>
      <c r="N97" s="162">
        <f t="shared" si="39"/>
        <v>0</v>
      </c>
      <c r="O97" s="163">
        <f t="shared" si="40"/>
        <v>0</v>
      </c>
      <c r="P97" s="238"/>
      <c r="Q97" s="237">
        <f t="shared" si="41"/>
        <v>0</v>
      </c>
      <c r="R97" s="171">
        <v>105</v>
      </c>
      <c r="S97" s="166">
        <f t="shared" si="42"/>
        <v>0</v>
      </c>
      <c r="T97" s="237">
        <f t="shared" si="43"/>
        <v>0</v>
      </c>
      <c r="U97" s="168">
        <f t="shared" si="27"/>
        <v>0</v>
      </c>
    </row>
    <row r="98" spans="11:21" s="234" customFormat="1" ht="12.75" customHeight="1">
      <c r="K98" s="235"/>
      <c r="M98" s="169" t="s">
        <v>65</v>
      </c>
      <c r="N98" s="162">
        <f t="shared" si="39"/>
        <v>0</v>
      </c>
      <c r="O98" s="163">
        <f t="shared" si="40"/>
        <v>0</v>
      </c>
      <c r="P98" s="238"/>
      <c r="Q98" s="237">
        <f t="shared" si="41"/>
        <v>0</v>
      </c>
      <c r="R98" s="171">
        <v>150</v>
      </c>
      <c r="S98" s="166">
        <f t="shared" si="42"/>
        <v>0</v>
      </c>
      <c r="T98" s="237">
        <f t="shared" si="43"/>
        <v>0</v>
      </c>
      <c r="U98" s="168">
        <f t="shared" si="27"/>
        <v>0</v>
      </c>
    </row>
    <row r="99" spans="11:21" s="234" customFormat="1" ht="12.75" customHeight="1">
      <c r="K99" s="235"/>
      <c r="M99" s="169" t="s">
        <v>59</v>
      </c>
      <c r="N99" s="162">
        <f t="shared" si="39"/>
        <v>0</v>
      </c>
      <c r="O99" s="163">
        <f t="shared" si="40"/>
        <v>0</v>
      </c>
      <c r="P99" s="238"/>
      <c r="Q99" s="237">
        <f t="shared" si="41"/>
        <v>0</v>
      </c>
      <c r="R99" s="171">
        <v>5</v>
      </c>
      <c r="S99" s="166">
        <f t="shared" si="42"/>
        <v>0</v>
      </c>
      <c r="T99" s="237">
        <f t="shared" si="43"/>
        <v>0</v>
      </c>
      <c r="U99" s="168">
        <f t="shared" si="27"/>
        <v>0</v>
      </c>
    </row>
    <row r="100" spans="11:21" s="234" customFormat="1" ht="12.75" customHeight="1">
      <c r="K100" s="235"/>
      <c r="M100" s="177" t="s">
        <v>66</v>
      </c>
      <c r="N100" s="162">
        <f t="shared" si="39"/>
        <v>0</v>
      </c>
      <c r="O100" s="239">
        <f t="shared" si="40"/>
        <v>0</v>
      </c>
      <c r="P100" s="240"/>
      <c r="Q100" s="241">
        <f t="shared" si="41"/>
        <v>0</v>
      </c>
      <c r="R100" s="180">
        <v>40</v>
      </c>
      <c r="S100" s="242">
        <f t="shared" si="42"/>
        <v>0</v>
      </c>
      <c r="T100" s="241">
        <f t="shared" si="43"/>
        <v>0</v>
      </c>
      <c r="U100" s="168">
        <f t="shared" si="27"/>
        <v>0</v>
      </c>
    </row>
    <row r="101" spans="11:21" s="234" customFormat="1" ht="12.75" customHeight="1">
      <c r="K101" s="235"/>
      <c r="M101" s="243"/>
      <c r="N101" s="244"/>
      <c r="O101" s="233"/>
      <c r="P101" s="233"/>
      <c r="Q101" s="233">
        <f>SUM(Q92:Q100)</f>
        <v>0</v>
      </c>
      <c r="R101" s="233"/>
      <c r="S101" s="233"/>
      <c r="T101" s="233"/>
      <c r="U101" s="168">
        <f aca="true" t="shared" si="44" ref="U101:U113">IF(T101&lt;=Q101,0,100*(T101/Q101)^(3/2))+IF(T101&gt;=Q101,0,100*(Q101/T101)^(3/2))</f>
        <v>0</v>
      </c>
    </row>
    <row r="102" spans="11:21" s="234" customFormat="1" ht="12.75" customHeight="1">
      <c r="K102" s="235"/>
      <c r="M102" s="236" t="s">
        <v>98</v>
      </c>
      <c r="N102" s="228"/>
      <c r="O102" s="237"/>
      <c r="P102" s="230"/>
      <c r="Q102" s="230"/>
      <c r="R102" s="230"/>
      <c r="S102" s="230"/>
      <c r="T102" s="230"/>
      <c r="U102" s="168">
        <f t="shared" si="44"/>
        <v>0</v>
      </c>
    </row>
    <row r="103" spans="11:21" s="234" customFormat="1" ht="12.75" customHeight="1">
      <c r="K103" s="235"/>
      <c r="M103" s="161" t="s">
        <v>87</v>
      </c>
      <c r="N103" s="162">
        <f aca="true" t="shared" si="45" ref="N103:N111">$C$18*I48</f>
        <v>0</v>
      </c>
      <c r="O103" s="207">
        <f aca="true" t="shared" si="46" ref="O103:O111">$C$54*I48</f>
        <v>0</v>
      </c>
      <c r="P103" s="238"/>
      <c r="Q103" s="237">
        <f aca="true" t="shared" si="47" ref="Q103:Q111">O103</f>
        <v>0</v>
      </c>
      <c r="R103" s="165">
        <v>10</v>
      </c>
      <c r="S103" s="166">
        <f aca="true" t="shared" si="48" ref="S103:S111">H48*$E$54</f>
        <v>0</v>
      </c>
      <c r="T103" s="237">
        <f aca="true" t="shared" si="49" ref="T103:T111">R103*S103</f>
        <v>0</v>
      </c>
      <c r="U103" s="168">
        <f t="shared" si="44"/>
        <v>0</v>
      </c>
    </row>
    <row r="104" spans="11:21" s="234" customFormat="1" ht="12.75" customHeight="1">
      <c r="K104" s="235"/>
      <c r="M104" s="169" t="s">
        <v>88</v>
      </c>
      <c r="N104" s="162">
        <f t="shared" si="45"/>
        <v>0</v>
      </c>
      <c r="O104" s="163">
        <f t="shared" si="46"/>
        <v>0</v>
      </c>
      <c r="P104" s="238"/>
      <c r="Q104" s="237">
        <f t="shared" si="47"/>
        <v>0</v>
      </c>
      <c r="R104" s="171">
        <v>55</v>
      </c>
      <c r="S104" s="166">
        <f t="shared" si="48"/>
        <v>0</v>
      </c>
      <c r="T104" s="237">
        <f t="shared" si="49"/>
        <v>0</v>
      </c>
      <c r="U104" s="168">
        <f t="shared" si="44"/>
        <v>0</v>
      </c>
    </row>
    <row r="105" spans="11:21" s="234" customFormat="1" ht="12.75" customHeight="1">
      <c r="K105" s="235"/>
      <c r="M105" s="169" t="s">
        <v>89</v>
      </c>
      <c r="N105" s="162">
        <f t="shared" si="45"/>
        <v>0</v>
      </c>
      <c r="O105" s="163">
        <f t="shared" si="46"/>
        <v>0</v>
      </c>
      <c r="P105" s="238"/>
      <c r="Q105" s="237">
        <f t="shared" si="47"/>
        <v>0</v>
      </c>
      <c r="R105" s="171">
        <v>26</v>
      </c>
      <c r="S105" s="166">
        <f t="shared" si="48"/>
        <v>0</v>
      </c>
      <c r="T105" s="237">
        <f t="shared" si="49"/>
        <v>0</v>
      </c>
      <c r="U105" s="168">
        <f t="shared" si="44"/>
        <v>0</v>
      </c>
    </row>
    <row r="106" spans="11:21" s="234" customFormat="1" ht="12.75" customHeight="1">
      <c r="K106" s="235"/>
      <c r="M106" s="169" t="s">
        <v>53</v>
      </c>
      <c r="N106" s="162">
        <f t="shared" si="45"/>
        <v>0</v>
      </c>
      <c r="O106" s="163">
        <f t="shared" si="46"/>
        <v>0</v>
      </c>
      <c r="P106" s="238"/>
      <c r="Q106" s="237">
        <f t="shared" si="47"/>
        <v>0</v>
      </c>
      <c r="R106" s="171">
        <v>44</v>
      </c>
      <c r="S106" s="166">
        <f t="shared" si="48"/>
        <v>0</v>
      </c>
      <c r="T106" s="237">
        <f t="shared" si="49"/>
        <v>0</v>
      </c>
      <c r="U106" s="168">
        <f t="shared" si="44"/>
        <v>0</v>
      </c>
    </row>
    <row r="107" spans="11:21" ht="12.75" customHeight="1">
      <c r="K107" s="58"/>
      <c r="M107" s="169" t="s">
        <v>62</v>
      </c>
      <c r="N107" s="162">
        <f t="shared" si="45"/>
        <v>0</v>
      </c>
      <c r="O107" s="163">
        <f t="shared" si="46"/>
        <v>0</v>
      </c>
      <c r="P107" s="238"/>
      <c r="Q107" s="237">
        <f t="shared" si="47"/>
        <v>0</v>
      </c>
      <c r="R107" s="171">
        <v>137</v>
      </c>
      <c r="S107" s="166">
        <f t="shared" si="48"/>
        <v>0</v>
      </c>
      <c r="T107" s="237">
        <f t="shared" si="49"/>
        <v>0</v>
      </c>
      <c r="U107" s="168">
        <f t="shared" si="44"/>
        <v>0</v>
      </c>
    </row>
    <row r="108" spans="11:21" ht="12.75" customHeight="1">
      <c r="K108" s="58"/>
      <c r="M108" s="169" t="s">
        <v>90</v>
      </c>
      <c r="N108" s="162">
        <f t="shared" si="45"/>
        <v>0</v>
      </c>
      <c r="O108" s="163">
        <f t="shared" si="46"/>
        <v>0</v>
      </c>
      <c r="P108" s="238"/>
      <c r="Q108" s="237">
        <f t="shared" si="47"/>
        <v>0</v>
      </c>
      <c r="R108" s="171">
        <v>65</v>
      </c>
      <c r="S108" s="166">
        <f t="shared" si="48"/>
        <v>0</v>
      </c>
      <c r="T108" s="237">
        <f t="shared" si="49"/>
        <v>0</v>
      </c>
      <c r="U108" s="168">
        <f t="shared" si="44"/>
        <v>0</v>
      </c>
    </row>
    <row r="109" spans="11:21" ht="12.75" customHeight="1">
      <c r="K109" s="58"/>
      <c r="M109" s="169" t="s">
        <v>65</v>
      </c>
      <c r="N109" s="162">
        <f t="shared" si="45"/>
        <v>0</v>
      </c>
      <c r="O109" s="163">
        <f t="shared" si="46"/>
        <v>0</v>
      </c>
      <c r="P109" s="238"/>
      <c r="Q109" s="237">
        <f t="shared" si="47"/>
        <v>0</v>
      </c>
      <c r="R109" s="171">
        <v>110</v>
      </c>
      <c r="S109" s="166">
        <f t="shared" si="48"/>
        <v>0</v>
      </c>
      <c r="T109" s="237">
        <f t="shared" si="49"/>
        <v>0</v>
      </c>
      <c r="U109" s="168">
        <f t="shared" si="44"/>
        <v>0</v>
      </c>
    </row>
    <row r="110" spans="11:21" ht="14.25" customHeight="1">
      <c r="K110" s="58"/>
      <c r="M110" s="169" t="s">
        <v>59</v>
      </c>
      <c r="N110" s="162">
        <f t="shared" si="45"/>
        <v>0</v>
      </c>
      <c r="O110" s="163">
        <f t="shared" si="46"/>
        <v>0</v>
      </c>
      <c r="P110" s="238"/>
      <c r="Q110" s="237">
        <f t="shared" si="47"/>
        <v>0</v>
      </c>
      <c r="R110" s="171">
        <v>5</v>
      </c>
      <c r="S110" s="166">
        <f t="shared" si="48"/>
        <v>0</v>
      </c>
      <c r="T110" s="237">
        <f t="shared" si="49"/>
        <v>0</v>
      </c>
      <c r="U110" s="168">
        <f t="shared" si="44"/>
        <v>0</v>
      </c>
    </row>
    <row r="111" spans="11:21" ht="14.25" customHeight="1">
      <c r="K111" s="58"/>
      <c r="M111" s="177" t="s">
        <v>66</v>
      </c>
      <c r="N111" s="162">
        <f t="shared" si="45"/>
        <v>0</v>
      </c>
      <c r="O111" s="239">
        <f t="shared" si="46"/>
        <v>0</v>
      </c>
      <c r="P111" s="240"/>
      <c r="Q111" s="241">
        <f t="shared" si="47"/>
        <v>0</v>
      </c>
      <c r="R111" s="180">
        <v>20</v>
      </c>
      <c r="S111" s="242">
        <f t="shared" si="48"/>
        <v>0</v>
      </c>
      <c r="T111" s="241">
        <f t="shared" si="49"/>
        <v>0</v>
      </c>
      <c r="U111" s="168">
        <f t="shared" si="44"/>
        <v>0</v>
      </c>
    </row>
    <row r="112" spans="11:21" ht="12.75" customHeight="1">
      <c r="K112" s="58"/>
      <c r="M112" s="231"/>
      <c r="N112" s="232"/>
      <c r="O112" s="233"/>
      <c r="P112" s="233"/>
      <c r="Q112" s="233">
        <f>SUM(Q103:Q111)</f>
        <v>0</v>
      </c>
      <c r="R112" s="233"/>
      <c r="S112" s="233"/>
      <c r="T112" s="233"/>
      <c r="U112" s="168">
        <f t="shared" si="44"/>
        <v>0</v>
      </c>
    </row>
    <row r="113" spans="11:21" ht="12.75" customHeight="1">
      <c r="K113" s="58"/>
      <c r="M113" s="246"/>
      <c r="N113" s="247"/>
      <c r="O113" s="248"/>
      <c r="P113" s="248"/>
      <c r="Q113" s="248"/>
      <c r="R113" s="248"/>
      <c r="S113" s="248"/>
      <c r="T113" s="248"/>
      <c r="U113" s="168">
        <f t="shared" si="44"/>
        <v>0</v>
      </c>
    </row>
    <row r="114" spans="11:21" ht="12.75" customHeight="1">
      <c r="K114" s="64"/>
      <c r="L114" s="64"/>
      <c r="M114" s="249"/>
      <c r="N114" s="250">
        <f>O46+O57+O68+O79</f>
        <v>304.4999999999999</v>
      </c>
      <c r="O114" s="251">
        <f>P46+P57+P68+P79</f>
        <v>919</v>
      </c>
      <c r="P114" s="251">
        <f>Q46+Q57+Q68+Q79</f>
        <v>1223.5</v>
      </c>
      <c r="Q114" s="252">
        <f>Q46+Q57+Q68+Q79+Q90+Q101+Q112</f>
        <v>1223.5</v>
      </c>
      <c r="R114" s="251"/>
      <c r="S114" s="251">
        <f>T46+T57+T68+T79</f>
        <v>2654.303228442991</v>
      </c>
      <c r="T114" s="253">
        <f>T46+T57+T68+T79+T90+T101+T112</f>
        <v>2654.303228442991</v>
      </c>
      <c r="U114" s="168">
        <f>IF($T$114&gt;=$Q$114,0,100*(T114/Q114)^(3/2))+IF($T$114&lt;=$Q$114,0,100*(Q114/T114)^(3/2))</f>
        <v>31.295374832864535</v>
      </c>
    </row>
    <row r="115" spans="11:22" ht="12.75" customHeight="1">
      <c r="K115" s="64"/>
      <c r="L115" s="58"/>
      <c r="M115" s="254"/>
      <c r="N115" s="254"/>
      <c r="O115" s="254"/>
      <c r="P115" s="254"/>
      <c r="Q115" s="254"/>
      <c r="R115" s="254"/>
      <c r="S115" s="254"/>
      <c r="T115" s="254"/>
      <c r="U115" s="254"/>
      <c r="V115" s="254"/>
    </row>
    <row r="116" spans="11:22" ht="12.75" customHeight="1">
      <c r="K116" s="64"/>
      <c r="L116" s="64"/>
      <c r="M116" s="254"/>
      <c r="N116" s="254"/>
      <c r="O116" s="254"/>
      <c r="P116" s="254"/>
      <c r="Q116" s="254"/>
      <c r="R116" s="254"/>
      <c r="S116" s="254"/>
      <c r="T116" s="254"/>
      <c r="U116" s="254"/>
      <c r="V116" s="254"/>
    </row>
    <row r="117" spans="11:22" ht="12.75" customHeight="1">
      <c r="K117" s="64"/>
      <c r="L117" s="64"/>
      <c r="M117" s="254"/>
      <c r="N117" s="254"/>
      <c r="O117" s="254"/>
      <c r="P117" s="254"/>
      <c r="Q117" s="254"/>
      <c r="R117" s="254"/>
      <c r="S117" s="254"/>
      <c r="T117" s="254"/>
      <c r="U117" s="254"/>
      <c r="V117" s="254"/>
    </row>
    <row r="118" spans="11:23" ht="12.75" customHeight="1">
      <c r="K118" s="64"/>
      <c r="L118" s="64"/>
      <c r="M118" s="254"/>
      <c r="N118" s="254"/>
      <c r="O118" s="254"/>
      <c r="P118" s="254"/>
      <c r="Q118" s="254"/>
      <c r="R118" s="254"/>
      <c r="S118" s="254"/>
      <c r="T118" s="254"/>
      <c r="U118" s="254"/>
      <c r="V118" s="254"/>
      <c r="W118" s="254"/>
    </row>
    <row r="119" spans="11:23" ht="12.75" customHeight="1">
      <c r="K119" s="64"/>
      <c r="L119" s="64"/>
      <c r="M119" s="254"/>
      <c r="N119" s="254"/>
      <c r="O119" s="254"/>
      <c r="P119" s="254"/>
      <c r="Q119" s="254"/>
      <c r="R119" s="254"/>
      <c r="S119" s="254"/>
      <c r="T119" s="254"/>
      <c r="U119" s="254"/>
      <c r="V119" s="254"/>
      <c r="W119" s="254"/>
    </row>
    <row r="120" spans="11:23" ht="12.75" customHeight="1">
      <c r="K120" s="64"/>
      <c r="L120" s="64"/>
      <c r="M120" s="254"/>
      <c r="N120" s="254"/>
      <c r="O120" s="254"/>
      <c r="P120" s="254"/>
      <c r="Q120" s="254"/>
      <c r="R120" s="254"/>
      <c r="S120" s="254"/>
      <c r="T120" s="254"/>
      <c r="U120" s="254"/>
      <c r="V120" s="254"/>
      <c r="W120" s="254"/>
    </row>
    <row r="121" spans="11:23" ht="12.75" customHeight="1">
      <c r="K121" s="64"/>
      <c r="L121" s="64"/>
      <c r="M121" s="254"/>
      <c r="N121" s="254"/>
      <c r="O121" s="254"/>
      <c r="P121" s="254"/>
      <c r="Q121" s="254"/>
      <c r="R121" s="254"/>
      <c r="S121" s="254"/>
      <c r="T121" s="254"/>
      <c r="U121" s="254"/>
      <c r="V121" s="254"/>
      <c r="W121" s="254"/>
    </row>
    <row r="122" spans="11:23" ht="12.75" customHeight="1">
      <c r="K122" s="64"/>
      <c r="L122" s="64"/>
      <c r="M122" s="254"/>
      <c r="N122" s="254"/>
      <c r="O122" s="254"/>
      <c r="P122" s="254"/>
      <c r="Q122" s="254"/>
      <c r="R122" s="254"/>
      <c r="S122" s="254"/>
      <c r="T122" s="254"/>
      <c r="U122" s="254"/>
      <c r="V122" s="254"/>
      <c r="W122" s="254"/>
    </row>
    <row r="123" spans="11:23" ht="12.75" customHeight="1">
      <c r="K123" s="64"/>
      <c r="L123" s="64"/>
      <c r="M123" s="254"/>
      <c r="N123" s="254"/>
      <c r="O123" s="254"/>
      <c r="P123" s="254"/>
      <c r="Q123" s="254"/>
      <c r="R123" s="254"/>
      <c r="S123" s="254"/>
      <c r="T123" s="254"/>
      <c r="U123" s="254"/>
      <c r="V123" s="254"/>
      <c r="W123" s="254"/>
    </row>
    <row r="124" spans="11:23" ht="12.75" customHeight="1">
      <c r="K124" s="64"/>
      <c r="L124" s="64"/>
      <c r="M124" s="254"/>
      <c r="N124" s="254"/>
      <c r="O124" s="254"/>
      <c r="P124" s="254"/>
      <c r="Q124" s="254"/>
      <c r="R124" s="254"/>
      <c r="S124" s="254"/>
      <c r="T124" s="254"/>
      <c r="U124" s="254"/>
      <c r="V124" s="254"/>
      <c r="W124" s="254"/>
    </row>
    <row r="125" spans="11:23" ht="12.75" customHeight="1">
      <c r="K125" s="64"/>
      <c r="L125" s="58"/>
      <c r="M125" s="254"/>
      <c r="N125" s="254"/>
      <c r="O125" s="254"/>
      <c r="P125" s="254"/>
      <c r="Q125" s="254"/>
      <c r="R125" s="254"/>
      <c r="S125" s="254"/>
      <c r="T125" s="254"/>
      <c r="U125" s="254"/>
      <c r="V125" s="254"/>
      <c r="W125" s="254"/>
    </row>
    <row r="126" spans="11:23" ht="12.75" customHeight="1">
      <c r="K126" s="64"/>
      <c r="L126" s="58"/>
      <c r="M126" s="254"/>
      <c r="N126" s="254"/>
      <c r="O126" s="254"/>
      <c r="P126" s="254"/>
      <c r="Q126" s="254"/>
      <c r="R126" s="254"/>
      <c r="S126" s="254"/>
      <c r="T126" s="254"/>
      <c r="U126" s="254"/>
      <c r="V126" s="254"/>
      <c r="W126" s="254"/>
    </row>
    <row r="127" spans="11:23" ht="12.75" customHeight="1">
      <c r="K127" s="64"/>
      <c r="L127" s="64"/>
      <c r="M127" s="254"/>
      <c r="N127" s="254"/>
      <c r="O127" s="254"/>
      <c r="P127" s="254"/>
      <c r="Q127" s="254"/>
      <c r="R127" s="254"/>
      <c r="S127" s="254"/>
      <c r="T127" s="254"/>
      <c r="U127" s="254"/>
      <c r="V127" s="254"/>
      <c r="W127" s="254"/>
    </row>
    <row r="128" spans="11:23" ht="12.75" customHeight="1">
      <c r="K128" s="64"/>
      <c r="L128" s="64"/>
      <c r="M128" s="254"/>
      <c r="N128" s="254"/>
      <c r="O128" s="254"/>
      <c r="P128" s="254"/>
      <c r="Q128" s="254"/>
      <c r="R128" s="254"/>
      <c r="S128" s="254"/>
      <c r="T128" s="254"/>
      <c r="U128" s="254"/>
      <c r="V128" s="254"/>
      <c r="W128" s="254"/>
    </row>
    <row r="129" spans="11:23" ht="12.75" customHeight="1">
      <c r="K129" s="64"/>
      <c r="L129" s="64"/>
      <c r="M129" s="254"/>
      <c r="N129" s="254"/>
      <c r="O129" s="254"/>
      <c r="P129" s="254"/>
      <c r="Q129" s="254"/>
      <c r="R129" s="254"/>
      <c r="S129" s="254"/>
      <c r="T129" s="254"/>
      <c r="U129" s="254"/>
      <c r="V129" s="254"/>
      <c r="W129" s="254"/>
    </row>
    <row r="130" spans="11:23" ht="12.75" customHeight="1">
      <c r="K130" s="64"/>
      <c r="L130" s="64"/>
      <c r="M130" s="254"/>
      <c r="N130" s="254"/>
      <c r="O130" s="254"/>
      <c r="P130" s="254"/>
      <c r="Q130" s="254"/>
      <c r="R130" s="254"/>
      <c r="S130" s="254"/>
      <c r="T130" s="254"/>
      <c r="U130" s="254"/>
      <c r="V130" s="254"/>
      <c r="W130" s="254"/>
    </row>
    <row r="131" spans="11:23" ht="12.75" customHeight="1">
      <c r="K131" s="64"/>
      <c r="L131" s="64"/>
      <c r="M131" s="254"/>
      <c r="N131" s="254"/>
      <c r="O131" s="254"/>
      <c r="P131" s="254"/>
      <c r="Q131" s="254"/>
      <c r="R131" s="254"/>
      <c r="S131" s="254"/>
      <c r="T131" s="254"/>
      <c r="U131" s="254"/>
      <c r="V131" s="254"/>
      <c r="W131" s="254"/>
    </row>
    <row r="132" spans="11:23" ht="12.75" customHeight="1">
      <c r="K132" s="64"/>
      <c r="L132" s="64"/>
      <c r="M132" s="254"/>
      <c r="N132" s="254"/>
      <c r="O132" s="254"/>
      <c r="P132" s="254"/>
      <c r="Q132" s="254"/>
      <c r="R132" s="254"/>
      <c r="S132" s="254"/>
      <c r="T132" s="254"/>
      <c r="U132" s="254"/>
      <c r="V132" s="254"/>
      <c r="W132" s="254"/>
    </row>
    <row r="133" spans="11:23" ht="12.75" customHeight="1">
      <c r="K133" s="64"/>
      <c r="L133" s="64"/>
      <c r="M133" s="254"/>
      <c r="N133" s="254"/>
      <c r="O133" s="254"/>
      <c r="P133" s="254"/>
      <c r="Q133" s="254"/>
      <c r="R133" s="254"/>
      <c r="S133" s="254"/>
      <c r="T133" s="254"/>
      <c r="U133" s="254"/>
      <c r="V133" s="254"/>
      <c r="W133" s="254"/>
    </row>
    <row r="134" spans="11:23" ht="12.75" customHeight="1">
      <c r="K134" s="64"/>
      <c r="L134" s="64"/>
      <c r="M134" s="254"/>
      <c r="N134" s="254"/>
      <c r="O134" s="254"/>
      <c r="P134" s="254"/>
      <c r="Q134" s="254"/>
      <c r="R134" s="254"/>
      <c r="S134" s="254"/>
      <c r="T134" s="254"/>
      <c r="U134" s="254"/>
      <c r="V134" s="254"/>
      <c r="W134" s="254"/>
    </row>
    <row r="135" spans="11:23" ht="12.75" customHeight="1">
      <c r="K135" s="64"/>
      <c r="L135" s="64"/>
      <c r="M135" s="254"/>
      <c r="N135" s="254"/>
      <c r="O135" s="254"/>
      <c r="P135" s="254"/>
      <c r="Q135" s="254"/>
      <c r="R135" s="254"/>
      <c r="S135" s="254"/>
      <c r="T135" s="254"/>
      <c r="U135" s="254"/>
      <c r="V135" s="254"/>
      <c r="W135" s="254"/>
    </row>
    <row r="136" spans="2:23" ht="12.75" customHeight="1">
      <c r="B136" s="255" t="s">
        <v>99</v>
      </c>
      <c r="C136" s="255"/>
      <c r="D136" s="255"/>
      <c r="K136" s="64"/>
      <c r="L136" s="58"/>
      <c r="M136" s="254"/>
      <c r="N136" s="254"/>
      <c r="O136" s="254"/>
      <c r="P136" s="254"/>
      <c r="Q136" s="254"/>
      <c r="R136" s="254"/>
      <c r="S136" s="254"/>
      <c r="T136" s="254"/>
      <c r="U136" s="254"/>
      <c r="V136" s="254"/>
      <c r="W136" s="254"/>
    </row>
    <row r="137" spans="2:23" ht="12.75" customHeight="1">
      <c r="B137" s="255"/>
      <c r="C137" s="255"/>
      <c r="D137" s="255"/>
      <c r="K137" s="64"/>
      <c r="L137" s="58"/>
      <c r="M137" s="254"/>
      <c r="N137" s="254"/>
      <c r="O137" s="254"/>
      <c r="P137" s="254"/>
      <c r="Q137" s="254"/>
      <c r="R137" s="254"/>
      <c r="S137" s="254"/>
      <c r="T137" s="254"/>
      <c r="U137" s="254"/>
      <c r="V137" s="254"/>
      <c r="W137" s="254"/>
    </row>
    <row r="138" spans="11:23" ht="12.75" customHeight="1">
      <c r="K138" s="64"/>
      <c r="L138" s="64"/>
      <c r="M138" s="254"/>
      <c r="N138" s="254"/>
      <c r="O138" s="254"/>
      <c r="P138" s="254"/>
      <c r="Q138" s="254"/>
      <c r="R138" s="254"/>
      <c r="S138" s="254"/>
      <c r="T138" s="254"/>
      <c r="U138" s="254"/>
      <c r="V138" s="254"/>
      <c r="W138" s="254"/>
    </row>
    <row r="139" spans="11:23" ht="12.75" customHeight="1">
      <c r="K139" s="64"/>
      <c r="L139" s="64"/>
      <c r="M139" s="254"/>
      <c r="N139" s="254"/>
      <c r="O139" s="254"/>
      <c r="P139" s="254"/>
      <c r="Q139" s="254"/>
      <c r="R139" s="254"/>
      <c r="S139" s="254"/>
      <c r="T139" s="254"/>
      <c r="U139" s="254"/>
      <c r="V139" s="254"/>
      <c r="W139" s="254"/>
    </row>
    <row r="140" spans="9:23" ht="12.75" customHeight="1">
      <c r="I140" s="64"/>
      <c r="J140" s="64"/>
      <c r="K140" s="64"/>
      <c r="L140" s="64"/>
      <c r="M140" s="254"/>
      <c r="N140" s="254"/>
      <c r="O140" s="254"/>
      <c r="P140" s="254"/>
      <c r="Q140" s="254"/>
      <c r="R140" s="254"/>
      <c r="S140" s="254"/>
      <c r="T140" s="254"/>
      <c r="U140" s="254"/>
      <c r="V140" s="254"/>
      <c r="W140" s="254"/>
    </row>
    <row r="141" spans="9:35" ht="12.75" customHeight="1">
      <c r="I141" s="64"/>
      <c r="J141" s="256"/>
      <c r="K141" s="64"/>
      <c r="M141" s="254"/>
      <c r="N141" s="254"/>
      <c r="O141" s="254"/>
      <c r="P141" s="254"/>
      <c r="Q141" s="254"/>
      <c r="R141" s="254"/>
      <c r="S141" s="254"/>
      <c r="T141" s="254"/>
      <c r="U141" s="254"/>
      <c r="V141" s="254"/>
      <c r="W141" s="254"/>
      <c r="AC141" s="64"/>
      <c r="AD141" s="64"/>
      <c r="AE141" s="64"/>
      <c r="AF141" s="64"/>
      <c r="AG141" s="64"/>
      <c r="AH141" s="64"/>
      <c r="AI141" s="64"/>
    </row>
    <row r="142" spans="2:33" ht="12.75" customHeight="1">
      <c r="B142" s="257"/>
      <c r="C142" s="257" t="s">
        <v>100</v>
      </c>
      <c r="D142" s="257" t="s">
        <v>40</v>
      </c>
      <c r="E142" s="257" t="s">
        <v>41</v>
      </c>
      <c r="F142" s="257" t="s">
        <v>42</v>
      </c>
      <c r="G142" s="257" t="s">
        <v>43</v>
      </c>
      <c r="I142" s="64"/>
      <c r="J142" s="256"/>
      <c r="K142" s="64"/>
      <c r="L142" s="64"/>
      <c r="M142" s="258"/>
      <c r="N142" s="258"/>
      <c r="O142" s="258"/>
      <c r="P142" s="258"/>
      <c r="Q142" s="258"/>
      <c r="R142" s="258"/>
      <c r="S142" s="258"/>
      <c r="T142" s="258"/>
      <c r="U142" s="258"/>
      <c r="V142" s="254"/>
      <c r="W142" s="254"/>
      <c r="AA142" s="256"/>
      <c r="AB142" s="256"/>
      <c r="AC142" s="256"/>
      <c r="AD142" s="256"/>
      <c r="AE142" s="256"/>
      <c r="AF142" s="256">
        <v>20</v>
      </c>
      <c r="AG142" s="256">
        <v>21</v>
      </c>
    </row>
    <row r="143" spans="2:33" ht="12.75" customHeight="1">
      <c r="B143" s="257">
        <v>0</v>
      </c>
      <c r="C143" s="257"/>
      <c r="D143" s="257">
        <v>1</v>
      </c>
      <c r="E143" s="257">
        <v>1</v>
      </c>
      <c r="F143" s="257">
        <v>1</v>
      </c>
      <c r="G143" s="257">
        <v>1</v>
      </c>
      <c r="I143" s="64"/>
      <c r="J143" s="256"/>
      <c r="K143" s="256"/>
      <c r="L143" s="256"/>
      <c r="M143" s="259"/>
      <c r="N143" s="259"/>
      <c r="O143" s="259"/>
      <c r="P143" s="259"/>
      <c r="Q143" s="259"/>
      <c r="R143" s="259"/>
      <c r="S143" s="259"/>
      <c r="T143" s="259"/>
      <c r="U143" s="259"/>
      <c r="V143" s="258"/>
      <c r="W143" s="258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</row>
    <row r="144" spans="2:33" ht="12.75" customHeight="1">
      <c r="B144" s="257">
        <v>1</v>
      </c>
      <c r="C144" s="257">
        <v>0</v>
      </c>
      <c r="D144" s="257">
        <v>1.1</v>
      </c>
      <c r="E144" s="257">
        <v>1.03</v>
      </c>
      <c r="F144" s="257">
        <v>1.03</v>
      </c>
      <c r="G144" s="257">
        <v>1.03</v>
      </c>
      <c r="I144" s="64"/>
      <c r="J144" s="256"/>
      <c r="K144" s="260"/>
      <c r="L144" s="261"/>
      <c r="M144" s="262"/>
      <c r="N144" s="262"/>
      <c r="O144" s="262"/>
      <c r="P144" s="262"/>
      <c r="Q144" s="262"/>
      <c r="R144" s="262"/>
      <c r="S144" s="262"/>
      <c r="T144" s="262"/>
      <c r="U144" s="262"/>
      <c r="V144" s="259"/>
      <c r="W144" s="259"/>
      <c r="X144" s="256"/>
      <c r="Y144" s="256"/>
      <c r="Z144" s="256"/>
      <c r="AA144" s="64"/>
      <c r="AB144" s="64"/>
      <c r="AC144" s="64"/>
      <c r="AD144" s="64"/>
      <c r="AE144" s="64"/>
      <c r="AF144" s="64"/>
      <c r="AG144" s="64"/>
    </row>
    <row r="145" spans="2:33" ht="12.75" customHeight="1">
      <c r="B145" s="257">
        <v>2</v>
      </c>
      <c r="C145" s="257">
        <v>0.015</v>
      </c>
      <c r="D145" s="257">
        <v>1.2</v>
      </c>
      <c r="E145" s="257">
        <v>1.06</v>
      </c>
      <c r="F145" s="257">
        <v>1.06</v>
      </c>
      <c r="G145" s="257">
        <v>1.06</v>
      </c>
      <c r="I145" s="64"/>
      <c r="J145" s="256"/>
      <c r="K145" s="261"/>
      <c r="L145" s="263"/>
      <c r="M145" s="262"/>
      <c r="N145" s="262"/>
      <c r="O145" s="262"/>
      <c r="P145" s="262"/>
      <c r="Q145" s="262"/>
      <c r="R145" s="262"/>
      <c r="S145" s="262"/>
      <c r="T145" s="262"/>
      <c r="U145" s="262"/>
      <c r="V145" s="258"/>
      <c r="W145" s="258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</row>
    <row r="146" spans="2:33" ht="12.75" customHeight="1">
      <c r="B146" s="257">
        <v>3</v>
      </c>
      <c r="C146" s="257">
        <v>0.03</v>
      </c>
      <c r="D146" s="257">
        <v>1.3</v>
      </c>
      <c r="E146" s="257">
        <v>1.1</v>
      </c>
      <c r="F146" s="257">
        <v>1.1</v>
      </c>
      <c r="G146" s="257">
        <v>1.1</v>
      </c>
      <c r="I146" s="64"/>
      <c r="J146" s="256"/>
      <c r="K146" s="260"/>
      <c r="L146" s="260"/>
      <c r="M146" s="262"/>
      <c r="N146" s="262"/>
      <c r="O146" s="262"/>
      <c r="P146" s="262"/>
      <c r="Q146" s="262"/>
      <c r="R146" s="262"/>
      <c r="S146" s="262"/>
      <c r="T146" s="262"/>
      <c r="U146" s="262"/>
      <c r="V146" s="258"/>
      <c r="W146" s="258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</row>
    <row r="147" spans="2:33" ht="12.75" customHeight="1">
      <c r="B147" s="257">
        <v>4</v>
      </c>
      <c r="C147" s="257">
        <v>0.045</v>
      </c>
      <c r="D147" s="257">
        <v>1.4</v>
      </c>
      <c r="E147" s="257">
        <v>1.15</v>
      </c>
      <c r="F147" s="257">
        <v>1.15</v>
      </c>
      <c r="G147" s="257">
        <v>1.15</v>
      </c>
      <c r="I147" s="64"/>
      <c r="J147" s="256"/>
      <c r="K147" s="260"/>
      <c r="L147" s="263"/>
      <c r="M147" s="262"/>
      <c r="N147" s="264"/>
      <c r="O147" s="262"/>
      <c r="P147" s="262"/>
      <c r="Q147" s="262"/>
      <c r="R147" s="262"/>
      <c r="S147" s="262"/>
      <c r="T147" s="262"/>
      <c r="U147" s="265"/>
      <c r="V147" s="258"/>
      <c r="W147" s="258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</row>
    <row r="148" spans="2:33" ht="12.75" customHeight="1">
      <c r="B148" s="257">
        <v>5</v>
      </c>
      <c r="C148" s="257">
        <v>0.06</v>
      </c>
      <c r="D148" s="257">
        <v>1.5</v>
      </c>
      <c r="E148" s="257">
        <v>1.2</v>
      </c>
      <c r="F148" s="257">
        <v>1.2</v>
      </c>
      <c r="G148" s="257">
        <v>1.2</v>
      </c>
      <c r="I148" s="64"/>
      <c r="J148" s="256"/>
      <c r="K148" s="260"/>
      <c r="L148" s="263"/>
      <c r="M148" s="262"/>
      <c r="N148" s="262"/>
      <c r="O148" s="264"/>
      <c r="P148" s="262"/>
      <c r="Q148" s="262"/>
      <c r="R148" s="265"/>
      <c r="S148" s="262"/>
      <c r="T148" s="262"/>
      <c r="U148" s="262"/>
      <c r="V148" s="258"/>
      <c r="W148" s="258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</row>
    <row r="149" spans="2:33" ht="12.75" customHeight="1">
      <c r="B149" s="257">
        <v>6</v>
      </c>
      <c r="C149" s="257">
        <v>0.075</v>
      </c>
      <c r="D149" s="257">
        <v>1.6</v>
      </c>
      <c r="E149" s="257">
        <v>1.25</v>
      </c>
      <c r="F149" s="257">
        <v>1.25</v>
      </c>
      <c r="G149" s="257">
        <v>1.25</v>
      </c>
      <c r="I149" s="64"/>
      <c r="J149" s="256"/>
      <c r="K149" s="260"/>
      <c r="L149" s="263"/>
      <c r="M149" s="262"/>
      <c r="N149" s="262"/>
      <c r="O149" s="262"/>
      <c r="P149" s="264"/>
      <c r="Q149" s="262"/>
      <c r="R149" s="262"/>
      <c r="S149" s="262"/>
      <c r="T149" s="262"/>
      <c r="U149" s="262"/>
      <c r="V149" s="258"/>
      <c r="W149" s="258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</row>
    <row r="150" spans="2:33" ht="12.75" customHeight="1">
      <c r="B150" s="257">
        <v>7</v>
      </c>
      <c r="C150" s="257">
        <v>0.09</v>
      </c>
      <c r="D150" s="257">
        <v>1.75</v>
      </c>
      <c r="E150" s="257">
        <v>1.35</v>
      </c>
      <c r="F150" s="257">
        <v>1.35</v>
      </c>
      <c r="G150" s="257">
        <v>1.35</v>
      </c>
      <c r="I150" s="64"/>
      <c r="J150" s="256"/>
      <c r="K150" s="260"/>
      <c r="L150" s="263"/>
      <c r="M150" s="262"/>
      <c r="N150" s="262"/>
      <c r="O150" s="262"/>
      <c r="P150" s="262"/>
      <c r="Q150" s="264"/>
      <c r="R150" s="262"/>
      <c r="S150" s="265"/>
      <c r="T150" s="262"/>
      <c r="U150" s="262"/>
      <c r="V150" s="258"/>
      <c r="W150" s="258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</row>
    <row r="151" spans="2:33" ht="12.75" customHeight="1">
      <c r="B151" s="257">
        <v>8</v>
      </c>
      <c r="C151" s="257">
        <v>0.105</v>
      </c>
      <c r="D151" s="257">
        <v>1.9</v>
      </c>
      <c r="E151" s="257">
        <v>1.4</v>
      </c>
      <c r="F151" s="257">
        <v>1.4</v>
      </c>
      <c r="G151" s="257">
        <v>1.4</v>
      </c>
      <c r="I151" s="64"/>
      <c r="J151" s="256"/>
      <c r="K151" s="260"/>
      <c r="L151" s="263"/>
      <c r="M151" s="262"/>
      <c r="N151" s="262"/>
      <c r="O151" s="265"/>
      <c r="P151" s="262"/>
      <c r="Q151" s="262"/>
      <c r="R151" s="264"/>
      <c r="S151" s="262"/>
      <c r="T151" s="262"/>
      <c r="U151" s="262"/>
      <c r="V151" s="258"/>
      <c r="W151" s="258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</row>
    <row r="152" spans="2:35" ht="12.75" customHeight="1">
      <c r="B152" s="257">
        <v>9</v>
      </c>
      <c r="C152" s="257">
        <v>0.12</v>
      </c>
      <c r="D152" s="257">
        <v>2.1</v>
      </c>
      <c r="E152" s="257">
        <v>1.45</v>
      </c>
      <c r="F152" s="257">
        <v>1.45</v>
      </c>
      <c r="G152" s="257">
        <v>1.45</v>
      </c>
      <c r="K152" s="64"/>
      <c r="L152" s="256"/>
      <c r="M152" s="262"/>
      <c r="N152" s="264"/>
      <c r="O152" s="262"/>
      <c r="P152" s="262"/>
      <c r="Q152" s="262"/>
      <c r="R152" s="262"/>
      <c r="S152" s="265"/>
      <c r="T152" s="262"/>
      <c r="U152" s="264"/>
      <c r="V152" s="262"/>
      <c r="W152" s="262"/>
      <c r="X152" s="260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</row>
    <row r="153" spans="2:35" ht="12.75" customHeight="1">
      <c r="B153" s="257">
        <v>10</v>
      </c>
      <c r="C153" s="257">
        <v>0.15</v>
      </c>
      <c r="D153" s="257">
        <v>2.35</v>
      </c>
      <c r="E153" s="257">
        <v>1.6</v>
      </c>
      <c r="F153" s="257">
        <v>1.6</v>
      </c>
      <c r="G153" s="257">
        <v>1.6</v>
      </c>
      <c r="K153" s="64"/>
      <c r="L153" s="256"/>
      <c r="M153" s="262"/>
      <c r="N153" s="264"/>
      <c r="O153" s="262"/>
      <c r="P153" s="262"/>
      <c r="Q153" s="266"/>
      <c r="R153" s="262"/>
      <c r="S153" s="262"/>
      <c r="T153" s="262"/>
      <c r="U153" s="262"/>
      <c r="V153" s="264"/>
      <c r="W153" s="264"/>
      <c r="X153" s="260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</row>
    <row r="154" spans="11:35" ht="12.75" customHeight="1">
      <c r="K154" s="64"/>
      <c r="L154" s="256"/>
      <c r="M154" s="262"/>
      <c r="N154" s="264"/>
      <c r="O154" s="262"/>
      <c r="P154" s="265"/>
      <c r="Q154" s="262"/>
      <c r="R154" s="262"/>
      <c r="S154" s="262"/>
      <c r="T154" s="262"/>
      <c r="U154" s="262"/>
      <c r="V154" s="262"/>
      <c r="W154" s="262"/>
      <c r="X154" s="263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</row>
    <row r="155" spans="6:30" ht="12.75" customHeight="1">
      <c r="F155" s="64"/>
      <c r="G155" s="256"/>
      <c r="H155" s="64"/>
      <c r="I155" s="64"/>
      <c r="J155" s="64"/>
      <c r="K155" s="64"/>
      <c r="L155" s="64"/>
      <c r="M155" s="258"/>
      <c r="N155" s="258"/>
      <c r="O155" s="258"/>
      <c r="P155" s="258"/>
      <c r="Q155" s="258"/>
      <c r="R155" s="258"/>
      <c r="S155" s="258"/>
      <c r="T155" s="258"/>
      <c r="U155" s="258"/>
      <c r="V155" s="258"/>
      <c r="W155" s="258"/>
      <c r="X155" s="64"/>
      <c r="Y155" s="64"/>
      <c r="Z155" s="64"/>
      <c r="AA155" s="64"/>
      <c r="AB155" s="64"/>
      <c r="AC155" s="64"/>
      <c r="AD155" s="64"/>
    </row>
    <row r="156" spans="7:30" ht="12.75" customHeight="1">
      <c r="G156" s="256"/>
      <c r="H156" s="64"/>
      <c r="I156" s="64"/>
      <c r="J156" s="64"/>
      <c r="K156" s="64"/>
      <c r="L156" s="64"/>
      <c r="M156" s="258"/>
      <c r="N156" s="258"/>
      <c r="O156" s="258"/>
      <c r="P156" s="258"/>
      <c r="Q156" s="258"/>
      <c r="R156" s="258"/>
      <c r="S156" s="258"/>
      <c r="T156" s="258"/>
      <c r="U156" s="258"/>
      <c r="V156" s="258"/>
      <c r="W156" s="258"/>
      <c r="X156" s="64"/>
      <c r="Y156" s="64"/>
      <c r="Z156" s="64"/>
      <c r="AA156" s="64"/>
      <c r="AB156" s="263"/>
      <c r="AC156" s="64"/>
      <c r="AD156" s="64"/>
    </row>
    <row r="157" spans="7:30" ht="12.75" customHeight="1">
      <c r="G157" s="256"/>
      <c r="H157" s="64"/>
      <c r="I157" s="64"/>
      <c r="J157" s="64"/>
      <c r="K157" s="64"/>
      <c r="L157" s="64"/>
      <c r="M157" s="258"/>
      <c r="N157" s="258"/>
      <c r="O157" s="258"/>
      <c r="P157" s="258"/>
      <c r="Q157" s="258"/>
      <c r="R157" s="258"/>
      <c r="S157" s="258"/>
      <c r="T157" s="258"/>
      <c r="U157" s="258"/>
      <c r="V157" s="258"/>
      <c r="W157" s="258"/>
      <c r="X157" s="64"/>
      <c r="Y157" s="64"/>
      <c r="Z157" s="64"/>
      <c r="AA157" s="64"/>
      <c r="AB157" s="64"/>
      <c r="AC157" s="64"/>
      <c r="AD157" s="64"/>
    </row>
    <row r="158" spans="7:30" ht="12.75" customHeight="1">
      <c r="G158" s="256"/>
      <c r="H158" s="64"/>
      <c r="I158" s="64"/>
      <c r="J158" s="64"/>
      <c r="K158" s="64"/>
      <c r="L158" s="64"/>
      <c r="M158" s="258"/>
      <c r="N158" s="258"/>
      <c r="O158" s="258"/>
      <c r="P158" s="258"/>
      <c r="Q158" s="258"/>
      <c r="R158" s="258"/>
      <c r="S158" s="258"/>
      <c r="T158" s="258"/>
      <c r="U158" s="258"/>
      <c r="V158" s="258"/>
      <c r="W158" s="258"/>
      <c r="X158" s="64"/>
      <c r="Y158" s="64"/>
      <c r="Z158" s="64"/>
      <c r="AA158" s="64"/>
      <c r="AB158" s="64"/>
      <c r="AC158" s="64"/>
      <c r="AD158" s="64"/>
    </row>
    <row r="159" spans="7:30" ht="12.75" customHeight="1">
      <c r="G159" s="256"/>
      <c r="H159" s="64"/>
      <c r="I159" s="64"/>
      <c r="J159" s="64"/>
      <c r="K159" s="64"/>
      <c r="L159" s="64"/>
      <c r="M159" s="258"/>
      <c r="N159" s="258"/>
      <c r="O159" s="258"/>
      <c r="P159" s="258"/>
      <c r="Q159" s="258"/>
      <c r="R159" s="258"/>
      <c r="S159" s="258"/>
      <c r="T159" s="258"/>
      <c r="U159" s="258"/>
      <c r="V159" s="258"/>
      <c r="W159" s="258"/>
      <c r="X159" s="64"/>
      <c r="Y159" s="64"/>
      <c r="Z159" s="64"/>
      <c r="AA159" s="64"/>
      <c r="AB159" s="64"/>
      <c r="AC159" s="64"/>
      <c r="AD159" s="64"/>
    </row>
    <row r="160" spans="7:30" ht="12.75" customHeight="1">
      <c r="G160" s="256"/>
      <c r="H160" s="64"/>
      <c r="I160" s="64"/>
      <c r="J160" s="64"/>
      <c r="K160" s="64"/>
      <c r="L160" s="64"/>
      <c r="M160" s="258"/>
      <c r="N160" s="258"/>
      <c r="O160" s="258"/>
      <c r="P160" s="258"/>
      <c r="Q160" s="258"/>
      <c r="R160" s="258"/>
      <c r="S160" s="258"/>
      <c r="T160" s="258"/>
      <c r="U160" s="258"/>
      <c r="V160" s="258"/>
      <c r="W160" s="258"/>
      <c r="X160" s="64"/>
      <c r="Y160" s="64"/>
      <c r="Z160" s="64"/>
      <c r="AA160" s="64"/>
      <c r="AB160" s="64"/>
      <c r="AC160" s="64"/>
      <c r="AD160" s="64"/>
    </row>
    <row r="161" spans="7:30" ht="12.75" customHeight="1">
      <c r="G161" s="256"/>
      <c r="H161" s="64"/>
      <c r="I161" s="64"/>
      <c r="J161" s="64"/>
      <c r="K161" s="64"/>
      <c r="L161" s="64"/>
      <c r="M161" s="258"/>
      <c r="N161" s="258"/>
      <c r="O161" s="258"/>
      <c r="P161" s="258"/>
      <c r="Q161" s="258"/>
      <c r="R161" s="258"/>
      <c r="S161" s="258"/>
      <c r="T161" s="258"/>
      <c r="U161" s="258"/>
      <c r="V161" s="258"/>
      <c r="W161" s="258"/>
      <c r="X161" s="64"/>
      <c r="Y161" s="64"/>
      <c r="Z161" s="64"/>
      <c r="AA161" s="64"/>
      <c r="AB161" s="64"/>
      <c r="AC161" s="64"/>
      <c r="AD161" s="64"/>
    </row>
    <row r="162" spans="7:30" ht="12.75" customHeight="1">
      <c r="G162" s="256"/>
      <c r="H162" s="64"/>
      <c r="I162" s="64"/>
      <c r="J162" s="64"/>
      <c r="K162" s="64"/>
      <c r="L162" s="64"/>
      <c r="M162" s="258"/>
      <c r="N162" s="258"/>
      <c r="O162" s="258"/>
      <c r="P162" s="258"/>
      <c r="Q162" s="258"/>
      <c r="R162" s="258"/>
      <c r="S162" s="258"/>
      <c r="T162" s="258"/>
      <c r="U162" s="258"/>
      <c r="V162" s="258"/>
      <c r="W162" s="258"/>
      <c r="X162" s="64"/>
      <c r="Y162" s="64"/>
      <c r="Z162" s="64"/>
      <c r="AA162" s="64"/>
      <c r="AB162" s="64"/>
      <c r="AC162" s="64"/>
      <c r="AD162" s="64"/>
    </row>
    <row r="163" spans="7:30" ht="12.75" customHeight="1">
      <c r="G163" s="256"/>
      <c r="H163" s="64"/>
      <c r="I163" s="64"/>
      <c r="J163" s="64"/>
      <c r="K163" s="64"/>
      <c r="L163" s="64"/>
      <c r="M163" s="258"/>
      <c r="N163" s="258"/>
      <c r="O163" s="258"/>
      <c r="P163" s="258"/>
      <c r="Q163" s="258"/>
      <c r="R163" s="258"/>
      <c r="S163" s="258"/>
      <c r="T163" s="258"/>
      <c r="U163" s="258"/>
      <c r="V163" s="258"/>
      <c r="W163" s="258"/>
      <c r="X163" s="64"/>
      <c r="Y163" s="64"/>
      <c r="Z163" s="64"/>
      <c r="AA163" s="64"/>
      <c r="AB163" s="64"/>
      <c r="AC163" s="64"/>
      <c r="AD163" s="64"/>
    </row>
    <row r="164" spans="7:30" ht="12.75" customHeight="1">
      <c r="G164" s="256"/>
      <c r="H164" s="64"/>
      <c r="I164" s="64"/>
      <c r="J164" s="64"/>
      <c r="K164" s="64"/>
      <c r="L164" s="64"/>
      <c r="M164" s="258"/>
      <c r="N164" s="258"/>
      <c r="O164" s="258"/>
      <c r="P164" s="258"/>
      <c r="Q164" s="258"/>
      <c r="R164" s="258"/>
      <c r="S164" s="258"/>
      <c r="T164" s="258"/>
      <c r="U164" s="264"/>
      <c r="V164" s="258"/>
      <c r="W164" s="258"/>
      <c r="X164" s="64"/>
      <c r="Y164" s="64"/>
      <c r="Z164" s="64"/>
      <c r="AA164" s="64"/>
      <c r="AB164" s="64"/>
      <c r="AC164" s="64"/>
      <c r="AD164" s="64"/>
    </row>
    <row r="165" spans="12:35" ht="12.75" customHeight="1">
      <c r="L165" s="256"/>
      <c r="M165" s="258"/>
      <c r="N165" s="258"/>
      <c r="O165" s="258"/>
      <c r="P165" s="258"/>
      <c r="Q165" s="258"/>
      <c r="R165" s="258"/>
      <c r="S165" s="258"/>
      <c r="T165" s="258"/>
      <c r="U165" s="258"/>
      <c r="V165" s="258"/>
      <c r="W165" s="258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</row>
    <row r="166" spans="12:35" ht="12.75" customHeight="1">
      <c r="L166" s="256"/>
      <c r="M166" s="258"/>
      <c r="N166" s="258"/>
      <c r="O166" s="258"/>
      <c r="P166" s="258"/>
      <c r="Q166" s="258"/>
      <c r="R166" s="258"/>
      <c r="S166" s="258"/>
      <c r="T166" s="258"/>
      <c r="U166" s="258"/>
      <c r="V166" s="258"/>
      <c r="W166" s="258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</row>
    <row r="167" spans="12:35" ht="12.75" customHeight="1">
      <c r="L167" s="256"/>
      <c r="M167" s="258"/>
      <c r="N167" s="258"/>
      <c r="O167" s="258"/>
      <c r="P167" s="258"/>
      <c r="Q167" s="258"/>
      <c r="R167" s="258"/>
      <c r="S167" s="258"/>
      <c r="T167" s="258"/>
      <c r="U167" s="258"/>
      <c r="V167" s="258"/>
      <c r="W167" s="258"/>
      <c r="X167" s="64"/>
      <c r="Y167" s="64"/>
      <c r="Z167" s="64"/>
      <c r="AA167" s="64"/>
      <c r="AB167" s="64"/>
      <c r="AC167" s="263"/>
      <c r="AD167" s="64"/>
      <c r="AE167" s="64"/>
      <c r="AF167" s="64"/>
      <c r="AG167" s="64"/>
      <c r="AH167" s="64"/>
      <c r="AI167" s="64"/>
    </row>
    <row r="168" spans="12:35" ht="12.75" customHeight="1">
      <c r="L168" s="256"/>
      <c r="M168" s="258"/>
      <c r="N168" s="258"/>
      <c r="O168" s="258"/>
      <c r="P168" s="258"/>
      <c r="Q168" s="258"/>
      <c r="R168" s="258"/>
      <c r="S168" s="258"/>
      <c r="T168" s="258"/>
      <c r="U168" s="258"/>
      <c r="V168" s="258"/>
      <c r="W168" s="258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</row>
    <row r="169" spans="12:35" ht="12.75" customHeight="1">
      <c r="L169" s="256"/>
      <c r="M169" s="258"/>
      <c r="N169" s="258"/>
      <c r="O169" s="258"/>
      <c r="P169" s="258"/>
      <c r="Q169" s="258"/>
      <c r="R169" s="258"/>
      <c r="S169" s="258"/>
      <c r="T169" s="258"/>
      <c r="U169" s="258"/>
      <c r="V169" s="258"/>
      <c r="W169" s="258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</row>
    <row r="170" spans="12:35" ht="12.75" customHeight="1">
      <c r="L170" s="256"/>
      <c r="M170" s="258"/>
      <c r="N170" s="258"/>
      <c r="O170" s="258"/>
      <c r="P170" s="258"/>
      <c r="Q170" s="258"/>
      <c r="R170" s="258"/>
      <c r="S170" s="258"/>
      <c r="T170" s="258"/>
      <c r="U170" s="258"/>
      <c r="V170" s="258"/>
      <c r="W170" s="258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</row>
    <row r="171" spans="12:35" ht="12.75" customHeight="1">
      <c r="L171" s="256"/>
      <c r="M171" s="258"/>
      <c r="N171" s="258"/>
      <c r="O171" s="258"/>
      <c r="P171" s="258"/>
      <c r="Q171" s="258"/>
      <c r="R171" s="258"/>
      <c r="S171" s="258"/>
      <c r="T171" s="258"/>
      <c r="U171" s="258"/>
      <c r="V171" s="258"/>
      <c r="W171" s="258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</row>
    <row r="172" spans="12:35" ht="12.75" customHeight="1">
      <c r="L172" s="256"/>
      <c r="M172" s="258"/>
      <c r="N172" s="258"/>
      <c r="O172" s="258"/>
      <c r="P172" s="258"/>
      <c r="Q172" s="258"/>
      <c r="R172" s="258"/>
      <c r="S172" s="258"/>
      <c r="T172" s="258"/>
      <c r="U172" s="258"/>
      <c r="V172" s="258"/>
      <c r="W172" s="258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</row>
    <row r="173" spans="12:35" ht="12.75" customHeight="1">
      <c r="L173" s="256"/>
      <c r="M173" s="258"/>
      <c r="N173" s="258"/>
      <c r="O173" s="258"/>
      <c r="P173" s="258"/>
      <c r="Q173" s="258"/>
      <c r="R173" s="258"/>
      <c r="S173" s="258"/>
      <c r="T173" s="258"/>
      <c r="U173" s="258"/>
      <c r="V173" s="258"/>
      <c r="W173" s="258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</row>
    <row r="174" spans="12:35" ht="12.75" customHeight="1">
      <c r="L174" s="64"/>
      <c r="M174" s="258"/>
      <c r="N174" s="258"/>
      <c r="O174" s="258"/>
      <c r="P174" s="258"/>
      <c r="Q174" s="258"/>
      <c r="R174" s="258"/>
      <c r="S174" s="258"/>
      <c r="T174" s="258"/>
      <c r="U174" s="258"/>
      <c r="V174" s="258"/>
      <c r="W174" s="258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</row>
    <row r="175" spans="12:35" ht="12.75" customHeight="1">
      <c r="L175" s="64"/>
      <c r="M175" s="258"/>
      <c r="N175" s="258"/>
      <c r="O175" s="258"/>
      <c r="P175" s="258"/>
      <c r="Q175" s="258"/>
      <c r="R175" s="258"/>
      <c r="S175" s="258"/>
      <c r="T175" s="258"/>
      <c r="U175" s="258"/>
      <c r="V175" s="258"/>
      <c r="W175" s="258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</row>
    <row r="176" spans="12:35" ht="12.75" customHeight="1">
      <c r="L176" s="64"/>
      <c r="M176" s="258"/>
      <c r="N176" s="258"/>
      <c r="O176" s="258"/>
      <c r="P176" s="258"/>
      <c r="Q176" s="258"/>
      <c r="R176" s="258"/>
      <c r="S176" s="258"/>
      <c r="T176" s="258"/>
      <c r="U176" s="258"/>
      <c r="V176" s="258"/>
      <c r="W176" s="258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</row>
    <row r="177" spans="12:35" ht="12.75" customHeight="1">
      <c r="L177" s="64"/>
      <c r="M177" s="258"/>
      <c r="N177" s="258"/>
      <c r="O177" s="258"/>
      <c r="P177" s="258"/>
      <c r="Q177" s="258"/>
      <c r="R177" s="258"/>
      <c r="S177" s="258"/>
      <c r="T177" s="258"/>
      <c r="U177" s="258"/>
      <c r="V177" s="258"/>
      <c r="W177" s="258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</row>
    <row r="178" spans="12:35" ht="12.75" customHeight="1">
      <c r="L178" s="64"/>
      <c r="M178" s="258"/>
      <c r="N178" s="258"/>
      <c r="O178" s="258"/>
      <c r="P178" s="258"/>
      <c r="Q178" s="258"/>
      <c r="R178" s="258"/>
      <c r="S178" s="258"/>
      <c r="T178" s="258"/>
      <c r="U178" s="258"/>
      <c r="V178" s="258"/>
      <c r="W178" s="258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</row>
    <row r="179" spans="12:35" ht="12.75" customHeight="1">
      <c r="L179" s="64"/>
      <c r="M179" s="258"/>
      <c r="N179" s="258"/>
      <c r="O179" s="258"/>
      <c r="P179" s="258"/>
      <c r="Q179" s="258"/>
      <c r="R179" s="258"/>
      <c r="S179" s="258"/>
      <c r="T179" s="258"/>
      <c r="U179" s="258"/>
      <c r="V179" s="258"/>
      <c r="W179" s="258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</row>
    <row r="180" spans="12:35" ht="12.75" customHeight="1">
      <c r="L180" s="64"/>
      <c r="M180" s="258"/>
      <c r="N180" s="258"/>
      <c r="O180" s="258"/>
      <c r="P180" s="258"/>
      <c r="Q180" s="258"/>
      <c r="R180" s="258"/>
      <c r="S180" s="258"/>
      <c r="T180" s="258"/>
      <c r="U180" s="258"/>
      <c r="V180" s="258"/>
      <c r="W180" s="258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</row>
    <row r="181" spans="12:35" ht="12.75" customHeight="1">
      <c r="L181" s="64"/>
      <c r="M181" s="258"/>
      <c r="N181" s="258"/>
      <c r="O181" s="258"/>
      <c r="P181" s="258"/>
      <c r="Q181" s="258"/>
      <c r="R181" s="258"/>
      <c r="S181" s="258"/>
      <c r="T181" s="258"/>
      <c r="U181" s="258"/>
      <c r="V181" s="258"/>
      <c r="W181" s="258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</row>
    <row r="182" spans="12:35" ht="12.75" customHeight="1">
      <c r="L182" s="64"/>
      <c r="M182" s="258"/>
      <c r="N182" s="258"/>
      <c r="O182" s="258"/>
      <c r="P182" s="258"/>
      <c r="Q182" s="258"/>
      <c r="R182" s="258"/>
      <c r="S182" s="258"/>
      <c r="T182" s="258"/>
      <c r="U182" s="258"/>
      <c r="V182" s="258"/>
      <c r="W182" s="258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</row>
    <row r="183" spans="12:35" ht="12.75" customHeight="1">
      <c r="L183" s="64"/>
      <c r="M183" s="258"/>
      <c r="N183" s="258"/>
      <c r="O183" s="258"/>
      <c r="P183" s="258"/>
      <c r="Q183" s="258"/>
      <c r="R183" s="258"/>
      <c r="S183" s="258"/>
      <c r="T183" s="258"/>
      <c r="U183" s="258"/>
      <c r="V183" s="258"/>
      <c r="W183" s="258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</row>
    <row r="184" spans="12:35" ht="12.75" customHeight="1">
      <c r="L184" s="64"/>
      <c r="M184" s="258"/>
      <c r="N184" s="258"/>
      <c r="O184" s="258">
        <f>(7^2+4^2)*(1/2)</f>
        <v>32.5</v>
      </c>
      <c r="P184" s="258"/>
      <c r="Q184" s="258"/>
      <c r="R184" s="258"/>
      <c r="S184" s="258"/>
      <c r="T184" s="258"/>
      <c r="U184" s="258"/>
      <c r="V184" s="258"/>
      <c r="W184" s="258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</row>
    <row r="185" spans="12:35" ht="12.75" customHeight="1">
      <c r="L185" s="64"/>
      <c r="M185" s="258"/>
      <c r="N185" s="258"/>
      <c r="O185" s="258"/>
      <c r="P185" s="258"/>
      <c r="Q185" s="258"/>
      <c r="R185" s="258"/>
      <c r="S185" s="258"/>
      <c r="T185" s="258"/>
      <c r="U185" s="258"/>
      <c r="V185" s="258"/>
      <c r="W185" s="258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</row>
    <row r="186" spans="13:35" ht="12.75" customHeight="1">
      <c r="M186" s="258"/>
      <c r="N186" s="258"/>
      <c r="O186" s="258"/>
      <c r="P186" s="258"/>
      <c r="Q186" s="258"/>
      <c r="R186" s="258"/>
      <c r="S186" s="258"/>
      <c r="T186" s="258"/>
      <c r="U186" s="258"/>
      <c r="V186" s="258"/>
      <c r="W186" s="258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</row>
    <row r="187" spans="13:28" ht="12.75" customHeight="1">
      <c r="M187" s="258"/>
      <c r="N187" s="258"/>
      <c r="O187" s="258"/>
      <c r="P187" s="258"/>
      <c r="Q187" s="258"/>
      <c r="R187" s="258"/>
      <c r="S187" s="258"/>
      <c r="T187" s="258"/>
      <c r="U187" s="258"/>
      <c r="V187" s="258"/>
      <c r="W187" s="258"/>
      <c r="X187" s="64"/>
      <c r="Y187" s="64"/>
      <c r="Z187" s="64"/>
      <c r="AA187" s="64"/>
      <c r="AB187" s="64"/>
    </row>
    <row r="188" spans="13:28" ht="12.75" customHeight="1">
      <c r="M188" s="254"/>
      <c r="N188" s="254"/>
      <c r="O188" s="254"/>
      <c r="P188" s="254"/>
      <c r="Q188" s="254"/>
      <c r="R188" s="254"/>
      <c r="S188" s="254"/>
      <c r="T188" s="254"/>
      <c r="U188" s="254"/>
      <c r="V188" s="254"/>
      <c r="W188" s="254"/>
      <c r="Y188" s="64"/>
      <c r="Z188" s="64"/>
      <c r="AA188" s="64"/>
      <c r="AB188" s="64"/>
    </row>
    <row r="189" spans="13:23" ht="12.75" customHeight="1">
      <c r="M189" s="254"/>
      <c r="N189" s="254"/>
      <c r="O189" s="254"/>
      <c r="P189" s="254"/>
      <c r="Q189" s="254"/>
      <c r="R189" s="254"/>
      <c r="S189" s="254"/>
      <c r="T189" s="254"/>
      <c r="U189" s="254"/>
      <c r="V189" s="254"/>
      <c r="W189" s="254"/>
    </row>
    <row r="190" spans="13:23" ht="12.75" customHeight="1">
      <c r="M190" s="254"/>
      <c r="N190" s="254"/>
      <c r="O190" s="254"/>
      <c r="P190" s="254"/>
      <c r="Q190" s="254"/>
      <c r="R190" s="254"/>
      <c r="S190" s="254"/>
      <c r="T190" s="254"/>
      <c r="U190" s="254"/>
      <c r="V190" s="254"/>
      <c r="W190" s="254"/>
    </row>
    <row r="191" spans="13:23" ht="12.75" customHeight="1">
      <c r="M191" s="254"/>
      <c r="N191" s="254"/>
      <c r="O191" s="254"/>
      <c r="P191" s="254"/>
      <c r="Q191" s="254"/>
      <c r="R191" s="254"/>
      <c r="S191" s="254"/>
      <c r="T191" s="254"/>
      <c r="U191" s="254"/>
      <c r="V191" s="254"/>
      <c r="W191" s="254"/>
    </row>
    <row r="192" spans="13:23" ht="12.75" customHeight="1">
      <c r="M192" s="254"/>
      <c r="N192" s="254"/>
      <c r="O192" s="254"/>
      <c r="P192" s="254"/>
      <c r="Q192" s="254"/>
      <c r="R192" s="254"/>
      <c r="S192" s="254"/>
      <c r="T192" s="254"/>
      <c r="U192" s="254"/>
      <c r="V192" s="254"/>
      <c r="W192" s="254"/>
    </row>
    <row r="193" spans="13:23" ht="12.75" customHeight="1">
      <c r="M193" s="254"/>
      <c r="N193" s="254"/>
      <c r="O193" s="254"/>
      <c r="P193" s="254"/>
      <c r="Q193" s="254"/>
      <c r="R193" s="254"/>
      <c r="S193" s="254"/>
      <c r="T193" s="254"/>
      <c r="U193" s="254"/>
      <c r="V193" s="254"/>
      <c r="W193" s="254"/>
    </row>
    <row r="194" spans="13:23" ht="12.75" customHeight="1">
      <c r="M194" s="254"/>
      <c r="N194" s="254"/>
      <c r="O194" s="254"/>
      <c r="P194" s="254"/>
      <c r="Q194" s="254"/>
      <c r="R194" s="254"/>
      <c r="S194" s="254"/>
      <c r="T194" s="254"/>
      <c r="U194" s="254"/>
      <c r="V194" s="254"/>
      <c r="W194" s="254"/>
    </row>
    <row r="195" spans="13:23" ht="12.75" customHeight="1">
      <c r="M195" s="254"/>
      <c r="N195" s="254"/>
      <c r="O195" s="254"/>
      <c r="P195" s="254"/>
      <c r="Q195" s="254"/>
      <c r="R195" s="254"/>
      <c r="S195" s="254"/>
      <c r="T195" s="254"/>
      <c r="U195" s="254"/>
      <c r="V195" s="254"/>
      <c r="W195" s="254"/>
    </row>
    <row r="196" spans="13:23" ht="12.75" customHeight="1">
      <c r="M196" s="254"/>
      <c r="N196" s="254"/>
      <c r="O196" s="254"/>
      <c r="P196" s="254"/>
      <c r="Q196" s="254"/>
      <c r="R196" s="254"/>
      <c r="S196" s="254"/>
      <c r="T196" s="254"/>
      <c r="U196" s="254"/>
      <c r="V196" s="254"/>
      <c r="W196" s="254"/>
    </row>
    <row r="197" spans="13:23" ht="12.75" customHeight="1">
      <c r="M197" s="254"/>
      <c r="N197" s="254"/>
      <c r="O197" s="254"/>
      <c r="P197" s="254"/>
      <c r="Q197" s="254"/>
      <c r="R197" s="254"/>
      <c r="S197" s="254"/>
      <c r="T197" s="254"/>
      <c r="U197" s="254"/>
      <c r="V197" s="254"/>
      <c r="W197" s="254"/>
    </row>
    <row r="198" spans="13:23" ht="12.75" customHeight="1">
      <c r="M198" s="254"/>
      <c r="N198" s="254"/>
      <c r="O198" s="254"/>
      <c r="P198" s="254"/>
      <c r="Q198" s="254"/>
      <c r="R198" s="254"/>
      <c r="S198" s="254"/>
      <c r="T198" s="254"/>
      <c r="U198" s="254"/>
      <c r="V198" s="254"/>
      <c r="W198" s="254"/>
    </row>
    <row r="199" spans="13:23" ht="12.75" customHeight="1">
      <c r="M199" s="254"/>
      <c r="N199" s="254"/>
      <c r="O199" s="254"/>
      <c r="P199" s="254"/>
      <c r="Q199" s="254"/>
      <c r="R199" s="254"/>
      <c r="S199" s="254"/>
      <c r="T199" s="254"/>
      <c r="U199" s="254"/>
      <c r="V199" s="254"/>
      <c r="W199" s="254"/>
    </row>
    <row r="200" spans="13:23" ht="12.75" customHeight="1">
      <c r="M200" s="254"/>
      <c r="N200" s="254"/>
      <c r="O200" s="254"/>
      <c r="P200" s="254"/>
      <c r="Q200" s="254"/>
      <c r="R200" s="254"/>
      <c r="S200" s="254"/>
      <c r="T200" s="254"/>
      <c r="U200" s="254"/>
      <c r="V200" s="254"/>
      <c r="W200" s="254"/>
    </row>
    <row r="201" spans="13:23" ht="12.75" customHeight="1">
      <c r="M201" s="254"/>
      <c r="N201" s="254"/>
      <c r="O201" s="254"/>
      <c r="P201" s="254"/>
      <c r="Q201" s="254"/>
      <c r="R201" s="254"/>
      <c r="S201" s="254"/>
      <c r="T201" s="254"/>
      <c r="U201" s="254"/>
      <c r="V201" s="254"/>
      <c r="W201" s="254"/>
    </row>
    <row r="202" spans="13:23" ht="12.75" customHeight="1">
      <c r="M202" s="254"/>
      <c r="N202" s="254"/>
      <c r="O202" s="254"/>
      <c r="P202" s="254"/>
      <c r="Q202" s="254"/>
      <c r="R202" s="254"/>
      <c r="S202" s="254"/>
      <c r="T202" s="254"/>
      <c r="U202" s="254"/>
      <c r="V202" s="254"/>
      <c r="W202" s="254"/>
    </row>
    <row r="203" spans="13:23" ht="12.75" customHeight="1">
      <c r="M203" s="254"/>
      <c r="N203" s="254"/>
      <c r="O203" s="254"/>
      <c r="P203" s="254"/>
      <c r="Q203" s="254"/>
      <c r="R203" s="254"/>
      <c r="S203" s="254"/>
      <c r="T203" s="254"/>
      <c r="U203" s="254"/>
      <c r="V203" s="254"/>
      <c r="W203" s="254"/>
    </row>
    <row r="204" spans="13:23" ht="12.75" customHeight="1">
      <c r="M204" s="254"/>
      <c r="N204" s="254"/>
      <c r="O204" s="254"/>
      <c r="P204" s="254"/>
      <c r="Q204" s="254"/>
      <c r="R204" s="254"/>
      <c r="S204" s="254"/>
      <c r="T204" s="254"/>
      <c r="U204" s="254"/>
      <c r="V204" s="254"/>
      <c r="W204" s="254"/>
    </row>
    <row r="205" spans="13:23" ht="12.75" customHeight="1">
      <c r="M205" s="254"/>
      <c r="N205" s="254"/>
      <c r="O205" s="254"/>
      <c r="P205" s="254"/>
      <c r="Q205" s="254"/>
      <c r="R205" s="254"/>
      <c r="S205" s="254"/>
      <c r="T205" s="254"/>
      <c r="U205" s="254"/>
      <c r="V205" s="254"/>
      <c r="W205" s="254"/>
    </row>
    <row r="206" spans="13:23" ht="12.75" customHeight="1">
      <c r="M206" s="254"/>
      <c r="N206" s="254"/>
      <c r="O206" s="254"/>
      <c r="P206" s="254"/>
      <c r="Q206" s="254"/>
      <c r="R206" s="254"/>
      <c r="S206" s="254"/>
      <c r="T206" s="254"/>
      <c r="U206" s="254"/>
      <c r="V206" s="254"/>
      <c r="W206" s="254"/>
    </row>
    <row r="207" spans="13:23" ht="12.75" customHeight="1">
      <c r="M207" s="254"/>
      <c r="N207" s="254"/>
      <c r="O207" s="254"/>
      <c r="P207" s="254"/>
      <c r="Q207" s="254"/>
      <c r="R207" s="254"/>
      <c r="S207" s="254"/>
      <c r="T207" s="254"/>
      <c r="U207" s="254"/>
      <c r="V207" s="254"/>
      <c r="W207" s="254"/>
    </row>
    <row r="208" spans="13:23" ht="12.75" customHeight="1">
      <c r="M208" s="254"/>
      <c r="N208" s="254"/>
      <c r="O208" s="254"/>
      <c r="P208" s="254"/>
      <c r="Q208" s="254"/>
      <c r="R208" s="254"/>
      <c r="S208" s="254"/>
      <c r="T208" s="254"/>
      <c r="U208" s="254"/>
      <c r="V208" s="254"/>
      <c r="W208" s="254"/>
    </row>
    <row r="209" spans="13:23" ht="12.75" customHeight="1">
      <c r="M209" s="254"/>
      <c r="N209" s="254"/>
      <c r="O209" s="254"/>
      <c r="P209" s="254"/>
      <c r="Q209" s="254"/>
      <c r="R209" s="254"/>
      <c r="S209" s="254"/>
      <c r="T209" s="254"/>
      <c r="U209" s="254"/>
      <c r="V209" s="254"/>
      <c r="W209" s="254"/>
    </row>
    <row r="210" spans="13:23" ht="12.75" customHeight="1">
      <c r="M210" s="254"/>
      <c r="N210" s="254"/>
      <c r="O210" s="254"/>
      <c r="P210" s="254"/>
      <c r="Q210" s="254"/>
      <c r="R210" s="254"/>
      <c r="S210" s="254"/>
      <c r="T210" s="254"/>
      <c r="U210" s="254"/>
      <c r="V210" s="254"/>
      <c r="W210" s="254"/>
    </row>
    <row r="211" spans="13:23" ht="12.75" customHeight="1">
      <c r="M211" s="254"/>
      <c r="N211" s="254"/>
      <c r="O211" s="254"/>
      <c r="P211" s="254"/>
      <c r="Q211" s="254"/>
      <c r="R211" s="254"/>
      <c r="S211" s="254"/>
      <c r="T211" s="254"/>
      <c r="U211" s="254"/>
      <c r="V211" s="254"/>
      <c r="W211" s="254"/>
    </row>
    <row r="212" spans="13:23" ht="12.75" customHeight="1">
      <c r="M212" s="254"/>
      <c r="N212" s="254"/>
      <c r="O212" s="254"/>
      <c r="P212" s="254"/>
      <c r="Q212" s="254"/>
      <c r="R212" s="254"/>
      <c r="S212" s="254"/>
      <c r="T212" s="254"/>
      <c r="U212" s="254"/>
      <c r="V212" s="254"/>
      <c r="W212" s="254"/>
    </row>
    <row r="213" spans="13:23" ht="12.75" customHeight="1">
      <c r="M213" s="254"/>
      <c r="N213" s="254"/>
      <c r="O213" s="254"/>
      <c r="P213" s="254"/>
      <c r="Q213" s="254"/>
      <c r="R213" s="254"/>
      <c r="S213" s="254"/>
      <c r="T213" s="254"/>
      <c r="U213" s="254"/>
      <c r="V213" s="254"/>
      <c r="W213" s="254"/>
    </row>
    <row r="214" spans="13:23" ht="12.75" customHeight="1">
      <c r="M214" s="254"/>
      <c r="N214" s="254"/>
      <c r="O214" s="254"/>
      <c r="P214" s="254"/>
      <c r="Q214" s="254"/>
      <c r="R214" s="254"/>
      <c r="S214" s="254"/>
      <c r="T214" s="254"/>
      <c r="U214" s="254"/>
      <c r="V214" s="254"/>
      <c r="W214" s="254"/>
    </row>
    <row r="215" spans="13:23" ht="12.75" customHeight="1">
      <c r="M215" s="254"/>
      <c r="N215" s="254"/>
      <c r="O215" s="254"/>
      <c r="P215" s="254"/>
      <c r="Q215" s="254"/>
      <c r="R215" s="254"/>
      <c r="S215" s="254"/>
      <c r="T215" s="254"/>
      <c r="U215" s="254"/>
      <c r="V215" s="254"/>
      <c r="W215" s="254"/>
    </row>
    <row r="216" spans="13:23" ht="12.75" customHeight="1">
      <c r="M216" s="254"/>
      <c r="N216" s="254"/>
      <c r="O216" s="254"/>
      <c r="P216" s="254"/>
      <c r="Q216" s="254"/>
      <c r="R216" s="254"/>
      <c r="S216" s="254"/>
      <c r="T216" s="254"/>
      <c r="U216" s="254"/>
      <c r="V216" s="254"/>
      <c r="W216" s="254"/>
    </row>
    <row r="217" spans="13:23" ht="12.75" customHeight="1">
      <c r="M217" s="254"/>
      <c r="N217" s="254"/>
      <c r="O217" s="254"/>
      <c r="P217" s="254"/>
      <c r="Q217" s="254"/>
      <c r="R217" s="254"/>
      <c r="S217" s="254"/>
      <c r="T217" s="254"/>
      <c r="U217" s="254"/>
      <c r="V217" s="254"/>
      <c r="W217" s="254"/>
    </row>
    <row r="218" spans="13:23" ht="12.75" customHeight="1">
      <c r="M218" s="254"/>
      <c r="N218" s="254"/>
      <c r="O218" s="254"/>
      <c r="P218" s="254"/>
      <c r="Q218" s="254"/>
      <c r="R218" s="254"/>
      <c r="S218" s="254"/>
      <c r="T218" s="254"/>
      <c r="U218" s="254"/>
      <c r="V218" s="254"/>
      <c r="W218" s="254"/>
    </row>
    <row r="219" spans="13:23" ht="12.75" customHeight="1">
      <c r="M219" s="254"/>
      <c r="N219" s="254"/>
      <c r="O219" s="254"/>
      <c r="P219" s="254"/>
      <c r="Q219" s="254"/>
      <c r="R219" s="254"/>
      <c r="S219" s="254"/>
      <c r="T219" s="254"/>
      <c r="U219" s="254"/>
      <c r="V219" s="254"/>
      <c r="W219" s="254"/>
    </row>
    <row r="220" spans="13:23" ht="12.75" customHeight="1">
      <c r="M220" s="254"/>
      <c r="N220" s="254"/>
      <c r="O220" s="254"/>
      <c r="P220" s="254"/>
      <c r="Q220" s="254"/>
      <c r="R220" s="254"/>
      <c r="S220" s="254"/>
      <c r="T220" s="254"/>
      <c r="U220" s="254"/>
      <c r="V220" s="254"/>
      <c r="W220" s="254"/>
    </row>
    <row r="221" spans="13:23" ht="12.75" customHeight="1">
      <c r="M221" s="254"/>
      <c r="N221" s="254"/>
      <c r="O221" s="254"/>
      <c r="P221" s="254"/>
      <c r="Q221" s="254"/>
      <c r="R221" s="254"/>
      <c r="S221" s="254"/>
      <c r="T221" s="254"/>
      <c r="U221" s="254"/>
      <c r="V221" s="254"/>
      <c r="W221" s="254"/>
    </row>
    <row r="222" spans="13:23" ht="12.75" customHeight="1">
      <c r="M222" s="254"/>
      <c r="N222" s="254"/>
      <c r="O222" s="254"/>
      <c r="P222" s="254"/>
      <c r="Q222" s="254"/>
      <c r="R222" s="254"/>
      <c r="S222" s="254"/>
      <c r="T222" s="254"/>
      <c r="U222" s="254"/>
      <c r="V222" s="254"/>
      <c r="W222" s="254"/>
    </row>
    <row r="223" spans="13:23" ht="12.75" customHeight="1">
      <c r="M223" s="254"/>
      <c r="N223" s="254"/>
      <c r="O223" s="254"/>
      <c r="P223" s="254"/>
      <c r="Q223" s="254"/>
      <c r="R223" s="254"/>
      <c r="S223" s="254"/>
      <c r="T223" s="254"/>
      <c r="U223" s="254"/>
      <c r="V223" s="254"/>
      <c r="W223" s="254"/>
    </row>
    <row r="224" spans="13:23" ht="12.75" customHeight="1">
      <c r="M224" s="254"/>
      <c r="N224" s="254"/>
      <c r="O224" s="254"/>
      <c r="P224" s="254"/>
      <c r="Q224" s="254"/>
      <c r="R224" s="254"/>
      <c r="S224" s="254"/>
      <c r="T224" s="254"/>
      <c r="U224" s="254"/>
      <c r="V224" s="254"/>
      <c r="W224" s="254"/>
    </row>
    <row r="225" spans="13:23" ht="12.75" customHeight="1">
      <c r="M225" s="254"/>
      <c r="N225" s="254"/>
      <c r="O225" s="254"/>
      <c r="P225" s="254"/>
      <c r="Q225" s="254"/>
      <c r="R225" s="254"/>
      <c r="S225" s="254"/>
      <c r="T225" s="254"/>
      <c r="U225" s="254"/>
      <c r="V225" s="254"/>
      <c r="W225" s="254"/>
    </row>
    <row r="226" spans="13:23" ht="12.75" customHeight="1">
      <c r="M226" s="254"/>
      <c r="N226" s="254"/>
      <c r="O226" s="254"/>
      <c r="P226" s="254"/>
      <c r="Q226" s="254"/>
      <c r="R226" s="254"/>
      <c r="S226" s="254"/>
      <c r="T226" s="254"/>
      <c r="U226" s="254"/>
      <c r="V226" s="254"/>
      <c r="W226" s="254"/>
    </row>
    <row r="227" spans="13:23" ht="12.75" customHeight="1">
      <c r="M227" s="254"/>
      <c r="N227" s="254"/>
      <c r="O227" s="254"/>
      <c r="P227" s="254"/>
      <c r="Q227" s="254"/>
      <c r="R227" s="254"/>
      <c r="S227" s="254"/>
      <c r="T227" s="254"/>
      <c r="U227" s="254"/>
      <c r="V227" s="254"/>
      <c r="W227" s="254"/>
    </row>
    <row r="228" spans="13:23" ht="12.75" customHeight="1">
      <c r="M228" s="254"/>
      <c r="N228" s="254"/>
      <c r="O228" s="254"/>
      <c r="P228" s="254"/>
      <c r="Q228" s="254"/>
      <c r="R228" s="254"/>
      <c r="S228" s="254"/>
      <c r="T228" s="254"/>
      <c r="U228" s="254"/>
      <c r="V228" s="254"/>
      <c r="W228" s="254"/>
    </row>
    <row r="229" spans="13:23" ht="12.75" customHeight="1">
      <c r="M229" s="254"/>
      <c r="N229" s="254"/>
      <c r="O229" s="254"/>
      <c r="P229" s="254"/>
      <c r="Q229" s="254"/>
      <c r="R229" s="254"/>
      <c r="S229" s="254"/>
      <c r="T229" s="254"/>
      <c r="U229" s="254"/>
      <c r="V229" s="254"/>
      <c r="W229" s="254"/>
    </row>
    <row r="230" spans="13:23" ht="12.75" customHeight="1">
      <c r="M230" s="254"/>
      <c r="N230" s="254"/>
      <c r="O230" s="254"/>
      <c r="P230" s="254"/>
      <c r="Q230" s="254"/>
      <c r="R230" s="254"/>
      <c r="S230" s="254"/>
      <c r="T230" s="254"/>
      <c r="U230" s="254"/>
      <c r="V230" s="254"/>
      <c r="W230" s="254"/>
    </row>
    <row r="231" spans="13:23" ht="12.75" customHeight="1">
      <c r="M231" s="254"/>
      <c r="N231" s="254"/>
      <c r="O231" s="254"/>
      <c r="P231" s="254"/>
      <c r="Q231" s="254"/>
      <c r="R231" s="254"/>
      <c r="S231" s="254"/>
      <c r="T231" s="254"/>
      <c r="U231" s="254"/>
      <c r="V231" s="254"/>
      <c r="W231" s="254"/>
    </row>
    <row r="232" spans="13:23" ht="12.75" customHeight="1">
      <c r="M232" s="254"/>
      <c r="N232" s="254"/>
      <c r="O232" s="254"/>
      <c r="P232" s="254"/>
      <c r="Q232" s="254"/>
      <c r="R232" s="254"/>
      <c r="S232" s="254"/>
      <c r="T232" s="254"/>
      <c r="U232" s="254"/>
      <c r="V232" s="254"/>
      <c r="W232" s="254"/>
    </row>
    <row r="233" spans="13:23" ht="12.75" customHeight="1">
      <c r="M233" s="254"/>
      <c r="N233" s="254"/>
      <c r="O233" s="254"/>
      <c r="P233" s="254"/>
      <c r="Q233" s="254"/>
      <c r="R233" s="254"/>
      <c r="S233" s="254"/>
      <c r="T233" s="254"/>
      <c r="U233" s="254"/>
      <c r="V233" s="254"/>
      <c r="W233" s="254"/>
    </row>
    <row r="234" spans="13:23" ht="12.75" customHeight="1">
      <c r="M234" s="254"/>
      <c r="N234" s="254"/>
      <c r="O234" s="254"/>
      <c r="P234" s="254"/>
      <c r="Q234" s="254"/>
      <c r="R234" s="254"/>
      <c r="S234" s="254"/>
      <c r="T234" s="254"/>
      <c r="U234" s="254"/>
      <c r="V234" s="254"/>
      <c r="W234" s="254"/>
    </row>
    <row r="235" spans="13:23" ht="12.75" customHeight="1">
      <c r="M235" s="254"/>
      <c r="N235" s="254"/>
      <c r="O235" s="254"/>
      <c r="P235" s="254"/>
      <c r="Q235" s="254"/>
      <c r="R235" s="254"/>
      <c r="S235" s="254"/>
      <c r="T235" s="254"/>
      <c r="U235" s="254"/>
      <c r="V235" s="254"/>
      <c r="W235" s="254"/>
    </row>
    <row r="236" spans="13:23" ht="12.75" customHeight="1">
      <c r="M236" s="254"/>
      <c r="N236" s="254"/>
      <c r="O236" s="254"/>
      <c r="P236" s="254"/>
      <c r="Q236" s="254"/>
      <c r="R236" s="254"/>
      <c r="S236" s="254"/>
      <c r="T236" s="254"/>
      <c r="U236" s="254"/>
      <c r="V236" s="254"/>
      <c r="W236" s="254"/>
    </row>
    <row r="237" spans="13:23" ht="12.75" customHeight="1">
      <c r="M237" s="254"/>
      <c r="N237" s="254"/>
      <c r="O237" s="254"/>
      <c r="P237" s="254"/>
      <c r="Q237" s="254"/>
      <c r="R237" s="254"/>
      <c r="S237" s="254"/>
      <c r="T237" s="254"/>
      <c r="U237" s="254"/>
      <c r="V237" s="254"/>
      <c r="W237" s="254"/>
    </row>
    <row r="238" spans="13:23" ht="12.75" customHeight="1">
      <c r="M238" s="254"/>
      <c r="N238" s="254"/>
      <c r="O238" s="254"/>
      <c r="P238" s="254"/>
      <c r="Q238" s="254"/>
      <c r="R238" s="254"/>
      <c r="S238" s="254"/>
      <c r="T238" s="254"/>
      <c r="U238" s="254"/>
      <c r="V238" s="254"/>
      <c r="W238" s="254"/>
    </row>
    <row r="239" spans="13:23" ht="12.75" customHeight="1">
      <c r="M239" s="254"/>
      <c r="N239" s="254"/>
      <c r="O239" s="254"/>
      <c r="P239" s="254"/>
      <c r="Q239" s="254"/>
      <c r="R239" s="254"/>
      <c r="S239" s="254"/>
      <c r="T239" s="254"/>
      <c r="U239" s="254"/>
      <c r="V239" s="254"/>
      <c r="W239" s="254"/>
    </row>
    <row r="240" spans="13:23" ht="12.75" customHeight="1">
      <c r="M240" s="254"/>
      <c r="N240" s="254"/>
      <c r="O240" s="254"/>
      <c r="P240" s="254"/>
      <c r="Q240" s="254"/>
      <c r="R240" s="254"/>
      <c r="S240" s="254"/>
      <c r="T240" s="254"/>
      <c r="U240" s="254"/>
      <c r="V240" s="254"/>
      <c r="W240" s="254"/>
    </row>
    <row r="241" spans="13:23" ht="12.75" customHeight="1">
      <c r="M241" s="254"/>
      <c r="N241" s="254"/>
      <c r="O241" s="254"/>
      <c r="P241" s="254"/>
      <c r="Q241" s="254"/>
      <c r="R241" s="254"/>
      <c r="S241" s="254"/>
      <c r="T241" s="254"/>
      <c r="U241" s="254"/>
      <c r="V241" s="254"/>
      <c r="W241" s="254"/>
    </row>
    <row r="242" spans="13:23" ht="12.75" customHeight="1">
      <c r="M242" s="254"/>
      <c r="N242" s="254"/>
      <c r="O242" s="254"/>
      <c r="P242" s="254"/>
      <c r="Q242" s="254"/>
      <c r="R242" s="254"/>
      <c r="S242" s="254"/>
      <c r="T242" s="254"/>
      <c r="U242" s="254"/>
      <c r="V242" s="254"/>
      <c r="W242" s="254"/>
    </row>
    <row r="243" spans="13:23" ht="12.75" customHeight="1">
      <c r="M243" s="254"/>
      <c r="N243" s="254"/>
      <c r="O243" s="254"/>
      <c r="P243" s="254"/>
      <c r="Q243" s="254"/>
      <c r="R243" s="254"/>
      <c r="S243" s="254"/>
      <c r="T243" s="254"/>
      <c r="U243" s="254"/>
      <c r="V243" s="254"/>
      <c r="W243" s="254"/>
    </row>
    <row r="244" spans="13:23" ht="12.75" customHeight="1">
      <c r="M244" s="254"/>
      <c r="N244" s="254"/>
      <c r="O244" s="254"/>
      <c r="P244" s="254"/>
      <c r="Q244" s="254"/>
      <c r="R244" s="254"/>
      <c r="S244" s="254"/>
      <c r="T244" s="254"/>
      <c r="U244" s="254"/>
      <c r="V244" s="254"/>
      <c r="W244" s="254"/>
    </row>
    <row r="245" spans="13:23" ht="12.75" customHeight="1">
      <c r="M245" s="254"/>
      <c r="N245" s="254"/>
      <c r="O245" s="254"/>
      <c r="P245" s="254"/>
      <c r="Q245" s="254"/>
      <c r="R245" s="254"/>
      <c r="S245" s="254"/>
      <c r="T245" s="254"/>
      <c r="U245" s="254"/>
      <c r="V245" s="254"/>
      <c r="W245" s="254"/>
    </row>
    <row r="246" spans="13:23" ht="12.75" customHeight="1">
      <c r="M246" s="254"/>
      <c r="N246" s="254"/>
      <c r="O246" s="254"/>
      <c r="P246" s="254"/>
      <c r="Q246" s="254"/>
      <c r="R246" s="254"/>
      <c r="S246" s="254"/>
      <c r="T246" s="254"/>
      <c r="U246" s="254"/>
      <c r="V246" s="254"/>
      <c r="W246" s="254"/>
    </row>
    <row r="247" spans="13:23" ht="12.75" customHeight="1">
      <c r="M247" s="254"/>
      <c r="N247" s="254"/>
      <c r="O247" s="254"/>
      <c r="P247" s="254"/>
      <c r="Q247" s="254"/>
      <c r="R247" s="254"/>
      <c r="S247" s="254"/>
      <c r="T247" s="254"/>
      <c r="U247" s="254"/>
      <c r="V247" s="254"/>
      <c r="W247" s="254"/>
    </row>
    <row r="248" spans="13:23" ht="12.75" customHeight="1">
      <c r="M248" s="254"/>
      <c r="N248" s="254"/>
      <c r="O248" s="254"/>
      <c r="P248" s="254"/>
      <c r="Q248" s="254"/>
      <c r="R248" s="254"/>
      <c r="S248" s="254"/>
      <c r="T248" s="254"/>
      <c r="U248" s="254"/>
      <c r="V248" s="254"/>
      <c r="W248" s="254"/>
    </row>
    <row r="249" spans="13:23" ht="12.75" customHeight="1">
      <c r="M249" s="254"/>
      <c r="N249" s="254"/>
      <c r="O249" s="254"/>
      <c r="P249" s="254"/>
      <c r="Q249" s="254"/>
      <c r="R249" s="254"/>
      <c r="S249" s="254"/>
      <c r="T249" s="254"/>
      <c r="U249" s="254"/>
      <c r="V249" s="254"/>
      <c r="W249" s="254"/>
    </row>
    <row r="250" spans="13:23" ht="12.75" customHeight="1">
      <c r="M250" s="254"/>
      <c r="N250" s="254"/>
      <c r="O250" s="254"/>
      <c r="P250" s="254"/>
      <c r="Q250" s="254"/>
      <c r="R250" s="254"/>
      <c r="S250" s="254"/>
      <c r="T250" s="254"/>
      <c r="U250" s="254"/>
      <c r="V250" s="254"/>
      <c r="W250" s="254"/>
    </row>
    <row r="251" spans="13:23" ht="12.75" customHeight="1">
      <c r="M251" s="254"/>
      <c r="N251" s="254"/>
      <c r="O251" s="254"/>
      <c r="P251" s="254"/>
      <c r="Q251" s="254"/>
      <c r="R251" s="254"/>
      <c r="S251" s="254"/>
      <c r="T251" s="254"/>
      <c r="U251" s="254"/>
      <c r="V251" s="254"/>
      <c r="W251" s="254"/>
    </row>
    <row r="252" spans="13:23" ht="12.75" customHeight="1">
      <c r="M252" s="254"/>
      <c r="N252" s="254"/>
      <c r="O252" s="254"/>
      <c r="P252" s="254"/>
      <c r="Q252" s="254"/>
      <c r="R252" s="254"/>
      <c r="S252" s="254"/>
      <c r="T252" s="254"/>
      <c r="U252" s="254"/>
      <c r="V252" s="254"/>
      <c r="W252" s="254"/>
    </row>
    <row r="253" spans="13:23" ht="12.75" customHeight="1">
      <c r="M253" s="254"/>
      <c r="N253" s="254"/>
      <c r="O253" s="254"/>
      <c r="P253" s="254"/>
      <c r="Q253" s="254"/>
      <c r="R253" s="254"/>
      <c r="S253" s="254"/>
      <c r="T253" s="254"/>
      <c r="U253" s="254"/>
      <c r="V253" s="254"/>
      <c r="W253" s="254"/>
    </row>
    <row r="254" spans="13:23" ht="12.75" customHeight="1">
      <c r="M254" s="254"/>
      <c r="N254" s="254"/>
      <c r="O254" s="254"/>
      <c r="P254" s="254"/>
      <c r="Q254" s="254"/>
      <c r="R254" s="254"/>
      <c r="S254" s="254"/>
      <c r="T254" s="254"/>
      <c r="U254" s="254"/>
      <c r="V254" s="254"/>
      <c r="W254" s="254"/>
    </row>
    <row r="255" spans="13:23" ht="12.75" customHeight="1">
      <c r="M255" s="254"/>
      <c r="N255" s="254"/>
      <c r="O255" s="254"/>
      <c r="P255" s="254"/>
      <c r="Q255" s="254"/>
      <c r="R255" s="254"/>
      <c r="S255" s="254"/>
      <c r="T255" s="254"/>
      <c r="U255" s="254"/>
      <c r="V255" s="254"/>
      <c r="W255" s="254"/>
    </row>
    <row r="256" spans="13:23" ht="12.75" customHeight="1">
      <c r="M256" s="254"/>
      <c r="N256" s="254"/>
      <c r="O256" s="254"/>
      <c r="P256" s="254"/>
      <c r="Q256" s="254"/>
      <c r="R256" s="254"/>
      <c r="S256" s="254"/>
      <c r="T256" s="254"/>
      <c r="U256" s="254"/>
      <c r="V256" s="254"/>
      <c r="W256" s="254"/>
    </row>
    <row r="257" spans="13:23" ht="12.75" customHeight="1">
      <c r="M257" s="254"/>
      <c r="N257" s="254"/>
      <c r="O257" s="254"/>
      <c r="P257" s="254"/>
      <c r="Q257" s="254"/>
      <c r="R257" s="254"/>
      <c r="S257" s="254"/>
      <c r="T257" s="254"/>
      <c r="U257" s="254"/>
      <c r="V257" s="254"/>
      <c r="W257" s="254"/>
    </row>
    <row r="258" spans="13:23" ht="12.75" customHeight="1">
      <c r="M258" s="254"/>
      <c r="N258" s="254"/>
      <c r="O258" s="254"/>
      <c r="P258" s="254"/>
      <c r="Q258" s="254"/>
      <c r="R258" s="254"/>
      <c r="S258" s="254"/>
      <c r="T258" s="254"/>
      <c r="U258" s="254"/>
      <c r="V258" s="254"/>
      <c r="W258" s="254"/>
    </row>
    <row r="259" spans="13:23" ht="12.75" customHeight="1">
      <c r="M259" s="254"/>
      <c r="N259" s="254"/>
      <c r="O259" s="254"/>
      <c r="P259" s="254"/>
      <c r="Q259" s="254"/>
      <c r="R259" s="254"/>
      <c r="S259" s="254"/>
      <c r="T259" s="254"/>
      <c r="U259" s="254"/>
      <c r="V259" s="254"/>
      <c r="W259" s="254"/>
    </row>
    <row r="260" spans="13:23" ht="12.75" customHeight="1">
      <c r="M260" s="254"/>
      <c r="N260" s="254"/>
      <c r="O260" s="254"/>
      <c r="P260" s="254"/>
      <c r="Q260" s="254"/>
      <c r="R260" s="254"/>
      <c r="S260" s="254"/>
      <c r="T260" s="254"/>
      <c r="U260" s="254"/>
      <c r="V260" s="254"/>
      <c r="W260" s="254"/>
    </row>
    <row r="261" spans="13:23" ht="12.75" customHeight="1">
      <c r="M261" s="254"/>
      <c r="N261" s="254"/>
      <c r="O261" s="254"/>
      <c r="P261" s="254"/>
      <c r="Q261" s="254"/>
      <c r="R261" s="254"/>
      <c r="S261" s="254"/>
      <c r="T261" s="254"/>
      <c r="U261" s="254"/>
      <c r="V261" s="254"/>
      <c r="W261" s="254"/>
    </row>
    <row r="262" spans="13:23" ht="12.75" customHeight="1">
      <c r="M262" s="254"/>
      <c r="N262" s="254"/>
      <c r="O262" s="254"/>
      <c r="P262" s="254"/>
      <c r="Q262" s="254"/>
      <c r="R262" s="254"/>
      <c r="S262" s="254"/>
      <c r="T262" s="254"/>
      <c r="U262" s="254"/>
      <c r="V262" s="254"/>
      <c r="W262" s="254"/>
    </row>
    <row r="263" spans="13:23" ht="12.75" customHeight="1">
      <c r="M263" s="254"/>
      <c r="N263" s="254"/>
      <c r="O263" s="254"/>
      <c r="P263" s="254"/>
      <c r="Q263" s="254"/>
      <c r="R263" s="254"/>
      <c r="S263" s="254"/>
      <c r="T263" s="254"/>
      <c r="U263" s="254"/>
      <c r="V263" s="254"/>
      <c r="W263" s="254"/>
    </row>
    <row r="264" spans="13:23" ht="12.75" customHeight="1">
      <c r="M264" s="254"/>
      <c r="N264" s="254"/>
      <c r="O264" s="254"/>
      <c r="P264" s="254"/>
      <c r="Q264" s="254"/>
      <c r="R264" s="254"/>
      <c r="S264" s="254"/>
      <c r="T264" s="254"/>
      <c r="U264" s="254"/>
      <c r="V264" s="254"/>
      <c r="W264" s="254"/>
    </row>
    <row r="265" spans="13:23" ht="12.75" customHeight="1">
      <c r="M265" s="254"/>
      <c r="N265" s="254"/>
      <c r="O265" s="254"/>
      <c r="P265" s="254"/>
      <c r="Q265" s="254"/>
      <c r="R265" s="254"/>
      <c r="S265" s="254"/>
      <c r="T265" s="254"/>
      <c r="U265" s="254"/>
      <c r="V265" s="254"/>
      <c r="W265" s="254"/>
    </row>
    <row r="266" spans="13:23" ht="12.75" customHeight="1">
      <c r="M266" s="254"/>
      <c r="N266" s="254"/>
      <c r="O266" s="254"/>
      <c r="P266" s="254"/>
      <c r="Q266" s="254"/>
      <c r="R266" s="254"/>
      <c r="S266" s="254"/>
      <c r="T266" s="254"/>
      <c r="U266" s="254"/>
      <c r="V266" s="254"/>
      <c r="W266" s="254"/>
    </row>
    <row r="267" spans="13:23" ht="12.75" customHeight="1">
      <c r="M267" s="254"/>
      <c r="N267" s="254"/>
      <c r="O267" s="254"/>
      <c r="P267" s="254"/>
      <c r="Q267" s="254"/>
      <c r="R267" s="254"/>
      <c r="S267" s="254"/>
      <c r="T267" s="254"/>
      <c r="U267" s="254"/>
      <c r="V267" s="254"/>
      <c r="W267" s="254"/>
    </row>
    <row r="268" spans="13:23" ht="12.75" customHeight="1">
      <c r="M268" s="254"/>
      <c r="N268" s="254"/>
      <c r="O268" s="254"/>
      <c r="P268" s="254"/>
      <c r="Q268" s="254"/>
      <c r="R268" s="254"/>
      <c r="S268" s="254"/>
      <c r="T268" s="254"/>
      <c r="U268" s="254"/>
      <c r="V268" s="254"/>
      <c r="W268" s="254"/>
    </row>
    <row r="269" spans="13:23" ht="12.75" customHeight="1">
      <c r="M269" s="254"/>
      <c r="N269" s="254"/>
      <c r="O269" s="254"/>
      <c r="P269" s="254"/>
      <c r="Q269" s="254"/>
      <c r="R269" s="254"/>
      <c r="S269" s="254"/>
      <c r="T269" s="254"/>
      <c r="U269" s="254"/>
      <c r="V269" s="254"/>
      <c r="W269" s="254"/>
    </row>
    <row r="270" spans="13:23" ht="12.75" customHeight="1">
      <c r="M270" s="254"/>
      <c r="N270" s="254"/>
      <c r="O270" s="254"/>
      <c r="P270" s="254"/>
      <c r="Q270" s="254"/>
      <c r="R270" s="254"/>
      <c r="S270" s="254"/>
      <c r="T270" s="254"/>
      <c r="U270" s="254"/>
      <c r="V270" s="254"/>
      <c r="W270" s="254"/>
    </row>
    <row r="271" spans="13:23" ht="12.75" customHeight="1">
      <c r="M271" s="254"/>
      <c r="N271" s="254"/>
      <c r="O271" s="254"/>
      <c r="P271" s="254"/>
      <c r="Q271" s="254"/>
      <c r="R271" s="254"/>
      <c r="S271" s="254"/>
      <c r="T271" s="254"/>
      <c r="U271" s="254"/>
      <c r="V271" s="254"/>
      <c r="W271" s="254"/>
    </row>
    <row r="272" spans="13:23" ht="12.75" customHeight="1">
      <c r="M272" s="254"/>
      <c r="N272" s="254"/>
      <c r="O272" s="254"/>
      <c r="P272" s="254"/>
      <c r="Q272" s="254"/>
      <c r="R272" s="254"/>
      <c r="S272" s="254"/>
      <c r="T272" s="254"/>
      <c r="U272" s="254"/>
      <c r="V272" s="254"/>
      <c r="W272" s="254"/>
    </row>
    <row r="273" spans="13:23" ht="12.75" customHeight="1">
      <c r="M273" s="254"/>
      <c r="N273" s="254"/>
      <c r="O273" s="254"/>
      <c r="P273" s="254"/>
      <c r="Q273" s="254"/>
      <c r="R273" s="254"/>
      <c r="S273" s="254"/>
      <c r="T273" s="254"/>
      <c r="U273" s="254"/>
      <c r="V273" s="254"/>
      <c r="W273" s="254"/>
    </row>
    <row r="274" spans="13:23" ht="12.75" customHeight="1">
      <c r="M274" s="254"/>
      <c r="N274" s="254"/>
      <c r="O274" s="254"/>
      <c r="P274" s="254"/>
      <c r="Q274" s="254"/>
      <c r="R274" s="254"/>
      <c r="S274" s="254"/>
      <c r="T274" s="254"/>
      <c r="U274" s="254"/>
      <c r="V274" s="254"/>
      <c r="W274" s="254"/>
    </row>
    <row r="275" spans="13:23" ht="12.75" customHeight="1">
      <c r="M275" s="254"/>
      <c r="N275" s="254"/>
      <c r="O275" s="254"/>
      <c r="P275" s="254"/>
      <c r="Q275" s="254"/>
      <c r="R275" s="254"/>
      <c r="S275" s="254"/>
      <c r="T275" s="254"/>
      <c r="U275" s="254"/>
      <c r="V275" s="254"/>
      <c r="W275" s="254"/>
    </row>
    <row r="276" spans="13:23" ht="12.75" customHeight="1">
      <c r="M276" s="254"/>
      <c r="N276" s="254"/>
      <c r="O276" s="254"/>
      <c r="P276" s="254"/>
      <c r="Q276" s="254"/>
      <c r="R276" s="254"/>
      <c r="S276" s="254"/>
      <c r="T276" s="254"/>
      <c r="U276" s="254"/>
      <c r="V276" s="254"/>
      <c r="W276" s="254"/>
    </row>
    <row r="277" spans="13:23" ht="12.75" customHeight="1">
      <c r="M277" s="254"/>
      <c r="N277" s="254"/>
      <c r="O277" s="254"/>
      <c r="P277" s="254"/>
      <c r="Q277" s="254"/>
      <c r="R277" s="254"/>
      <c r="S277" s="254"/>
      <c r="T277" s="254"/>
      <c r="U277" s="254"/>
      <c r="V277" s="254"/>
      <c r="W277" s="254"/>
    </row>
    <row r="278" spans="13:23" ht="12.75" customHeight="1">
      <c r="M278" s="254"/>
      <c r="N278" s="254"/>
      <c r="O278" s="254"/>
      <c r="P278" s="254"/>
      <c r="Q278" s="254"/>
      <c r="R278" s="254"/>
      <c r="S278" s="254"/>
      <c r="T278" s="254"/>
      <c r="U278" s="254"/>
      <c r="V278" s="254"/>
      <c r="W278" s="254"/>
    </row>
    <row r="279" spans="13:23" ht="12.75" customHeight="1">
      <c r="M279" s="254"/>
      <c r="N279" s="254"/>
      <c r="O279" s="254"/>
      <c r="P279" s="254"/>
      <c r="Q279" s="254"/>
      <c r="R279" s="254"/>
      <c r="S279" s="254"/>
      <c r="T279" s="254"/>
      <c r="U279" s="254"/>
      <c r="V279" s="254"/>
      <c r="W279" s="254"/>
    </row>
    <row r="280" spans="13:23" ht="12.75" customHeight="1">
      <c r="M280" s="254"/>
      <c r="N280" s="254"/>
      <c r="O280" s="254"/>
      <c r="P280" s="254"/>
      <c r="Q280" s="254"/>
      <c r="R280" s="254"/>
      <c r="S280" s="254"/>
      <c r="T280" s="254"/>
      <c r="U280" s="254"/>
      <c r="V280" s="254"/>
      <c r="W280" s="254"/>
    </row>
    <row r="281" spans="13:23" ht="12.75" customHeight="1">
      <c r="M281" s="254"/>
      <c r="N281" s="254"/>
      <c r="O281" s="254"/>
      <c r="P281" s="254"/>
      <c r="Q281" s="254"/>
      <c r="R281" s="254"/>
      <c r="S281" s="254"/>
      <c r="T281" s="254"/>
      <c r="U281" s="254"/>
      <c r="V281" s="254"/>
      <c r="W281" s="254"/>
    </row>
    <row r="282" spans="13:23" ht="12.75" customHeight="1">
      <c r="M282" s="254"/>
      <c r="N282" s="254"/>
      <c r="O282" s="254"/>
      <c r="P282" s="254"/>
      <c r="Q282" s="254"/>
      <c r="R282" s="254"/>
      <c r="S282" s="254"/>
      <c r="T282" s="254"/>
      <c r="U282" s="254"/>
      <c r="V282" s="254"/>
      <c r="W282" s="254"/>
    </row>
    <row r="283" spans="13:23" ht="12.75" customHeight="1">
      <c r="M283" s="254"/>
      <c r="N283" s="254"/>
      <c r="O283" s="254"/>
      <c r="P283" s="254"/>
      <c r="Q283" s="254"/>
      <c r="R283" s="254"/>
      <c r="S283" s="254"/>
      <c r="T283" s="254"/>
      <c r="U283" s="254"/>
      <c r="V283" s="254"/>
      <c r="W283" s="254"/>
    </row>
    <row r="284" spans="13:23" ht="12.75" customHeight="1">
      <c r="M284" s="254"/>
      <c r="N284" s="254"/>
      <c r="O284" s="254"/>
      <c r="P284" s="254"/>
      <c r="Q284" s="254"/>
      <c r="R284" s="254"/>
      <c r="S284" s="254"/>
      <c r="T284" s="254"/>
      <c r="U284" s="254"/>
      <c r="V284" s="254"/>
      <c r="W284" s="254"/>
    </row>
    <row r="285" spans="13:23" ht="12.75" customHeight="1">
      <c r="M285" s="254"/>
      <c r="N285" s="254"/>
      <c r="O285" s="254"/>
      <c r="P285" s="254"/>
      <c r="Q285" s="254"/>
      <c r="R285" s="254"/>
      <c r="S285" s="254"/>
      <c r="T285" s="254"/>
      <c r="U285" s="254"/>
      <c r="V285" s="254"/>
      <c r="W285" s="254"/>
    </row>
    <row r="286" spans="13:23" ht="12.75" customHeight="1">
      <c r="M286" s="254"/>
      <c r="N286" s="254"/>
      <c r="O286" s="254"/>
      <c r="P286" s="254"/>
      <c r="Q286" s="254"/>
      <c r="R286" s="254"/>
      <c r="S286" s="254"/>
      <c r="T286" s="254"/>
      <c r="U286" s="254"/>
      <c r="V286" s="254"/>
      <c r="W286" s="254"/>
    </row>
    <row r="287" spans="13:23" ht="12.75" customHeight="1">
      <c r="M287" s="254"/>
      <c r="N287" s="254"/>
      <c r="O287" s="254"/>
      <c r="P287" s="254"/>
      <c r="Q287" s="254"/>
      <c r="R287" s="254"/>
      <c r="S287" s="254"/>
      <c r="T287" s="254"/>
      <c r="U287" s="254"/>
      <c r="V287" s="254"/>
      <c r="W287" s="254"/>
    </row>
    <row r="288" spans="13:23" ht="12.75" customHeight="1">
      <c r="M288" s="254"/>
      <c r="N288" s="254"/>
      <c r="O288" s="254"/>
      <c r="P288" s="254"/>
      <c r="Q288" s="254"/>
      <c r="R288" s="254"/>
      <c r="S288" s="254"/>
      <c r="T288" s="254"/>
      <c r="U288" s="254"/>
      <c r="V288" s="254"/>
      <c r="W288" s="254"/>
    </row>
    <row r="289" spans="13:23" ht="12.75" customHeight="1">
      <c r="M289" s="254"/>
      <c r="N289" s="254"/>
      <c r="O289" s="254"/>
      <c r="P289" s="254"/>
      <c r="Q289" s="254"/>
      <c r="R289" s="254"/>
      <c r="S289" s="254"/>
      <c r="T289" s="254"/>
      <c r="U289" s="254"/>
      <c r="V289" s="254"/>
      <c r="W289" s="254"/>
    </row>
  </sheetData>
  <mergeCells count="30">
    <mergeCell ref="B2:C3"/>
    <mergeCell ref="B6:C7"/>
    <mergeCell ref="M6:N7"/>
    <mergeCell ref="G7:I7"/>
    <mergeCell ref="G8:I8"/>
    <mergeCell ref="B9:C9"/>
    <mergeCell ref="G9:H9"/>
    <mergeCell ref="G10:H10"/>
    <mergeCell ref="G11:H11"/>
    <mergeCell ref="G12:H12"/>
    <mergeCell ref="G13:J13"/>
    <mergeCell ref="G14:H14"/>
    <mergeCell ref="G15:H15"/>
    <mergeCell ref="G16:H16"/>
    <mergeCell ref="G17:H17"/>
    <mergeCell ref="G18:H18"/>
    <mergeCell ref="G19:H19"/>
    <mergeCell ref="N20:O20"/>
    <mergeCell ref="P20:Q20"/>
    <mergeCell ref="G21:H21"/>
    <mergeCell ref="G22:H22"/>
    <mergeCell ref="B23:C23"/>
    <mergeCell ref="G23:H23"/>
    <mergeCell ref="G24:H24"/>
    <mergeCell ref="G25:H25"/>
    <mergeCell ref="B34:D34"/>
    <mergeCell ref="M34:O34"/>
    <mergeCell ref="B45:E45"/>
    <mergeCell ref="G45:I45"/>
    <mergeCell ref="B136:D137"/>
  </mergeCells>
  <dataValidations count="4">
    <dataValidation type="list" allowBlank="1" showErrorMessage="1" sqref="I21">
      <formula1>$C$144:$C$153</formula1>
      <formula2>0</formula2>
    </dataValidation>
    <dataValidation type="list" allowBlank="1" showErrorMessage="1" sqref="I22">
      <formula1>$D$143:$D$153</formula1>
      <formula2>0</formula2>
    </dataValidation>
    <dataValidation type="list" allowBlank="1" showErrorMessage="1" sqref="I23:I28">
      <formula1>$E$143:$E$153</formula1>
      <formula2>0</formula2>
    </dataValidation>
    <dataValidation type="list" allowBlank="1" showErrorMessage="1" sqref="I11">
      <formula1>$M$38:$M$40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AI289"/>
  <sheetViews>
    <sheetView showGridLines="0" zoomScale="95" zoomScaleNormal="95" workbookViewId="0" topLeftCell="A1">
      <selection activeCell="A1" sqref="A1"/>
    </sheetView>
  </sheetViews>
  <sheetFormatPr defaultColWidth="6.00390625" defaultRowHeight="12.75" customHeight="1"/>
  <cols>
    <col min="1" max="1" width="1.75390625" style="55" customWidth="1"/>
    <col min="2" max="2" width="6.625" style="55" customWidth="1"/>
    <col min="3" max="10" width="5.50390625" style="55" customWidth="1"/>
    <col min="11" max="12" width="2.625" style="55" customWidth="1"/>
    <col min="13" max="16384" width="5.50390625" style="55" customWidth="1"/>
  </cols>
  <sheetData>
    <row r="1" ht="10.5" customHeight="1"/>
    <row r="2" spans="2:3" ht="12.75" customHeight="1">
      <c r="B2" s="267" t="s">
        <v>101</v>
      </c>
      <c r="C2" s="267"/>
    </row>
    <row r="3" spans="2:3" ht="12.75" customHeight="1">
      <c r="B3" s="267"/>
      <c r="C3" s="267"/>
    </row>
    <row r="4" spans="2:3" ht="12.75" customHeight="1">
      <c r="B4" s="57"/>
      <c r="C4" s="57"/>
    </row>
    <row r="5" ht="12.75" customHeight="1">
      <c r="E5" s="58"/>
    </row>
    <row r="6" spans="2:23" ht="12.75" customHeight="1">
      <c r="B6" s="59" t="s">
        <v>34</v>
      </c>
      <c r="C6" s="59"/>
      <c r="D6" s="60"/>
      <c r="E6" s="61"/>
      <c r="F6" s="61"/>
      <c r="G6" s="62"/>
      <c r="H6" s="62"/>
      <c r="I6" s="61"/>
      <c r="J6" s="63"/>
      <c r="M6" s="59" t="s">
        <v>35</v>
      </c>
      <c r="N6" s="59"/>
      <c r="O6" s="61"/>
      <c r="P6" s="61"/>
      <c r="Q6" s="61"/>
      <c r="R6" s="61"/>
      <c r="S6" s="61"/>
      <c r="T6" s="61"/>
      <c r="U6" s="61"/>
      <c r="V6" s="63"/>
      <c r="W6" s="64"/>
    </row>
    <row r="7" spans="2:23" ht="12.75" customHeight="1">
      <c r="B7" s="59"/>
      <c r="C7" s="59"/>
      <c r="D7" s="65"/>
      <c r="E7" s="66"/>
      <c r="F7" s="66"/>
      <c r="G7" s="67" t="s">
        <v>36</v>
      </c>
      <c r="H7" s="67"/>
      <c r="I7" s="67"/>
      <c r="J7" s="68"/>
      <c r="M7" s="59"/>
      <c r="N7" s="59"/>
      <c r="O7" s="64"/>
      <c r="P7" s="64"/>
      <c r="Q7" s="64"/>
      <c r="R7" s="64"/>
      <c r="S7" s="64"/>
      <c r="T7" s="64"/>
      <c r="U7" s="64"/>
      <c r="V7" s="68"/>
      <c r="W7" s="64"/>
    </row>
    <row r="8" spans="2:23" ht="12.75" customHeight="1">
      <c r="B8" s="69"/>
      <c r="C8" s="70"/>
      <c r="D8" s="65"/>
      <c r="E8" s="66"/>
      <c r="F8" s="66"/>
      <c r="G8" s="71" t="s">
        <v>37</v>
      </c>
      <c r="H8" s="71"/>
      <c r="I8" s="71"/>
      <c r="J8" s="68"/>
      <c r="M8" s="72"/>
      <c r="N8" s="73"/>
      <c r="O8" s="64"/>
      <c r="P8" s="64"/>
      <c r="Q8" s="64"/>
      <c r="R8" s="64"/>
      <c r="S8" s="64"/>
      <c r="T8" s="64"/>
      <c r="U8" s="64"/>
      <c r="V8" s="68"/>
      <c r="W8" s="64"/>
    </row>
    <row r="9" spans="2:23" ht="12.75" customHeight="1">
      <c r="B9" s="74" t="s">
        <v>38</v>
      </c>
      <c r="C9" s="74"/>
      <c r="D9" s="66"/>
      <c r="E9" s="66"/>
      <c r="F9" s="66"/>
      <c r="G9" s="75" t="s">
        <v>39</v>
      </c>
      <c r="H9" s="75"/>
      <c r="I9" s="76">
        <v>100</v>
      </c>
      <c r="J9" s="68"/>
      <c r="M9" s="77"/>
      <c r="N9" s="78" t="s">
        <v>40</v>
      </c>
      <c r="O9" s="79" t="s">
        <v>41</v>
      </c>
      <c r="P9" s="79" t="s">
        <v>42</v>
      </c>
      <c r="Q9" s="79" t="s">
        <v>43</v>
      </c>
      <c r="R9" s="79" t="s">
        <v>44</v>
      </c>
      <c r="S9" s="80" t="s">
        <v>45</v>
      </c>
      <c r="T9" s="81" t="s">
        <v>46</v>
      </c>
      <c r="U9" s="58"/>
      <c r="V9" s="82" t="s">
        <v>47</v>
      </c>
      <c r="W9" s="64"/>
    </row>
    <row r="10" spans="2:23" ht="12.75" customHeight="1">
      <c r="B10" s="83"/>
      <c r="C10" s="66"/>
      <c r="D10" s="66"/>
      <c r="E10" s="66"/>
      <c r="F10" s="66"/>
      <c r="G10" s="84" t="s">
        <v>18</v>
      </c>
      <c r="H10" s="84"/>
      <c r="I10" s="85">
        <v>412</v>
      </c>
      <c r="J10" s="68"/>
      <c r="M10" s="86" t="s">
        <v>48</v>
      </c>
      <c r="N10" s="87">
        <f>C12</f>
        <v>115</v>
      </c>
      <c r="O10" s="87">
        <f>C13</f>
        <v>10</v>
      </c>
      <c r="P10" s="87">
        <f>C14</f>
        <v>10</v>
      </c>
      <c r="Q10" s="87">
        <f>C15</f>
        <v>10</v>
      </c>
      <c r="R10" s="87">
        <f>C16</f>
        <v>10</v>
      </c>
      <c r="S10" s="87">
        <f>C17</f>
        <v>10</v>
      </c>
      <c r="T10" s="88">
        <f>C18</f>
        <v>10</v>
      </c>
      <c r="U10" s="64"/>
      <c r="V10" s="89">
        <f>I9</f>
        <v>100</v>
      </c>
      <c r="W10" s="64"/>
    </row>
    <row r="11" spans="2:23" ht="12.75" customHeight="1">
      <c r="B11" s="90" t="s">
        <v>49</v>
      </c>
      <c r="C11" s="91" t="s">
        <v>50</v>
      </c>
      <c r="D11" s="92" t="s">
        <v>51</v>
      </c>
      <c r="E11" s="93" t="s">
        <v>50</v>
      </c>
      <c r="F11" s="66"/>
      <c r="G11" s="84" t="s">
        <v>52</v>
      </c>
      <c r="H11" s="84"/>
      <c r="I11" s="94" t="s">
        <v>53</v>
      </c>
      <c r="J11" s="68"/>
      <c r="M11" s="95" t="s">
        <v>54</v>
      </c>
      <c r="N11" s="96">
        <f aca="true" t="shared" si="0" ref="N11:T11">IF($T$114&gt;=$Q$114,N10,N10*$U$114/100)</f>
        <v>11.864328281900994</v>
      </c>
      <c r="O11" s="96">
        <f t="shared" si="0"/>
        <v>1.0316807201653038</v>
      </c>
      <c r="P11" s="96">
        <f t="shared" si="0"/>
        <v>1.0316807201653038</v>
      </c>
      <c r="Q11" s="96">
        <f t="shared" si="0"/>
        <v>1.0316807201653038</v>
      </c>
      <c r="R11" s="96">
        <f t="shared" si="0"/>
        <v>1.0316807201653038</v>
      </c>
      <c r="S11" s="96">
        <f t="shared" si="0"/>
        <v>1.0316807201653038</v>
      </c>
      <c r="T11" s="97">
        <f t="shared" si="0"/>
        <v>1.0316807201653038</v>
      </c>
      <c r="U11" s="64"/>
      <c r="V11" s="98">
        <f>IF(Q114&gt;T114,U114*V10/100,0)</f>
        <v>10.31680720165304</v>
      </c>
      <c r="W11" s="64"/>
    </row>
    <row r="12" spans="2:23" ht="12.75" customHeight="1">
      <c r="B12" s="99" t="s">
        <v>40</v>
      </c>
      <c r="C12" s="100">
        <v>115</v>
      </c>
      <c r="D12" s="101" t="s">
        <v>40</v>
      </c>
      <c r="E12" s="102"/>
      <c r="F12" s="103"/>
      <c r="G12" s="104" t="s">
        <v>55</v>
      </c>
      <c r="H12" s="104"/>
      <c r="I12" s="105">
        <v>500</v>
      </c>
      <c r="J12" s="68"/>
      <c r="M12" s="106" t="s">
        <v>56</v>
      </c>
      <c r="N12" s="96">
        <f aca="true" t="shared" si="1" ref="N12:T12">N10-N11</f>
        <v>103.135671718099</v>
      </c>
      <c r="O12" s="96">
        <f t="shared" si="1"/>
        <v>8.968319279834697</v>
      </c>
      <c r="P12" s="96">
        <f t="shared" si="1"/>
        <v>8.968319279834697</v>
      </c>
      <c r="Q12" s="96">
        <f t="shared" si="1"/>
        <v>8.968319279834697</v>
      </c>
      <c r="R12" s="96">
        <f t="shared" si="1"/>
        <v>8.968319279834697</v>
      </c>
      <c r="S12" s="96">
        <f t="shared" si="1"/>
        <v>8.968319279834697</v>
      </c>
      <c r="T12" s="97">
        <f t="shared" si="1"/>
        <v>8.968319279834697</v>
      </c>
      <c r="U12" s="64"/>
      <c r="V12" s="107">
        <f>V10-V11</f>
        <v>89.68319279834697</v>
      </c>
      <c r="W12" s="64"/>
    </row>
    <row r="13" spans="2:23" ht="12.75" customHeight="1">
      <c r="B13" s="99" t="s">
        <v>41</v>
      </c>
      <c r="C13" s="100">
        <v>10</v>
      </c>
      <c r="D13" s="101" t="s">
        <v>41</v>
      </c>
      <c r="E13" s="102">
        <v>14</v>
      </c>
      <c r="F13" s="103"/>
      <c r="G13" s="108" t="s">
        <v>57</v>
      </c>
      <c r="H13" s="108"/>
      <c r="I13" s="108"/>
      <c r="J13" s="108"/>
      <c r="M13" s="109"/>
      <c r="N13" s="64"/>
      <c r="O13" s="64"/>
      <c r="P13" s="64"/>
      <c r="Q13" s="64"/>
      <c r="R13" s="64"/>
      <c r="S13" s="64"/>
      <c r="T13" s="64"/>
      <c r="U13" s="64"/>
      <c r="V13" s="68"/>
      <c r="W13" s="64"/>
    </row>
    <row r="14" spans="2:23" ht="12.75" customHeight="1">
      <c r="B14" s="99" t="s">
        <v>42</v>
      </c>
      <c r="C14" s="100">
        <v>10</v>
      </c>
      <c r="D14" s="101" t="s">
        <v>42</v>
      </c>
      <c r="E14" s="102">
        <v>19</v>
      </c>
      <c r="F14" s="103"/>
      <c r="G14" s="110" t="s">
        <v>3</v>
      </c>
      <c r="H14" s="110"/>
      <c r="I14" s="76"/>
      <c r="J14" s="68"/>
      <c r="M14" s="111"/>
      <c r="N14" s="112" t="s">
        <v>40</v>
      </c>
      <c r="O14" s="113" t="s">
        <v>41</v>
      </c>
      <c r="P14" s="113" t="s">
        <v>42</v>
      </c>
      <c r="Q14" s="113" t="s">
        <v>43</v>
      </c>
      <c r="R14" s="113" t="s">
        <v>44</v>
      </c>
      <c r="S14" s="113" t="s">
        <v>58</v>
      </c>
      <c r="T14" s="113" t="s">
        <v>46</v>
      </c>
      <c r="U14" s="113" t="s">
        <v>59</v>
      </c>
      <c r="V14" s="114" t="s">
        <v>60</v>
      </c>
      <c r="W14" s="58"/>
    </row>
    <row r="15" spans="2:23" ht="12.75" customHeight="1">
      <c r="B15" s="99" t="s">
        <v>43</v>
      </c>
      <c r="C15" s="100">
        <v>10</v>
      </c>
      <c r="D15" s="101" t="s">
        <v>43</v>
      </c>
      <c r="E15" s="102">
        <v>18</v>
      </c>
      <c r="F15" s="103"/>
      <c r="G15" s="115" t="s">
        <v>61</v>
      </c>
      <c r="H15" s="115"/>
      <c r="I15" s="85"/>
      <c r="J15" s="68"/>
      <c r="M15" s="116" t="s">
        <v>48</v>
      </c>
      <c r="N15" s="117">
        <f>E12</f>
        <v>0</v>
      </c>
      <c r="O15" s="117">
        <f>E13</f>
        <v>14</v>
      </c>
      <c r="P15" s="117">
        <f>E14</f>
        <v>19</v>
      </c>
      <c r="Q15" s="117">
        <f>E15</f>
        <v>18</v>
      </c>
      <c r="R15" s="117"/>
      <c r="S15" s="117"/>
      <c r="T15" s="117"/>
      <c r="U15" s="117"/>
      <c r="V15" s="118"/>
      <c r="W15" s="64"/>
    </row>
    <row r="16" spans="2:23" ht="12.75" customHeight="1">
      <c r="B16" s="99" t="s">
        <v>62</v>
      </c>
      <c r="C16" s="100">
        <v>10</v>
      </c>
      <c r="D16" s="101" t="s">
        <v>62</v>
      </c>
      <c r="E16" s="102"/>
      <c r="F16" s="103"/>
      <c r="G16" s="115" t="s">
        <v>63</v>
      </c>
      <c r="H16" s="115"/>
      <c r="I16" s="85"/>
      <c r="J16" s="68"/>
      <c r="M16" s="119" t="s">
        <v>54</v>
      </c>
      <c r="N16" s="120">
        <f aca="true" t="shared" si="2" ref="N16:V16">IF($Q$114&gt;=$T$114,N15,N15*$U$114/100)</f>
        <v>0</v>
      </c>
      <c r="O16" s="120">
        <f t="shared" si="2"/>
        <v>14</v>
      </c>
      <c r="P16" s="120">
        <f t="shared" si="2"/>
        <v>19</v>
      </c>
      <c r="Q16" s="120">
        <f t="shared" si="2"/>
        <v>18</v>
      </c>
      <c r="R16" s="120">
        <f t="shared" si="2"/>
        <v>0</v>
      </c>
      <c r="S16" s="120">
        <f t="shared" si="2"/>
        <v>0</v>
      </c>
      <c r="T16" s="120">
        <f t="shared" si="2"/>
        <v>0</v>
      </c>
      <c r="U16" s="120">
        <f t="shared" si="2"/>
        <v>0</v>
      </c>
      <c r="V16" s="121">
        <f t="shared" si="2"/>
        <v>0</v>
      </c>
      <c r="W16" s="64"/>
    </row>
    <row r="17" spans="2:23" ht="12.75" customHeight="1">
      <c r="B17" s="122" t="s">
        <v>64</v>
      </c>
      <c r="C17" s="100">
        <v>10</v>
      </c>
      <c r="D17" s="123" t="s">
        <v>64</v>
      </c>
      <c r="E17" s="102"/>
      <c r="F17" s="103"/>
      <c r="G17" s="115" t="s">
        <v>41</v>
      </c>
      <c r="H17" s="115"/>
      <c r="I17" s="85"/>
      <c r="J17" s="68"/>
      <c r="M17" s="124" t="s">
        <v>56</v>
      </c>
      <c r="N17" s="120">
        <f aca="true" t="shared" si="3" ref="N17:V17">N15-N16</f>
        <v>0</v>
      </c>
      <c r="O17" s="120">
        <f t="shared" si="3"/>
        <v>0</v>
      </c>
      <c r="P17" s="120">
        <f t="shared" si="3"/>
        <v>0</v>
      </c>
      <c r="Q17" s="120">
        <f t="shared" si="3"/>
        <v>0</v>
      </c>
      <c r="R17" s="120">
        <f t="shared" si="3"/>
        <v>0</v>
      </c>
      <c r="S17" s="120">
        <f t="shared" si="3"/>
        <v>0</v>
      </c>
      <c r="T17" s="120">
        <f t="shared" si="3"/>
        <v>0</v>
      </c>
      <c r="U17" s="120">
        <f t="shared" si="3"/>
        <v>0</v>
      </c>
      <c r="V17" s="121">
        <f t="shared" si="3"/>
        <v>0</v>
      </c>
      <c r="W17" s="64"/>
    </row>
    <row r="18" spans="2:23" ht="12.75" customHeight="1">
      <c r="B18" s="99" t="s">
        <v>65</v>
      </c>
      <c r="C18" s="100">
        <v>10</v>
      </c>
      <c r="D18" s="101" t="s">
        <v>65</v>
      </c>
      <c r="E18" s="102"/>
      <c r="F18" s="103"/>
      <c r="G18" s="115" t="s">
        <v>42</v>
      </c>
      <c r="H18" s="115"/>
      <c r="I18" s="85"/>
      <c r="J18" s="68"/>
      <c r="M18" s="109"/>
      <c r="N18" s="64"/>
      <c r="O18" s="64"/>
      <c r="P18" s="64"/>
      <c r="Q18" s="64"/>
      <c r="R18" s="64"/>
      <c r="S18" s="64"/>
      <c r="T18" s="64"/>
      <c r="U18" s="64"/>
      <c r="V18" s="68"/>
      <c r="W18" s="64"/>
    </row>
    <row r="19" spans="2:23" ht="12.75" customHeight="1">
      <c r="B19" s="125"/>
      <c r="C19" s="126"/>
      <c r="D19" s="101" t="s">
        <v>59</v>
      </c>
      <c r="E19" s="102"/>
      <c r="F19" s="103"/>
      <c r="G19" s="127" t="s">
        <v>43</v>
      </c>
      <c r="H19" s="127"/>
      <c r="I19" s="105"/>
      <c r="J19" s="68"/>
      <c r="M19" s="109"/>
      <c r="N19" s="64"/>
      <c r="O19" s="64"/>
      <c r="P19" s="64"/>
      <c r="Q19" s="64"/>
      <c r="R19" s="64"/>
      <c r="S19" s="64"/>
      <c r="T19" s="64"/>
      <c r="U19" s="64"/>
      <c r="V19" s="68"/>
      <c r="W19" s="64"/>
    </row>
    <row r="20" spans="2:23" ht="12.75" customHeight="1">
      <c r="B20" s="125"/>
      <c r="C20" s="126"/>
      <c r="D20" s="101" t="s">
        <v>66</v>
      </c>
      <c r="E20" s="102"/>
      <c r="F20" s="103"/>
      <c r="G20" s="128" t="s">
        <v>67</v>
      </c>
      <c r="H20" s="129"/>
      <c r="I20" s="130"/>
      <c r="J20" s="131"/>
      <c r="M20" s="109"/>
      <c r="N20" s="132" t="s">
        <v>68</v>
      </c>
      <c r="O20" s="132"/>
      <c r="P20" s="133">
        <f>(H46*1+(H47+H48+H49)*2+(H50+H51+H52)*4)*I12/100</f>
        <v>510</v>
      </c>
      <c r="Q20" s="133"/>
      <c r="R20" s="64"/>
      <c r="S20" s="64"/>
      <c r="T20" s="64"/>
      <c r="U20" s="64"/>
      <c r="V20" s="68"/>
      <c r="W20" s="64"/>
    </row>
    <row r="21" spans="2:23" ht="12.75" customHeight="1">
      <c r="B21" s="134" t="s">
        <v>69</v>
      </c>
      <c r="C21" s="135"/>
      <c r="D21" s="136" t="s">
        <v>69</v>
      </c>
      <c r="E21" s="137"/>
      <c r="F21" s="103"/>
      <c r="G21" s="138" t="s">
        <v>70</v>
      </c>
      <c r="H21" s="138"/>
      <c r="I21" s="139">
        <v>0</v>
      </c>
      <c r="J21" s="68"/>
      <c r="M21" s="140"/>
      <c r="N21" s="141"/>
      <c r="O21" s="141"/>
      <c r="P21" s="141"/>
      <c r="Q21" s="141"/>
      <c r="R21" s="141"/>
      <c r="S21" s="141"/>
      <c r="T21" s="141"/>
      <c r="U21" s="141"/>
      <c r="V21" s="142"/>
      <c r="W21" s="64"/>
    </row>
    <row r="22" spans="2:10" ht="12.75" customHeight="1">
      <c r="B22" s="143"/>
      <c r="C22" s="103"/>
      <c r="D22" s="103"/>
      <c r="E22" s="103"/>
      <c r="F22" s="103"/>
      <c r="G22" s="84" t="s">
        <v>71</v>
      </c>
      <c r="H22" s="84"/>
      <c r="I22" s="85">
        <v>1</v>
      </c>
      <c r="J22" s="68"/>
    </row>
    <row r="23" spans="2:10" ht="12.75" customHeight="1">
      <c r="B23" s="144"/>
      <c r="C23" s="144"/>
      <c r="D23" s="103"/>
      <c r="E23" s="103"/>
      <c r="F23" s="103"/>
      <c r="G23" s="84" t="s">
        <v>72</v>
      </c>
      <c r="H23" s="84"/>
      <c r="I23" s="85">
        <v>1</v>
      </c>
      <c r="J23" s="68"/>
    </row>
    <row r="24" spans="2:10" ht="12.75" customHeight="1">
      <c r="B24" s="145"/>
      <c r="C24" s="64"/>
      <c r="D24" s="64"/>
      <c r="E24" s="66"/>
      <c r="F24" s="66"/>
      <c r="G24" s="115" t="s">
        <v>73</v>
      </c>
      <c r="H24" s="115"/>
      <c r="I24" s="85">
        <v>1</v>
      </c>
      <c r="J24" s="68"/>
    </row>
    <row r="25" spans="2:10" ht="12.75" customHeight="1">
      <c r="B25" s="146"/>
      <c r="C25" s="58"/>
      <c r="D25" s="66"/>
      <c r="E25" s="66"/>
      <c r="F25" s="66"/>
      <c r="G25" s="115" t="s">
        <v>74</v>
      </c>
      <c r="H25" s="115"/>
      <c r="I25" s="85">
        <v>1</v>
      </c>
      <c r="J25" s="68"/>
    </row>
    <row r="26" spans="2:10" ht="12.75" customHeight="1">
      <c r="B26" s="145"/>
      <c r="C26" s="66"/>
      <c r="D26" s="66"/>
      <c r="E26" s="66"/>
      <c r="F26" s="66"/>
      <c r="G26" s="147" t="s">
        <v>75</v>
      </c>
      <c r="H26" s="148"/>
      <c r="I26" s="85">
        <v>1</v>
      </c>
      <c r="J26" s="68"/>
    </row>
    <row r="27" spans="2:10" ht="12.75" customHeight="1">
      <c r="B27" s="145"/>
      <c r="C27" s="66"/>
      <c r="D27" s="66"/>
      <c r="E27" s="66"/>
      <c r="F27" s="66"/>
      <c r="G27" s="147" t="s">
        <v>76</v>
      </c>
      <c r="H27" s="148"/>
      <c r="I27" s="85">
        <v>1</v>
      </c>
      <c r="J27" s="68"/>
    </row>
    <row r="28" spans="2:10" ht="12.75" customHeight="1">
      <c r="B28" s="145"/>
      <c r="C28" s="66"/>
      <c r="D28" s="66"/>
      <c r="E28" s="66"/>
      <c r="F28" s="66"/>
      <c r="G28" s="147" t="s">
        <v>77</v>
      </c>
      <c r="H28" s="148"/>
      <c r="I28" s="85">
        <v>1</v>
      </c>
      <c r="J28" s="68"/>
    </row>
    <row r="29" spans="2:10" ht="12.75" customHeight="1">
      <c r="B29" s="149"/>
      <c r="C29" s="150"/>
      <c r="D29" s="150"/>
      <c r="E29" s="150"/>
      <c r="F29" s="150"/>
      <c r="G29" s="150"/>
      <c r="H29" s="150"/>
      <c r="I29" s="141"/>
      <c r="J29" s="142"/>
    </row>
    <row r="30" spans="2:10" ht="12.75" customHeight="1">
      <c r="B30" s="66"/>
      <c r="C30" s="66"/>
      <c r="D30" s="66"/>
      <c r="E30" s="66"/>
      <c r="F30" s="66"/>
      <c r="G30" s="66"/>
      <c r="H30" s="66"/>
      <c r="I30" s="64"/>
      <c r="J30" s="64"/>
    </row>
    <row r="31" spans="2:10" ht="12.75" customHeight="1">
      <c r="B31" s="66"/>
      <c r="C31" s="66"/>
      <c r="D31" s="66"/>
      <c r="E31" s="66"/>
      <c r="F31" s="66"/>
      <c r="G31" s="66"/>
      <c r="H31" s="66"/>
      <c r="I31" s="64"/>
      <c r="J31" s="64"/>
    </row>
    <row r="32" spans="2:10" ht="12.75" customHeight="1">
      <c r="B32" s="66"/>
      <c r="C32" s="66"/>
      <c r="D32" s="66"/>
      <c r="E32" s="66"/>
      <c r="F32" s="66"/>
      <c r="G32" s="66"/>
      <c r="H32" s="66"/>
      <c r="I32" s="64"/>
      <c r="J32" s="64"/>
    </row>
    <row r="33" spans="2:10" ht="12.75" customHeight="1">
      <c r="B33" s="66"/>
      <c r="C33" s="66"/>
      <c r="D33" s="66"/>
      <c r="E33" s="66"/>
      <c r="F33" s="66"/>
      <c r="G33" s="66"/>
      <c r="H33" s="66"/>
      <c r="I33" s="64"/>
      <c r="J33" s="64"/>
    </row>
    <row r="34" spans="2:15" ht="12.75" customHeight="1">
      <c r="B34" s="151" t="s">
        <v>78</v>
      </c>
      <c r="C34" s="151"/>
      <c r="D34" s="151"/>
      <c r="E34" s="66"/>
      <c r="F34" s="66"/>
      <c r="G34" s="66"/>
      <c r="H34" s="66"/>
      <c r="I34" s="64"/>
      <c r="J34" s="64"/>
      <c r="M34" s="151" t="s">
        <v>79</v>
      </c>
      <c r="N34" s="151"/>
      <c r="O34" s="151"/>
    </row>
    <row r="35" spans="7:8" ht="12.75" customHeight="1">
      <c r="G35" s="152"/>
      <c r="H35" s="152"/>
    </row>
    <row r="36" spans="2:21" ht="12.75" customHeight="1">
      <c r="B36" s="268" t="s">
        <v>80</v>
      </c>
      <c r="C36" s="76" t="s">
        <v>40</v>
      </c>
      <c r="D36" s="76" t="s">
        <v>41</v>
      </c>
      <c r="E36" s="76" t="s">
        <v>42</v>
      </c>
      <c r="F36" s="269" t="s">
        <v>43</v>
      </c>
      <c r="M36" s="270" t="s">
        <v>40</v>
      </c>
      <c r="N36" s="271" t="s">
        <v>49</v>
      </c>
      <c r="O36" s="272" t="s">
        <v>81</v>
      </c>
      <c r="P36" s="273" t="s">
        <v>82</v>
      </c>
      <c r="Q36" s="273" t="s">
        <v>83</v>
      </c>
      <c r="R36" s="273" t="s">
        <v>84</v>
      </c>
      <c r="S36" s="273" t="s">
        <v>85</v>
      </c>
      <c r="T36" s="274" t="s">
        <v>86</v>
      </c>
      <c r="U36" s="160"/>
    </row>
    <row r="37" spans="2:21" ht="12.75" customHeight="1">
      <c r="B37" s="275">
        <f>I10</f>
        <v>412</v>
      </c>
      <c r="C37" s="85">
        <v>15</v>
      </c>
      <c r="D37" s="85">
        <v>40</v>
      </c>
      <c r="E37" s="85">
        <v>42</v>
      </c>
      <c r="F37" s="276">
        <v>44</v>
      </c>
      <c r="M37" s="161" t="s">
        <v>87</v>
      </c>
      <c r="N37" s="162">
        <f aca="true" t="shared" si="4" ref="N37:N45">$C$12*I46</f>
        <v>0</v>
      </c>
      <c r="O37" s="163">
        <f aca="true" t="shared" si="5" ref="O37:O45">$C$46*I46</f>
        <v>0</v>
      </c>
      <c r="P37" s="164">
        <f aca="true" t="shared" si="6" ref="P37:P46">$D$46*I46</f>
        <v>0</v>
      </c>
      <c r="Q37" s="164">
        <f aca="true" t="shared" si="7" ref="Q37:Q46">O37+P37</f>
        <v>0</v>
      </c>
      <c r="R37" s="165">
        <v>15</v>
      </c>
      <c r="S37" s="166">
        <f aca="true" t="shared" si="8" ref="S37:S45">H46*$E$46</f>
        <v>0</v>
      </c>
      <c r="T37" s="167">
        <f aca="true" t="shared" si="9" ref="T37:T45">R37*S37</f>
        <v>0</v>
      </c>
      <c r="U37" s="168">
        <f>IF(T37&lt;=Q37,0,100*(T37/Q37)^(3/2))+IF(T37&gt;=Q37,0,100*(Q37/T37)^(3/2))</f>
        <v>0</v>
      </c>
    </row>
    <row r="38" spans="2:21" ht="12.75" customHeight="1">
      <c r="B38" s="277">
        <f>I10*(1+I14)*I9/100</f>
        <v>412</v>
      </c>
      <c r="C38" s="278">
        <f>C37*($I$21+I22+I16+$I$15)</f>
        <v>15</v>
      </c>
      <c r="D38" s="278">
        <f>D37*($I$21+I23+I17+$I$15)</f>
        <v>40</v>
      </c>
      <c r="E38" s="278">
        <f>E37*($I$21+I24+I18+$I$15)</f>
        <v>42</v>
      </c>
      <c r="F38" s="279">
        <f>F37*($I$21+I25+I19+$I$15)</f>
        <v>44</v>
      </c>
      <c r="M38" s="169" t="s">
        <v>88</v>
      </c>
      <c r="N38" s="162">
        <f t="shared" si="4"/>
        <v>31.568627450980394</v>
      </c>
      <c r="O38" s="162">
        <f t="shared" si="5"/>
        <v>473.5294117647059</v>
      </c>
      <c r="P38" s="170">
        <f t="shared" si="6"/>
        <v>0</v>
      </c>
      <c r="Q38" s="170">
        <f t="shared" si="7"/>
        <v>473.5294117647059</v>
      </c>
      <c r="R38" s="171">
        <v>40</v>
      </c>
      <c r="S38" s="172">
        <f t="shared" si="8"/>
        <v>3.6887123873529863</v>
      </c>
      <c r="T38" s="173">
        <f t="shared" si="9"/>
        <v>147.54849549411946</v>
      </c>
      <c r="U38" s="168">
        <f aca="true" t="shared" si="10" ref="U38:U101">IF(T38&lt;=Q38,0,100*(T38/Q38)^(3/2))+IF(T38&gt;=Q38,0,100*(Q38/T38)^(3/2))</f>
        <v>574.9343546146333</v>
      </c>
    </row>
    <row r="39" spans="2:21" ht="12.75" customHeight="1">
      <c r="B39" s="275"/>
      <c r="C39" s="85"/>
      <c r="D39" s="85" t="s">
        <v>62</v>
      </c>
      <c r="E39" s="174" t="s">
        <v>64</v>
      </c>
      <c r="F39" s="175" t="s">
        <v>65</v>
      </c>
      <c r="M39" s="169" t="s">
        <v>89</v>
      </c>
      <c r="N39" s="162">
        <f t="shared" si="4"/>
        <v>42.84313725490196</v>
      </c>
      <c r="O39" s="162">
        <f t="shared" si="5"/>
        <v>642.6470588235294</v>
      </c>
      <c r="P39" s="170">
        <f t="shared" si="6"/>
        <v>0</v>
      </c>
      <c r="Q39" s="170">
        <f t="shared" si="7"/>
        <v>642.6470588235294</v>
      </c>
      <c r="R39" s="171">
        <v>42</v>
      </c>
      <c r="S39" s="172">
        <f t="shared" si="8"/>
        <v>5.006109668550482</v>
      </c>
      <c r="T39" s="173">
        <f t="shared" si="9"/>
        <v>210.25660607912025</v>
      </c>
      <c r="U39" s="168">
        <f t="shared" si="10"/>
        <v>534.3604558181318</v>
      </c>
    </row>
    <row r="40" spans="2:21" ht="12.75" customHeight="1">
      <c r="B40" s="275"/>
      <c r="C40" s="85"/>
      <c r="D40" s="85">
        <v>100</v>
      </c>
      <c r="E40" s="85">
        <v>105</v>
      </c>
      <c r="F40" s="276">
        <v>110</v>
      </c>
      <c r="M40" s="169" t="s">
        <v>53</v>
      </c>
      <c r="N40" s="162">
        <f t="shared" si="4"/>
        <v>40.58823529411765</v>
      </c>
      <c r="O40" s="162">
        <f t="shared" si="5"/>
        <v>608.8235294117648</v>
      </c>
      <c r="P40" s="170">
        <f t="shared" si="6"/>
        <v>0</v>
      </c>
      <c r="Q40" s="170">
        <f t="shared" si="7"/>
        <v>608.8235294117648</v>
      </c>
      <c r="R40" s="171">
        <v>44</v>
      </c>
      <c r="S40" s="172">
        <f t="shared" si="8"/>
        <v>4.742630212310982</v>
      </c>
      <c r="T40" s="173">
        <f t="shared" si="9"/>
        <v>208.67572934168322</v>
      </c>
      <c r="U40" s="168">
        <f t="shared" si="10"/>
        <v>498.34399854282896</v>
      </c>
    </row>
    <row r="41" spans="2:21" ht="12.75" customHeight="1">
      <c r="B41" s="280"/>
      <c r="C41" s="105"/>
      <c r="D41" s="278">
        <f>D40*($I$21+I26+I17+$I$15)</f>
        <v>100</v>
      </c>
      <c r="E41" s="278">
        <f>E40*($I$21+I27+I18+$I$15)</f>
        <v>105</v>
      </c>
      <c r="F41" s="279">
        <f>F40*($I$21+I28+I20+$I$15)</f>
        <v>110</v>
      </c>
      <c r="M41" s="169" t="s">
        <v>62</v>
      </c>
      <c r="N41" s="162">
        <f t="shared" si="4"/>
        <v>0</v>
      </c>
      <c r="O41" s="162">
        <f t="shared" si="5"/>
        <v>0</v>
      </c>
      <c r="P41" s="170">
        <f t="shared" si="6"/>
        <v>0</v>
      </c>
      <c r="Q41" s="170">
        <f t="shared" si="7"/>
        <v>0</v>
      </c>
      <c r="R41" s="171">
        <v>100</v>
      </c>
      <c r="S41" s="172">
        <f t="shared" si="8"/>
        <v>0</v>
      </c>
      <c r="T41" s="173">
        <f t="shared" si="9"/>
        <v>0</v>
      </c>
      <c r="U41" s="168">
        <f t="shared" si="10"/>
        <v>0</v>
      </c>
    </row>
    <row r="42" spans="2:21" ht="12.75" customHeight="1">
      <c r="B42" s="64"/>
      <c r="C42" s="64"/>
      <c r="D42" s="64"/>
      <c r="E42" s="64"/>
      <c r="F42" s="64"/>
      <c r="M42" s="169" t="s">
        <v>90</v>
      </c>
      <c r="N42" s="162">
        <f t="shared" si="4"/>
        <v>0</v>
      </c>
      <c r="O42" s="162">
        <f t="shared" si="5"/>
        <v>0</v>
      </c>
      <c r="P42" s="170">
        <f t="shared" si="6"/>
        <v>0</v>
      </c>
      <c r="Q42" s="170">
        <f t="shared" si="7"/>
        <v>0</v>
      </c>
      <c r="R42" s="171">
        <v>105</v>
      </c>
      <c r="S42" s="172">
        <f t="shared" si="8"/>
        <v>0</v>
      </c>
      <c r="T42" s="173">
        <f t="shared" si="9"/>
        <v>0</v>
      </c>
      <c r="U42" s="168">
        <f t="shared" si="10"/>
        <v>0</v>
      </c>
    </row>
    <row r="43" spans="2:21" ht="12.75" customHeight="1">
      <c r="B43" s="176" t="s">
        <v>91</v>
      </c>
      <c r="C43" s="176"/>
      <c r="D43" s="176"/>
      <c r="E43" s="176"/>
      <c r="F43" s="64"/>
      <c r="G43" s="176" t="s">
        <v>92</v>
      </c>
      <c r="H43" s="176"/>
      <c r="I43" s="176"/>
      <c r="M43" s="169" t="s">
        <v>65</v>
      </c>
      <c r="N43" s="162">
        <f t="shared" si="4"/>
        <v>0</v>
      </c>
      <c r="O43" s="162">
        <f t="shared" si="5"/>
        <v>0</v>
      </c>
      <c r="P43" s="170">
        <f t="shared" si="6"/>
        <v>0</v>
      </c>
      <c r="Q43" s="170">
        <f t="shared" si="7"/>
        <v>0</v>
      </c>
      <c r="R43" s="171">
        <v>110</v>
      </c>
      <c r="S43" s="172">
        <f t="shared" si="8"/>
        <v>0</v>
      </c>
      <c r="T43" s="173">
        <f t="shared" si="9"/>
        <v>0</v>
      </c>
      <c r="U43" s="168">
        <f t="shared" si="10"/>
        <v>0</v>
      </c>
    </row>
    <row r="44" spans="13:21" ht="12.75" customHeight="1">
      <c r="M44" s="169" t="s">
        <v>59</v>
      </c>
      <c r="N44" s="162">
        <f t="shared" si="4"/>
        <v>0</v>
      </c>
      <c r="O44" s="162">
        <f t="shared" si="5"/>
        <v>0</v>
      </c>
      <c r="P44" s="170">
        <f t="shared" si="6"/>
        <v>0</v>
      </c>
      <c r="Q44" s="170">
        <f t="shared" si="7"/>
        <v>0</v>
      </c>
      <c r="R44" s="171">
        <v>10</v>
      </c>
      <c r="S44" s="172">
        <f t="shared" si="8"/>
        <v>0</v>
      </c>
      <c r="T44" s="173">
        <f t="shared" si="9"/>
        <v>0</v>
      </c>
      <c r="U44" s="168">
        <f t="shared" si="10"/>
        <v>0</v>
      </c>
    </row>
    <row r="45" spans="2:21" ht="12.75" customHeight="1">
      <c r="B45" s="189" t="s">
        <v>49</v>
      </c>
      <c r="C45" s="190" t="s">
        <v>94</v>
      </c>
      <c r="D45" s="190" t="s">
        <v>95</v>
      </c>
      <c r="E45" s="191" t="s">
        <v>96</v>
      </c>
      <c r="F45" s="192"/>
      <c r="G45" s="193" t="s">
        <v>51</v>
      </c>
      <c r="H45" s="194" t="s">
        <v>50</v>
      </c>
      <c r="I45" s="194" t="s">
        <v>97</v>
      </c>
      <c r="M45" s="177" t="s">
        <v>66</v>
      </c>
      <c r="N45" s="162">
        <f t="shared" si="4"/>
        <v>0</v>
      </c>
      <c r="O45" s="178">
        <f t="shared" si="5"/>
        <v>0</v>
      </c>
      <c r="P45" s="179">
        <f t="shared" si="6"/>
        <v>0</v>
      </c>
      <c r="Q45" s="179">
        <f t="shared" si="7"/>
        <v>0</v>
      </c>
      <c r="R45" s="180">
        <v>30</v>
      </c>
      <c r="S45" s="181">
        <f t="shared" si="8"/>
        <v>0</v>
      </c>
      <c r="T45" s="182">
        <f t="shared" si="9"/>
        <v>0</v>
      </c>
      <c r="U45" s="168">
        <f t="shared" si="10"/>
        <v>0</v>
      </c>
    </row>
    <row r="46" spans="2:21" ht="12.75" customHeight="1">
      <c r="B46" s="200" t="s">
        <v>40</v>
      </c>
      <c r="C46" s="201">
        <f>C12*C38</f>
        <v>1725</v>
      </c>
      <c r="D46" s="202"/>
      <c r="E46" s="203">
        <f aca="true" t="shared" si="11" ref="E46:E52">(C46+D46)/($C$53+$D$53)</f>
        <v>0.26347945623949903</v>
      </c>
      <c r="F46" s="64"/>
      <c r="G46" s="204" t="s">
        <v>40</v>
      </c>
      <c r="H46" s="205">
        <f aca="true" t="shared" si="12" ref="H46:H54">E12</f>
        <v>0</v>
      </c>
      <c r="I46" s="281">
        <f aca="true" t="shared" si="13" ref="I46:I54">H46/$H$55</f>
        <v>0</v>
      </c>
      <c r="M46" s="183" t="s">
        <v>93</v>
      </c>
      <c r="N46" s="162">
        <f>SUM(N37:N45)</f>
        <v>115</v>
      </c>
      <c r="O46" s="184">
        <f>SUM(O37:O45)</f>
        <v>1725</v>
      </c>
      <c r="P46" s="184">
        <f t="shared" si="6"/>
        <v>0</v>
      </c>
      <c r="Q46" s="185">
        <f t="shared" si="7"/>
        <v>1725</v>
      </c>
      <c r="R46" s="186"/>
      <c r="S46" s="187">
        <f>SUM(S37:S45)</f>
        <v>13.43745226821445</v>
      </c>
      <c r="T46" s="188">
        <f>SUM(T37:T45)</f>
        <v>566.480830914923</v>
      </c>
      <c r="U46" s="168">
        <f t="shared" si="10"/>
        <v>531.3807549755621</v>
      </c>
    </row>
    <row r="47" spans="2:21" ht="12.75" customHeight="1">
      <c r="B47" s="200" t="s">
        <v>41</v>
      </c>
      <c r="C47" s="201">
        <f>C13*D38</f>
        <v>400</v>
      </c>
      <c r="D47" s="202">
        <f>IF($I$11="槍",$B$38,0)</f>
        <v>0</v>
      </c>
      <c r="E47" s="203">
        <f t="shared" si="11"/>
        <v>0.061096685504811364</v>
      </c>
      <c r="F47" s="64"/>
      <c r="G47" s="204" t="s">
        <v>41</v>
      </c>
      <c r="H47" s="205">
        <f t="shared" si="12"/>
        <v>14</v>
      </c>
      <c r="I47" s="281">
        <f t="shared" si="13"/>
        <v>0.27450980392156865</v>
      </c>
      <c r="M47" s="196" t="s">
        <v>41</v>
      </c>
      <c r="N47" s="197"/>
      <c r="O47" s="198"/>
      <c r="P47" s="199"/>
      <c r="Q47" s="199"/>
      <c r="R47" s="199"/>
      <c r="S47" s="199"/>
      <c r="T47" s="199"/>
      <c r="U47" s="168">
        <f t="shared" si="10"/>
        <v>0</v>
      </c>
    </row>
    <row r="48" spans="2:21" ht="12.75" customHeight="1">
      <c r="B48" s="200" t="s">
        <v>42</v>
      </c>
      <c r="C48" s="201">
        <f>C14*E38</f>
        <v>420</v>
      </c>
      <c r="D48" s="202">
        <f>IF($I$11="弓",$B$38,0)</f>
        <v>0</v>
      </c>
      <c r="E48" s="203">
        <f t="shared" si="11"/>
        <v>0.06415151978005193</v>
      </c>
      <c r="F48" s="64"/>
      <c r="G48" s="204" t="s">
        <v>42</v>
      </c>
      <c r="H48" s="205">
        <f t="shared" si="12"/>
        <v>19</v>
      </c>
      <c r="I48" s="281">
        <f t="shared" si="13"/>
        <v>0.37254901960784315</v>
      </c>
      <c r="M48" s="161" t="s">
        <v>87</v>
      </c>
      <c r="N48" s="162">
        <f aca="true" t="shared" si="14" ref="N48:N56">$C$13*I46</f>
        <v>0</v>
      </c>
      <c r="O48" s="207">
        <f aca="true" t="shared" si="15" ref="O48:O56">$C$47*I46</f>
        <v>0</v>
      </c>
      <c r="P48" s="208">
        <f aca="true" t="shared" si="16" ref="P48:P56">$D$47*I46</f>
        <v>0</v>
      </c>
      <c r="Q48" s="208">
        <f aca="true" t="shared" si="17" ref="Q48:Q56">O48+P48</f>
        <v>0</v>
      </c>
      <c r="R48" s="165">
        <v>10</v>
      </c>
      <c r="S48" s="166">
        <f aca="true" t="shared" si="18" ref="S48:S56">H46*$E$47</f>
        <v>0</v>
      </c>
      <c r="T48" s="167">
        <f aca="true" t="shared" si="19" ref="T48:T56">R48*S48</f>
        <v>0</v>
      </c>
      <c r="U48" s="168">
        <f t="shared" si="10"/>
        <v>0</v>
      </c>
    </row>
    <row r="49" spans="2:21" ht="12.75" customHeight="1">
      <c r="B49" s="200" t="s">
        <v>43</v>
      </c>
      <c r="C49" s="201">
        <f>C15*F38</f>
        <v>440</v>
      </c>
      <c r="D49" s="202">
        <f>IF($I$11="騎馬",$B$38,0)</f>
        <v>412</v>
      </c>
      <c r="E49" s="203">
        <f t="shared" si="11"/>
        <v>0.1301359401252482</v>
      </c>
      <c r="F49" s="64"/>
      <c r="G49" s="204" t="s">
        <v>43</v>
      </c>
      <c r="H49" s="205">
        <f t="shared" si="12"/>
        <v>18</v>
      </c>
      <c r="I49" s="281">
        <f t="shared" si="13"/>
        <v>0.35294117647058826</v>
      </c>
      <c r="L49" s="64"/>
      <c r="M49" s="169" t="s">
        <v>88</v>
      </c>
      <c r="N49" s="162">
        <f t="shared" si="14"/>
        <v>2.7450980392156863</v>
      </c>
      <c r="O49" s="162">
        <f t="shared" si="15"/>
        <v>109.80392156862746</v>
      </c>
      <c r="P49" s="170">
        <f t="shared" si="16"/>
        <v>0</v>
      </c>
      <c r="Q49" s="170">
        <f t="shared" si="17"/>
        <v>109.80392156862746</v>
      </c>
      <c r="R49" s="171">
        <v>40</v>
      </c>
      <c r="S49" s="172">
        <f t="shared" si="18"/>
        <v>0.8553535970673591</v>
      </c>
      <c r="T49" s="173">
        <f t="shared" si="19"/>
        <v>34.214143882694366</v>
      </c>
      <c r="U49" s="168">
        <f t="shared" si="10"/>
        <v>574.9343546146334</v>
      </c>
    </row>
    <row r="50" spans="2:21" ht="12.75" customHeight="1">
      <c r="B50" s="200" t="s">
        <v>62</v>
      </c>
      <c r="C50" s="201">
        <f>C16*D41</f>
        <v>1000</v>
      </c>
      <c r="D50" s="209"/>
      <c r="E50" s="203">
        <f t="shared" si="11"/>
        <v>0.1527417137620284</v>
      </c>
      <c r="F50" s="64"/>
      <c r="G50" s="204" t="s">
        <v>62</v>
      </c>
      <c r="H50" s="205">
        <f t="shared" si="12"/>
        <v>0</v>
      </c>
      <c r="I50" s="281">
        <f t="shared" si="13"/>
        <v>0</v>
      </c>
      <c r="L50" s="64"/>
      <c r="M50" s="169" t="s">
        <v>89</v>
      </c>
      <c r="N50" s="162">
        <f t="shared" si="14"/>
        <v>3.7254901960784315</v>
      </c>
      <c r="O50" s="162">
        <f t="shared" si="15"/>
        <v>149.01960784313727</v>
      </c>
      <c r="P50" s="170">
        <f t="shared" si="16"/>
        <v>0</v>
      </c>
      <c r="Q50" s="170">
        <f t="shared" si="17"/>
        <v>149.01960784313727</v>
      </c>
      <c r="R50" s="171">
        <v>58</v>
      </c>
      <c r="S50" s="172">
        <f t="shared" si="18"/>
        <v>1.160837024591416</v>
      </c>
      <c r="T50" s="173">
        <f t="shared" si="19"/>
        <v>67.32854742630212</v>
      </c>
      <c r="U50" s="168">
        <f t="shared" si="10"/>
        <v>329.2806852646382</v>
      </c>
    </row>
    <row r="51" spans="2:21" ht="12.75" customHeight="1">
      <c r="B51" s="200" t="s">
        <v>45</v>
      </c>
      <c r="C51" s="201">
        <f>C17*E41</f>
        <v>1050</v>
      </c>
      <c r="D51" s="209"/>
      <c r="E51" s="203">
        <f t="shared" si="11"/>
        <v>0.16037879945012984</v>
      </c>
      <c r="F51" s="64"/>
      <c r="G51" s="204" t="s">
        <v>45</v>
      </c>
      <c r="H51" s="205">
        <f t="shared" si="12"/>
        <v>0</v>
      </c>
      <c r="I51" s="281">
        <f t="shared" si="13"/>
        <v>0</v>
      </c>
      <c r="M51" s="169" t="s">
        <v>53</v>
      </c>
      <c r="N51" s="162">
        <f t="shared" si="14"/>
        <v>3.5294117647058827</v>
      </c>
      <c r="O51" s="162">
        <f t="shared" si="15"/>
        <v>141.1764705882353</v>
      </c>
      <c r="P51" s="170">
        <f t="shared" si="16"/>
        <v>0</v>
      </c>
      <c r="Q51" s="170">
        <f t="shared" si="17"/>
        <v>141.1764705882353</v>
      </c>
      <c r="R51" s="171">
        <v>28</v>
      </c>
      <c r="S51" s="172">
        <f t="shared" si="18"/>
        <v>1.0997403390866045</v>
      </c>
      <c r="T51" s="173">
        <f t="shared" si="19"/>
        <v>30.792729494424925</v>
      </c>
      <c r="U51" s="168">
        <f t="shared" si="10"/>
        <v>981.6828416065937</v>
      </c>
    </row>
    <row r="52" spans="2:21" ht="12.75" customHeight="1">
      <c r="B52" s="200" t="s">
        <v>65</v>
      </c>
      <c r="C52" s="201">
        <f>C18*F41</f>
        <v>1100</v>
      </c>
      <c r="D52" s="209"/>
      <c r="E52" s="203">
        <f t="shared" si="11"/>
        <v>0.16801588513823126</v>
      </c>
      <c r="F52" s="64"/>
      <c r="G52" s="204" t="s">
        <v>65</v>
      </c>
      <c r="H52" s="205">
        <f t="shared" si="12"/>
        <v>0</v>
      </c>
      <c r="I52" s="281">
        <f t="shared" si="13"/>
        <v>0</v>
      </c>
      <c r="M52" s="169" t="s">
        <v>62</v>
      </c>
      <c r="N52" s="162">
        <f t="shared" si="14"/>
        <v>0</v>
      </c>
      <c r="O52" s="162">
        <f t="shared" si="15"/>
        <v>0</v>
      </c>
      <c r="P52" s="170">
        <f t="shared" si="16"/>
        <v>0</v>
      </c>
      <c r="Q52" s="170">
        <f t="shared" si="17"/>
        <v>0</v>
      </c>
      <c r="R52" s="171">
        <v>100</v>
      </c>
      <c r="S52" s="172">
        <f t="shared" si="18"/>
        <v>0</v>
      </c>
      <c r="T52" s="173">
        <f t="shared" si="19"/>
        <v>0</v>
      </c>
      <c r="U52" s="168">
        <f t="shared" si="10"/>
        <v>0</v>
      </c>
    </row>
    <row r="53" spans="2:21" ht="12.75" customHeight="1">
      <c r="B53" s="210"/>
      <c r="C53" s="211">
        <f>SUM(C46:C52)</f>
        <v>6135</v>
      </c>
      <c r="D53" s="211">
        <f>SUM(D46:D52)</f>
        <v>412</v>
      </c>
      <c r="E53" s="212">
        <f>SUM(E46:E52)</f>
        <v>1</v>
      </c>
      <c r="F53" s="64"/>
      <c r="G53" s="204" t="s">
        <v>59</v>
      </c>
      <c r="H53" s="205">
        <f t="shared" si="12"/>
        <v>0</v>
      </c>
      <c r="I53" s="281">
        <f t="shared" si="13"/>
        <v>0</v>
      </c>
      <c r="M53" s="169" t="s">
        <v>90</v>
      </c>
      <c r="N53" s="162">
        <f t="shared" si="14"/>
        <v>0</v>
      </c>
      <c r="O53" s="162">
        <f t="shared" si="15"/>
        <v>0</v>
      </c>
      <c r="P53" s="170">
        <f t="shared" si="16"/>
        <v>0</v>
      </c>
      <c r="Q53" s="170">
        <f t="shared" si="17"/>
        <v>0</v>
      </c>
      <c r="R53" s="171">
        <v>145</v>
      </c>
      <c r="S53" s="172">
        <f t="shared" si="18"/>
        <v>0</v>
      </c>
      <c r="T53" s="173">
        <f t="shared" si="19"/>
        <v>0</v>
      </c>
      <c r="U53" s="168">
        <f t="shared" si="10"/>
        <v>0</v>
      </c>
    </row>
    <row r="54" spans="2:21" ht="12.75" customHeight="1">
      <c r="B54" s="64"/>
      <c r="C54" s="64"/>
      <c r="D54" s="64"/>
      <c r="E54" s="64"/>
      <c r="F54" s="64"/>
      <c r="G54" s="204" t="s">
        <v>66</v>
      </c>
      <c r="H54" s="205">
        <f t="shared" si="12"/>
        <v>0</v>
      </c>
      <c r="I54" s="281">
        <f t="shared" si="13"/>
        <v>0</v>
      </c>
      <c r="M54" s="169" t="s">
        <v>65</v>
      </c>
      <c r="N54" s="162">
        <f t="shared" si="14"/>
        <v>0</v>
      </c>
      <c r="O54" s="162">
        <f t="shared" si="15"/>
        <v>0</v>
      </c>
      <c r="P54" s="170">
        <f t="shared" si="16"/>
        <v>0</v>
      </c>
      <c r="Q54" s="170">
        <f t="shared" si="17"/>
        <v>0</v>
      </c>
      <c r="R54" s="171">
        <v>70</v>
      </c>
      <c r="S54" s="172">
        <f t="shared" si="18"/>
        <v>0</v>
      </c>
      <c r="T54" s="173">
        <f t="shared" si="19"/>
        <v>0</v>
      </c>
      <c r="U54" s="168">
        <f t="shared" si="10"/>
        <v>0</v>
      </c>
    </row>
    <row r="55" spans="5:21" ht="12.75" customHeight="1">
      <c r="E55" s="64"/>
      <c r="F55" s="64"/>
      <c r="G55" s="214" t="s">
        <v>69</v>
      </c>
      <c r="H55" s="215">
        <f>SUM(H46:H54)</f>
        <v>51</v>
      </c>
      <c r="I55" s="282">
        <f>SUM(I46:I54)</f>
        <v>1</v>
      </c>
      <c r="M55" s="169" t="s">
        <v>59</v>
      </c>
      <c r="N55" s="162">
        <f t="shared" si="14"/>
        <v>0</v>
      </c>
      <c r="O55" s="162">
        <f t="shared" si="15"/>
        <v>0</v>
      </c>
      <c r="P55" s="170">
        <f t="shared" si="16"/>
        <v>0</v>
      </c>
      <c r="Q55" s="170">
        <f t="shared" si="17"/>
        <v>0</v>
      </c>
      <c r="R55" s="171">
        <v>10</v>
      </c>
      <c r="S55" s="172">
        <f t="shared" si="18"/>
        <v>0</v>
      </c>
      <c r="T55" s="173">
        <f t="shared" si="19"/>
        <v>0</v>
      </c>
      <c r="U55" s="168">
        <f t="shared" si="10"/>
        <v>0</v>
      </c>
    </row>
    <row r="56" spans="13:21" ht="12.75" customHeight="1">
      <c r="M56" s="213" t="s">
        <v>66</v>
      </c>
      <c r="N56" s="162">
        <f t="shared" si="14"/>
        <v>0</v>
      </c>
      <c r="O56" s="178">
        <f t="shared" si="15"/>
        <v>0</v>
      </c>
      <c r="P56" s="179">
        <f t="shared" si="16"/>
        <v>0</v>
      </c>
      <c r="Q56" s="179">
        <f t="shared" si="17"/>
        <v>0</v>
      </c>
      <c r="R56" s="180">
        <v>10</v>
      </c>
      <c r="S56" s="181">
        <f t="shared" si="18"/>
        <v>0</v>
      </c>
      <c r="T56" s="182">
        <f t="shared" si="19"/>
        <v>0</v>
      </c>
      <c r="U56" s="168">
        <f t="shared" si="10"/>
        <v>0</v>
      </c>
    </row>
    <row r="57" spans="13:21" ht="12.75" customHeight="1">
      <c r="M57" s="183"/>
      <c r="N57" s="162"/>
      <c r="O57" s="184">
        <f>SUM(O48:O56)</f>
        <v>400.00000000000006</v>
      </c>
      <c r="P57" s="184">
        <f>SUM(P48:P56)</f>
        <v>0</v>
      </c>
      <c r="Q57" s="185">
        <f>SUM(Q47:Q56)</f>
        <v>400.00000000000006</v>
      </c>
      <c r="R57" s="186"/>
      <c r="S57" s="187">
        <f>SUM(S48:S56)</f>
        <v>3.11593096074538</v>
      </c>
      <c r="T57" s="188">
        <f>SUM(T47:T56)</f>
        <v>132.3354208034214</v>
      </c>
      <c r="U57" s="168">
        <f t="shared" si="10"/>
        <v>525.5037662674345</v>
      </c>
    </row>
    <row r="58" spans="13:21" ht="12.75" customHeight="1">
      <c r="M58" s="196" t="s">
        <v>42</v>
      </c>
      <c r="N58" s="197"/>
      <c r="O58" s="217"/>
      <c r="P58" s="199"/>
      <c r="Q58" s="199"/>
      <c r="R58" s="199"/>
      <c r="S58" s="199"/>
      <c r="T58" s="199"/>
      <c r="U58" s="168">
        <f t="shared" si="10"/>
        <v>0</v>
      </c>
    </row>
    <row r="59" spans="13:21" ht="12.75" customHeight="1">
      <c r="M59" s="161" t="s">
        <v>87</v>
      </c>
      <c r="N59" s="162">
        <f aca="true" t="shared" si="20" ref="N59:N67">$C$14*I46</f>
        <v>0</v>
      </c>
      <c r="O59" s="218">
        <f aca="true" t="shared" si="21" ref="O59:O67">$C$48*I46</f>
        <v>0</v>
      </c>
      <c r="P59" s="218">
        <f aca="true" t="shared" si="22" ref="P59:P67">$D$48*I46</f>
        <v>0</v>
      </c>
      <c r="Q59" s="219">
        <f aca="true" t="shared" si="23" ref="Q59:Q67">O59+P59</f>
        <v>0</v>
      </c>
      <c r="R59" s="165">
        <v>10</v>
      </c>
      <c r="S59" s="166">
        <f aca="true" t="shared" si="24" ref="S59:S67">H46*$E$48</f>
        <v>0</v>
      </c>
      <c r="T59" s="167">
        <f aca="true" t="shared" si="25" ref="T59:T67">R59*S59</f>
        <v>0</v>
      </c>
      <c r="U59" s="168">
        <f t="shared" si="10"/>
        <v>0</v>
      </c>
    </row>
    <row r="60" spans="13:21" ht="12.75" customHeight="1">
      <c r="M60" s="169" t="s">
        <v>88</v>
      </c>
      <c r="N60" s="162">
        <f t="shared" si="20"/>
        <v>2.7450980392156863</v>
      </c>
      <c r="O60" s="218">
        <f t="shared" si="21"/>
        <v>115.29411764705884</v>
      </c>
      <c r="P60" s="218">
        <f t="shared" si="22"/>
        <v>0</v>
      </c>
      <c r="Q60" s="220">
        <f t="shared" si="23"/>
        <v>115.29411764705884</v>
      </c>
      <c r="R60" s="171">
        <v>25</v>
      </c>
      <c r="S60" s="172">
        <f t="shared" si="24"/>
        <v>0.898121276920727</v>
      </c>
      <c r="T60" s="173">
        <f t="shared" si="25"/>
        <v>22.453031923018173</v>
      </c>
      <c r="U60" s="168">
        <f t="shared" si="10"/>
        <v>1163.5853220231559</v>
      </c>
    </row>
    <row r="61" spans="13:21" ht="12.75" customHeight="1">
      <c r="M61" s="169" t="s">
        <v>89</v>
      </c>
      <c r="N61" s="162">
        <f t="shared" si="20"/>
        <v>3.7254901960784315</v>
      </c>
      <c r="O61" s="218">
        <f t="shared" si="21"/>
        <v>156.47058823529412</v>
      </c>
      <c r="P61" s="218">
        <f t="shared" si="22"/>
        <v>0</v>
      </c>
      <c r="Q61" s="220">
        <f t="shared" si="23"/>
        <v>156.47058823529412</v>
      </c>
      <c r="R61" s="171">
        <v>42</v>
      </c>
      <c r="S61" s="172">
        <f t="shared" si="24"/>
        <v>1.2188788758209868</v>
      </c>
      <c r="T61" s="173">
        <f t="shared" si="25"/>
        <v>51.19291278448144</v>
      </c>
      <c r="U61" s="168">
        <f t="shared" si="10"/>
        <v>534.3604558181319</v>
      </c>
    </row>
    <row r="62" spans="13:21" ht="12.75" customHeight="1">
      <c r="M62" s="169" t="s">
        <v>53</v>
      </c>
      <c r="N62" s="162">
        <f t="shared" si="20"/>
        <v>3.5294117647058827</v>
      </c>
      <c r="O62" s="218">
        <f t="shared" si="21"/>
        <v>148.23529411764707</v>
      </c>
      <c r="P62" s="218">
        <f t="shared" si="22"/>
        <v>0</v>
      </c>
      <c r="Q62" s="220">
        <f t="shared" si="23"/>
        <v>148.23529411764707</v>
      </c>
      <c r="R62" s="171">
        <v>60</v>
      </c>
      <c r="S62" s="172">
        <f t="shared" si="24"/>
        <v>1.1547273560409348</v>
      </c>
      <c r="T62" s="173">
        <f t="shared" si="25"/>
        <v>69.28364136245608</v>
      </c>
      <c r="U62" s="168">
        <f t="shared" si="10"/>
        <v>312.95462320049137</v>
      </c>
    </row>
    <row r="63" spans="13:21" ht="12.75" customHeight="1">
      <c r="M63" s="169" t="s">
        <v>62</v>
      </c>
      <c r="N63" s="162">
        <f t="shared" si="20"/>
        <v>0</v>
      </c>
      <c r="O63" s="218">
        <f t="shared" si="21"/>
        <v>0</v>
      </c>
      <c r="P63" s="218">
        <f t="shared" si="22"/>
        <v>0</v>
      </c>
      <c r="Q63" s="220">
        <f t="shared" si="23"/>
        <v>0</v>
      </c>
      <c r="R63" s="171">
        <v>63</v>
      </c>
      <c r="S63" s="172">
        <f t="shared" si="24"/>
        <v>0</v>
      </c>
      <c r="T63" s="173">
        <f t="shared" si="25"/>
        <v>0</v>
      </c>
      <c r="U63" s="168">
        <f t="shared" si="10"/>
        <v>0</v>
      </c>
    </row>
    <row r="64" spans="13:21" ht="12.75" customHeight="1">
      <c r="M64" s="169" t="s">
        <v>90</v>
      </c>
      <c r="N64" s="162">
        <f t="shared" si="20"/>
        <v>0</v>
      </c>
      <c r="O64" s="218">
        <f t="shared" si="21"/>
        <v>0</v>
      </c>
      <c r="P64" s="218">
        <f t="shared" si="22"/>
        <v>0</v>
      </c>
      <c r="Q64" s="220">
        <f t="shared" si="23"/>
        <v>0</v>
      </c>
      <c r="R64" s="171">
        <v>105</v>
      </c>
      <c r="S64" s="172">
        <f t="shared" si="24"/>
        <v>0</v>
      </c>
      <c r="T64" s="173">
        <f t="shared" si="25"/>
        <v>0</v>
      </c>
      <c r="U64" s="168">
        <f t="shared" si="10"/>
        <v>0</v>
      </c>
    </row>
    <row r="65" spans="13:21" ht="12.75" customHeight="1">
      <c r="M65" s="169" t="s">
        <v>65</v>
      </c>
      <c r="N65" s="162">
        <f t="shared" si="20"/>
        <v>0</v>
      </c>
      <c r="O65" s="218">
        <f t="shared" si="21"/>
        <v>0</v>
      </c>
      <c r="P65" s="218">
        <f t="shared" si="22"/>
        <v>0</v>
      </c>
      <c r="Q65" s="220">
        <f t="shared" si="23"/>
        <v>0</v>
      </c>
      <c r="R65" s="171">
        <v>150</v>
      </c>
      <c r="S65" s="172">
        <f t="shared" si="24"/>
        <v>0</v>
      </c>
      <c r="T65" s="173">
        <f t="shared" si="25"/>
        <v>0</v>
      </c>
      <c r="U65" s="168">
        <f t="shared" si="10"/>
        <v>0</v>
      </c>
    </row>
    <row r="66" spans="13:21" ht="12.75" customHeight="1">
      <c r="M66" s="169" t="s">
        <v>59</v>
      </c>
      <c r="N66" s="162">
        <f t="shared" si="20"/>
        <v>0</v>
      </c>
      <c r="O66" s="218">
        <f t="shared" si="21"/>
        <v>0</v>
      </c>
      <c r="P66" s="218">
        <f t="shared" si="22"/>
        <v>0</v>
      </c>
      <c r="Q66" s="220">
        <f t="shared" si="23"/>
        <v>0</v>
      </c>
      <c r="R66" s="171">
        <v>5</v>
      </c>
      <c r="S66" s="172">
        <f t="shared" si="24"/>
        <v>0</v>
      </c>
      <c r="T66" s="173">
        <f t="shared" si="25"/>
        <v>0</v>
      </c>
      <c r="U66" s="168">
        <f t="shared" si="10"/>
        <v>0</v>
      </c>
    </row>
    <row r="67" spans="13:21" ht="12.75" customHeight="1">
      <c r="M67" s="177" t="s">
        <v>66</v>
      </c>
      <c r="N67" s="162">
        <f t="shared" si="20"/>
        <v>0</v>
      </c>
      <c r="O67" s="218">
        <f t="shared" si="21"/>
        <v>0</v>
      </c>
      <c r="P67" s="218">
        <f t="shared" si="22"/>
        <v>0</v>
      </c>
      <c r="Q67" s="221">
        <f t="shared" si="23"/>
        <v>0</v>
      </c>
      <c r="R67" s="180">
        <v>40</v>
      </c>
      <c r="S67" s="181">
        <f t="shared" si="24"/>
        <v>0</v>
      </c>
      <c r="T67" s="182">
        <f t="shared" si="25"/>
        <v>0</v>
      </c>
      <c r="U67" s="168">
        <f t="shared" si="10"/>
        <v>0</v>
      </c>
    </row>
    <row r="68" spans="13:21" ht="12.75" customHeight="1">
      <c r="M68" s="183"/>
      <c r="N68" s="162"/>
      <c r="O68" s="222">
        <f>SUM(O59:O67)</f>
        <v>420.00000000000006</v>
      </c>
      <c r="P68" s="222">
        <f>SUM(P59:P67)</f>
        <v>0</v>
      </c>
      <c r="Q68" s="223">
        <f>SUM(Q59:Q67)</f>
        <v>420.00000000000006</v>
      </c>
      <c r="R68" s="224"/>
      <c r="S68" s="225">
        <f>SUM(S59:S67)</f>
        <v>3.2717275087826483</v>
      </c>
      <c r="T68" s="226">
        <f>SUM(T58:T67)</f>
        <v>142.9295860699557</v>
      </c>
      <c r="U68" s="168">
        <f t="shared" si="10"/>
        <v>503.72178263867664</v>
      </c>
    </row>
    <row r="69" spans="11:21" ht="12.75" customHeight="1">
      <c r="K69" s="227"/>
      <c r="M69" s="196" t="s">
        <v>53</v>
      </c>
      <c r="N69" s="228"/>
      <c r="O69" s="229"/>
      <c r="P69" s="230"/>
      <c r="Q69" s="230"/>
      <c r="R69" s="230"/>
      <c r="S69" s="230"/>
      <c r="T69" s="230"/>
      <c r="U69" s="168">
        <f t="shared" si="10"/>
        <v>0</v>
      </c>
    </row>
    <row r="70" spans="11:21" ht="12.75" customHeight="1">
      <c r="K70" s="227"/>
      <c r="M70" s="161" t="s">
        <v>87</v>
      </c>
      <c r="N70" s="162">
        <f aca="true" t="shared" si="26" ref="N70:N78">$C$15*I46</f>
        <v>0</v>
      </c>
      <c r="O70" s="218">
        <f aca="true" t="shared" si="27" ref="O70:O78">$C$49*I46</f>
        <v>0</v>
      </c>
      <c r="P70" s="218">
        <f aca="true" t="shared" si="28" ref="P70:P78">$D$49*I46</f>
        <v>0</v>
      </c>
      <c r="Q70" s="219">
        <f aca="true" t="shared" si="29" ref="Q70:Q78">O70+P70</f>
        <v>0</v>
      </c>
      <c r="R70" s="165">
        <v>10</v>
      </c>
      <c r="S70" s="166">
        <f aca="true" t="shared" si="30" ref="S70:S78">H46*$E$49</f>
        <v>0</v>
      </c>
      <c r="T70" s="167">
        <f aca="true" t="shared" si="31" ref="T70:T78">R70*S70</f>
        <v>0</v>
      </c>
      <c r="U70" s="168">
        <f t="shared" si="10"/>
        <v>0</v>
      </c>
    </row>
    <row r="71" spans="11:21" ht="12.75" customHeight="1">
      <c r="K71" s="227"/>
      <c r="M71" s="169" t="s">
        <v>88</v>
      </c>
      <c r="N71" s="162">
        <f t="shared" si="26"/>
        <v>2.7450980392156863</v>
      </c>
      <c r="O71" s="218">
        <f t="shared" si="27"/>
        <v>120.78431372549021</v>
      </c>
      <c r="P71" s="218">
        <f t="shared" si="28"/>
        <v>113.09803921568628</v>
      </c>
      <c r="Q71" s="220">
        <f t="shared" si="29"/>
        <v>233.8823529411765</v>
      </c>
      <c r="R71" s="171">
        <v>55</v>
      </c>
      <c r="S71" s="172">
        <f t="shared" si="30"/>
        <v>1.8219031617534749</v>
      </c>
      <c r="T71" s="173">
        <f t="shared" si="31"/>
        <v>100.20467389644112</v>
      </c>
      <c r="U71" s="168">
        <f t="shared" si="10"/>
        <v>356.585938214663</v>
      </c>
    </row>
    <row r="72" spans="11:21" ht="12.75" customHeight="1">
      <c r="K72" s="227"/>
      <c r="M72" s="169" t="s">
        <v>89</v>
      </c>
      <c r="N72" s="162">
        <f t="shared" si="26"/>
        <v>3.7254901960784315</v>
      </c>
      <c r="O72" s="218">
        <f t="shared" si="27"/>
        <v>163.921568627451</v>
      </c>
      <c r="P72" s="218">
        <f t="shared" si="28"/>
        <v>153.49019607843138</v>
      </c>
      <c r="Q72" s="220">
        <f t="shared" si="29"/>
        <v>317.4117647058824</v>
      </c>
      <c r="R72" s="171">
        <v>26</v>
      </c>
      <c r="S72" s="172">
        <f t="shared" si="30"/>
        <v>2.472582862379716</v>
      </c>
      <c r="T72" s="173">
        <f t="shared" si="31"/>
        <v>64.28715442187261</v>
      </c>
      <c r="U72" s="168">
        <f t="shared" si="10"/>
        <v>1097.1050781668293</v>
      </c>
    </row>
    <row r="73" spans="11:21" ht="12.75" customHeight="1">
      <c r="K73" s="64"/>
      <c r="M73" s="169" t="s">
        <v>53</v>
      </c>
      <c r="N73" s="162">
        <f t="shared" si="26"/>
        <v>3.5294117647058827</v>
      </c>
      <c r="O73" s="218">
        <f t="shared" si="27"/>
        <v>155.29411764705884</v>
      </c>
      <c r="P73" s="218">
        <f t="shared" si="28"/>
        <v>145.41176470588238</v>
      </c>
      <c r="Q73" s="220">
        <f t="shared" si="29"/>
        <v>300.7058823529412</v>
      </c>
      <c r="R73" s="171">
        <v>44</v>
      </c>
      <c r="S73" s="172">
        <f t="shared" si="30"/>
        <v>2.3424469222544677</v>
      </c>
      <c r="T73" s="173">
        <f t="shared" si="31"/>
        <v>103.06766457919657</v>
      </c>
      <c r="U73" s="168">
        <f t="shared" si="10"/>
        <v>498.34399854282907</v>
      </c>
    </row>
    <row r="74" spans="11:21" ht="12.75" customHeight="1">
      <c r="K74" s="64"/>
      <c r="M74" s="169" t="s">
        <v>62</v>
      </c>
      <c r="N74" s="162">
        <f t="shared" si="26"/>
        <v>0</v>
      </c>
      <c r="O74" s="218">
        <f t="shared" si="27"/>
        <v>0</v>
      </c>
      <c r="P74" s="218">
        <f t="shared" si="28"/>
        <v>0</v>
      </c>
      <c r="Q74" s="220">
        <f t="shared" si="29"/>
        <v>0</v>
      </c>
      <c r="R74" s="171">
        <v>137</v>
      </c>
      <c r="S74" s="172">
        <f t="shared" si="30"/>
        <v>0</v>
      </c>
      <c r="T74" s="173">
        <f t="shared" si="31"/>
        <v>0</v>
      </c>
      <c r="U74" s="168">
        <f t="shared" si="10"/>
        <v>0</v>
      </c>
    </row>
    <row r="75" spans="11:21" ht="12.75" customHeight="1">
      <c r="K75" s="64"/>
      <c r="M75" s="169" t="s">
        <v>90</v>
      </c>
      <c r="N75" s="162">
        <f t="shared" si="26"/>
        <v>0</v>
      </c>
      <c r="O75" s="218">
        <f t="shared" si="27"/>
        <v>0</v>
      </c>
      <c r="P75" s="218">
        <f t="shared" si="28"/>
        <v>0</v>
      </c>
      <c r="Q75" s="220">
        <f t="shared" si="29"/>
        <v>0</v>
      </c>
      <c r="R75" s="171">
        <v>65</v>
      </c>
      <c r="S75" s="172">
        <f t="shared" si="30"/>
        <v>0</v>
      </c>
      <c r="T75" s="173">
        <f t="shared" si="31"/>
        <v>0</v>
      </c>
      <c r="U75" s="168">
        <f t="shared" si="10"/>
        <v>0</v>
      </c>
    </row>
    <row r="76" spans="13:21" ht="12.75" customHeight="1">
      <c r="M76" s="169" t="s">
        <v>65</v>
      </c>
      <c r="N76" s="162">
        <f t="shared" si="26"/>
        <v>0</v>
      </c>
      <c r="O76" s="218">
        <f t="shared" si="27"/>
        <v>0</v>
      </c>
      <c r="P76" s="218">
        <f t="shared" si="28"/>
        <v>0</v>
      </c>
      <c r="Q76" s="220">
        <f t="shared" si="29"/>
        <v>0</v>
      </c>
      <c r="R76" s="171">
        <v>110</v>
      </c>
      <c r="S76" s="172">
        <f t="shared" si="30"/>
        <v>0</v>
      </c>
      <c r="T76" s="173">
        <f t="shared" si="31"/>
        <v>0</v>
      </c>
      <c r="U76" s="168">
        <f t="shared" si="10"/>
        <v>0</v>
      </c>
    </row>
    <row r="77" spans="13:21" ht="12.75" customHeight="1">
      <c r="M77" s="169" t="s">
        <v>59</v>
      </c>
      <c r="N77" s="162">
        <f t="shared" si="26"/>
        <v>0</v>
      </c>
      <c r="O77" s="218">
        <f t="shared" si="27"/>
        <v>0</v>
      </c>
      <c r="P77" s="218">
        <f t="shared" si="28"/>
        <v>0</v>
      </c>
      <c r="Q77" s="220">
        <f t="shared" si="29"/>
        <v>0</v>
      </c>
      <c r="R77" s="171">
        <v>5</v>
      </c>
      <c r="S77" s="172">
        <f t="shared" si="30"/>
        <v>0</v>
      </c>
      <c r="T77" s="173">
        <f t="shared" si="31"/>
        <v>0</v>
      </c>
      <c r="U77" s="168">
        <f t="shared" si="10"/>
        <v>0</v>
      </c>
    </row>
    <row r="78" spans="13:21" ht="12.75" customHeight="1">
      <c r="M78" s="177" t="s">
        <v>66</v>
      </c>
      <c r="N78" s="162">
        <f t="shared" si="26"/>
        <v>0</v>
      </c>
      <c r="O78" s="218">
        <f t="shared" si="27"/>
        <v>0</v>
      </c>
      <c r="P78" s="218">
        <f t="shared" si="28"/>
        <v>0</v>
      </c>
      <c r="Q78" s="221">
        <f t="shared" si="29"/>
        <v>0</v>
      </c>
      <c r="R78" s="180">
        <v>20</v>
      </c>
      <c r="S78" s="181">
        <f t="shared" si="30"/>
        <v>0</v>
      </c>
      <c r="T78" s="182">
        <f t="shared" si="31"/>
        <v>0</v>
      </c>
      <c r="U78" s="168">
        <f t="shared" si="10"/>
        <v>0</v>
      </c>
    </row>
    <row r="79" spans="11:21" ht="12.75" customHeight="1">
      <c r="K79" s="58"/>
      <c r="M79" s="231"/>
      <c r="N79" s="232"/>
      <c r="O79" s="233">
        <f>SUM(O70:O78)</f>
        <v>440.00000000000006</v>
      </c>
      <c r="P79" s="233">
        <f>SUM(P70:P78)</f>
        <v>412.00000000000006</v>
      </c>
      <c r="Q79" s="233">
        <f>SUM(Q70:Q78)</f>
        <v>852.0000000000001</v>
      </c>
      <c r="R79" s="233"/>
      <c r="S79" s="233">
        <f>SUM(S70:S78)</f>
        <v>6.63693294638766</v>
      </c>
      <c r="T79" s="233">
        <f>SUM(T69:T78)</f>
        <v>267.5594928975103</v>
      </c>
      <c r="U79" s="168">
        <f t="shared" si="10"/>
        <v>568.2361326271753</v>
      </c>
    </row>
    <row r="80" spans="11:21" s="234" customFormat="1" ht="12.75" customHeight="1">
      <c r="K80" s="235"/>
      <c r="M80" s="236" t="s">
        <v>62</v>
      </c>
      <c r="N80" s="228"/>
      <c r="O80" s="237"/>
      <c r="P80" s="230"/>
      <c r="Q80" s="230"/>
      <c r="R80" s="230"/>
      <c r="S80" s="230"/>
      <c r="T80" s="230"/>
      <c r="U80" s="168">
        <f t="shared" si="10"/>
        <v>0</v>
      </c>
    </row>
    <row r="81" spans="11:21" s="234" customFormat="1" ht="12.75" customHeight="1">
      <c r="K81" s="235"/>
      <c r="M81" s="161" t="s">
        <v>87</v>
      </c>
      <c r="N81" s="162">
        <f aca="true" t="shared" si="32" ref="N81:N89">$C$16*I46</f>
        <v>0</v>
      </c>
      <c r="O81" s="207">
        <f aca="true" t="shared" si="33" ref="O81:O89">$C$50*I46</f>
        <v>0</v>
      </c>
      <c r="P81" s="238"/>
      <c r="Q81" s="237">
        <f aca="true" t="shared" si="34" ref="Q81:Q89">O81</f>
        <v>0</v>
      </c>
      <c r="R81" s="165">
        <v>10</v>
      </c>
      <c r="S81" s="166">
        <f aca="true" t="shared" si="35" ref="S81:S89">H46*$E$50</f>
        <v>0</v>
      </c>
      <c r="T81" s="237">
        <f aca="true" t="shared" si="36" ref="T81:T89">R81*S81</f>
        <v>0</v>
      </c>
      <c r="U81" s="168">
        <f t="shared" si="10"/>
        <v>0</v>
      </c>
    </row>
    <row r="82" spans="11:21" s="234" customFormat="1" ht="12.75" customHeight="1">
      <c r="K82" s="235"/>
      <c r="M82" s="169" t="s">
        <v>88</v>
      </c>
      <c r="N82" s="162">
        <f t="shared" si="32"/>
        <v>2.7450980392156863</v>
      </c>
      <c r="O82" s="163">
        <f t="shared" si="33"/>
        <v>274.5098039215687</v>
      </c>
      <c r="P82" s="238"/>
      <c r="Q82" s="237">
        <f t="shared" si="34"/>
        <v>274.5098039215687</v>
      </c>
      <c r="R82" s="171">
        <v>40</v>
      </c>
      <c r="S82" s="166">
        <f t="shared" si="35"/>
        <v>2.138383992668398</v>
      </c>
      <c r="T82" s="237">
        <f t="shared" si="36"/>
        <v>85.53535970673592</v>
      </c>
      <c r="U82" s="168">
        <f t="shared" si="10"/>
        <v>574.9343546146334</v>
      </c>
    </row>
    <row r="83" spans="11:21" s="234" customFormat="1" ht="12.75" customHeight="1">
      <c r="K83" s="235"/>
      <c r="M83" s="169" t="s">
        <v>89</v>
      </c>
      <c r="N83" s="162">
        <f t="shared" si="32"/>
        <v>3.7254901960784315</v>
      </c>
      <c r="O83" s="163">
        <f t="shared" si="33"/>
        <v>372.54901960784315</v>
      </c>
      <c r="P83" s="238"/>
      <c r="Q83" s="237">
        <f t="shared" si="34"/>
        <v>372.54901960784315</v>
      </c>
      <c r="R83" s="171">
        <v>58</v>
      </c>
      <c r="S83" s="166">
        <f t="shared" si="35"/>
        <v>2.90209256147854</v>
      </c>
      <c r="T83" s="237">
        <f t="shared" si="36"/>
        <v>168.3213685657553</v>
      </c>
      <c r="U83" s="168">
        <f t="shared" si="10"/>
        <v>329.2806852646382</v>
      </c>
    </row>
    <row r="84" spans="11:21" s="234" customFormat="1" ht="12.75" customHeight="1">
      <c r="K84" s="235"/>
      <c r="M84" s="169" t="s">
        <v>53</v>
      </c>
      <c r="N84" s="162">
        <f t="shared" si="32"/>
        <v>3.5294117647058827</v>
      </c>
      <c r="O84" s="163">
        <f t="shared" si="33"/>
        <v>352.94117647058823</v>
      </c>
      <c r="P84" s="238"/>
      <c r="Q84" s="237">
        <f t="shared" si="34"/>
        <v>352.94117647058823</v>
      </c>
      <c r="R84" s="171">
        <v>28</v>
      </c>
      <c r="S84" s="166">
        <f t="shared" si="35"/>
        <v>2.7493508477165114</v>
      </c>
      <c r="T84" s="237">
        <f t="shared" si="36"/>
        <v>76.98182373606232</v>
      </c>
      <c r="U84" s="168">
        <f t="shared" si="10"/>
        <v>981.6828416065933</v>
      </c>
    </row>
    <row r="85" spans="11:21" s="234" customFormat="1" ht="12.75" customHeight="1">
      <c r="K85" s="235"/>
      <c r="M85" s="169" t="s">
        <v>62</v>
      </c>
      <c r="N85" s="162">
        <f t="shared" si="32"/>
        <v>0</v>
      </c>
      <c r="O85" s="163">
        <f t="shared" si="33"/>
        <v>0</v>
      </c>
      <c r="P85" s="238"/>
      <c r="Q85" s="237">
        <f t="shared" si="34"/>
        <v>0</v>
      </c>
      <c r="R85" s="171">
        <v>100</v>
      </c>
      <c r="S85" s="166">
        <f t="shared" si="35"/>
        <v>0</v>
      </c>
      <c r="T85" s="237">
        <f t="shared" si="36"/>
        <v>0</v>
      </c>
      <c r="U85" s="168">
        <f t="shared" si="10"/>
        <v>0</v>
      </c>
    </row>
    <row r="86" spans="11:21" s="234" customFormat="1" ht="12.75" customHeight="1">
      <c r="K86" s="235"/>
      <c r="M86" s="169" t="s">
        <v>90</v>
      </c>
      <c r="N86" s="162">
        <f t="shared" si="32"/>
        <v>0</v>
      </c>
      <c r="O86" s="163">
        <f t="shared" si="33"/>
        <v>0</v>
      </c>
      <c r="P86" s="238"/>
      <c r="Q86" s="237">
        <f t="shared" si="34"/>
        <v>0</v>
      </c>
      <c r="R86" s="171">
        <v>145</v>
      </c>
      <c r="S86" s="166">
        <f t="shared" si="35"/>
        <v>0</v>
      </c>
      <c r="T86" s="237">
        <f t="shared" si="36"/>
        <v>0</v>
      </c>
      <c r="U86" s="168">
        <f t="shared" si="10"/>
        <v>0</v>
      </c>
    </row>
    <row r="87" spans="11:21" s="234" customFormat="1" ht="12.75" customHeight="1">
      <c r="K87" s="235"/>
      <c r="M87" s="169" t="s">
        <v>65</v>
      </c>
      <c r="N87" s="162">
        <f t="shared" si="32"/>
        <v>0</v>
      </c>
      <c r="O87" s="163">
        <f t="shared" si="33"/>
        <v>0</v>
      </c>
      <c r="P87" s="238"/>
      <c r="Q87" s="237">
        <f t="shared" si="34"/>
        <v>0</v>
      </c>
      <c r="R87" s="171">
        <v>70</v>
      </c>
      <c r="S87" s="166">
        <f t="shared" si="35"/>
        <v>0</v>
      </c>
      <c r="T87" s="237">
        <f t="shared" si="36"/>
        <v>0</v>
      </c>
      <c r="U87" s="168">
        <f t="shared" si="10"/>
        <v>0</v>
      </c>
    </row>
    <row r="88" spans="11:21" s="234" customFormat="1" ht="12.75" customHeight="1">
      <c r="K88" s="235"/>
      <c r="M88" s="169" t="s">
        <v>59</v>
      </c>
      <c r="N88" s="162">
        <f t="shared" si="32"/>
        <v>0</v>
      </c>
      <c r="O88" s="163">
        <f t="shared" si="33"/>
        <v>0</v>
      </c>
      <c r="P88" s="238"/>
      <c r="Q88" s="237">
        <f t="shared" si="34"/>
        <v>0</v>
      </c>
      <c r="R88" s="171">
        <v>10</v>
      </c>
      <c r="S88" s="166">
        <f t="shared" si="35"/>
        <v>0</v>
      </c>
      <c r="T88" s="237">
        <f t="shared" si="36"/>
        <v>0</v>
      </c>
      <c r="U88" s="168">
        <f t="shared" si="10"/>
        <v>0</v>
      </c>
    </row>
    <row r="89" spans="11:21" s="234" customFormat="1" ht="12.75" customHeight="1">
      <c r="K89" s="235"/>
      <c r="M89" s="177" t="s">
        <v>66</v>
      </c>
      <c r="N89" s="162">
        <f t="shared" si="32"/>
        <v>0</v>
      </c>
      <c r="O89" s="239">
        <f t="shared" si="33"/>
        <v>0</v>
      </c>
      <c r="P89" s="240"/>
      <c r="Q89" s="241">
        <f t="shared" si="34"/>
        <v>0</v>
      </c>
      <c r="R89" s="180">
        <v>10</v>
      </c>
      <c r="S89" s="242">
        <f t="shared" si="35"/>
        <v>0</v>
      </c>
      <c r="T89" s="241">
        <f t="shared" si="36"/>
        <v>0</v>
      </c>
      <c r="U89" s="168">
        <f t="shared" si="10"/>
        <v>0</v>
      </c>
    </row>
    <row r="90" spans="11:21" s="234" customFormat="1" ht="12.75" customHeight="1">
      <c r="K90" s="235"/>
      <c r="M90" s="243"/>
      <c r="N90" s="244"/>
      <c r="O90" s="233">
        <f>SUM(O81:O89)</f>
        <v>1000</v>
      </c>
      <c r="P90" s="245"/>
      <c r="Q90" s="233">
        <f>SUM(Q81:Q89)</f>
        <v>1000</v>
      </c>
      <c r="R90" s="233"/>
      <c r="S90" s="233">
        <f>SUM(S81:S89)</f>
        <v>7.78982740186345</v>
      </c>
      <c r="T90" s="233">
        <f>SUM(T81:T89)</f>
        <v>330.83855200855356</v>
      </c>
      <c r="U90" s="168">
        <f t="shared" si="10"/>
        <v>525.5037662674343</v>
      </c>
    </row>
    <row r="91" spans="11:21" s="234" customFormat="1" ht="12.75" customHeight="1">
      <c r="K91" s="235"/>
      <c r="M91" s="236" t="s">
        <v>45</v>
      </c>
      <c r="N91" s="228"/>
      <c r="O91" s="237"/>
      <c r="P91" s="230"/>
      <c r="Q91" s="230"/>
      <c r="R91" s="230"/>
      <c r="S91" s="230"/>
      <c r="T91" s="230"/>
      <c r="U91" s="168">
        <f t="shared" si="10"/>
        <v>0</v>
      </c>
    </row>
    <row r="92" spans="11:21" s="234" customFormat="1" ht="12.75" customHeight="1">
      <c r="K92" s="235"/>
      <c r="M92" s="161" t="s">
        <v>87</v>
      </c>
      <c r="N92" s="162">
        <f aca="true" t="shared" si="37" ref="N92:N100">$C$17*I46</f>
        <v>0</v>
      </c>
      <c r="O92" s="207">
        <f aca="true" t="shared" si="38" ref="O92:O100">$C$51*I46</f>
        <v>0</v>
      </c>
      <c r="P92" s="238"/>
      <c r="Q92" s="237">
        <f aca="true" t="shared" si="39" ref="Q92:Q100">O92</f>
        <v>0</v>
      </c>
      <c r="R92" s="165">
        <v>10</v>
      </c>
      <c r="S92" s="166">
        <f aca="true" t="shared" si="40" ref="S92:S100">H46*$E$51</f>
        <v>0</v>
      </c>
      <c r="T92" s="237">
        <f aca="true" t="shared" si="41" ref="T92:T100">R92*S92</f>
        <v>0</v>
      </c>
      <c r="U92" s="168">
        <f t="shared" si="10"/>
        <v>0</v>
      </c>
    </row>
    <row r="93" spans="11:21" s="234" customFormat="1" ht="12.75" customHeight="1">
      <c r="K93" s="235"/>
      <c r="M93" s="169" t="s">
        <v>88</v>
      </c>
      <c r="N93" s="162">
        <f t="shared" si="37"/>
        <v>2.7450980392156863</v>
      </c>
      <c r="O93" s="163">
        <f t="shared" si="38"/>
        <v>288.2352941176471</v>
      </c>
      <c r="P93" s="238"/>
      <c r="Q93" s="237">
        <f t="shared" si="39"/>
        <v>288.2352941176471</v>
      </c>
      <c r="R93" s="171">
        <v>25</v>
      </c>
      <c r="S93" s="166">
        <f t="shared" si="40"/>
        <v>2.245303192301818</v>
      </c>
      <c r="T93" s="237">
        <f t="shared" si="41"/>
        <v>56.13257980754545</v>
      </c>
      <c r="U93" s="168">
        <f t="shared" si="10"/>
        <v>1163.5853220231552</v>
      </c>
    </row>
    <row r="94" spans="11:21" s="234" customFormat="1" ht="12.75" customHeight="1">
      <c r="K94" s="235"/>
      <c r="M94" s="169" t="s">
        <v>89</v>
      </c>
      <c r="N94" s="162">
        <f t="shared" si="37"/>
        <v>3.7254901960784315</v>
      </c>
      <c r="O94" s="163">
        <f t="shared" si="38"/>
        <v>391.1764705882353</v>
      </c>
      <c r="P94" s="238"/>
      <c r="Q94" s="237">
        <f t="shared" si="39"/>
        <v>391.1764705882353</v>
      </c>
      <c r="R94" s="171">
        <v>42</v>
      </c>
      <c r="S94" s="166">
        <f t="shared" si="40"/>
        <v>3.0471971895524668</v>
      </c>
      <c r="T94" s="237">
        <f t="shared" si="41"/>
        <v>127.9822819612036</v>
      </c>
      <c r="U94" s="168">
        <f t="shared" si="10"/>
        <v>534.360455818132</v>
      </c>
    </row>
    <row r="95" spans="11:21" s="234" customFormat="1" ht="12.75" customHeight="1">
      <c r="K95" s="235"/>
      <c r="M95" s="169" t="s">
        <v>53</v>
      </c>
      <c r="N95" s="162">
        <f t="shared" si="37"/>
        <v>3.5294117647058827</v>
      </c>
      <c r="O95" s="163">
        <f t="shared" si="38"/>
        <v>370.5882352941177</v>
      </c>
      <c r="P95" s="238"/>
      <c r="Q95" s="237">
        <f t="shared" si="39"/>
        <v>370.5882352941177</v>
      </c>
      <c r="R95" s="171">
        <v>60</v>
      </c>
      <c r="S95" s="166">
        <f t="shared" si="40"/>
        <v>2.886818390102337</v>
      </c>
      <c r="T95" s="237">
        <f t="shared" si="41"/>
        <v>173.20910340614023</v>
      </c>
      <c r="U95" s="168">
        <f t="shared" si="10"/>
        <v>312.9546232004913</v>
      </c>
    </row>
    <row r="96" spans="11:21" s="234" customFormat="1" ht="12.75" customHeight="1">
      <c r="K96" s="235"/>
      <c r="M96" s="169" t="s">
        <v>62</v>
      </c>
      <c r="N96" s="162">
        <f t="shared" si="37"/>
        <v>0</v>
      </c>
      <c r="O96" s="163">
        <f t="shared" si="38"/>
        <v>0</v>
      </c>
      <c r="P96" s="238"/>
      <c r="Q96" s="237">
        <f t="shared" si="39"/>
        <v>0</v>
      </c>
      <c r="R96" s="171">
        <v>63</v>
      </c>
      <c r="S96" s="166">
        <f t="shared" si="40"/>
        <v>0</v>
      </c>
      <c r="T96" s="237">
        <f t="shared" si="41"/>
        <v>0</v>
      </c>
      <c r="U96" s="168">
        <f t="shared" si="10"/>
        <v>0</v>
      </c>
    </row>
    <row r="97" spans="11:21" s="234" customFormat="1" ht="12.75" customHeight="1">
      <c r="K97" s="235"/>
      <c r="M97" s="169" t="s">
        <v>90</v>
      </c>
      <c r="N97" s="162">
        <f t="shared" si="37"/>
        <v>0</v>
      </c>
      <c r="O97" s="163">
        <f t="shared" si="38"/>
        <v>0</v>
      </c>
      <c r="P97" s="238"/>
      <c r="Q97" s="237">
        <f t="shared" si="39"/>
        <v>0</v>
      </c>
      <c r="R97" s="171">
        <v>105</v>
      </c>
      <c r="S97" s="166">
        <f t="shared" si="40"/>
        <v>0</v>
      </c>
      <c r="T97" s="237">
        <f t="shared" si="41"/>
        <v>0</v>
      </c>
      <c r="U97" s="168">
        <f t="shared" si="10"/>
        <v>0</v>
      </c>
    </row>
    <row r="98" spans="11:21" s="234" customFormat="1" ht="12.75" customHeight="1">
      <c r="K98" s="235"/>
      <c r="M98" s="169" t="s">
        <v>65</v>
      </c>
      <c r="N98" s="162">
        <f t="shared" si="37"/>
        <v>0</v>
      </c>
      <c r="O98" s="163">
        <f t="shared" si="38"/>
        <v>0</v>
      </c>
      <c r="P98" s="238"/>
      <c r="Q98" s="237">
        <f t="shared" si="39"/>
        <v>0</v>
      </c>
      <c r="R98" s="171">
        <v>150</v>
      </c>
      <c r="S98" s="166">
        <f t="shared" si="40"/>
        <v>0</v>
      </c>
      <c r="T98" s="237">
        <f t="shared" si="41"/>
        <v>0</v>
      </c>
      <c r="U98" s="168">
        <f t="shared" si="10"/>
        <v>0</v>
      </c>
    </row>
    <row r="99" spans="11:21" s="234" customFormat="1" ht="12.75" customHeight="1">
      <c r="K99" s="235"/>
      <c r="M99" s="169" t="s">
        <v>59</v>
      </c>
      <c r="N99" s="162">
        <f t="shared" si="37"/>
        <v>0</v>
      </c>
      <c r="O99" s="163">
        <f t="shared" si="38"/>
        <v>0</v>
      </c>
      <c r="P99" s="238"/>
      <c r="Q99" s="237">
        <f t="shared" si="39"/>
        <v>0</v>
      </c>
      <c r="R99" s="171">
        <v>5</v>
      </c>
      <c r="S99" s="166">
        <f t="shared" si="40"/>
        <v>0</v>
      </c>
      <c r="T99" s="237">
        <f t="shared" si="41"/>
        <v>0</v>
      </c>
      <c r="U99" s="168">
        <f t="shared" si="10"/>
        <v>0</v>
      </c>
    </row>
    <row r="100" spans="11:21" s="234" customFormat="1" ht="12.75" customHeight="1">
      <c r="K100" s="235"/>
      <c r="M100" s="177" t="s">
        <v>66</v>
      </c>
      <c r="N100" s="162">
        <f t="shared" si="37"/>
        <v>0</v>
      </c>
      <c r="O100" s="239">
        <f t="shared" si="38"/>
        <v>0</v>
      </c>
      <c r="P100" s="240"/>
      <c r="Q100" s="241">
        <f t="shared" si="39"/>
        <v>0</v>
      </c>
      <c r="R100" s="180">
        <v>40</v>
      </c>
      <c r="S100" s="242">
        <f t="shared" si="40"/>
        <v>0</v>
      </c>
      <c r="T100" s="241">
        <f t="shared" si="41"/>
        <v>0</v>
      </c>
      <c r="U100" s="168">
        <f t="shared" si="10"/>
        <v>0</v>
      </c>
    </row>
    <row r="101" spans="11:21" s="234" customFormat="1" ht="12.75" customHeight="1">
      <c r="K101" s="235"/>
      <c r="M101" s="243"/>
      <c r="N101" s="244"/>
      <c r="O101" s="233"/>
      <c r="P101" s="233"/>
      <c r="Q101" s="233">
        <f>SUM(Q92:Q100)</f>
        <v>1050</v>
      </c>
      <c r="R101" s="233"/>
      <c r="S101" s="233"/>
      <c r="T101" s="233"/>
      <c r="U101" s="168" t="e">
        <f t="shared" si="10"/>
        <v>#DIV/0!</v>
      </c>
    </row>
    <row r="102" spans="11:21" s="234" customFormat="1" ht="12.75" customHeight="1">
      <c r="K102" s="235"/>
      <c r="M102" s="236" t="s">
        <v>98</v>
      </c>
      <c r="N102" s="228"/>
      <c r="O102" s="237"/>
      <c r="P102" s="230"/>
      <c r="Q102" s="230"/>
      <c r="R102" s="230"/>
      <c r="S102" s="230"/>
      <c r="T102" s="230"/>
      <c r="U102" s="168">
        <f aca="true" t="shared" si="42" ref="U102:U113">IF(T102&lt;=Q102,0,100*(T102/Q102)^(3/2))+IF(T102&gt;=Q102,0,100*(Q102/T102)^(3/2))</f>
        <v>0</v>
      </c>
    </row>
    <row r="103" spans="11:21" s="234" customFormat="1" ht="12.75" customHeight="1">
      <c r="K103" s="235"/>
      <c r="M103" s="161" t="s">
        <v>87</v>
      </c>
      <c r="N103" s="162">
        <f aca="true" t="shared" si="43" ref="N103:N111">$C$18*I46</f>
        <v>0</v>
      </c>
      <c r="O103" s="207">
        <f aca="true" t="shared" si="44" ref="O103:O111">$C$52*I46</f>
        <v>0</v>
      </c>
      <c r="P103" s="238"/>
      <c r="Q103" s="237">
        <f aca="true" t="shared" si="45" ref="Q103:Q111">O103</f>
        <v>0</v>
      </c>
      <c r="R103" s="165">
        <v>10</v>
      </c>
      <c r="S103" s="166">
        <f aca="true" t="shared" si="46" ref="S103:S111">H46*$E$52</f>
        <v>0</v>
      </c>
      <c r="T103" s="237">
        <f aca="true" t="shared" si="47" ref="T103:T111">R103*S103</f>
        <v>0</v>
      </c>
      <c r="U103" s="168">
        <f t="shared" si="42"/>
        <v>0</v>
      </c>
    </row>
    <row r="104" spans="11:21" s="234" customFormat="1" ht="12.75" customHeight="1">
      <c r="K104" s="235"/>
      <c r="M104" s="169" t="s">
        <v>88</v>
      </c>
      <c r="N104" s="162">
        <f t="shared" si="43"/>
        <v>2.7450980392156863</v>
      </c>
      <c r="O104" s="163">
        <f t="shared" si="44"/>
        <v>301.9607843137255</v>
      </c>
      <c r="P104" s="238"/>
      <c r="Q104" s="237">
        <f t="shared" si="45"/>
        <v>301.9607843137255</v>
      </c>
      <c r="R104" s="171">
        <v>55</v>
      </c>
      <c r="S104" s="166">
        <f t="shared" si="46"/>
        <v>2.352222391935238</v>
      </c>
      <c r="T104" s="237">
        <f t="shared" si="47"/>
        <v>129.3722315564381</v>
      </c>
      <c r="U104" s="168">
        <f t="shared" si="42"/>
        <v>356.58593821466286</v>
      </c>
    </row>
    <row r="105" spans="11:21" s="234" customFormat="1" ht="12.75" customHeight="1">
      <c r="K105" s="235"/>
      <c r="M105" s="169" t="s">
        <v>89</v>
      </c>
      <c r="N105" s="162">
        <f t="shared" si="43"/>
        <v>3.7254901960784315</v>
      </c>
      <c r="O105" s="163">
        <f t="shared" si="44"/>
        <v>409.80392156862746</v>
      </c>
      <c r="P105" s="238"/>
      <c r="Q105" s="237">
        <f t="shared" si="45"/>
        <v>409.80392156862746</v>
      </c>
      <c r="R105" s="171">
        <v>26</v>
      </c>
      <c r="S105" s="166">
        <f t="shared" si="46"/>
        <v>3.192301817626394</v>
      </c>
      <c r="T105" s="237">
        <f t="shared" si="47"/>
        <v>82.99984725828625</v>
      </c>
      <c r="U105" s="168">
        <f t="shared" si="42"/>
        <v>1097.1050781668291</v>
      </c>
    </row>
    <row r="106" spans="11:21" s="234" customFormat="1" ht="12.75" customHeight="1">
      <c r="K106" s="235"/>
      <c r="M106" s="169" t="s">
        <v>53</v>
      </c>
      <c r="N106" s="162">
        <f t="shared" si="43"/>
        <v>3.5294117647058827</v>
      </c>
      <c r="O106" s="163">
        <f t="shared" si="44"/>
        <v>388.2352941176471</v>
      </c>
      <c r="P106" s="238"/>
      <c r="Q106" s="237">
        <f t="shared" si="45"/>
        <v>388.2352941176471</v>
      </c>
      <c r="R106" s="171">
        <v>44</v>
      </c>
      <c r="S106" s="166">
        <f t="shared" si="46"/>
        <v>3.0242859324881626</v>
      </c>
      <c r="T106" s="237">
        <f t="shared" si="47"/>
        <v>133.06858102947916</v>
      </c>
      <c r="U106" s="168">
        <f t="shared" si="42"/>
        <v>498.34399854282896</v>
      </c>
    </row>
    <row r="107" spans="11:21" ht="12.75" customHeight="1">
      <c r="K107" s="58"/>
      <c r="M107" s="169" t="s">
        <v>62</v>
      </c>
      <c r="N107" s="162">
        <f t="shared" si="43"/>
        <v>0</v>
      </c>
      <c r="O107" s="163">
        <f t="shared" si="44"/>
        <v>0</v>
      </c>
      <c r="P107" s="238"/>
      <c r="Q107" s="237">
        <f t="shared" si="45"/>
        <v>0</v>
      </c>
      <c r="R107" s="171">
        <v>137</v>
      </c>
      <c r="S107" s="166">
        <f t="shared" si="46"/>
        <v>0</v>
      </c>
      <c r="T107" s="237">
        <f t="shared" si="47"/>
        <v>0</v>
      </c>
      <c r="U107" s="168">
        <f t="shared" si="42"/>
        <v>0</v>
      </c>
    </row>
    <row r="108" spans="11:21" ht="12.75" customHeight="1">
      <c r="K108" s="58"/>
      <c r="M108" s="169" t="s">
        <v>90</v>
      </c>
      <c r="N108" s="162">
        <f t="shared" si="43"/>
        <v>0</v>
      </c>
      <c r="O108" s="163">
        <f t="shared" si="44"/>
        <v>0</v>
      </c>
      <c r="P108" s="238"/>
      <c r="Q108" s="237">
        <f t="shared" si="45"/>
        <v>0</v>
      </c>
      <c r="R108" s="171">
        <v>65</v>
      </c>
      <c r="S108" s="166">
        <f t="shared" si="46"/>
        <v>0</v>
      </c>
      <c r="T108" s="237">
        <f t="shared" si="47"/>
        <v>0</v>
      </c>
      <c r="U108" s="168">
        <f t="shared" si="42"/>
        <v>0</v>
      </c>
    </row>
    <row r="109" spans="11:21" ht="12.75" customHeight="1">
      <c r="K109" s="58"/>
      <c r="M109" s="169" t="s">
        <v>65</v>
      </c>
      <c r="N109" s="162">
        <f t="shared" si="43"/>
        <v>0</v>
      </c>
      <c r="O109" s="163">
        <f t="shared" si="44"/>
        <v>0</v>
      </c>
      <c r="P109" s="238"/>
      <c r="Q109" s="237">
        <f t="shared" si="45"/>
        <v>0</v>
      </c>
      <c r="R109" s="171">
        <v>110</v>
      </c>
      <c r="S109" s="166">
        <f t="shared" si="46"/>
        <v>0</v>
      </c>
      <c r="T109" s="237">
        <f t="shared" si="47"/>
        <v>0</v>
      </c>
      <c r="U109" s="168">
        <f t="shared" si="42"/>
        <v>0</v>
      </c>
    </row>
    <row r="110" spans="11:21" ht="14.25" customHeight="1">
      <c r="K110" s="58"/>
      <c r="M110" s="169" t="s">
        <v>59</v>
      </c>
      <c r="N110" s="162">
        <f t="shared" si="43"/>
        <v>0</v>
      </c>
      <c r="O110" s="163">
        <f t="shared" si="44"/>
        <v>0</v>
      </c>
      <c r="P110" s="238"/>
      <c r="Q110" s="237">
        <f t="shared" si="45"/>
        <v>0</v>
      </c>
      <c r="R110" s="171">
        <v>5</v>
      </c>
      <c r="S110" s="166">
        <f t="shared" si="46"/>
        <v>0</v>
      </c>
      <c r="T110" s="237">
        <f t="shared" si="47"/>
        <v>0</v>
      </c>
      <c r="U110" s="168">
        <f t="shared" si="42"/>
        <v>0</v>
      </c>
    </row>
    <row r="111" spans="11:21" ht="14.25" customHeight="1">
      <c r="K111" s="58"/>
      <c r="M111" s="177" t="s">
        <v>66</v>
      </c>
      <c r="N111" s="162">
        <f t="shared" si="43"/>
        <v>0</v>
      </c>
      <c r="O111" s="239">
        <f t="shared" si="44"/>
        <v>0</v>
      </c>
      <c r="P111" s="240"/>
      <c r="Q111" s="241">
        <f t="shared" si="45"/>
        <v>0</v>
      </c>
      <c r="R111" s="180">
        <v>20</v>
      </c>
      <c r="S111" s="242">
        <f t="shared" si="46"/>
        <v>0</v>
      </c>
      <c r="T111" s="241">
        <f t="shared" si="47"/>
        <v>0</v>
      </c>
      <c r="U111" s="168">
        <f t="shared" si="42"/>
        <v>0</v>
      </c>
    </row>
    <row r="112" spans="11:21" ht="12.75" customHeight="1">
      <c r="K112" s="58"/>
      <c r="M112" s="231"/>
      <c r="N112" s="232"/>
      <c r="O112" s="233"/>
      <c r="P112" s="233"/>
      <c r="Q112" s="233">
        <f>SUM(Q103:Q111)</f>
        <v>1100</v>
      </c>
      <c r="R112" s="233"/>
      <c r="S112" s="233"/>
      <c r="T112" s="233"/>
      <c r="U112" s="168" t="e">
        <f t="shared" si="42"/>
        <v>#DIV/0!</v>
      </c>
    </row>
    <row r="113" spans="11:21" ht="12.75" customHeight="1">
      <c r="K113" s="58"/>
      <c r="M113" s="246"/>
      <c r="N113" s="247"/>
      <c r="O113" s="248"/>
      <c r="P113" s="248"/>
      <c r="Q113" s="248"/>
      <c r="R113" s="248"/>
      <c r="S113" s="248"/>
      <c r="T113" s="248"/>
      <c r="U113" s="168">
        <f t="shared" si="42"/>
        <v>0</v>
      </c>
    </row>
    <row r="114" spans="11:21" ht="12.75" customHeight="1">
      <c r="K114" s="64"/>
      <c r="L114" s="64"/>
      <c r="M114" s="249"/>
      <c r="N114" s="250">
        <f>O46+O57+O68+O79</f>
        <v>2985</v>
      </c>
      <c r="O114" s="251">
        <f>P46+P57+P68+P79</f>
        <v>412.00000000000006</v>
      </c>
      <c r="P114" s="251">
        <f>Q46+Q57+Q68+Q79</f>
        <v>3397</v>
      </c>
      <c r="Q114" s="252">
        <f>Q46+Q57+Q68+Q79+Q90+Q101+Q112</f>
        <v>6547</v>
      </c>
      <c r="R114" s="251"/>
      <c r="S114" s="251">
        <f>T46+T57+T68+T79</f>
        <v>1109.3053306858103</v>
      </c>
      <c r="T114" s="253">
        <f>T46+T57+T68+T79+T90+T101+T112</f>
        <v>1440.1438826943638</v>
      </c>
      <c r="U114" s="168">
        <f>IF($T$114&gt;=$Q$114,0,100*(T114/Q114)^(3/2))+IF($T$114&lt;=$Q$114,0,100*(Q114/T114)^(3/2))</f>
        <v>10.316807201653038</v>
      </c>
    </row>
    <row r="115" spans="11:22" ht="12.75" customHeight="1">
      <c r="K115" s="64"/>
      <c r="L115" s="58"/>
      <c r="M115" s="254"/>
      <c r="N115" s="254"/>
      <c r="O115" s="254"/>
      <c r="P115" s="254"/>
      <c r="Q115" s="254"/>
      <c r="R115" s="254"/>
      <c r="S115" s="254"/>
      <c r="T115" s="254"/>
      <c r="U115" s="254"/>
      <c r="V115" s="254"/>
    </row>
    <row r="116" spans="11:22" ht="12.75" customHeight="1">
      <c r="K116" s="64"/>
      <c r="L116" s="64"/>
      <c r="M116" s="254"/>
      <c r="N116" s="254"/>
      <c r="O116" s="254"/>
      <c r="P116" s="254"/>
      <c r="Q116" s="254"/>
      <c r="R116" s="254"/>
      <c r="S116" s="254"/>
      <c r="T116" s="254"/>
      <c r="U116" s="254"/>
      <c r="V116" s="254"/>
    </row>
    <row r="117" spans="11:22" ht="12.75" customHeight="1">
      <c r="K117" s="64"/>
      <c r="L117" s="64"/>
      <c r="M117" s="254"/>
      <c r="N117" s="254"/>
      <c r="O117" s="254"/>
      <c r="P117" s="254"/>
      <c r="Q117" s="254"/>
      <c r="R117" s="254"/>
      <c r="S117" s="254"/>
      <c r="T117" s="254"/>
      <c r="U117" s="254"/>
      <c r="V117" s="254"/>
    </row>
    <row r="118" spans="11:23" ht="12.75" customHeight="1">
      <c r="K118" s="64"/>
      <c r="L118" s="64"/>
      <c r="M118" s="254"/>
      <c r="N118" s="254"/>
      <c r="O118" s="254"/>
      <c r="P118" s="254"/>
      <c r="Q118" s="254"/>
      <c r="R118" s="254"/>
      <c r="S118" s="254"/>
      <c r="T118" s="254"/>
      <c r="U118" s="254"/>
      <c r="V118" s="254"/>
      <c r="W118" s="254"/>
    </row>
    <row r="119" spans="11:23" ht="12.75" customHeight="1">
      <c r="K119" s="64"/>
      <c r="L119" s="64"/>
      <c r="M119" s="254"/>
      <c r="N119" s="254"/>
      <c r="O119" s="254"/>
      <c r="P119" s="254"/>
      <c r="Q119" s="254"/>
      <c r="R119" s="254"/>
      <c r="S119" s="254"/>
      <c r="T119" s="254"/>
      <c r="U119" s="254"/>
      <c r="V119" s="254"/>
      <c r="W119" s="254"/>
    </row>
    <row r="120" spans="11:23" ht="12.75" customHeight="1">
      <c r="K120" s="64"/>
      <c r="L120" s="64"/>
      <c r="M120" s="254"/>
      <c r="N120" s="254"/>
      <c r="O120" s="254"/>
      <c r="P120" s="254"/>
      <c r="Q120" s="254"/>
      <c r="R120" s="254"/>
      <c r="S120" s="254"/>
      <c r="T120" s="254"/>
      <c r="U120" s="254"/>
      <c r="V120" s="254"/>
      <c r="W120" s="254"/>
    </row>
    <row r="121" spans="11:23" ht="12.75" customHeight="1">
      <c r="K121" s="64"/>
      <c r="L121" s="64"/>
      <c r="M121" s="254"/>
      <c r="N121" s="254"/>
      <c r="O121" s="254"/>
      <c r="P121" s="254"/>
      <c r="Q121" s="254"/>
      <c r="R121" s="254"/>
      <c r="S121" s="254"/>
      <c r="T121" s="254"/>
      <c r="U121" s="254"/>
      <c r="V121" s="254"/>
      <c r="W121" s="254"/>
    </row>
    <row r="122" spans="11:23" ht="12.75" customHeight="1">
      <c r="K122" s="64"/>
      <c r="L122" s="64"/>
      <c r="M122" s="254"/>
      <c r="N122" s="254"/>
      <c r="O122" s="254"/>
      <c r="P122" s="254"/>
      <c r="Q122" s="254"/>
      <c r="R122" s="254"/>
      <c r="S122" s="254"/>
      <c r="T122" s="254"/>
      <c r="U122" s="254"/>
      <c r="V122" s="254"/>
      <c r="W122" s="254"/>
    </row>
    <row r="123" spans="11:23" ht="12.75" customHeight="1">
      <c r="K123" s="64"/>
      <c r="L123" s="64"/>
      <c r="M123" s="254"/>
      <c r="N123" s="254"/>
      <c r="O123" s="254"/>
      <c r="P123" s="254"/>
      <c r="Q123" s="254"/>
      <c r="R123" s="254"/>
      <c r="S123" s="254"/>
      <c r="T123" s="254"/>
      <c r="U123" s="254"/>
      <c r="V123" s="254"/>
      <c r="W123" s="254"/>
    </row>
    <row r="124" spans="11:23" ht="12.75" customHeight="1">
      <c r="K124" s="64"/>
      <c r="L124" s="64"/>
      <c r="M124" s="254"/>
      <c r="N124" s="254"/>
      <c r="O124" s="254"/>
      <c r="P124" s="254"/>
      <c r="Q124" s="254"/>
      <c r="R124" s="254"/>
      <c r="S124" s="254"/>
      <c r="T124" s="254"/>
      <c r="U124" s="254"/>
      <c r="V124" s="254"/>
      <c r="W124" s="254"/>
    </row>
    <row r="125" spans="11:23" ht="12.75" customHeight="1">
      <c r="K125" s="64"/>
      <c r="L125" s="58"/>
      <c r="M125" s="254"/>
      <c r="N125" s="254"/>
      <c r="O125" s="254"/>
      <c r="P125" s="254"/>
      <c r="Q125" s="254"/>
      <c r="R125" s="254"/>
      <c r="S125" s="254"/>
      <c r="T125" s="254"/>
      <c r="U125" s="254"/>
      <c r="V125" s="254"/>
      <c r="W125" s="254"/>
    </row>
    <row r="126" spans="11:23" ht="12.75" customHeight="1">
      <c r="K126" s="64"/>
      <c r="L126" s="58"/>
      <c r="M126" s="254"/>
      <c r="N126" s="254"/>
      <c r="O126" s="254"/>
      <c r="P126" s="254"/>
      <c r="Q126" s="254"/>
      <c r="R126" s="254"/>
      <c r="S126" s="254"/>
      <c r="T126" s="254"/>
      <c r="U126" s="254"/>
      <c r="V126" s="254"/>
      <c r="W126" s="254"/>
    </row>
    <row r="127" spans="11:23" ht="12.75" customHeight="1">
      <c r="K127" s="64"/>
      <c r="L127" s="64"/>
      <c r="M127" s="254"/>
      <c r="N127" s="254"/>
      <c r="O127" s="254"/>
      <c r="P127" s="254"/>
      <c r="Q127" s="254"/>
      <c r="R127" s="254"/>
      <c r="S127" s="254"/>
      <c r="T127" s="254"/>
      <c r="U127" s="254"/>
      <c r="V127" s="254"/>
      <c r="W127" s="254"/>
    </row>
    <row r="128" spans="11:23" ht="12.75" customHeight="1">
      <c r="K128" s="64"/>
      <c r="L128" s="64"/>
      <c r="M128" s="254"/>
      <c r="N128" s="254"/>
      <c r="O128" s="254"/>
      <c r="P128" s="254"/>
      <c r="Q128" s="254"/>
      <c r="R128" s="254"/>
      <c r="S128" s="254"/>
      <c r="T128" s="254"/>
      <c r="U128" s="254"/>
      <c r="V128" s="254"/>
      <c r="W128" s="254"/>
    </row>
    <row r="129" spans="11:23" ht="12.75" customHeight="1">
      <c r="K129" s="64"/>
      <c r="L129" s="64"/>
      <c r="M129" s="254"/>
      <c r="N129" s="254"/>
      <c r="O129" s="254"/>
      <c r="P129" s="254"/>
      <c r="Q129" s="254"/>
      <c r="R129" s="254"/>
      <c r="S129" s="254"/>
      <c r="T129" s="254"/>
      <c r="U129" s="254"/>
      <c r="V129" s="254"/>
      <c r="W129" s="254"/>
    </row>
    <row r="130" spans="11:23" ht="12.75" customHeight="1">
      <c r="K130" s="64"/>
      <c r="L130" s="64"/>
      <c r="M130" s="254"/>
      <c r="N130" s="254"/>
      <c r="O130" s="254"/>
      <c r="P130" s="254"/>
      <c r="Q130" s="254"/>
      <c r="R130" s="254"/>
      <c r="S130" s="254"/>
      <c r="T130" s="254"/>
      <c r="U130" s="254"/>
      <c r="V130" s="254"/>
      <c r="W130" s="254"/>
    </row>
    <row r="131" spans="11:23" ht="12.75" customHeight="1">
      <c r="K131" s="64"/>
      <c r="L131" s="64"/>
      <c r="M131" s="254"/>
      <c r="N131" s="254"/>
      <c r="O131" s="254"/>
      <c r="P131" s="254"/>
      <c r="Q131" s="254"/>
      <c r="R131" s="254"/>
      <c r="S131" s="254"/>
      <c r="T131" s="254"/>
      <c r="U131" s="254"/>
      <c r="V131" s="254"/>
      <c r="W131" s="254"/>
    </row>
    <row r="132" spans="11:23" ht="12.75" customHeight="1">
      <c r="K132" s="64"/>
      <c r="L132" s="64"/>
      <c r="M132" s="254"/>
      <c r="N132" s="254"/>
      <c r="O132" s="254"/>
      <c r="P132" s="254"/>
      <c r="Q132" s="254"/>
      <c r="R132" s="254"/>
      <c r="S132" s="254"/>
      <c r="T132" s="254"/>
      <c r="U132" s="254"/>
      <c r="V132" s="254"/>
      <c r="W132" s="254"/>
    </row>
    <row r="133" spans="11:23" ht="12.75" customHeight="1">
      <c r="K133" s="64"/>
      <c r="L133" s="64"/>
      <c r="M133" s="254"/>
      <c r="N133" s="254"/>
      <c r="O133" s="254"/>
      <c r="P133" s="254"/>
      <c r="Q133" s="254"/>
      <c r="R133" s="254"/>
      <c r="S133" s="254"/>
      <c r="T133" s="254"/>
      <c r="U133" s="254"/>
      <c r="V133" s="254"/>
      <c r="W133" s="254"/>
    </row>
    <row r="134" spans="11:23" ht="12.75" customHeight="1">
      <c r="K134" s="64"/>
      <c r="L134" s="64"/>
      <c r="M134" s="254"/>
      <c r="N134" s="254"/>
      <c r="O134" s="254"/>
      <c r="P134" s="254"/>
      <c r="Q134" s="254"/>
      <c r="R134" s="254"/>
      <c r="S134" s="254"/>
      <c r="T134" s="254"/>
      <c r="U134" s="254"/>
      <c r="V134" s="254"/>
      <c r="W134" s="254"/>
    </row>
    <row r="135" spans="11:23" ht="12.75" customHeight="1">
      <c r="K135" s="64"/>
      <c r="L135" s="64"/>
      <c r="M135" s="254"/>
      <c r="N135" s="254"/>
      <c r="O135" s="254"/>
      <c r="P135" s="254"/>
      <c r="Q135" s="254"/>
      <c r="R135" s="254"/>
      <c r="S135" s="254"/>
      <c r="T135" s="254"/>
      <c r="U135" s="254"/>
      <c r="V135" s="254"/>
      <c r="W135" s="254"/>
    </row>
    <row r="136" spans="2:23" ht="12.75" customHeight="1">
      <c r="B136" s="255" t="s">
        <v>99</v>
      </c>
      <c r="C136" s="255"/>
      <c r="D136" s="255"/>
      <c r="K136" s="64"/>
      <c r="L136" s="58"/>
      <c r="M136" s="254"/>
      <c r="N136" s="254"/>
      <c r="O136" s="254"/>
      <c r="P136" s="254"/>
      <c r="Q136" s="254"/>
      <c r="R136" s="254"/>
      <c r="S136" s="254"/>
      <c r="T136" s="254"/>
      <c r="U136" s="254"/>
      <c r="V136" s="254"/>
      <c r="W136" s="254"/>
    </row>
    <row r="137" spans="2:23" ht="12.75" customHeight="1">
      <c r="B137" s="255"/>
      <c r="C137" s="255"/>
      <c r="D137" s="255"/>
      <c r="K137" s="64"/>
      <c r="L137" s="58"/>
      <c r="M137" s="254"/>
      <c r="N137" s="254"/>
      <c r="O137" s="254"/>
      <c r="P137" s="254"/>
      <c r="Q137" s="254"/>
      <c r="R137" s="254"/>
      <c r="S137" s="254"/>
      <c r="T137" s="254"/>
      <c r="U137" s="254"/>
      <c r="V137" s="254"/>
      <c r="W137" s="254"/>
    </row>
    <row r="138" spans="11:23" ht="12.75" customHeight="1">
      <c r="K138" s="64"/>
      <c r="L138" s="64"/>
      <c r="M138" s="254"/>
      <c r="N138" s="254"/>
      <c r="O138" s="254"/>
      <c r="P138" s="254"/>
      <c r="Q138" s="254"/>
      <c r="R138" s="254"/>
      <c r="S138" s="254"/>
      <c r="T138" s="254"/>
      <c r="U138" s="254"/>
      <c r="V138" s="254"/>
      <c r="W138" s="254"/>
    </row>
    <row r="139" spans="11:23" ht="12.75" customHeight="1">
      <c r="K139" s="64"/>
      <c r="L139" s="64"/>
      <c r="M139" s="254"/>
      <c r="N139" s="254"/>
      <c r="O139" s="254"/>
      <c r="P139" s="254"/>
      <c r="Q139" s="254"/>
      <c r="R139" s="254"/>
      <c r="S139" s="254"/>
      <c r="T139" s="254"/>
      <c r="U139" s="254"/>
      <c r="V139" s="254"/>
      <c r="W139" s="254"/>
    </row>
    <row r="140" spans="9:23" ht="12.75" customHeight="1">
      <c r="I140" s="64"/>
      <c r="J140" s="64"/>
      <c r="K140" s="64"/>
      <c r="L140" s="64"/>
      <c r="M140" s="254"/>
      <c r="N140" s="254"/>
      <c r="O140" s="254"/>
      <c r="P140" s="254"/>
      <c r="Q140" s="254"/>
      <c r="R140" s="254"/>
      <c r="S140" s="254"/>
      <c r="T140" s="254"/>
      <c r="U140" s="254"/>
      <c r="V140" s="254"/>
      <c r="W140" s="254"/>
    </row>
    <row r="141" spans="9:35" ht="12.75" customHeight="1">
      <c r="I141" s="64"/>
      <c r="J141" s="256"/>
      <c r="K141" s="64"/>
      <c r="M141" s="254"/>
      <c r="N141" s="254"/>
      <c r="O141" s="254"/>
      <c r="P141" s="254"/>
      <c r="Q141" s="254"/>
      <c r="R141" s="254"/>
      <c r="S141" s="254"/>
      <c r="T141" s="254"/>
      <c r="U141" s="254"/>
      <c r="V141" s="254"/>
      <c r="W141" s="254"/>
      <c r="AC141" s="64"/>
      <c r="AD141" s="64"/>
      <c r="AE141" s="64"/>
      <c r="AF141" s="64"/>
      <c r="AG141" s="64"/>
      <c r="AH141" s="64"/>
      <c r="AI141" s="64"/>
    </row>
    <row r="142" spans="2:33" ht="12.75" customHeight="1">
      <c r="B142" s="257"/>
      <c r="C142" s="257" t="s">
        <v>100</v>
      </c>
      <c r="D142" s="257" t="s">
        <v>40</v>
      </c>
      <c r="E142" s="257" t="s">
        <v>41</v>
      </c>
      <c r="F142" s="257" t="s">
        <v>42</v>
      </c>
      <c r="G142" s="257" t="s">
        <v>43</v>
      </c>
      <c r="I142" s="64"/>
      <c r="J142" s="256"/>
      <c r="K142" s="64"/>
      <c r="L142" s="64"/>
      <c r="M142" s="258"/>
      <c r="N142" s="258"/>
      <c r="O142" s="258"/>
      <c r="P142" s="258"/>
      <c r="Q142" s="258"/>
      <c r="R142" s="258"/>
      <c r="S142" s="258"/>
      <c r="T142" s="258"/>
      <c r="U142" s="258"/>
      <c r="V142" s="254"/>
      <c r="W142" s="254"/>
      <c r="AA142" s="256"/>
      <c r="AB142" s="256"/>
      <c r="AC142" s="256"/>
      <c r="AD142" s="256"/>
      <c r="AE142" s="256"/>
      <c r="AF142" s="256">
        <v>20</v>
      </c>
      <c r="AG142" s="256">
        <v>21</v>
      </c>
    </row>
    <row r="143" spans="2:33" ht="12.75" customHeight="1">
      <c r="B143" s="257">
        <v>0</v>
      </c>
      <c r="C143" s="257"/>
      <c r="D143" s="257">
        <v>1</v>
      </c>
      <c r="E143" s="257">
        <v>1</v>
      </c>
      <c r="F143" s="257">
        <v>1</v>
      </c>
      <c r="G143" s="257">
        <v>1</v>
      </c>
      <c r="I143" s="64"/>
      <c r="J143" s="256"/>
      <c r="K143" s="256"/>
      <c r="L143" s="256"/>
      <c r="M143" s="259"/>
      <c r="N143" s="259"/>
      <c r="O143" s="259"/>
      <c r="P143" s="259"/>
      <c r="Q143" s="259"/>
      <c r="R143" s="259"/>
      <c r="S143" s="259"/>
      <c r="T143" s="259"/>
      <c r="U143" s="259"/>
      <c r="V143" s="258"/>
      <c r="W143" s="258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</row>
    <row r="144" spans="2:33" ht="12.75" customHeight="1">
      <c r="B144" s="257">
        <v>1</v>
      </c>
      <c r="C144" s="257">
        <v>0</v>
      </c>
      <c r="D144" s="257">
        <v>1.1</v>
      </c>
      <c r="E144" s="257">
        <v>1.03</v>
      </c>
      <c r="F144" s="257">
        <v>1.03</v>
      </c>
      <c r="G144" s="257">
        <v>1.03</v>
      </c>
      <c r="I144" s="64"/>
      <c r="J144" s="256"/>
      <c r="K144" s="260"/>
      <c r="L144" s="261"/>
      <c r="M144" s="262"/>
      <c r="N144" s="262"/>
      <c r="O144" s="262"/>
      <c r="P144" s="262"/>
      <c r="Q144" s="262"/>
      <c r="R144" s="262"/>
      <c r="S144" s="262"/>
      <c r="T144" s="262"/>
      <c r="U144" s="262"/>
      <c r="V144" s="259"/>
      <c r="W144" s="259"/>
      <c r="X144" s="256"/>
      <c r="Y144" s="256"/>
      <c r="Z144" s="256"/>
      <c r="AA144" s="64"/>
      <c r="AB144" s="64"/>
      <c r="AC144" s="64"/>
      <c r="AD144" s="64"/>
      <c r="AE144" s="64"/>
      <c r="AF144" s="64"/>
      <c r="AG144" s="64"/>
    </row>
    <row r="145" spans="2:33" ht="12.75" customHeight="1">
      <c r="B145" s="257">
        <v>2</v>
      </c>
      <c r="C145" s="257">
        <v>0.015</v>
      </c>
      <c r="D145" s="257">
        <v>1.2</v>
      </c>
      <c r="E145" s="257">
        <v>1.06</v>
      </c>
      <c r="F145" s="257">
        <v>1.06</v>
      </c>
      <c r="G145" s="257">
        <v>1.06</v>
      </c>
      <c r="I145" s="64"/>
      <c r="J145" s="256"/>
      <c r="K145" s="261"/>
      <c r="L145" s="263"/>
      <c r="M145" s="262"/>
      <c r="N145" s="262"/>
      <c r="O145" s="262"/>
      <c r="P145" s="262"/>
      <c r="Q145" s="262"/>
      <c r="R145" s="262"/>
      <c r="S145" s="262"/>
      <c r="T145" s="262"/>
      <c r="U145" s="262"/>
      <c r="V145" s="258"/>
      <c r="W145" s="258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</row>
    <row r="146" spans="2:33" ht="12.75" customHeight="1">
      <c r="B146" s="257">
        <v>3</v>
      </c>
      <c r="C146" s="257">
        <v>0.03</v>
      </c>
      <c r="D146" s="257">
        <v>1.35</v>
      </c>
      <c r="E146" s="257">
        <v>1.1</v>
      </c>
      <c r="F146" s="257">
        <v>1.1</v>
      </c>
      <c r="G146" s="257">
        <v>1.1</v>
      </c>
      <c r="I146" s="64"/>
      <c r="J146" s="256"/>
      <c r="K146" s="260"/>
      <c r="L146" s="260"/>
      <c r="M146" s="262"/>
      <c r="N146" s="262"/>
      <c r="O146" s="262"/>
      <c r="P146" s="262"/>
      <c r="Q146" s="262"/>
      <c r="R146" s="262"/>
      <c r="S146" s="262"/>
      <c r="T146" s="262"/>
      <c r="U146" s="262"/>
      <c r="V146" s="258"/>
      <c r="W146" s="258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</row>
    <row r="147" spans="2:33" ht="12.75" customHeight="1">
      <c r="B147" s="257">
        <v>4</v>
      </c>
      <c r="C147" s="257">
        <v>0.045</v>
      </c>
      <c r="D147" s="257">
        <v>1.45</v>
      </c>
      <c r="E147" s="257">
        <v>1.15</v>
      </c>
      <c r="F147" s="257">
        <v>1.15</v>
      </c>
      <c r="G147" s="257">
        <v>1.15</v>
      </c>
      <c r="I147" s="64"/>
      <c r="J147" s="256"/>
      <c r="K147" s="260"/>
      <c r="L147" s="263"/>
      <c r="M147" s="262"/>
      <c r="N147" s="264"/>
      <c r="O147" s="262"/>
      <c r="P147" s="262"/>
      <c r="Q147" s="262"/>
      <c r="R147" s="262"/>
      <c r="S147" s="262"/>
      <c r="T147" s="262"/>
      <c r="U147" s="265"/>
      <c r="V147" s="258"/>
      <c r="W147" s="258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</row>
    <row r="148" spans="2:33" ht="12.75" customHeight="1">
      <c r="B148" s="257">
        <v>5</v>
      </c>
      <c r="C148" s="257">
        <v>0.06</v>
      </c>
      <c r="D148" s="257">
        <v>1.6</v>
      </c>
      <c r="E148" s="257">
        <v>1.2</v>
      </c>
      <c r="F148" s="257">
        <v>1.2</v>
      </c>
      <c r="G148" s="257">
        <v>1.2</v>
      </c>
      <c r="I148" s="64"/>
      <c r="J148" s="256"/>
      <c r="K148" s="260"/>
      <c r="L148" s="263"/>
      <c r="M148" s="262"/>
      <c r="N148" s="262"/>
      <c r="O148" s="264"/>
      <c r="P148" s="262"/>
      <c r="Q148" s="262"/>
      <c r="R148" s="265"/>
      <c r="S148" s="262"/>
      <c r="T148" s="262"/>
      <c r="U148" s="262"/>
      <c r="V148" s="258"/>
      <c r="W148" s="258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</row>
    <row r="149" spans="2:33" ht="12.75" customHeight="1">
      <c r="B149" s="257">
        <v>6</v>
      </c>
      <c r="C149" s="257">
        <v>0.075</v>
      </c>
      <c r="D149" s="257">
        <v>1.7</v>
      </c>
      <c r="E149" s="257">
        <v>1.25</v>
      </c>
      <c r="F149" s="257">
        <v>1.25</v>
      </c>
      <c r="G149" s="257">
        <v>1.25</v>
      </c>
      <c r="I149" s="64"/>
      <c r="J149" s="256"/>
      <c r="K149" s="260"/>
      <c r="L149" s="263"/>
      <c r="M149" s="262"/>
      <c r="N149" s="262"/>
      <c r="O149" s="262"/>
      <c r="P149" s="264"/>
      <c r="Q149" s="262"/>
      <c r="R149" s="262"/>
      <c r="S149" s="262"/>
      <c r="T149" s="262"/>
      <c r="U149" s="262"/>
      <c r="V149" s="258"/>
      <c r="W149" s="258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</row>
    <row r="150" spans="2:33" ht="12.75" customHeight="1">
      <c r="B150" s="257">
        <v>7</v>
      </c>
      <c r="C150" s="257">
        <v>0.09</v>
      </c>
      <c r="D150" s="257">
        <v>1.9</v>
      </c>
      <c r="E150" s="257">
        <v>1.35</v>
      </c>
      <c r="F150" s="257">
        <v>1.35</v>
      </c>
      <c r="G150" s="257">
        <v>1.35</v>
      </c>
      <c r="I150" s="64"/>
      <c r="J150" s="256"/>
      <c r="K150" s="260"/>
      <c r="L150" s="263"/>
      <c r="M150" s="262"/>
      <c r="N150" s="262"/>
      <c r="O150" s="262"/>
      <c r="P150" s="262"/>
      <c r="Q150" s="264"/>
      <c r="R150" s="262"/>
      <c r="S150" s="265"/>
      <c r="T150" s="262"/>
      <c r="U150" s="262"/>
      <c r="V150" s="258"/>
      <c r="W150" s="258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</row>
    <row r="151" spans="2:33" ht="12.75" customHeight="1">
      <c r="B151" s="257">
        <v>8</v>
      </c>
      <c r="C151" s="257">
        <v>0.105</v>
      </c>
      <c r="D151" s="257">
        <v>2</v>
      </c>
      <c r="E151" s="257">
        <v>1.4</v>
      </c>
      <c r="F151" s="257">
        <v>1.4</v>
      </c>
      <c r="G151" s="257">
        <v>1.4</v>
      </c>
      <c r="I151" s="64"/>
      <c r="J151" s="256"/>
      <c r="K151" s="260"/>
      <c r="L151" s="263"/>
      <c r="M151" s="262"/>
      <c r="N151" s="262"/>
      <c r="O151" s="265"/>
      <c r="P151" s="262"/>
      <c r="Q151" s="262"/>
      <c r="R151" s="264"/>
      <c r="S151" s="262"/>
      <c r="T151" s="262"/>
      <c r="U151" s="262"/>
      <c r="V151" s="258"/>
      <c r="W151" s="258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</row>
    <row r="152" spans="2:35" ht="12.75" customHeight="1">
      <c r="B152" s="257">
        <v>9</v>
      </c>
      <c r="C152" s="257">
        <v>0.12</v>
      </c>
      <c r="D152" s="257">
        <v>2.1</v>
      </c>
      <c r="E152" s="257">
        <v>1.45</v>
      </c>
      <c r="F152" s="257">
        <v>1.45</v>
      </c>
      <c r="G152" s="257">
        <v>1.45</v>
      </c>
      <c r="K152" s="64"/>
      <c r="L152" s="256"/>
      <c r="M152" s="262"/>
      <c r="N152" s="264"/>
      <c r="O152" s="262"/>
      <c r="P152" s="262"/>
      <c r="Q152" s="262"/>
      <c r="R152" s="262"/>
      <c r="S152" s="265"/>
      <c r="T152" s="262"/>
      <c r="U152" s="264"/>
      <c r="V152" s="262"/>
      <c r="W152" s="262"/>
      <c r="X152" s="260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</row>
    <row r="153" spans="2:35" ht="12.75" customHeight="1">
      <c r="B153" s="257">
        <v>10</v>
      </c>
      <c r="C153" s="257">
        <v>0.15</v>
      </c>
      <c r="D153" s="257">
        <v>2.35</v>
      </c>
      <c r="E153" s="257">
        <v>1.6</v>
      </c>
      <c r="F153" s="257">
        <v>1.6</v>
      </c>
      <c r="G153" s="257">
        <v>1.6</v>
      </c>
      <c r="K153" s="64"/>
      <c r="L153" s="256"/>
      <c r="M153" s="262"/>
      <c r="N153" s="264"/>
      <c r="O153" s="262"/>
      <c r="P153" s="262"/>
      <c r="Q153" s="266"/>
      <c r="R153" s="262"/>
      <c r="S153" s="262"/>
      <c r="T153" s="262"/>
      <c r="U153" s="262"/>
      <c r="V153" s="264"/>
      <c r="W153" s="264"/>
      <c r="X153" s="260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</row>
    <row r="154" spans="11:35" ht="12.75" customHeight="1">
      <c r="K154" s="64"/>
      <c r="L154" s="256"/>
      <c r="M154" s="262"/>
      <c r="N154" s="264"/>
      <c r="O154" s="262"/>
      <c r="P154" s="265"/>
      <c r="Q154" s="262"/>
      <c r="R154" s="262"/>
      <c r="S154" s="262"/>
      <c r="T154" s="262"/>
      <c r="U154" s="262"/>
      <c r="V154" s="262"/>
      <c r="W154" s="262"/>
      <c r="X154" s="263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</row>
    <row r="155" spans="6:30" ht="12.75" customHeight="1">
      <c r="F155" s="64"/>
      <c r="G155" s="256"/>
      <c r="H155" s="64"/>
      <c r="I155" s="64"/>
      <c r="J155" s="64"/>
      <c r="K155" s="64"/>
      <c r="L155" s="64"/>
      <c r="M155" s="258"/>
      <c r="N155" s="258"/>
      <c r="O155" s="258"/>
      <c r="P155" s="258"/>
      <c r="Q155" s="258"/>
      <c r="R155" s="258"/>
      <c r="S155" s="258"/>
      <c r="T155" s="258"/>
      <c r="U155" s="258"/>
      <c r="V155" s="258"/>
      <c r="W155" s="258"/>
      <c r="X155" s="64"/>
      <c r="Y155" s="64"/>
      <c r="Z155" s="64"/>
      <c r="AA155" s="64"/>
      <c r="AB155" s="64"/>
      <c r="AC155" s="64"/>
      <c r="AD155" s="64"/>
    </row>
    <row r="156" spans="7:30" ht="12.75" customHeight="1">
      <c r="G156" s="256"/>
      <c r="H156" s="64"/>
      <c r="I156" s="64"/>
      <c r="J156" s="64"/>
      <c r="K156" s="64"/>
      <c r="L156" s="64"/>
      <c r="M156" s="258"/>
      <c r="N156" s="258"/>
      <c r="O156" s="258"/>
      <c r="P156" s="258"/>
      <c r="Q156" s="258"/>
      <c r="R156" s="258"/>
      <c r="S156" s="258"/>
      <c r="T156" s="258"/>
      <c r="U156" s="258"/>
      <c r="V156" s="258"/>
      <c r="W156" s="258"/>
      <c r="X156" s="64"/>
      <c r="Y156" s="64"/>
      <c r="Z156" s="64"/>
      <c r="AA156" s="64"/>
      <c r="AB156" s="263"/>
      <c r="AC156" s="64"/>
      <c r="AD156" s="64"/>
    </row>
    <row r="157" spans="7:30" ht="12.75" customHeight="1">
      <c r="G157" s="256"/>
      <c r="H157" s="64"/>
      <c r="I157" s="64"/>
      <c r="J157" s="64"/>
      <c r="K157" s="64"/>
      <c r="L157" s="64"/>
      <c r="M157" s="258"/>
      <c r="N157" s="258"/>
      <c r="O157" s="258"/>
      <c r="P157" s="258"/>
      <c r="Q157" s="258"/>
      <c r="R157" s="258"/>
      <c r="S157" s="258"/>
      <c r="T157" s="258"/>
      <c r="U157" s="258"/>
      <c r="V157" s="258"/>
      <c r="W157" s="258"/>
      <c r="X157" s="64"/>
      <c r="Y157" s="64"/>
      <c r="Z157" s="64"/>
      <c r="AA157" s="64"/>
      <c r="AB157" s="64"/>
      <c r="AC157" s="64"/>
      <c r="AD157" s="64"/>
    </row>
    <row r="158" spans="7:30" ht="12.75" customHeight="1">
      <c r="G158" s="256"/>
      <c r="H158" s="64"/>
      <c r="I158" s="64"/>
      <c r="J158" s="64"/>
      <c r="K158" s="64"/>
      <c r="L158" s="64"/>
      <c r="M158" s="258"/>
      <c r="N158" s="258"/>
      <c r="O158" s="258"/>
      <c r="P158" s="258"/>
      <c r="Q158" s="258"/>
      <c r="R158" s="258"/>
      <c r="S158" s="258"/>
      <c r="T158" s="258"/>
      <c r="U158" s="258"/>
      <c r="V158" s="258"/>
      <c r="W158" s="258"/>
      <c r="X158" s="64"/>
      <c r="Y158" s="64"/>
      <c r="Z158" s="64"/>
      <c r="AA158" s="64"/>
      <c r="AB158" s="64"/>
      <c r="AC158" s="64"/>
      <c r="AD158" s="64"/>
    </row>
    <row r="159" spans="7:30" ht="12.75" customHeight="1">
      <c r="G159" s="256"/>
      <c r="H159" s="64"/>
      <c r="I159" s="64"/>
      <c r="J159" s="64"/>
      <c r="K159" s="64"/>
      <c r="L159" s="64"/>
      <c r="M159" s="258"/>
      <c r="N159" s="258"/>
      <c r="O159" s="258"/>
      <c r="P159" s="258"/>
      <c r="Q159" s="258"/>
      <c r="R159" s="258"/>
      <c r="S159" s="258"/>
      <c r="T159" s="258"/>
      <c r="U159" s="258"/>
      <c r="V159" s="258"/>
      <c r="W159" s="258"/>
      <c r="X159" s="64"/>
      <c r="Y159" s="64"/>
      <c r="Z159" s="64"/>
      <c r="AA159" s="64"/>
      <c r="AB159" s="64"/>
      <c r="AC159" s="64"/>
      <c r="AD159" s="64"/>
    </row>
    <row r="160" spans="7:30" ht="12.75" customHeight="1">
      <c r="G160" s="256"/>
      <c r="H160" s="64"/>
      <c r="I160" s="64"/>
      <c r="J160" s="64"/>
      <c r="K160" s="64"/>
      <c r="L160" s="64"/>
      <c r="M160" s="258"/>
      <c r="N160" s="258"/>
      <c r="O160" s="258"/>
      <c r="P160" s="258"/>
      <c r="Q160" s="258"/>
      <c r="R160" s="258"/>
      <c r="S160" s="258"/>
      <c r="T160" s="258"/>
      <c r="U160" s="258"/>
      <c r="V160" s="258"/>
      <c r="W160" s="258"/>
      <c r="X160" s="64"/>
      <c r="Y160" s="64"/>
      <c r="Z160" s="64"/>
      <c r="AA160" s="64"/>
      <c r="AB160" s="64"/>
      <c r="AC160" s="64"/>
      <c r="AD160" s="64"/>
    </row>
    <row r="161" spans="7:30" ht="12.75" customHeight="1">
      <c r="G161" s="256"/>
      <c r="H161" s="64"/>
      <c r="I161" s="64"/>
      <c r="J161" s="64"/>
      <c r="K161" s="64"/>
      <c r="L161" s="64"/>
      <c r="M161" s="258"/>
      <c r="N161" s="258"/>
      <c r="O161" s="258"/>
      <c r="P161" s="258"/>
      <c r="Q161" s="258"/>
      <c r="R161" s="258"/>
      <c r="S161" s="258"/>
      <c r="T161" s="258"/>
      <c r="U161" s="258"/>
      <c r="V161" s="258"/>
      <c r="W161" s="258"/>
      <c r="X161" s="64"/>
      <c r="Y161" s="64"/>
      <c r="Z161" s="64"/>
      <c r="AA161" s="64"/>
      <c r="AB161" s="64"/>
      <c r="AC161" s="64"/>
      <c r="AD161" s="64"/>
    </row>
    <row r="162" spans="7:30" ht="12.75" customHeight="1">
      <c r="G162" s="256"/>
      <c r="H162" s="64"/>
      <c r="I162" s="64"/>
      <c r="J162" s="64"/>
      <c r="K162" s="64"/>
      <c r="L162" s="64"/>
      <c r="M162" s="258"/>
      <c r="N162" s="258"/>
      <c r="O162" s="258"/>
      <c r="P162" s="258"/>
      <c r="Q162" s="258"/>
      <c r="R162" s="258"/>
      <c r="S162" s="258"/>
      <c r="T162" s="258"/>
      <c r="U162" s="258"/>
      <c r="V162" s="258"/>
      <c r="W162" s="258"/>
      <c r="X162" s="64"/>
      <c r="Y162" s="64"/>
      <c r="Z162" s="64"/>
      <c r="AA162" s="64"/>
      <c r="AB162" s="64"/>
      <c r="AC162" s="64"/>
      <c r="AD162" s="64"/>
    </row>
    <row r="163" spans="7:30" ht="12.75" customHeight="1">
      <c r="G163" s="256"/>
      <c r="H163" s="64"/>
      <c r="I163" s="64"/>
      <c r="J163" s="64"/>
      <c r="K163" s="64"/>
      <c r="L163" s="64"/>
      <c r="M163" s="258"/>
      <c r="N163" s="258"/>
      <c r="O163" s="258"/>
      <c r="P163" s="258"/>
      <c r="Q163" s="258"/>
      <c r="R163" s="258"/>
      <c r="S163" s="258"/>
      <c r="T163" s="258"/>
      <c r="U163" s="258"/>
      <c r="V163" s="258"/>
      <c r="W163" s="258"/>
      <c r="X163" s="64"/>
      <c r="Y163" s="64"/>
      <c r="Z163" s="64"/>
      <c r="AA163" s="64"/>
      <c r="AB163" s="64"/>
      <c r="AC163" s="64"/>
      <c r="AD163" s="64"/>
    </row>
    <row r="164" spans="7:30" ht="12.75" customHeight="1">
      <c r="G164" s="256"/>
      <c r="H164" s="64"/>
      <c r="I164" s="64"/>
      <c r="J164" s="64"/>
      <c r="K164" s="64"/>
      <c r="L164" s="64"/>
      <c r="M164" s="258"/>
      <c r="N164" s="258"/>
      <c r="O164" s="258"/>
      <c r="P164" s="258"/>
      <c r="Q164" s="258"/>
      <c r="R164" s="258"/>
      <c r="S164" s="258"/>
      <c r="T164" s="258"/>
      <c r="U164" s="264"/>
      <c r="V164" s="258"/>
      <c r="W164" s="258"/>
      <c r="X164" s="64"/>
      <c r="Y164" s="64"/>
      <c r="Z164" s="64"/>
      <c r="AA164" s="64"/>
      <c r="AB164" s="64"/>
      <c r="AC164" s="64"/>
      <c r="AD164" s="64"/>
    </row>
    <row r="165" spans="12:35" ht="12.75" customHeight="1">
      <c r="L165" s="256"/>
      <c r="M165" s="258"/>
      <c r="N165" s="258"/>
      <c r="O165" s="258"/>
      <c r="P165" s="258"/>
      <c r="Q165" s="258"/>
      <c r="R165" s="258"/>
      <c r="S165" s="258"/>
      <c r="T165" s="258"/>
      <c r="U165" s="258"/>
      <c r="V165" s="258"/>
      <c r="W165" s="258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</row>
    <row r="166" spans="12:35" ht="12.75" customHeight="1">
      <c r="L166" s="256"/>
      <c r="M166" s="258"/>
      <c r="N166" s="258"/>
      <c r="O166" s="258"/>
      <c r="P166" s="258"/>
      <c r="Q166" s="258"/>
      <c r="R166" s="258"/>
      <c r="S166" s="258"/>
      <c r="T166" s="258"/>
      <c r="U166" s="258"/>
      <c r="V166" s="258"/>
      <c r="W166" s="258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</row>
    <row r="167" spans="12:35" ht="12.75" customHeight="1">
      <c r="L167" s="256"/>
      <c r="M167" s="258"/>
      <c r="N167" s="258"/>
      <c r="O167" s="258"/>
      <c r="P167" s="258"/>
      <c r="Q167" s="258"/>
      <c r="R167" s="258"/>
      <c r="S167" s="258"/>
      <c r="T167" s="258"/>
      <c r="U167" s="258"/>
      <c r="V167" s="258"/>
      <c r="W167" s="258"/>
      <c r="X167" s="64"/>
      <c r="Y167" s="64"/>
      <c r="Z167" s="64"/>
      <c r="AA167" s="64"/>
      <c r="AB167" s="64"/>
      <c r="AC167" s="263"/>
      <c r="AD167" s="64"/>
      <c r="AE167" s="64"/>
      <c r="AF167" s="64"/>
      <c r="AG167" s="64"/>
      <c r="AH167" s="64"/>
      <c r="AI167" s="64"/>
    </row>
    <row r="168" spans="12:35" ht="12.75" customHeight="1">
      <c r="L168" s="256"/>
      <c r="M168" s="258"/>
      <c r="N168" s="258"/>
      <c r="O168" s="258"/>
      <c r="P168" s="258"/>
      <c r="Q168" s="258"/>
      <c r="R168" s="258"/>
      <c r="S168" s="258"/>
      <c r="T168" s="258"/>
      <c r="U168" s="258"/>
      <c r="V168" s="258"/>
      <c r="W168" s="258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</row>
    <row r="169" spans="12:35" ht="12.75" customHeight="1">
      <c r="L169" s="256"/>
      <c r="M169" s="258"/>
      <c r="N169" s="258"/>
      <c r="O169" s="258"/>
      <c r="P169" s="258"/>
      <c r="Q169" s="258"/>
      <c r="R169" s="258"/>
      <c r="S169" s="258"/>
      <c r="T169" s="258"/>
      <c r="U169" s="258"/>
      <c r="V169" s="258"/>
      <c r="W169" s="258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</row>
    <row r="170" spans="12:35" ht="12.75" customHeight="1">
      <c r="L170" s="256"/>
      <c r="M170" s="258"/>
      <c r="N170" s="258"/>
      <c r="O170" s="258"/>
      <c r="P170" s="258"/>
      <c r="Q170" s="258"/>
      <c r="R170" s="258"/>
      <c r="S170" s="258"/>
      <c r="T170" s="258"/>
      <c r="U170" s="258"/>
      <c r="V170" s="258"/>
      <c r="W170" s="258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</row>
    <row r="171" spans="12:35" ht="12.75" customHeight="1">
      <c r="L171" s="256"/>
      <c r="M171" s="258"/>
      <c r="N171" s="258"/>
      <c r="O171" s="258"/>
      <c r="P171" s="258"/>
      <c r="Q171" s="258"/>
      <c r="R171" s="258"/>
      <c r="S171" s="258"/>
      <c r="T171" s="258"/>
      <c r="U171" s="258"/>
      <c r="V171" s="258"/>
      <c r="W171" s="258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</row>
    <row r="172" spans="12:35" ht="12.75" customHeight="1">
      <c r="L172" s="256"/>
      <c r="M172" s="258"/>
      <c r="N172" s="258"/>
      <c r="O172" s="258"/>
      <c r="P172" s="258"/>
      <c r="Q172" s="258"/>
      <c r="R172" s="258"/>
      <c r="S172" s="258"/>
      <c r="T172" s="258"/>
      <c r="U172" s="258"/>
      <c r="V172" s="258"/>
      <c r="W172" s="258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</row>
    <row r="173" spans="12:35" ht="12.75" customHeight="1">
      <c r="L173" s="256"/>
      <c r="M173" s="258"/>
      <c r="N173" s="258"/>
      <c r="O173" s="258"/>
      <c r="P173" s="258"/>
      <c r="Q173" s="258"/>
      <c r="R173" s="258"/>
      <c r="S173" s="258"/>
      <c r="T173" s="258"/>
      <c r="U173" s="258"/>
      <c r="V173" s="258"/>
      <c r="W173" s="258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</row>
    <row r="174" spans="12:35" ht="12.75" customHeight="1">
      <c r="L174" s="64"/>
      <c r="M174" s="258"/>
      <c r="N174" s="258"/>
      <c r="O174" s="258"/>
      <c r="P174" s="258"/>
      <c r="Q174" s="258"/>
      <c r="R174" s="258"/>
      <c r="S174" s="258"/>
      <c r="T174" s="258"/>
      <c r="U174" s="258"/>
      <c r="V174" s="258"/>
      <c r="W174" s="258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</row>
    <row r="175" spans="12:35" ht="12.75" customHeight="1">
      <c r="L175" s="64"/>
      <c r="M175" s="258"/>
      <c r="N175" s="258"/>
      <c r="O175" s="258"/>
      <c r="P175" s="258"/>
      <c r="Q175" s="258"/>
      <c r="R175" s="258"/>
      <c r="S175" s="258"/>
      <c r="T175" s="258"/>
      <c r="U175" s="258"/>
      <c r="V175" s="258"/>
      <c r="W175" s="258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</row>
    <row r="176" spans="12:35" ht="12.75" customHeight="1">
      <c r="L176" s="64"/>
      <c r="M176" s="258"/>
      <c r="N176" s="258"/>
      <c r="O176" s="258"/>
      <c r="P176" s="258"/>
      <c r="Q176" s="258"/>
      <c r="R176" s="258"/>
      <c r="S176" s="258"/>
      <c r="T176" s="258"/>
      <c r="U176" s="258"/>
      <c r="V176" s="258"/>
      <c r="W176" s="258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</row>
    <row r="177" spans="12:35" ht="12.75" customHeight="1">
      <c r="L177" s="64"/>
      <c r="M177" s="258"/>
      <c r="N177" s="258"/>
      <c r="O177" s="258"/>
      <c r="P177" s="258"/>
      <c r="Q177" s="258"/>
      <c r="R177" s="258"/>
      <c r="S177" s="258"/>
      <c r="T177" s="258"/>
      <c r="U177" s="258"/>
      <c r="V177" s="258"/>
      <c r="W177" s="258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</row>
    <row r="178" spans="12:35" ht="12.75" customHeight="1">
      <c r="L178" s="64"/>
      <c r="M178" s="258"/>
      <c r="N178" s="258"/>
      <c r="O178" s="258"/>
      <c r="P178" s="258"/>
      <c r="Q178" s="258"/>
      <c r="R178" s="258"/>
      <c r="S178" s="258"/>
      <c r="T178" s="258"/>
      <c r="U178" s="258"/>
      <c r="V178" s="258"/>
      <c r="W178" s="258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</row>
    <row r="179" spans="12:35" ht="12.75" customHeight="1">
      <c r="L179" s="64"/>
      <c r="M179" s="258"/>
      <c r="N179" s="258"/>
      <c r="O179" s="258"/>
      <c r="P179" s="258"/>
      <c r="Q179" s="258"/>
      <c r="R179" s="258"/>
      <c r="S179" s="258"/>
      <c r="T179" s="258"/>
      <c r="U179" s="258"/>
      <c r="V179" s="258"/>
      <c r="W179" s="258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</row>
    <row r="180" spans="12:35" ht="12.75" customHeight="1">
      <c r="L180" s="64"/>
      <c r="M180" s="258"/>
      <c r="N180" s="258"/>
      <c r="O180" s="258"/>
      <c r="P180" s="258"/>
      <c r="Q180" s="258"/>
      <c r="R180" s="258"/>
      <c r="S180" s="258"/>
      <c r="T180" s="258"/>
      <c r="U180" s="258"/>
      <c r="V180" s="258"/>
      <c r="W180" s="258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</row>
    <row r="181" spans="12:35" ht="12.75" customHeight="1">
      <c r="L181" s="64"/>
      <c r="M181" s="258"/>
      <c r="N181" s="258"/>
      <c r="O181" s="258"/>
      <c r="P181" s="258"/>
      <c r="Q181" s="258"/>
      <c r="R181" s="258"/>
      <c r="S181" s="258"/>
      <c r="T181" s="258"/>
      <c r="U181" s="258"/>
      <c r="V181" s="258"/>
      <c r="W181" s="258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</row>
    <row r="182" spans="12:35" ht="12.75" customHeight="1">
      <c r="L182" s="64"/>
      <c r="M182" s="258"/>
      <c r="N182" s="258"/>
      <c r="O182" s="258"/>
      <c r="P182" s="258"/>
      <c r="Q182" s="258"/>
      <c r="R182" s="258"/>
      <c r="S182" s="258"/>
      <c r="T182" s="258"/>
      <c r="U182" s="258"/>
      <c r="V182" s="258"/>
      <c r="W182" s="258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</row>
    <row r="183" spans="12:35" ht="12.75" customHeight="1">
      <c r="L183" s="64"/>
      <c r="M183" s="258"/>
      <c r="N183" s="258"/>
      <c r="O183" s="258"/>
      <c r="P183" s="258"/>
      <c r="Q183" s="258"/>
      <c r="R183" s="258"/>
      <c r="S183" s="258"/>
      <c r="T183" s="258"/>
      <c r="U183" s="258"/>
      <c r="V183" s="258"/>
      <c r="W183" s="258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</row>
    <row r="184" spans="12:35" ht="12.75" customHeight="1">
      <c r="L184" s="64"/>
      <c r="M184" s="258"/>
      <c r="N184" s="258"/>
      <c r="O184" s="258">
        <f>(7^2+4^2)*(1/2)</f>
        <v>32.5</v>
      </c>
      <c r="P184" s="258"/>
      <c r="Q184" s="258"/>
      <c r="R184" s="258"/>
      <c r="S184" s="258"/>
      <c r="T184" s="258"/>
      <c r="U184" s="258"/>
      <c r="V184" s="258"/>
      <c r="W184" s="258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</row>
    <row r="185" spans="12:35" ht="12.75" customHeight="1">
      <c r="L185" s="64"/>
      <c r="M185" s="258"/>
      <c r="N185" s="258"/>
      <c r="O185" s="258"/>
      <c r="P185" s="258"/>
      <c r="Q185" s="258"/>
      <c r="R185" s="258"/>
      <c r="S185" s="258"/>
      <c r="T185" s="258"/>
      <c r="U185" s="258"/>
      <c r="V185" s="258"/>
      <c r="W185" s="258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</row>
    <row r="186" spans="13:35" ht="12.75" customHeight="1">
      <c r="M186" s="258"/>
      <c r="N186" s="258"/>
      <c r="O186" s="258"/>
      <c r="P186" s="258"/>
      <c r="Q186" s="258"/>
      <c r="R186" s="258"/>
      <c r="S186" s="258"/>
      <c r="T186" s="258"/>
      <c r="U186" s="258"/>
      <c r="V186" s="258"/>
      <c r="W186" s="258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</row>
    <row r="187" spans="13:28" ht="12.75" customHeight="1">
      <c r="M187" s="258"/>
      <c r="N187" s="258"/>
      <c r="O187" s="258"/>
      <c r="P187" s="258"/>
      <c r="Q187" s="258"/>
      <c r="R187" s="258"/>
      <c r="S187" s="258"/>
      <c r="T187" s="258"/>
      <c r="U187" s="258"/>
      <c r="V187" s="258"/>
      <c r="W187" s="258"/>
      <c r="X187" s="64"/>
      <c r="Y187" s="64"/>
      <c r="Z187" s="64"/>
      <c r="AA187" s="64"/>
      <c r="AB187" s="64"/>
    </row>
    <row r="188" spans="13:28" ht="12.75" customHeight="1">
      <c r="M188" s="254"/>
      <c r="N188" s="254"/>
      <c r="O188" s="254"/>
      <c r="P188" s="254"/>
      <c r="Q188" s="254"/>
      <c r="R188" s="254"/>
      <c r="S188" s="254"/>
      <c r="T188" s="254"/>
      <c r="U188" s="254"/>
      <c r="V188" s="254"/>
      <c r="W188" s="254"/>
      <c r="Y188" s="64"/>
      <c r="Z188" s="64"/>
      <c r="AA188" s="64"/>
      <c r="AB188" s="64"/>
    </row>
    <row r="189" spans="13:23" ht="12.75" customHeight="1">
      <c r="M189" s="254"/>
      <c r="N189" s="254"/>
      <c r="O189" s="254"/>
      <c r="P189" s="254"/>
      <c r="Q189" s="254"/>
      <c r="R189" s="254"/>
      <c r="S189" s="254"/>
      <c r="T189" s="254"/>
      <c r="U189" s="254"/>
      <c r="V189" s="254"/>
      <c r="W189" s="254"/>
    </row>
    <row r="190" spans="13:23" ht="12.75" customHeight="1">
      <c r="M190" s="254"/>
      <c r="N190" s="254"/>
      <c r="O190" s="254"/>
      <c r="P190" s="254"/>
      <c r="Q190" s="254"/>
      <c r="R190" s="254"/>
      <c r="S190" s="254"/>
      <c r="T190" s="254"/>
      <c r="U190" s="254"/>
      <c r="V190" s="254"/>
      <c r="W190" s="254"/>
    </row>
    <row r="191" spans="13:23" ht="12.75" customHeight="1">
      <c r="M191" s="254"/>
      <c r="N191" s="254"/>
      <c r="O191" s="254"/>
      <c r="P191" s="254"/>
      <c r="Q191" s="254"/>
      <c r="R191" s="254"/>
      <c r="S191" s="254"/>
      <c r="T191" s="254"/>
      <c r="U191" s="254"/>
      <c r="V191" s="254"/>
      <c r="W191" s="254"/>
    </row>
    <row r="192" spans="13:23" ht="12.75" customHeight="1">
      <c r="M192" s="254"/>
      <c r="N192" s="254"/>
      <c r="O192" s="254"/>
      <c r="P192" s="254"/>
      <c r="Q192" s="254"/>
      <c r="R192" s="254"/>
      <c r="S192" s="254"/>
      <c r="T192" s="254"/>
      <c r="U192" s="254"/>
      <c r="V192" s="254"/>
      <c r="W192" s="254"/>
    </row>
    <row r="193" spans="13:23" ht="12.75" customHeight="1">
      <c r="M193" s="254"/>
      <c r="N193" s="254"/>
      <c r="O193" s="254"/>
      <c r="P193" s="254"/>
      <c r="Q193" s="254"/>
      <c r="R193" s="254"/>
      <c r="S193" s="254"/>
      <c r="T193" s="254"/>
      <c r="U193" s="254"/>
      <c r="V193" s="254"/>
      <c r="W193" s="254"/>
    </row>
    <row r="194" spans="13:23" ht="12.75" customHeight="1">
      <c r="M194" s="254"/>
      <c r="N194" s="254"/>
      <c r="O194" s="254"/>
      <c r="P194" s="254"/>
      <c r="Q194" s="254"/>
      <c r="R194" s="254"/>
      <c r="S194" s="254"/>
      <c r="T194" s="254"/>
      <c r="U194" s="254"/>
      <c r="V194" s="254"/>
      <c r="W194" s="254"/>
    </row>
    <row r="195" spans="13:23" ht="12.75" customHeight="1">
      <c r="M195" s="254"/>
      <c r="N195" s="254"/>
      <c r="O195" s="254"/>
      <c r="P195" s="254"/>
      <c r="Q195" s="254"/>
      <c r="R195" s="254"/>
      <c r="S195" s="254"/>
      <c r="T195" s="254"/>
      <c r="U195" s="254"/>
      <c r="V195" s="254"/>
      <c r="W195" s="254"/>
    </row>
    <row r="196" spans="13:23" ht="12.75" customHeight="1">
      <c r="M196" s="254"/>
      <c r="N196" s="254"/>
      <c r="O196" s="254"/>
      <c r="P196" s="254"/>
      <c r="Q196" s="254"/>
      <c r="R196" s="254"/>
      <c r="S196" s="254"/>
      <c r="T196" s="254"/>
      <c r="U196" s="254"/>
      <c r="V196" s="254"/>
      <c r="W196" s="254"/>
    </row>
    <row r="197" spans="13:23" ht="12.75" customHeight="1">
      <c r="M197" s="254"/>
      <c r="N197" s="254"/>
      <c r="O197" s="254"/>
      <c r="P197" s="254"/>
      <c r="Q197" s="254"/>
      <c r="R197" s="254"/>
      <c r="S197" s="254"/>
      <c r="T197" s="254"/>
      <c r="U197" s="254"/>
      <c r="V197" s="254"/>
      <c r="W197" s="254"/>
    </row>
    <row r="198" spans="13:23" ht="12.75" customHeight="1">
      <c r="M198" s="254"/>
      <c r="N198" s="254"/>
      <c r="O198" s="254"/>
      <c r="P198" s="254"/>
      <c r="Q198" s="254"/>
      <c r="R198" s="254"/>
      <c r="S198" s="254"/>
      <c r="T198" s="254"/>
      <c r="U198" s="254"/>
      <c r="V198" s="254"/>
      <c r="W198" s="254"/>
    </row>
    <row r="199" spans="13:23" ht="12.75" customHeight="1">
      <c r="M199" s="254"/>
      <c r="N199" s="254"/>
      <c r="O199" s="254"/>
      <c r="P199" s="254"/>
      <c r="Q199" s="254"/>
      <c r="R199" s="254"/>
      <c r="S199" s="254"/>
      <c r="T199" s="254"/>
      <c r="U199" s="254"/>
      <c r="V199" s="254"/>
      <c r="W199" s="254"/>
    </row>
    <row r="200" spans="13:23" ht="12.75" customHeight="1">
      <c r="M200" s="254"/>
      <c r="N200" s="254"/>
      <c r="O200" s="254"/>
      <c r="P200" s="254"/>
      <c r="Q200" s="254"/>
      <c r="R200" s="254"/>
      <c r="S200" s="254"/>
      <c r="T200" s="254"/>
      <c r="U200" s="254"/>
      <c r="V200" s="254"/>
      <c r="W200" s="254"/>
    </row>
    <row r="201" spans="13:23" ht="12.75" customHeight="1">
      <c r="M201" s="254"/>
      <c r="N201" s="254"/>
      <c r="O201" s="254"/>
      <c r="P201" s="254"/>
      <c r="Q201" s="254"/>
      <c r="R201" s="254"/>
      <c r="S201" s="254"/>
      <c r="T201" s="254"/>
      <c r="U201" s="254"/>
      <c r="V201" s="254"/>
      <c r="W201" s="254"/>
    </row>
    <row r="202" spans="13:23" ht="12.75" customHeight="1">
      <c r="M202" s="254"/>
      <c r="N202" s="254"/>
      <c r="O202" s="254"/>
      <c r="P202" s="254"/>
      <c r="Q202" s="254"/>
      <c r="R202" s="254"/>
      <c r="S202" s="254"/>
      <c r="T202" s="254"/>
      <c r="U202" s="254"/>
      <c r="V202" s="254"/>
      <c r="W202" s="254"/>
    </row>
    <row r="203" spans="13:23" ht="12.75" customHeight="1">
      <c r="M203" s="254"/>
      <c r="N203" s="254"/>
      <c r="O203" s="254"/>
      <c r="P203" s="254"/>
      <c r="Q203" s="254"/>
      <c r="R203" s="254"/>
      <c r="S203" s="254"/>
      <c r="T203" s="254"/>
      <c r="U203" s="254"/>
      <c r="V203" s="254"/>
      <c r="W203" s="254"/>
    </row>
    <row r="204" spans="13:23" ht="12.75" customHeight="1">
      <c r="M204" s="254"/>
      <c r="N204" s="254"/>
      <c r="O204" s="254"/>
      <c r="P204" s="254"/>
      <c r="Q204" s="254"/>
      <c r="R204" s="254"/>
      <c r="S204" s="254"/>
      <c r="T204" s="254"/>
      <c r="U204" s="254"/>
      <c r="V204" s="254"/>
      <c r="W204" s="254"/>
    </row>
    <row r="205" spans="13:23" ht="12.75" customHeight="1">
      <c r="M205" s="254"/>
      <c r="N205" s="254"/>
      <c r="O205" s="254"/>
      <c r="P205" s="254"/>
      <c r="Q205" s="254"/>
      <c r="R205" s="254"/>
      <c r="S205" s="254"/>
      <c r="T205" s="254"/>
      <c r="U205" s="254"/>
      <c r="V205" s="254"/>
      <c r="W205" s="254"/>
    </row>
    <row r="206" spans="13:23" ht="12.75" customHeight="1">
      <c r="M206" s="254"/>
      <c r="N206" s="254"/>
      <c r="O206" s="254"/>
      <c r="P206" s="254"/>
      <c r="Q206" s="254"/>
      <c r="R206" s="254"/>
      <c r="S206" s="254"/>
      <c r="T206" s="254"/>
      <c r="U206" s="254"/>
      <c r="V206" s="254"/>
      <c r="W206" s="254"/>
    </row>
    <row r="207" spans="13:23" ht="12.75" customHeight="1">
      <c r="M207" s="254"/>
      <c r="N207" s="254"/>
      <c r="O207" s="254"/>
      <c r="P207" s="254"/>
      <c r="Q207" s="254"/>
      <c r="R207" s="254"/>
      <c r="S207" s="254"/>
      <c r="T207" s="254"/>
      <c r="U207" s="254"/>
      <c r="V207" s="254"/>
      <c r="W207" s="254"/>
    </row>
    <row r="208" spans="13:23" ht="12.75" customHeight="1">
      <c r="M208" s="254"/>
      <c r="N208" s="254"/>
      <c r="O208" s="254"/>
      <c r="P208" s="254"/>
      <c r="Q208" s="254"/>
      <c r="R208" s="254"/>
      <c r="S208" s="254"/>
      <c r="T208" s="254"/>
      <c r="U208" s="254"/>
      <c r="V208" s="254"/>
      <c r="W208" s="254"/>
    </row>
    <row r="209" spans="13:23" ht="12.75" customHeight="1">
      <c r="M209" s="254"/>
      <c r="N209" s="254"/>
      <c r="O209" s="254"/>
      <c r="P209" s="254"/>
      <c r="Q209" s="254"/>
      <c r="R209" s="254"/>
      <c r="S209" s="254"/>
      <c r="T209" s="254"/>
      <c r="U209" s="254"/>
      <c r="V209" s="254"/>
      <c r="W209" s="254"/>
    </row>
    <row r="210" spans="13:23" ht="12.75" customHeight="1">
      <c r="M210" s="254"/>
      <c r="N210" s="254"/>
      <c r="O210" s="254"/>
      <c r="P210" s="254"/>
      <c r="Q210" s="254"/>
      <c r="R210" s="254"/>
      <c r="S210" s="254"/>
      <c r="T210" s="254"/>
      <c r="U210" s="254"/>
      <c r="V210" s="254"/>
      <c r="W210" s="254"/>
    </row>
    <row r="211" spans="13:23" ht="12.75" customHeight="1">
      <c r="M211" s="254"/>
      <c r="N211" s="254"/>
      <c r="O211" s="254"/>
      <c r="P211" s="254"/>
      <c r="Q211" s="254"/>
      <c r="R211" s="254"/>
      <c r="S211" s="254"/>
      <c r="T211" s="254"/>
      <c r="U211" s="254"/>
      <c r="V211" s="254"/>
      <c r="W211" s="254"/>
    </row>
    <row r="212" spans="13:23" ht="12.75" customHeight="1">
      <c r="M212" s="254"/>
      <c r="N212" s="254"/>
      <c r="O212" s="254"/>
      <c r="P212" s="254"/>
      <c r="Q212" s="254"/>
      <c r="R212" s="254"/>
      <c r="S212" s="254"/>
      <c r="T212" s="254"/>
      <c r="U212" s="254"/>
      <c r="V212" s="254"/>
      <c r="W212" s="254"/>
    </row>
    <row r="213" spans="13:23" ht="12.75" customHeight="1">
      <c r="M213" s="254"/>
      <c r="N213" s="254"/>
      <c r="O213" s="254"/>
      <c r="P213" s="254"/>
      <c r="Q213" s="254"/>
      <c r="R213" s="254"/>
      <c r="S213" s="254"/>
      <c r="T213" s="254"/>
      <c r="U213" s="254"/>
      <c r="V213" s="254"/>
      <c r="W213" s="254"/>
    </row>
    <row r="214" spans="13:23" ht="12.75" customHeight="1">
      <c r="M214" s="254"/>
      <c r="N214" s="254"/>
      <c r="O214" s="254"/>
      <c r="P214" s="254"/>
      <c r="Q214" s="254"/>
      <c r="R214" s="254"/>
      <c r="S214" s="254"/>
      <c r="T214" s="254"/>
      <c r="U214" s="254"/>
      <c r="V214" s="254"/>
      <c r="W214" s="254"/>
    </row>
    <row r="215" spans="13:23" ht="12.75" customHeight="1">
      <c r="M215" s="254"/>
      <c r="N215" s="254"/>
      <c r="O215" s="254"/>
      <c r="P215" s="254"/>
      <c r="Q215" s="254"/>
      <c r="R215" s="254"/>
      <c r="S215" s="254"/>
      <c r="T215" s="254"/>
      <c r="U215" s="254"/>
      <c r="V215" s="254"/>
      <c r="W215" s="254"/>
    </row>
    <row r="216" spans="13:23" ht="12.75" customHeight="1">
      <c r="M216" s="254"/>
      <c r="N216" s="254"/>
      <c r="O216" s="254"/>
      <c r="P216" s="254"/>
      <c r="Q216" s="254"/>
      <c r="R216" s="254"/>
      <c r="S216" s="254"/>
      <c r="T216" s="254"/>
      <c r="U216" s="254"/>
      <c r="V216" s="254"/>
      <c r="W216" s="254"/>
    </row>
    <row r="217" spans="13:23" ht="12.75" customHeight="1">
      <c r="M217" s="254"/>
      <c r="N217" s="254"/>
      <c r="O217" s="254"/>
      <c r="P217" s="254"/>
      <c r="Q217" s="254"/>
      <c r="R217" s="254"/>
      <c r="S217" s="254"/>
      <c r="T217" s="254"/>
      <c r="U217" s="254"/>
      <c r="V217" s="254"/>
      <c r="W217" s="254"/>
    </row>
    <row r="218" spans="13:23" ht="12.75" customHeight="1">
      <c r="M218" s="254"/>
      <c r="N218" s="254"/>
      <c r="O218" s="254"/>
      <c r="P218" s="254"/>
      <c r="Q218" s="254"/>
      <c r="R218" s="254"/>
      <c r="S218" s="254"/>
      <c r="T218" s="254"/>
      <c r="U218" s="254"/>
      <c r="V218" s="254"/>
      <c r="W218" s="254"/>
    </row>
    <row r="219" spans="13:23" ht="12.75" customHeight="1">
      <c r="M219" s="254"/>
      <c r="N219" s="254"/>
      <c r="O219" s="254"/>
      <c r="P219" s="254"/>
      <c r="Q219" s="254"/>
      <c r="R219" s="254"/>
      <c r="S219" s="254"/>
      <c r="T219" s="254"/>
      <c r="U219" s="254"/>
      <c r="V219" s="254"/>
      <c r="W219" s="254"/>
    </row>
    <row r="220" spans="13:23" ht="12.75" customHeight="1">
      <c r="M220" s="254"/>
      <c r="N220" s="254"/>
      <c r="O220" s="254"/>
      <c r="P220" s="254"/>
      <c r="Q220" s="254"/>
      <c r="R220" s="254"/>
      <c r="S220" s="254"/>
      <c r="T220" s="254"/>
      <c r="U220" s="254"/>
      <c r="V220" s="254"/>
      <c r="W220" s="254"/>
    </row>
    <row r="221" spans="13:23" ht="12.75" customHeight="1">
      <c r="M221" s="254"/>
      <c r="N221" s="254"/>
      <c r="O221" s="254"/>
      <c r="P221" s="254"/>
      <c r="Q221" s="254"/>
      <c r="R221" s="254"/>
      <c r="S221" s="254"/>
      <c r="T221" s="254"/>
      <c r="U221" s="254"/>
      <c r="V221" s="254"/>
      <c r="W221" s="254"/>
    </row>
    <row r="222" spans="13:23" ht="12.75" customHeight="1">
      <c r="M222" s="254"/>
      <c r="N222" s="254"/>
      <c r="O222" s="254"/>
      <c r="P222" s="254"/>
      <c r="Q222" s="254"/>
      <c r="R222" s="254"/>
      <c r="S222" s="254"/>
      <c r="T222" s="254"/>
      <c r="U222" s="254"/>
      <c r="V222" s="254"/>
      <c r="W222" s="254"/>
    </row>
    <row r="223" spans="13:23" ht="12.75" customHeight="1">
      <c r="M223" s="254"/>
      <c r="N223" s="254"/>
      <c r="O223" s="254"/>
      <c r="P223" s="254"/>
      <c r="Q223" s="254"/>
      <c r="R223" s="254"/>
      <c r="S223" s="254"/>
      <c r="T223" s="254"/>
      <c r="U223" s="254"/>
      <c r="V223" s="254"/>
      <c r="W223" s="254"/>
    </row>
    <row r="224" spans="13:23" ht="12.75" customHeight="1">
      <c r="M224" s="254"/>
      <c r="N224" s="254"/>
      <c r="O224" s="254"/>
      <c r="P224" s="254"/>
      <c r="Q224" s="254"/>
      <c r="R224" s="254"/>
      <c r="S224" s="254"/>
      <c r="T224" s="254"/>
      <c r="U224" s="254"/>
      <c r="V224" s="254"/>
      <c r="W224" s="254"/>
    </row>
    <row r="225" spans="13:23" ht="12.75" customHeight="1">
      <c r="M225" s="254"/>
      <c r="N225" s="254"/>
      <c r="O225" s="254"/>
      <c r="P225" s="254"/>
      <c r="Q225" s="254"/>
      <c r="R225" s="254"/>
      <c r="S225" s="254"/>
      <c r="T225" s="254"/>
      <c r="U225" s="254"/>
      <c r="V225" s="254"/>
      <c r="W225" s="254"/>
    </row>
    <row r="226" spans="13:23" ht="12.75" customHeight="1">
      <c r="M226" s="254"/>
      <c r="N226" s="254"/>
      <c r="O226" s="254"/>
      <c r="P226" s="254"/>
      <c r="Q226" s="254"/>
      <c r="R226" s="254"/>
      <c r="S226" s="254"/>
      <c r="T226" s="254"/>
      <c r="U226" s="254"/>
      <c r="V226" s="254"/>
      <c r="W226" s="254"/>
    </row>
    <row r="227" spans="13:23" ht="12.75" customHeight="1">
      <c r="M227" s="254"/>
      <c r="N227" s="254"/>
      <c r="O227" s="254"/>
      <c r="P227" s="254"/>
      <c r="Q227" s="254"/>
      <c r="R227" s="254"/>
      <c r="S227" s="254"/>
      <c r="T227" s="254"/>
      <c r="U227" s="254"/>
      <c r="V227" s="254"/>
      <c r="W227" s="254"/>
    </row>
    <row r="228" spans="13:23" ht="12.75" customHeight="1">
      <c r="M228" s="254"/>
      <c r="N228" s="254"/>
      <c r="O228" s="254"/>
      <c r="P228" s="254"/>
      <c r="Q228" s="254"/>
      <c r="R228" s="254"/>
      <c r="S228" s="254"/>
      <c r="T228" s="254"/>
      <c r="U228" s="254"/>
      <c r="V228" s="254"/>
      <c r="W228" s="254"/>
    </row>
    <row r="229" spans="13:23" ht="12.75" customHeight="1">
      <c r="M229" s="254"/>
      <c r="N229" s="254"/>
      <c r="O229" s="254"/>
      <c r="P229" s="254"/>
      <c r="Q229" s="254"/>
      <c r="R229" s="254"/>
      <c r="S229" s="254"/>
      <c r="T229" s="254"/>
      <c r="U229" s="254"/>
      <c r="V229" s="254"/>
      <c r="W229" s="254"/>
    </row>
    <row r="230" spans="13:23" ht="12.75" customHeight="1">
      <c r="M230" s="254"/>
      <c r="N230" s="254"/>
      <c r="O230" s="254"/>
      <c r="P230" s="254"/>
      <c r="Q230" s="254"/>
      <c r="R230" s="254"/>
      <c r="S230" s="254"/>
      <c r="T230" s="254"/>
      <c r="U230" s="254"/>
      <c r="V230" s="254"/>
      <c r="W230" s="254"/>
    </row>
    <row r="231" spans="13:23" ht="12.75" customHeight="1">
      <c r="M231" s="254"/>
      <c r="N231" s="254"/>
      <c r="O231" s="254"/>
      <c r="P231" s="254"/>
      <c r="Q231" s="254"/>
      <c r="R231" s="254"/>
      <c r="S231" s="254"/>
      <c r="T231" s="254"/>
      <c r="U231" s="254"/>
      <c r="V231" s="254"/>
      <c r="W231" s="254"/>
    </row>
    <row r="232" spans="13:23" ht="12.75" customHeight="1">
      <c r="M232" s="254"/>
      <c r="N232" s="254"/>
      <c r="O232" s="254"/>
      <c r="P232" s="254"/>
      <c r="Q232" s="254"/>
      <c r="R232" s="254"/>
      <c r="S232" s="254"/>
      <c r="T232" s="254"/>
      <c r="U232" s="254"/>
      <c r="V232" s="254"/>
      <c r="W232" s="254"/>
    </row>
    <row r="233" spans="13:23" ht="12.75" customHeight="1">
      <c r="M233" s="254"/>
      <c r="N233" s="254"/>
      <c r="O233" s="254"/>
      <c r="P233" s="254"/>
      <c r="Q233" s="254"/>
      <c r="R233" s="254"/>
      <c r="S233" s="254"/>
      <c r="T233" s="254"/>
      <c r="U233" s="254"/>
      <c r="V233" s="254"/>
      <c r="W233" s="254"/>
    </row>
    <row r="234" spans="13:23" ht="12.75" customHeight="1">
      <c r="M234" s="254"/>
      <c r="N234" s="254"/>
      <c r="O234" s="254"/>
      <c r="P234" s="254"/>
      <c r="Q234" s="254"/>
      <c r="R234" s="254"/>
      <c r="S234" s="254"/>
      <c r="T234" s="254"/>
      <c r="U234" s="254"/>
      <c r="V234" s="254"/>
      <c r="W234" s="254"/>
    </row>
    <row r="235" spans="13:23" ht="12.75" customHeight="1">
      <c r="M235" s="254"/>
      <c r="N235" s="254"/>
      <c r="O235" s="254"/>
      <c r="P235" s="254"/>
      <c r="Q235" s="254"/>
      <c r="R235" s="254"/>
      <c r="S235" s="254"/>
      <c r="T235" s="254"/>
      <c r="U235" s="254"/>
      <c r="V235" s="254"/>
      <c r="W235" s="254"/>
    </row>
    <row r="236" spans="13:23" ht="12.75" customHeight="1">
      <c r="M236" s="254"/>
      <c r="N236" s="254"/>
      <c r="O236" s="254"/>
      <c r="P236" s="254"/>
      <c r="Q236" s="254"/>
      <c r="R236" s="254"/>
      <c r="S236" s="254"/>
      <c r="T236" s="254"/>
      <c r="U236" s="254"/>
      <c r="V236" s="254"/>
      <c r="W236" s="254"/>
    </row>
    <row r="237" spans="13:23" ht="12.75" customHeight="1">
      <c r="M237" s="254"/>
      <c r="N237" s="254"/>
      <c r="O237" s="254"/>
      <c r="P237" s="254"/>
      <c r="Q237" s="254"/>
      <c r="R237" s="254"/>
      <c r="S237" s="254"/>
      <c r="T237" s="254"/>
      <c r="U237" s="254"/>
      <c r="V237" s="254"/>
      <c r="W237" s="254"/>
    </row>
    <row r="238" spans="13:23" ht="12.75" customHeight="1">
      <c r="M238" s="254"/>
      <c r="N238" s="254"/>
      <c r="O238" s="254"/>
      <c r="P238" s="254"/>
      <c r="Q238" s="254"/>
      <c r="R238" s="254"/>
      <c r="S238" s="254"/>
      <c r="T238" s="254"/>
      <c r="U238" s="254"/>
      <c r="V238" s="254"/>
      <c r="W238" s="254"/>
    </row>
    <row r="239" spans="13:23" ht="12.75" customHeight="1">
      <c r="M239" s="254"/>
      <c r="N239" s="254"/>
      <c r="O239" s="254"/>
      <c r="P239" s="254"/>
      <c r="Q239" s="254"/>
      <c r="R239" s="254"/>
      <c r="S239" s="254"/>
      <c r="T239" s="254"/>
      <c r="U239" s="254"/>
      <c r="V239" s="254"/>
      <c r="W239" s="254"/>
    </row>
    <row r="240" spans="13:23" ht="12.75" customHeight="1">
      <c r="M240" s="254"/>
      <c r="N240" s="254"/>
      <c r="O240" s="254"/>
      <c r="P240" s="254"/>
      <c r="Q240" s="254"/>
      <c r="R240" s="254"/>
      <c r="S240" s="254"/>
      <c r="T240" s="254"/>
      <c r="U240" s="254"/>
      <c r="V240" s="254"/>
      <c r="W240" s="254"/>
    </row>
    <row r="241" spans="13:23" ht="12.75" customHeight="1">
      <c r="M241" s="254"/>
      <c r="N241" s="254"/>
      <c r="O241" s="254"/>
      <c r="P241" s="254"/>
      <c r="Q241" s="254"/>
      <c r="R241" s="254"/>
      <c r="S241" s="254"/>
      <c r="T241" s="254"/>
      <c r="U241" s="254"/>
      <c r="V241" s="254"/>
      <c r="W241" s="254"/>
    </row>
    <row r="242" spans="13:23" ht="12.75" customHeight="1">
      <c r="M242" s="254"/>
      <c r="N242" s="254"/>
      <c r="O242" s="254"/>
      <c r="P242" s="254"/>
      <c r="Q242" s="254"/>
      <c r="R242" s="254"/>
      <c r="S242" s="254"/>
      <c r="T242" s="254"/>
      <c r="U242" s="254"/>
      <c r="V242" s="254"/>
      <c r="W242" s="254"/>
    </row>
    <row r="243" spans="13:23" ht="12.75" customHeight="1">
      <c r="M243" s="254"/>
      <c r="N243" s="254"/>
      <c r="O243" s="254"/>
      <c r="P243" s="254"/>
      <c r="Q243" s="254"/>
      <c r="R243" s="254"/>
      <c r="S243" s="254"/>
      <c r="T243" s="254"/>
      <c r="U243" s="254"/>
      <c r="V243" s="254"/>
      <c r="W243" s="254"/>
    </row>
    <row r="244" spans="13:23" ht="12.75" customHeight="1">
      <c r="M244" s="254"/>
      <c r="N244" s="254"/>
      <c r="O244" s="254"/>
      <c r="P244" s="254"/>
      <c r="Q244" s="254"/>
      <c r="R244" s="254"/>
      <c r="S244" s="254"/>
      <c r="T244" s="254"/>
      <c r="U244" s="254"/>
      <c r="V244" s="254"/>
      <c r="W244" s="254"/>
    </row>
    <row r="245" spans="13:23" ht="12.75" customHeight="1">
      <c r="M245" s="254"/>
      <c r="N245" s="254"/>
      <c r="O245" s="254"/>
      <c r="P245" s="254"/>
      <c r="Q245" s="254"/>
      <c r="R245" s="254"/>
      <c r="S245" s="254"/>
      <c r="T245" s="254"/>
      <c r="U245" s="254"/>
      <c r="V245" s="254"/>
      <c r="W245" s="254"/>
    </row>
    <row r="246" spans="13:23" ht="12.75" customHeight="1">
      <c r="M246" s="254"/>
      <c r="N246" s="254"/>
      <c r="O246" s="254"/>
      <c r="P246" s="254"/>
      <c r="Q246" s="254"/>
      <c r="R246" s="254"/>
      <c r="S246" s="254"/>
      <c r="T246" s="254"/>
      <c r="U246" s="254"/>
      <c r="V246" s="254"/>
      <c r="W246" s="254"/>
    </row>
    <row r="247" spans="13:23" ht="12.75" customHeight="1">
      <c r="M247" s="254"/>
      <c r="N247" s="254"/>
      <c r="O247" s="254"/>
      <c r="P247" s="254"/>
      <c r="Q247" s="254"/>
      <c r="R247" s="254"/>
      <c r="S247" s="254"/>
      <c r="T247" s="254"/>
      <c r="U247" s="254"/>
      <c r="V247" s="254"/>
      <c r="W247" s="254"/>
    </row>
    <row r="248" spans="13:23" ht="12.75" customHeight="1">
      <c r="M248" s="254"/>
      <c r="N248" s="254"/>
      <c r="O248" s="254"/>
      <c r="P248" s="254"/>
      <c r="Q248" s="254"/>
      <c r="R248" s="254"/>
      <c r="S248" s="254"/>
      <c r="T248" s="254"/>
      <c r="U248" s="254"/>
      <c r="V248" s="254"/>
      <c r="W248" s="254"/>
    </row>
    <row r="249" spans="13:23" ht="12.75" customHeight="1">
      <c r="M249" s="254"/>
      <c r="N249" s="254"/>
      <c r="O249" s="254"/>
      <c r="P249" s="254"/>
      <c r="Q249" s="254"/>
      <c r="R249" s="254"/>
      <c r="S249" s="254"/>
      <c r="T249" s="254"/>
      <c r="U249" s="254"/>
      <c r="V249" s="254"/>
      <c r="W249" s="254"/>
    </row>
    <row r="250" spans="13:23" ht="12.75" customHeight="1">
      <c r="M250" s="254"/>
      <c r="N250" s="254"/>
      <c r="O250" s="254"/>
      <c r="P250" s="254"/>
      <c r="Q250" s="254"/>
      <c r="R250" s="254"/>
      <c r="S250" s="254"/>
      <c r="T250" s="254"/>
      <c r="U250" s="254"/>
      <c r="V250" s="254"/>
      <c r="W250" s="254"/>
    </row>
    <row r="251" spans="13:23" ht="12.75" customHeight="1">
      <c r="M251" s="254"/>
      <c r="N251" s="254"/>
      <c r="O251" s="254"/>
      <c r="P251" s="254"/>
      <c r="Q251" s="254"/>
      <c r="R251" s="254"/>
      <c r="S251" s="254"/>
      <c r="T251" s="254"/>
      <c r="U251" s="254"/>
      <c r="V251" s="254"/>
      <c r="W251" s="254"/>
    </row>
    <row r="252" spans="13:23" ht="12.75" customHeight="1">
      <c r="M252" s="254"/>
      <c r="N252" s="254"/>
      <c r="O252" s="254"/>
      <c r="P252" s="254"/>
      <c r="Q252" s="254"/>
      <c r="R252" s="254"/>
      <c r="S252" s="254"/>
      <c r="T252" s="254"/>
      <c r="U252" s="254"/>
      <c r="V252" s="254"/>
      <c r="W252" s="254"/>
    </row>
    <row r="253" spans="13:23" ht="12.75" customHeight="1">
      <c r="M253" s="254"/>
      <c r="N253" s="254"/>
      <c r="O253" s="254"/>
      <c r="P253" s="254"/>
      <c r="Q253" s="254"/>
      <c r="R253" s="254"/>
      <c r="S253" s="254"/>
      <c r="T253" s="254"/>
      <c r="U253" s="254"/>
      <c r="V253" s="254"/>
      <c r="W253" s="254"/>
    </row>
    <row r="254" spans="13:23" ht="12.75" customHeight="1">
      <c r="M254" s="254"/>
      <c r="N254" s="254"/>
      <c r="O254" s="254"/>
      <c r="P254" s="254"/>
      <c r="Q254" s="254"/>
      <c r="R254" s="254"/>
      <c r="S254" s="254"/>
      <c r="T254" s="254"/>
      <c r="U254" s="254"/>
      <c r="V254" s="254"/>
      <c r="W254" s="254"/>
    </row>
    <row r="255" spans="13:23" ht="12.75" customHeight="1">
      <c r="M255" s="254"/>
      <c r="N255" s="254"/>
      <c r="O255" s="254"/>
      <c r="P255" s="254"/>
      <c r="Q255" s="254"/>
      <c r="R255" s="254"/>
      <c r="S255" s="254"/>
      <c r="T255" s="254"/>
      <c r="U255" s="254"/>
      <c r="V255" s="254"/>
      <c r="W255" s="254"/>
    </row>
    <row r="256" spans="13:23" ht="12.75" customHeight="1">
      <c r="M256" s="254"/>
      <c r="N256" s="254"/>
      <c r="O256" s="254"/>
      <c r="P256" s="254"/>
      <c r="Q256" s="254"/>
      <c r="R256" s="254"/>
      <c r="S256" s="254"/>
      <c r="T256" s="254"/>
      <c r="U256" s="254"/>
      <c r="V256" s="254"/>
      <c r="W256" s="254"/>
    </row>
    <row r="257" spans="13:23" ht="12.75" customHeight="1">
      <c r="M257" s="254"/>
      <c r="N257" s="254"/>
      <c r="O257" s="254"/>
      <c r="P257" s="254"/>
      <c r="Q257" s="254"/>
      <c r="R257" s="254"/>
      <c r="S257" s="254"/>
      <c r="T257" s="254"/>
      <c r="U257" s="254"/>
      <c r="V257" s="254"/>
      <c r="W257" s="254"/>
    </row>
    <row r="258" spans="13:23" ht="12.75" customHeight="1">
      <c r="M258" s="254"/>
      <c r="N258" s="254"/>
      <c r="O258" s="254"/>
      <c r="P258" s="254"/>
      <c r="Q258" s="254"/>
      <c r="R258" s="254"/>
      <c r="S258" s="254"/>
      <c r="T258" s="254"/>
      <c r="U258" s="254"/>
      <c r="V258" s="254"/>
      <c r="W258" s="254"/>
    </row>
    <row r="259" spans="13:23" ht="12.75" customHeight="1">
      <c r="M259" s="254"/>
      <c r="N259" s="254"/>
      <c r="O259" s="254"/>
      <c r="P259" s="254"/>
      <c r="Q259" s="254"/>
      <c r="R259" s="254"/>
      <c r="S259" s="254"/>
      <c r="T259" s="254"/>
      <c r="U259" s="254"/>
      <c r="V259" s="254"/>
      <c r="W259" s="254"/>
    </row>
    <row r="260" spans="13:23" ht="12.75" customHeight="1">
      <c r="M260" s="254"/>
      <c r="N260" s="254"/>
      <c r="O260" s="254"/>
      <c r="P260" s="254"/>
      <c r="Q260" s="254"/>
      <c r="R260" s="254"/>
      <c r="S260" s="254"/>
      <c r="T260" s="254"/>
      <c r="U260" s="254"/>
      <c r="V260" s="254"/>
      <c r="W260" s="254"/>
    </row>
    <row r="261" spans="13:23" ht="12.75" customHeight="1">
      <c r="M261" s="254"/>
      <c r="N261" s="254"/>
      <c r="O261" s="254"/>
      <c r="P261" s="254"/>
      <c r="Q261" s="254"/>
      <c r="R261" s="254"/>
      <c r="S261" s="254"/>
      <c r="T261" s="254"/>
      <c r="U261" s="254"/>
      <c r="V261" s="254"/>
      <c r="W261" s="254"/>
    </row>
    <row r="262" spans="13:23" ht="12.75" customHeight="1">
      <c r="M262" s="254"/>
      <c r="N262" s="254"/>
      <c r="O262" s="254"/>
      <c r="P262" s="254"/>
      <c r="Q262" s="254"/>
      <c r="R262" s="254"/>
      <c r="S262" s="254"/>
      <c r="T262" s="254"/>
      <c r="U262" s="254"/>
      <c r="V262" s="254"/>
      <c r="W262" s="254"/>
    </row>
    <row r="263" spans="13:23" ht="12.75" customHeight="1">
      <c r="M263" s="254"/>
      <c r="N263" s="254"/>
      <c r="O263" s="254"/>
      <c r="P263" s="254"/>
      <c r="Q263" s="254"/>
      <c r="R263" s="254"/>
      <c r="S263" s="254"/>
      <c r="T263" s="254"/>
      <c r="U263" s="254"/>
      <c r="V263" s="254"/>
      <c r="W263" s="254"/>
    </row>
    <row r="264" spans="13:23" ht="12.75" customHeight="1">
      <c r="M264" s="254"/>
      <c r="N264" s="254"/>
      <c r="O264" s="254"/>
      <c r="P264" s="254"/>
      <c r="Q264" s="254"/>
      <c r="R264" s="254"/>
      <c r="S264" s="254"/>
      <c r="T264" s="254"/>
      <c r="U264" s="254"/>
      <c r="V264" s="254"/>
      <c r="W264" s="254"/>
    </row>
    <row r="265" spans="13:23" ht="12.75" customHeight="1">
      <c r="M265" s="254"/>
      <c r="N265" s="254"/>
      <c r="O265" s="254"/>
      <c r="P265" s="254"/>
      <c r="Q265" s="254"/>
      <c r="R265" s="254"/>
      <c r="S265" s="254"/>
      <c r="T265" s="254"/>
      <c r="U265" s="254"/>
      <c r="V265" s="254"/>
      <c r="W265" s="254"/>
    </row>
    <row r="266" spans="13:23" ht="12.75" customHeight="1">
      <c r="M266" s="254"/>
      <c r="N266" s="254"/>
      <c r="O266" s="254"/>
      <c r="P266" s="254"/>
      <c r="Q266" s="254"/>
      <c r="R266" s="254"/>
      <c r="S266" s="254"/>
      <c r="T266" s="254"/>
      <c r="U266" s="254"/>
      <c r="V266" s="254"/>
      <c r="W266" s="254"/>
    </row>
    <row r="267" spans="13:23" ht="12.75" customHeight="1">
      <c r="M267" s="254"/>
      <c r="N267" s="254"/>
      <c r="O267" s="254"/>
      <c r="P267" s="254"/>
      <c r="Q267" s="254"/>
      <c r="R267" s="254"/>
      <c r="S267" s="254"/>
      <c r="T267" s="254"/>
      <c r="U267" s="254"/>
      <c r="V267" s="254"/>
      <c r="W267" s="254"/>
    </row>
    <row r="268" spans="13:23" ht="12.75" customHeight="1">
      <c r="M268" s="254"/>
      <c r="N268" s="254"/>
      <c r="O268" s="254"/>
      <c r="P268" s="254"/>
      <c r="Q268" s="254"/>
      <c r="R268" s="254"/>
      <c r="S268" s="254"/>
      <c r="T268" s="254"/>
      <c r="U268" s="254"/>
      <c r="V268" s="254"/>
      <c r="W268" s="254"/>
    </row>
    <row r="269" spans="13:23" ht="12.75" customHeight="1">
      <c r="M269" s="254"/>
      <c r="N269" s="254"/>
      <c r="O269" s="254"/>
      <c r="P269" s="254"/>
      <c r="Q269" s="254"/>
      <c r="R269" s="254"/>
      <c r="S269" s="254"/>
      <c r="T269" s="254"/>
      <c r="U269" s="254"/>
      <c r="V269" s="254"/>
      <c r="W269" s="254"/>
    </row>
    <row r="270" spans="13:23" ht="12.75" customHeight="1">
      <c r="M270" s="254"/>
      <c r="N270" s="254"/>
      <c r="O270" s="254"/>
      <c r="P270" s="254"/>
      <c r="Q270" s="254"/>
      <c r="R270" s="254"/>
      <c r="S270" s="254"/>
      <c r="T270" s="254"/>
      <c r="U270" s="254"/>
      <c r="V270" s="254"/>
      <c r="W270" s="254"/>
    </row>
    <row r="271" spans="13:23" ht="12.75" customHeight="1">
      <c r="M271" s="254"/>
      <c r="N271" s="254"/>
      <c r="O271" s="254"/>
      <c r="P271" s="254"/>
      <c r="Q271" s="254"/>
      <c r="R271" s="254"/>
      <c r="S271" s="254"/>
      <c r="T271" s="254"/>
      <c r="U271" s="254"/>
      <c r="V271" s="254"/>
      <c r="W271" s="254"/>
    </row>
    <row r="272" spans="13:23" ht="12.75" customHeight="1">
      <c r="M272" s="254"/>
      <c r="N272" s="254"/>
      <c r="O272" s="254"/>
      <c r="P272" s="254"/>
      <c r="Q272" s="254"/>
      <c r="R272" s="254"/>
      <c r="S272" s="254"/>
      <c r="T272" s="254"/>
      <c r="U272" s="254"/>
      <c r="V272" s="254"/>
      <c r="W272" s="254"/>
    </row>
    <row r="273" spans="13:23" ht="12.75" customHeight="1">
      <c r="M273" s="254"/>
      <c r="N273" s="254"/>
      <c r="O273" s="254"/>
      <c r="P273" s="254"/>
      <c r="Q273" s="254"/>
      <c r="R273" s="254"/>
      <c r="S273" s="254"/>
      <c r="T273" s="254"/>
      <c r="U273" s="254"/>
      <c r="V273" s="254"/>
      <c r="W273" s="254"/>
    </row>
    <row r="274" spans="13:23" ht="12.75" customHeight="1">
      <c r="M274" s="254"/>
      <c r="N274" s="254"/>
      <c r="O274" s="254"/>
      <c r="P274" s="254"/>
      <c r="Q274" s="254"/>
      <c r="R274" s="254"/>
      <c r="S274" s="254"/>
      <c r="T274" s="254"/>
      <c r="U274" s="254"/>
      <c r="V274" s="254"/>
      <c r="W274" s="254"/>
    </row>
    <row r="275" spans="13:23" ht="12.75" customHeight="1">
      <c r="M275" s="254"/>
      <c r="N275" s="254"/>
      <c r="O275" s="254"/>
      <c r="P275" s="254"/>
      <c r="Q275" s="254"/>
      <c r="R275" s="254"/>
      <c r="S275" s="254"/>
      <c r="T275" s="254"/>
      <c r="U275" s="254"/>
      <c r="V275" s="254"/>
      <c r="W275" s="254"/>
    </row>
    <row r="276" spans="13:23" ht="12.75" customHeight="1">
      <c r="M276" s="254"/>
      <c r="N276" s="254"/>
      <c r="O276" s="254"/>
      <c r="P276" s="254"/>
      <c r="Q276" s="254"/>
      <c r="R276" s="254"/>
      <c r="S276" s="254"/>
      <c r="T276" s="254"/>
      <c r="U276" s="254"/>
      <c r="V276" s="254"/>
      <c r="W276" s="254"/>
    </row>
    <row r="277" spans="13:23" ht="12.75" customHeight="1">
      <c r="M277" s="254"/>
      <c r="N277" s="254"/>
      <c r="O277" s="254"/>
      <c r="P277" s="254"/>
      <c r="Q277" s="254"/>
      <c r="R277" s="254"/>
      <c r="S277" s="254"/>
      <c r="T277" s="254"/>
      <c r="U277" s="254"/>
      <c r="V277" s="254"/>
      <c r="W277" s="254"/>
    </row>
    <row r="278" spans="13:23" ht="12.75" customHeight="1">
      <c r="M278" s="254"/>
      <c r="N278" s="254"/>
      <c r="O278" s="254"/>
      <c r="P278" s="254"/>
      <c r="Q278" s="254"/>
      <c r="R278" s="254"/>
      <c r="S278" s="254"/>
      <c r="T278" s="254"/>
      <c r="U278" s="254"/>
      <c r="V278" s="254"/>
      <c r="W278" s="254"/>
    </row>
    <row r="279" spans="13:23" ht="12.75" customHeight="1">
      <c r="M279" s="254"/>
      <c r="N279" s="254"/>
      <c r="O279" s="254"/>
      <c r="P279" s="254"/>
      <c r="Q279" s="254"/>
      <c r="R279" s="254"/>
      <c r="S279" s="254"/>
      <c r="T279" s="254"/>
      <c r="U279" s="254"/>
      <c r="V279" s="254"/>
      <c r="W279" s="254"/>
    </row>
    <row r="280" spans="13:23" ht="12.75" customHeight="1">
      <c r="M280" s="254"/>
      <c r="N280" s="254"/>
      <c r="O280" s="254"/>
      <c r="P280" s="254"/>
      <c r="Q280" s="254"/>
      <c r="R280" s="254"/>
      <c r="S280" s="254"/>
      <c r="T280" s="254"/>
      <c r="U280" s="254"/>
      <c r="V280" s="254"/>
      <c r="W280" s="254"/>
    </row>
    <row r="281" spans="13:23" ht="12.75" customHeight="1">
      <c r="M281" s="254"/>
      <c r="N281" s="254"/>
      <c r="O281" s="254"/>
      <c r="P281" s="254"/>
      <c r="Q281" s="254"/>
      <c r="R281" s="254"/>
      <c r="S281" s="254"/>
      <c r="T281" s="254"/>
      <c r="U281" s="254"/>
      <c r="V281" s="254"/>
      <c r="W281" s="254"/>
    </row>
    <row r="282" spans="13:23" ht="12.75" customHeight="1">
      <c r="M282" s="254"/>
      <c r="N282" s="254"/>
      <c r="O282" s="254"/>
      <c r="P282" s="254"/>
      <c r="Q282" s="254"/>
      <c r="R282" s="254"/>
      <c r="S282" s="254"/>
      <c r="T282" s="254"/>
      <c r="U282" s="254"/>
      <c r="V282" s="254"/>
      <c r="W282" s="254"/>
    </row>
    <row r="283" spans="13:23" ht="12.75" customHeight="1">
      <c r="M283" s="254"/>
      <c r="N283" s="254"/>
      <c r="O283" s="254"/>
      <c r="P283" s="254"/>
      <c r="Q283" s="254"/>
      <c r="R283" s="254"/>
      <c r="S283" s="254"/>
      <c r="T283" s="254"/>
      <c r="U283" s="254"/>
      <c r="V283" s="254"/>
      <c r="W283" s="254"/>
    </row>
    <row r="284" spans="13:23" ht="12.75" customHeight="1">
      <c r="M284" s="254"/>
      <c r="N284" s="254"/>
      <c r="O284" s="254"/>
      <c r="P284" s="254"/>
      <c r="Q284" s="254"/>
      <c r="R284" s="254"/>
      <c r="S284" s="254"/>
      <c r="T284" s="254"/>
      <c r="U284" s="254"/>
      <c r="V284" s="254"/>
      <c r="W284" s="254"/>
    </row>
    <row r="285" spans="13:23" ht="12.75" customHeight="1">
      <c r="M285" s="254"/>
      <c r="N285" s="254"/>
      <c r="O285" s="254"/>
      <c r="P285" s="254"/>
      <c r="Q285" s="254"/>
      <c r="R285" s="254"/>
      <c r="S285" s="254"/>
      <c r="T285" s="254"/>
      <c r="U285" s="254"/>
      <c r="V285" s="254"/>
      <c r="W285" s="254"/>
    </row>
    <row r="286" spans="13:23" ht="12.75" customHeight="1">
      <c r="M286" s="254"/>
      <c r="N286" s="254"/>
      <c r="O286" s="254"/>
      <c r="P286" s="254"/>
      <c r="Q286" s="254"/>
      <c r="R286" s="254"/>
      <c r="S286" s="254"/>
      <c r="T286" s="254"/>
      <c r="U286" s="254"/>
      <c r="V286" s="254"/>
      <c r="W286" s="254"/>
    </row>
    <row r="287" spans="13:23" ht="12.75" customHeight="1">
      <c r="M287" s="254"/>
      <c r="N287" s="254"/>
      <c r="O287" s="254"/>
      <c r="P287" s="254"/>
      <c r="Q287" s="254"/>
      <c r="R287" s="254"/>
      <c r="S287" s="254"/>
      <c r="T287" s="254"/>
      <c r="U287" s="254"/>
      <c r="V287" s="254"/>
      <c r="W287" s="254"/>
    </row>
    <row r="288" spans="13:23" ht="12.75" customHeight="1">
      <c r="M288" s="254"/>
      <c r="N288" s="254"/>
      <c r="O288" s="254"/>
      <c r="P288" s="254"/>
      <c r="Q288" s="254"/>
      <c r="R288" s="254"/>
      <c r="S288" s="254"/>
      <c r="T288" s="254"/>
      <c r="U288" s="254"/>
      <c r="V288" s="254"/>
      <c r="W288" s="254"/>
    </row>
    <row r="289" spans="13:23" ht="12.75" customHeight="1">
      <c r="M289" s="254"/>
      <c r="N289" s="254"/>
      <c r="O289" s="254"/>
      <c r="P289" s="254"/>
      <c r="Q289" s="254"/>
      <c r="R289" s="254"/>
      <c r="S289" s="254"/>
      <c r="T289" s="254"/>
      <c r="U289" s="254"/>
      <c r="V289" s="254"/>
      <c r="W289" s="254"/>
    </row>
  </sheetData>
  <mergeCells count="30">
    <mergeCell ref="B2:C3"/>
    <mergeCell ref="B6:C7"/>
    <mergeCell ref="M6:N7"/>
    <mergeCell ref="G7:I7"/>
    <mergeCell ref="G8:I8"/>
    <mergeCell ref="B9:C9"/>
    <mergeCell ref="G9:H9"/>
    <mergeCell ref="G10:H10"/>
    <mergeCell ref="G11:H11"/>
    <mergeCell ref="G12:H12"/>
    <mergeCell ref="G13:J13"/>
    <mergeCell ref="G14:H14"/>
    <mergeCell ref="G15:H15"/>
    <mergeCell ref="G16:H16"/>
    <mergeCell ref="G17:H17"/>
    <mergeCell ref="G18:H18"/>
    <mergeCell ref="G19:H19"/>
    <mergeCell ref="N20:O20"/>
    <mergeCell ref="P20:Q20"/>
    <mergeCell ref="G21:H21"/>
    <mergeCell ref="G22:H22"/>
    <mergeCell ref="B23:C23"/>
    <mergeCell ref="G23:H23"/>
    <mergeCell ref="G24:H24"/>
    <mergeCell ref="G25:H25"/>
    <mergeCell ref="B34:D34"/>
    <mergeCell ref="M34:O34"/>
    <mergeCell ref="B43:E43"/>
    <mergeCell ref="G43:I43"/>
    <mergeCell ref="B136:D137"/>
  </mergeCells>
  <dataValidations count="4">
    <dataValidation type="list" allowBlank="1" showErrorMessage="1" sqref="I21">
      <formula1>$C$144:$C$153</formula1>
      <formula2>0</formula2>
    </dataValidation>
    <dataValidation type="list" allowBlank="1" showErrorMessage="1" sqref="I22">
      <formula1>$D$143:$D$153</formula1>
      <formula2>0</formula2>
    </dataValidation>
    <dataValidation type="list" allowBlank="1" showErrorMessage="1" sqref="I23:I28">
      <formula1>$E$143:$E$153</formula1>
      <formula2>0</formula2>
    </dataValidation>
    <dataValidation type="list" allowBlank="1" showErrorMessage="1" sqref="I11">
      <formula1>$M$38:$M$40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5:V131"/>
  <sheetViews>
    <sheetView showGridLines="0" workbookViewId="0" topLeftCell="A22">
      <selection activeCell="A24" sqref="A24"/>
    </sheetView>
  </sheetViews>
  <sheetFormatPr defaultColWidth="9.00390625" defaultRowHeight="13.5"/>
  <cols>
    <col min="1" max="1" width="5.50390625" style="283" customWidth="1"/>
    <col min="2" max="2" width="7.125" style="283" customWidth="1"/>
    <col min="3" max="3" width="5.875" style="283" customWidth="1"/>
    <col min="4" max="4" width="4.50390625" style="283" customWidth="1"/>
    <col min="5" max="5" width="3.375" style="283" customWidth="1"/>
    <col min="6" max="12" width="4.625" style="283" customWidth="1"/>
    <col min="13" max="13" width="8.375" style="283" customWidth="1"/>
    <col min="14" max="14" width="14.375" style="283" customWidth="1"/>
    <col min="15" max="15" width="15.875" style="283" customWidth="1"/>
    <col min="16" max="20" width="6.50390625" style="283" customWidth="1"/>
    <col min="21" max="21" width="7.50390625" style="283" customWidth="1"/>
    <col min="22" max="22" width="6.50390625" style="283" customWidth="1"/>
    <col min="23" max="16384" width="9.00390625" style="284" customWidth="1"/>
  </cols>
  <sheetData>
    <row r="5" spans="1:15" ht="13.5">
      <c r="A5" s="285" t="s">
        <v>3</v>
      </c>
      <c r="B5" s="285"/>
      <c r="C5" s="285"/>
      <c r="D5" s="285"/>
      <c r="E5" s="285"/>
      <c r="F5" s="285" t="s">
        <v>6</v>
      </c>
      <c r="G5" s="285"/>
      <c r="H5" s="285"/>
      <c r="I5" s="285"/>
      <c r="J5" s="285"/>
      <c r="K5" s="285"/>
      <c r="L5" s="285"/>
      <c r="M5" s="285"/>
      <c r="N5" s="285"/>
      <c r="O5" s="285" t="s">
        <v>102</v>
      </c>
    </row>
    <row r="6" spans="1:22" ht="31.5">
      <c r="A6" s="286" t="s">
        <v>1</v>
      </c>
      <c r="B6" s="286" t="s">
        <v>103</v>
      </c>
      <c r="C6" s="286" t="s">
        <v>15</v>
      </c>
      <c r="D6" s="286" t="s">
        <v>16</v>
      </c>
      <c r="E6" s="286" t="s">
        <v>17</v>
      </c>
      <c r="F6" s="286" t="s">
        <v>104</v>
      </c>
      <c r="G6" s="286" t="s">
        <v>105</v>
      </c>
      <c r="H6" s="286" t="s">
        <v>106</v>
      </c>
      <c r="I6" s="286" t="s">
        <v>107</v>
      </c>
      <c r="J6" s="286" t="s">
        <v>108</v>
      </c>
      <c r="K6" s="286" t="s">
        <v>23</v>
      </c>
      <c r="L6" s="286" t="s">
        <v>109</v>
      </c>
      <c r="M6" s="286" t="s">
        <v>25</v>
      </c>
      <c r="N6" s="286" t="s">
        <v>110</v>
      </c>
      <c r="O6" s="286" t="s">
        <v>111</v>
      </c>
      <c r="P6" s="286" t="s">
        <v>104</v>
      </c>
      <c r="Q6" s="286" t="s">
        <v>105</v>
      </c>
      <c r="R6" s="286" t="s">
        <v>106</v>
      </c>
      <c r="S6" s="286" t="s">
        <v>107</v>
      </c>
      <c r="T6" s="286" t="s">
        <v>108</v>
      </c>
      <c r="U6" s="286" t="s">
        <v>23</v>
      </c>
      <c r="V6" s="286" t="s">
        <v>109</v>
      </c>
    </row>
    <row r="7" spans="1:15" ht="13.5">
      <c r="A7" s="283">
        <v>1001</v>
      </c>
      <c r="B7" s="283" t="s">
        <v>112</v>
      </c>
      <c r="C7" s="283" t="s">
        <v>113</v>
      </c>
      <c r="D7" s="283">
        <v>2.5</v>
      </c>
      <c r="E7" s="283" t="s">
        <v>88</v>
      </c>
      <c r="F7" s="283">
        <v>260</v>
      </c>
      <c r="G7" s="283">
        <v>330</v>
      </c>
      <c r="H7" s="283">
        <v>265</v>
      </c>
      <c r="I7" s="283">
        <v>420</v>
      </c>
      <c r="J7" s="283">
        <v>155</v>
      </c>
      <c r="K7" s="283">
        <v>10</v>
      </c>
      <c r="L7" s="283">
        <v>10</v>
      </c>
      <c r="M7" s="283" t="s">
        <v>114</v>
      </c>
      <c r="N7" s="283" t="s">
        <v>115</v>
      </c>
      <c r="O7" s="283" t="s">
        <v>116</v>
      </c>
    </row>
    <row r="8" spans="1:15" ht="13.5">
      <c r="A8" s="283">
        <v>1002</v>
      </c>
      <c r="B8" s="283" t="s">
        <v>117</v>
      </c>
      <c r="C8" s="283" t="s">
        <v>118</v>
      </c>
      <c r="D8" s="283">
        <v>3.5</v>
      </c>
      <c r="E8" s="283" t="s">
        <v>88</v>
      </c>
      <c r="F8" s="283">
        <v>400</v>
      </c>
      <c r="G8" s="283">
        <v>495</v>
      </c>
      <c r="H8" s="283">
        <v>390</v>
      </c>
      <c r="I8" s="283">
        <v>685</v>
      </c>
      <c r="J8" s="283">
        <v>270</v>
      </c>
      <c r="K8" s="283">
        <v>25</v>
      </c>
      <c r="L8" s="283">
        <v>10</v>
      </c>
      <c r="M8" s="283" t="s">
        <v>119</v>
      </c>
      <c r="N8" s="283" t="s">
        <v>120</v>
      </c>
      <c r="O8" s="283" t="s">
        <v>116</v>
      </c>
    </row>
    <row r="9" spans="1:15" ht="13.5">
      <c r="A9" s="283">
        <v>1003</v>
      </c>
      <c r="B9" s="283" t="s">
        <v>121</v>
      </c>
      <c r="C9" s="283" t="s">
        <v>118</v>
      </c>
      <c r="D9" s="283">
        <v>4</v>
      </c>
      <c r="E9" s="283" t="s">
        <v>88</v>
      </c>
      <c r="F9" s="283">
        <v>475</v>
      </c>
      <c r="G9" s="283">
        <v>625</v>
      </c>
      <c r="H9" s="283">
        <v>490</v>
      </c>
      <c r="I9" s="283">
        <v>840</v>
      </c>
      <c r="J9" s="283">
        <v>290</v>
      </c>
      <c r="K9" s="283">
        <v>13</v>
      </c>
      <c r="L9" s="283">
        <v>15</v>
      </c>
      <c r="M9" s="283" t="s">
        <v>119</v>
      </c>
      <c r="N9" s="283" t="s">
        <v>122</v>
      </c>
      <c r="O9" s="283" t="s">
        <v>116</v>
      </c>
    </row>
    <row r="10" spans="1:15" ht="13.5">
      <c r="A10" s="283">
        <v>1004</v>
      </c>
      <c r="B10" s="283" t="s">
        <v>123</v>
      </c>
      <c r="C10" s="283" t="s">
        <v>118</v>
      </c>
      <c r="D10" s="283">
        <v>3</v>
      </c>
      <c r="E10" s="283" t="s">
        <v>88</v>
      </c>
      <c r="F10" s="283">
        <v>360</v>
      </c>
      <c r="G10" s="283">
        <v>295</v>
      </c>
      <c r="H10" s="283">
        <v>255</v>
      </c>
      <c r="I10" s="283">
        <v>495</v>
      </c>
      <c r="J10" s="283">
        <v>90</v>
      </c>
      <c r="K10" s="283">
        <v>7</v>
      </c>
      <c r="L10" s="283">
        <v>10</v>
      </c>
      <c r="M10" s="283" t="s">
        <v>119</v>
      </c>
      <c r="N10" s="283" t="s">
        <v>124</v>
      </c>
      <c r="O10" s="283" t="s">
        <v>116</v>
      </c>
    </row>
    <row r="11" spans="1:15" ht="13.5">
      <c r="A11" s="283">
        <v>1005</v>
      </c>
      <c r="B11" s="283" t="s">
        <v>125</v>
      </c>
      <c r="C11" s="283" t="s">
        <v>113</v>
      </c>
      <c r="D11" s="283">
        <v>3</v>
      </c>
      <c r="E11" s="283" t="s">
        <v>126</v>
      </c>
      <c r="F11" s="283">
        <v>335</v>
      </c>
      <c r="G11" s="283">
        <v>345</v>
      </c>
      <c r="H11" s="283">
        <v>155</v>
      </c>
      <c r="I11" s="283">
        <v>300</v>
      </c>
      <c r="J11" s="283">
        <v>525</v>
      </c>
      <c r="K11" s="283">
        <v>10</v>
      </c>
      <c r="L11" s="283">
        <v>13</v>
      </c>
      <c r="M11" s="283" t="s">
        <v>119</v>
      </c>
      <c r="N11" s="283" t="s">
        <v>127</v>
      </c>
      <c r="O11" s="283" t="s">
        <v>116</v>
      </c>
    </row>
    <row r="12" spans="1:15" ht="13.5">
      <c r="A12" s="283">
        <v>1006</v>
      </c>
      <c r="B12" s="283" t="s">
        <v>128</v>
      </c>
      <c r="C12" s="283" t="s">
        <v>118</v>
      </c>
      <c r="D12" s="283">
        <v>3</v>
      </c>
      <c r="E12" s="283" t="s">
        <v>126</v>
      </c>
      <c r="F12" s="283">
        <v>350</v>
      </c>
      <c r="G12" s="283">
        <v>322</v>
      </c>
      <c r="H12" s="283">
        <v>145</v>
      </c>
      <c r="I12" s="283">
        <v>280</v>
      </c>
      <c r="J12" s="283">
        <v>490</v>
      </c>
      <c r="K12" s="283">
        <v>5</v>
      </c>
      <c r="L12" s="283">
        <v>14</v>
      </c>
      <c r="M12" s="283" t="s">
        <v>119</v>
      </c>
      <c r="N12" s="283" t="s">
        <v>129</v>
      </c>
      <c r="O12" s="283" t="s">
        <v>116</v>
      </c>
    </row>
    <row r="13" spans="1:15" ht="13.5">
      <c r="A13" s="283">
        <v>1007</v>
      </c>
      <c r="B13" s="283" t="s">
        <v>112</v>
      </c>
      <c r="C13" s="283" t="s">
        <v>130</v>
      </c>
      <c r="D13" s="283">
        <v>2.5</v>
      </c>
      <c r="E13" s="283" t="s">
        <v>88</v>
      </c>
      <c r="F13" s="283">
        <v>245</v>
      </c>
      <c r="G13" s="283">
        <v>325</v>
      </c>
      <c r="H13" s="283">
        <v>260</v>
      </c>
      <c r="I13" s="283">
        <v>440</v>
      </c>
      <c r="J13" s="283">
        <v>150</v>
      </c>
      <c r="K13" s="283">
        <v>10</v>
      </c>
      <c r="L13" s="283">
        <v>10</v>
      </c>
      <c r="M13" s="283" t="s">
        <v>114</v>
      </c>
      <c r="N13" s="283" t="s">
        <v>131</v>
      </c>
      <c r="O13" s="283" t="s">
        <v>132</v>
      </c>
    </row>
    <row r="14" spans="1:15" ht="13.5">
      <c r="A14" s="283">
        <v>1008</v>
      </c>
      <c r="B14" s="283" t="s">
        <v>117</v>
      </c>
      <c r="C14" s="283" t="s">
        <v>113</v>
      </c>
      <c r="D14" s="283">
        <v>2.5</v>
      </c>
      <c r="E14" s="283" t="s">
        <v>89</v>
      </c>
      <c r="F14" s="283">
        <v>190</v>
      </c>
      <c r="G14" s="283">
        <v>275</v>
      </c>
      <c r="H14" s="283">
        <v>370</v>
      </c>
      <c r="I14" s="283">
        <v>150</v>
      </c>
      <c r="J14" s="283">
        <v>210</v>
      </c>
      <c r="K14" s="283">
        <v>17</v>
      </c>
      <c r="L14" s="283">
        <v>9</v>
      </c>
      <c r="M14" s="283" t="s">
        <v>133</v>
      </c>
      <c r="N14" s="283" t="s">
        <v>134</v>
      </c>
      <c r="O14" s="283" t="s">
        <v>116</v>
      </c>
    </row>
    <row r="15" spans="1:15" ht="13.5">
      <c r="A15" s="283">
        <v>1009</v>
      </c>
      <c r="B15" s="283" t="s">
        <v>117</v>
      </c>
      <c r="C15" s="283" t="s">
        <v>130</v>
      </c>
      <c r="D15" s="283">
        <v>2.5</v>
      </c>
      <c r="E15" s="283" t="s">
        <v>89</v>
      </c>
      <c r="F15" s="283">
        <v>190</v>
      </c>
      <c r="G15" s="283">
        <v>260</v>
      </c>
      <c r="H15" s="283">
        <v>360</v>
      </c>
      <c r="I15" s="283">
        <v>140</v>
      </c>
      <c r="J15" s="283">
        <v>200</v>
      </c>
      <c r="K15" s="283">
        <v>16</v>
      </c>
      <c r="L15" s="283">
        <v>9</v>
      </c>
      <c r="M15" s="283" t="s">
        <v>119</v>
      </c>
      <c r="N15" s="283" t="s">
        <v>135</v>
      </c>
      <c r="O15" s="283" t="s">
        <v>132</v>
      </c>
    </row>
    <row r="16" spans="1:15" ht="13.5">
      <c r="A16" s="283">
        <v>1010</v>
      </c>
      <c r="B16" s="283" t="s">
        <v>121</v>
      </c>
      <c r="C16" s="283" t="s">
        <v>130</v>
      </c>
      <c r="D16" s="283">
        <v>2.5</v>
      </c>
      <c r="E16" s="283" t="s">
        <v>88</v>
      </c>
      <c r="F16" s="283">
        <v>270</v>
      </c>
      <c r="G16" s="283">
        <v>295</v>
      </c>
      <c r="H16" s="283">
        <v>265</v>
      </c>
      <c r="I16" s="283">
        <v>445</v>
      </c>
      <c r="J16" s="283">
        <v>144</v>
      </c>
      <c r="K16" s="283">
        <v>7</v>
      </c>
      <c r="L16" s="283">
        <v>10</v>
      </c>
      <c r="M16" s="283" t="s">
        <v>119</v>
      </c>
      <c r="N16" s="283" t="s">
        <v>136</v>
      </c>
      <c r="O16" s="283" t="s">
        <v>132</v>
      </c>
    </row>
    <row r="17" spans="1:15" ht="13.5">
      <c r="A17" s="283">
        <v>1011</v>
      </c>
      <c r="B17" s="283" t="s">
        <v>121</v>
      </c>
      <c r="C17" s="283" t="s">
        <v>113</v>
      </c>
      <c r="D17" s="283">
        <v>2.5</v>
      </c>
      <c r="E17" s="283" t="s">
        <v>88</v>
      </c>
      <c r="F17" s="283">
        <v>285</v>
      </c>
      <c r="G17" s="283">
        <v>300</v>
      </c>
      <c r="H17" s="283">
        <v>270</v>
      </c>
      <c r="I17" s="283">
        <v>455</v>
      </c>
      <c r="J17" s="283">
        <v>135</v>
      </c>
      <c r="K17" s="283">
        <v>7</v>
      </c>
      <c r="L17" s="283">
        <v>10</v>
      </c>
      <c r="M17" s="283" t="s">
        <v>119</v>
      </c>
      <c r="N17" s="283" t="s">
        <v>137</v>
      </c>
      <c r="O17" s="283" t="s">
        <v>132</v>
      </c>
    </row>
    <row r="18" spans="1:15" ht="13.5">
      <c r="A18" s="283">
        <v>1012</v>
      </c>
      <c r="B18" s="283" t="s">
        <v>123</v>
      </c>
      <c r="C18" s="283" t="s">
        <v>130</v>
      </c>
      <c r="D18" s="283">
        <v>2.5</v>
      </c>
      <c r="E18" s="283" t="s">
        <v>88</v>
      </c>
      <c r="F18" s="283">
        <v>290</v>
      </c>
      <c r="G18" s="283">
        <v>230</v>
      </c>
      <c r="H18" s="283">
        <v>210</v>
      </c>
      <c r="I18" s="283">
        <v>390</v>
      </c>
      <c r="J18" s="283">
        <v>70</v>
      </c>
      <c r="K18" s="283">
        <v>4</v>
      </c>
      <c r="L18" s="283">
        <v>10</v>
      </c>
      <c r="M18" s="283" t="s">
        <v>119</v>
      </c>
      <c r="N18" s="283" t="s">
        <v>138</v>
      </c>
      <c r="O18" s="283" t="s">
        <v>116</v>
      </c>
    </row>
    <row r="19" spans="1:15" ht="13.5">
      <c r="A19" s="283">
        <v>1013</v>
      </c>
      <c r="B19" s="283" t="s">
        <v>123</v>
      </c>
      <c r="C19" s="283" t="s">
        <v>139</v>
      </c>
      <c r="D19" s="283">
        <v>2.5</v>
      </c>
      <c r="E19" s="283" t="s">
        <v>88</v>
      </c>
      <c r="F19" s="283">
        <v>275</v>
      </c>
      <c r="G19" s="283">
        <v>230</v>
      </c>
      <c r="H19" s="283">
        <v>210</v>
      </c>
      <c r="I19" s="283">
        <v>390</v>
      </c>
      <c r="J19" s="283">
        <v>70</v>
      </c>
      <c r="K19" s="283">
        <v>4</v>
      </c>
      <c r="L19" s="283">
        <v>10</v>
      </c>
      <c r="M19" s="283" t="s">
        <v>119</v>
      </c>
      <c r="N19" s="283" t="s">
        <v>140</v>
      </c>
      <c r="O19" s="283" t="s">
        <v>132</v>
      </c>
    </row>
    <row r="20" spans="1:15" ht="13.5">
      <c r="A20" s="283">
        <v>1014</v>
      </c>
      <c r="B20" s="283" t="s">
        <v>141</v>
      </c>
      <c r="C20" s="283" t="s">
        <v>130</v>
      </c>
      <c r="D20" s="283">
        <v>2</v>
      </c>
      <c r="E20" s="283" t="s">
        <v>88</v>
      </c>
      <c r="F20" s="283">
        <v>220</v>
      </c>
      <c r="G20" s="283">
        <v>300</v>
      </c>
      <c r="H20" s="283">
        <v>240</v>
      </c>
      <c r="I20" s="283">
        <v>415</v>
      </c>
      <c r="J20" s="283">
        <v>165</v>
      </c>
      <c r="K20" s="283">
        <v>15</v>
      </c>
      <c r="L20" s="283">
        <v>10</v>
      </c>
      <c r="M20" s="283" t="s">
        <v>119</v>
      </c>
      <c r="N20" s="283" t="s">
        <v>142</v>
      </c>
      <c r="O20" s="283" t="s">
        <v>116</v>
      </c>
    </row>
    <row r="21" spans="1:15" ht="13.5">
      <c r="A21" s="283">
        <v>1015</v>
      </c>
      <c r="B21" s="283" t="s">
        <v>143</v>
      </c>
      <c r="C21" s="283" t="s">
        <v>130</v>
      </c>
      <c r="D21" s="283">
        <v>2</v>
      </c>
      <c r="E21" s="283" t="s">
        <v>89</v>
      </c>
      <c r="F21" s="283">
        <v>235</v>
      </c>
      <c r="G21" s="283">
        <v>255</v>
      </c>
      <c r="H21" s="283">
        <v>385</v>
      </c>
      <c r="I21" s="283">
        <v>115</v>
      </c>
      <c r="J21" s="283">
        <v>220</v>
      </c>
      <c r="K21" s="283">
        <v>5</v>
      </c>
      <c r="L21" s="283">
        <v>9</v>
      </c>
      <c r="M21" s="283" t="s">
        <v>119</v>
      </c>
      <c r="N21" s="283" t="s">
        <v>144</v>
      </c>
      <c r="O21" s="283" t="s">
        <v>116</v>
      </c>
    </row>
    <row r="22" spans="1:15" ht="13.5">
      <c r="A22" s="283">
        <v>1016</v>
      </c>
      <c r="B22" s="283" t="s">
        <v>145</v>
      </c>
      <c r="C22" s="283" t="s">
        <v>113</v>
      </c>
      <c r="D22" s="283">
        <v>2.5</v>
      </c>
      <c r="E22" s="283" t="s">
        <v>126</v>
      </c>
      <c r="F22" s="283">
        <v>240</v>
      </c>
      <c r="G22" s="283">
        <v>260</v>
      </c>
      <c r="H22" s="283">
        <v>140</v>
      </c>
      <c r="I22" s="283">
        <v>200</v>
      </c>
      <c r="J22" s="283">
        <v>360</v>
      </c>
      <c r="K22" s="283">
        <v>23</v>
      </c>
      <c r="L22" s="283">
        <v>13</v>
      </c>
      <c r="M22" s="283" t="s">
        <v>119</v>
      </c>
      <c r="N22" s="283" t="s">
        <v>146</v>
      </c>
      <c r="O22" s="283" t="s">
        <v>116</v>
      </c>
    </row>
    <row r="23" spans="1:15" ht="13.5">
      <c r="A23" s="283">
        <v>1017</v>
      </c>
      <c r="B23" s="283" t="s">
        <v>147</v>
      </c>
      <c r="C23" s="283" t="s">
        <v>130</v>
      </c>
      <c r="D23" s="283">
        <v>2</v>
      </c>
      <c r="E23" s="283" t="s">
        <v>88</v>
      </c>
      <c r="F23" s="283">
        <v>205</v>
      </c>
      <c r="G23" s="283">
        <v>235</v>
      </c>
      <c r="H23" s="283">
        <v>215</v>
      </c>
      <c r="I23" s="283">
        <v>360</v>
      </c>
      <c r="J23" s="283">
        <v>105</v>
      </c>
      <c r="K23" s="283">
        <v>5</v>
      </c>
      <c r="L23" s="283">
        <v>10</v>
      </c>
      <c r="M23" s="283" t="s">
        <v>114</v>
      </c>
      <c r="N23" s="283" t="s">
        <v>148</v>
      </c>
      <c r="O23" s="283" t="s">
        <v>116</v>
      </c>
    </row>
    <row r="24" spans="1:15" ht="13.5">
      <c r="A24" s="283">
        <v>1018</v>
      </c>
      <c r="B24" s="283" t="s">
        <v>147</v>
      </c>
      <c r="C24" s="283" t="s">
        <v>139</v>
      </c>
      <c r="D24" s="283">
        <v>2</v>
      </c>
      <c r="E24" s="283" t="s">
        <v>88</v>
      </c>
      <c r="F24" s="283">
        <v>200</v>
      </c>
      <c r="G24" s="283">
        <v>225</v>
      </c>
      <c r="H24" s="283">
        <v>205</v>
      </c>
      <c r="I24" s="283">
        <v>340</v>
      </c>
      <c r="J24" s="283">
        <v>100</v>
      </c>
      <c r="K24" s="283">
        <v>5</v>
      </c>
      <c r="L24" s="283">
        <v>10</v>
      </c>
      <c r="M24" s="283" t="s">
        <v>114</v>
      </c>
      <c r="N24" s="283" t="s">
        <v>149</v>
      </c>
      <c r="O24" s="283" t="s">
        <v>132</v>
      </c>
    </row>
    <row r="25" spans="1:15" ht="13.5">
      <c r="A25" s="283">
        <v>1019</v>
      </c>
      <c r="B25" s="283" t="s">
        <v>150</v>
      </c>
      <c r="C25" s="283" t="s">
        <v>130</v>
      </c>
      <c r="D25" s="283">
        <v>2.5</v>
      </c>
      <c r="E25" s="283" t="s">
        <v>126</v>
      </c>
      <c r="F25" s="283">
        <v>245</v>
      </c>
      <c r="G25" s="283">
        <v>245</v>
      </c>
      <c r="H25" s="283">
        <v>110</v>
      </c>
      <c r="I25" s="283">
        <v>215</v>
      </c>
      <c r="J25" s="283">
        <v>375</v>
      </c>
      <c r="K25" s="283">
        <v>6</v>
      </c>
      <c r="L25" s="283">
        <v>14</v>
      </c>
      <c r="M25" s="283" t="s">
        <v>119</v>
      </c>
      <c r="N25" s="283" t="s">
        <v>151</v>
      </c>
      <c r="O25" s="283" t="s">
        <v>116</v>
      </c>
    </row>
    <row r="26" spans="1:15" ht="13.5">
      <c r="A26" s="283">
        <v>1020</v>
      </c>
      <c r="B26" s="283" t="s">
        <v>150</v>
      </c>
      <c r="C26" s="283" t="s">
        <v>139</v>
      </c>
      <c r="D26" s="283">
        <v>2.5</v>
      </c>
      <c r="E26" s="283" t="s">
        <v>126</v>
      </c>
      <c r="F26" s="283">
        <v>235</v>
      </c>
      <c r="G26" s="283">
        <v>245</v>
      </c>
      <c r="H26" s="283">
        <v>110</v>
      </c>
      <c r="I26" s="283">
        <v>215</v>
      </c>
      <c r="J26" s="283">
        <v>375</v>
      </c>
      <c r="K26" s="283">
        <v>6</v>
      </c>
      <c r="L26" s="283">
        <v>14</v>
      </c>
      <c r="M26" s="283" t="s">
        <v>119</v>
      </c>
      <c r="N26" s="283" t="s">
        <v>152</v>
      </c>
      <c r="O26" s="283" t="s">
        <v>132</v>
      </c>
    </row>
    <row r="27" spans="1:15" ht="13.5">
      <c r="A27" s="283">
        <v>1021</v>
      </c>
      <c r="B27" s="283" t="s">
        <v>153</v>
      </c>
      <c r="C27" s="283" t="s">
        <v>130</v>
      </c>
      <c r="D27" s="283">
        <v>2</v>
      </c>
      <c r="E27" s="283" t="s">
        <v>88</v>
      </c>
      <c r="F27" s="283">
        <v>220</v>
      </c>
      <c r="G27" s="283">
        <v>125</v>
      </c>
      <c r="H27" s="283">
        <v>130</v>
      </c>
      <c r="I27" s="283">
        <v>235</v>
      </c>
      <c r="J27" s="283">
        <v>60</v>
      </c>
      <c r="K27" s="283">
        <v>4</v>
      </c>
      <c r="L27" s="283">
        <v>10</v>
      </c>
      <c r="M27" s="283" t="s">
        <v>119</v>
      </c>
      <c r="N27" s="283" t="s">
        <v>140</v>
      </c>
      <c r="O27" s="283" t="s">
        <v>116</v>
      </c>
    </row>
    <row r="28" spans="1:15" ht="13.5">
      <c r="A28" s="283">
        <v>1022</v>
      </c>
      <c r="B28" s="283" t="s">
        <v>154</v>
      </c>
      <c r="C28" s="283" t="s">
        <v>130</v>
      </c>
      <c r="D28" s="283">
        <v>2</v>
      </c>
      <c r="E28" s="283" t="s">
        <v>88</v>
      </c>
      <c r="F28" s="283">
        <v>195</v>
      </c>
      <c r="G28" s="283">
        <v>205</v>
      </c>
      <c r="H28" s="283">
        <v>190</v>
      </c>
      <c r="I28" s="283">
        <v>315</v>
      </c>
      <c r="J28" s="283">
        <v>95</v>
      </c>
      <c r="K28" s="283">
        <v>7</v>
      </c>
      <c r="L28" s="283">
        <v>10</v>
      </c>
      <c r="M28" s="283" t="s">
        <v>119</v>
      </c>
      <c r="N28" s="283" t="s">
        <v>155</v>
      </c>
      <c r="O28" s="283" t="s">
        <v>116</v>
      </c>
    </row>
    <row r="29" spans="1:15" ht="13.5">
      <c r="A29" s="283">
        <v>1023</v>
      </c>
      <c r="B29" s="283" t="s">
        <v>156</v>
      </c>
      <c r="C29" s="283" t="s">
        <v>130</v>
      </c>
      <c r="D29" s="283">
        <v>2</v>
      </c>
      <c r="E29" s="283" t="s">
        <v>157</v>
      </c>
      <c r="F29" s="283">
        <v>55</v>
      </c>
      <c r="G29" s="283">
        <v>85</v>
      </c>
      <c r="H29" s="283">
        <v>40</v>
      </c>
      <c r="I29" s="283">
        <v>40</v>
      </c>
      <c r="J29" s="283">
        <v>40</v>
      </c>
      <c r="K29" s="283">
        <v>12</v>
      </c>
      <c r="L29" s="283">
        <v>8</v>
      </c>
      <c r="M29" s="283" t="s">
        <v>133</v>
      </c>
      <c r="N29" s="283" t="s">
        <v>158</v>
      </c>
      <c r="O29" s="283" t="s">
        <v>116</v>
      </c>
    </row>
    <row r="30" spans="1:15" ht="13.5">
      <c r="A30" s="283">
        <v>1024</v>
      </c>
      <c r="B30" s="283" t="s">
        <v>156</v>
      </c>
      <c r="C30" s="283" t="s">
        <v>139</v>
      </c>
      <c r="D30" s="283">
        <v>2</v>
      </c>
      <c r="E30" s="283" t="s">
        <v>157</v>
      </c>
      <c r="F30" s="283">
        <v>55</v>
      </c>
      <c r="G30" s="283">
        <v>70</v>
      </c>
      <c r="H30" s="283">
        <v>35</v>
      </c>
      <c r="I30" s="283">
        <v>35</v>
      </c>
      <c r="J30" s="283">
        <v>35</v>
      </c>
      <c r="K30" s="283">
        <v>12</v>
      </c>
      <c r="L30" s="283">
        <v>8</v>
      </c>
      <c r="M30" s="283" t="s">
        <v>133</v>
      </c>
      <c r="N30" s="283" t="s">
        <v>159</v>
      </c>
      <c r="O30" s="283" t="s">
        <v>132</v>
      </c>
    </row>
    <row r="31" spans="1:15" ht="13.5">
      <c r="A31" s="283">
        <v>1025</v>
      </c>
      <c r="B31" s="283" t="s">
        <v>160</v>
      </c>
      <c r="C31" s="283" t="s">
        <v>130</v>
      </c>
      <c r="D31" s="283">
        <v>1.5</v>
      </c>
      <c r="E31" s="283" t="s">
        <v>88</v>
      </c>
      <c r="F31" s="283">
        <v>155</v>
      </c>
      <c r="G31" s="283">
        <v>100</v>
      </c>
      <c r="H31" s="283">
        <v>95</v>
      </c>
      <c r="I31" s="283">
        <v>165</v>
      </c>
      <c r="J31" s="283">
        <v>30</v>
      </c>
      <c r="K31" s="283">
        <v>1</v>
      </c>
      <c r="L31" s="283">
        <v>10</v>
      </c>
      <c r="M31" s="283" t="s">
        <v>119</v>
      </c>
      <c r="N31" s="283" t="s">
        <v>161</v>
      </c>
      <c r="O31" s="283" t="s">
        <v>132</v>
      </c>
    </row>
    <row r="32" spans="1:15" ht="13.5">
      <c r="A32" s="283">
        <v>1026</v>
      </c>
      <c r="B32" s="283" t="s">
        <v>160</v>
      </c>
      <c r="C32" s="283" t="s">
        <v>139</v>
      </c>
      <c r="D32" s="283">
        <v>1.5</v>
      </c>
      <c r="E32" s="283" t="s">
        <v>88</v>
      </c>
      <c r="F32" s="283">
        <v>145</v>
      </c>
      <c r="G32" s="283">
        <v>100</v>
      </c>
      <c r="H32" s="283">
        <v>95</v>
      </c>
      <c r="I32" s="283">
        <v>165</v>
      </c>
      <c r="J32" s="283">
        <v>30</v>
      </c>
      <c r="K32" s="283">
        <v>1</v>
      </c>
      <c r="L32" s="283">
        <v>10</v>
      </c>
      <c r="M32" s="283" t="s">
        <v>119</v>
      </c>
      <c r="N32" s="283" t="s">
        <v>162</v>
      </c>
      <c r="O32" s="283" t="s">
        <v>116</v>
      </c>
    </row>
    <row r="33" spans="1:15" ht="13.5">
      <c r="A33" s="283">
        <v>1027</v>
      </c>
      <c r="B33" s="283" t="s">
        <v>163</v>
      </c>
      <c r="C33" s="283" t="s">
        <v>130</v>
      </c>
      <c r="D33" s="283">
        <v>1.5</v>
      </c>
      <c r="E33" s="283" t="s">
        <v>157</v>
      </c>
      <c r="F33" s="283">
        <v>65</v>
      </c>
      <c r="G33" s="283">
        <v>55</v>
      </c>
      <c r="H33" s="283">
        <v>25</v>
      </c>
      <c r="I33" s="283">
        <v>25</v>
      </c>
      <c r="J33" s="283">
        <v>25</v>
      </c>
      <c r="K33" s="283">
        <v>9</v>
      </c>
      <c r="L33" s="283">
        <v>8</v>
      </c>
      <c r="M33" s="283" t="s">
        <v>133</v>
      </c>
      <c r="N33" s="283" t="s">
        <v>164</v>
      </c>
      <c r="O33" s="283" t="s">
        <v>116</v>
      </c>
    </row>
    <row r="34" spans="1:15" ht="13.5">
      <c r="A34" s="283">
        <v>1028</v>
      </c>
      <c r="B34" s="283" t="s">
        <v>163</v>
      </c>
      <c r="C34" s="283" t="s">
        <v>139</v>
      </c>
      <c r="D34" s="283">
        <v>1.5</v>
      </c>
      <c r="E34" s="283" t="s">
        <v>157</v>
      </c>
      <c r="F34" s="283">
        <v>65</v>
      </c>
      <c r="G34" s="283">
        <v>45</v>
      </c>
      <c r="H34" s="283">
        <v>20</v>
      </c>
      <c r="I34" s="283">
        <v>20</v>
      </c>
      <c r="J34" s="283">
        <v>20</v>
      </c>
      <c r="K34" s="283">
        <v>9</v>
      </c>
      <c r="L34" s="283">
        <v>8</v>
      </c>
      <c r="M34" s="283" t="s">
        <v>133</v>
      </c>
      <c r="N34" s="283" t="s">
        <v>165</v>
      </c>
      <c r="O34" s="283" t="s">
        <v>132</v>
      </c>
    </row>
    <row r="35" spans="1:15" ht="13.5">
      <c r="A35" s="283">
        <v>1029</v>
      </c>
      <c r="B35" s="283" t="s">
        <v>166</v>
      </c>
      <c r="C35" s="283" t="s">
        <v>130</v>
      </c>
      <c r="D35" s="283">
        <v>2</v>
      </c>
      <c r="E35" s="283" t="s">
        <v>88</v>
      </c>
      <c r="F35" s="283">
        <v>195</v>
      </c>
      <c r="G35" s="283">
        <v>170</v>
      </c>
      <c r="H35" s="283">
        <v>155</v>
      </c>
      <c r="I35" s="283">
        <v>255</v>
      </c>
      <c r="J35" s="283">
        <v>75</v>
      </c>
      <c r="K35" s="283">
        <v>5</v>
      </c>
      <c r="L35" s="283">
        <v>10</v>
      </c>
      <c r="M35" s="283" t="s">
        <v>119</v>
      </c>
      <c r="N35" s="283" t="s">
        <v>155</v>
      </c>
      <c r="O35" s="283" t="s">
        <v>116</v>
      </c>
    </row>
    <row r="36" spans="1:15" ht="13.5">
      <c r="A36" s="283">
        <v>1030</v>
      </c>
      <c r="B36" s="283" t="s">
        <v>166</v>
      </c>
      <c r="C36" s="283" t="s">
        <v>139</v>
      </c>
      <c r="D36" s="283">
        <v>2</v>
      </c>
      <c r="E36" s="283" t="s">
        <v>88</v>
      </c>
      <c r="F36" s="283">
        <v>185</v>
      </c>
      <c r="G36" s="283">
        <v>170</v>
      </c>
      <c r="H36" s="283">
        <v>155</v>
      </c>
      <c r="I36" s="283">
        <v>255</v>
      </c>
      <c r="J36" s="283">
        <v>75</v>
      </c>
      <c r="K36" s="283">
        <v>5</v>
      </c>
      <c r="L36" s="283">
        <v>10</v>
      </c>
      <c r="M36" s="283" t="s">
        <v>119</v>
      </c>
      <c r="N36" s="283" t="s">
        <v>136</v>
      </c>
      <c r="O36" s="283" t="s">
        <v>132</v>
      </c>
    </row>
    <row r="37" spans="1:15" ht="13.5">
      <c r="A37" s="283">
        <v>1031</v>
      </c>
      <c r="B37" s="283" t="s">
        <v>167</v>
      </c>
      <c r="C37" s="283" t="s">
        <v>130</v>
      </c>
      <c r="D37" s="283">
        <v>2.5</v>
      </c>
      <c r="E37" s="283" t="s">
        <v>88</v>
      </c>
      <c r="F37" s="283">
        <v>265</v>
      </c>
      <c r="G37" s="283">
        <v>235</v>
      </c>
      <c r="H37" s="283">
        <v>215</v>
      </c>
      <c r="I37" s="283">
        <v>400</v>
      </c>
      <c r="J37" s="283">
        <v>70</v>
      </c>
      <c r="K37" s="283">
        <v>7</v>
      </c>
      <c r="L37" s="283">
        <v>10</v>
      </c>
      <c r="M37" s="283" t="s">
        <v>119</v>
      </c>
      <c r="N37" s="283" t="s">
        <v>168</v>
      </c>
      <c r="O37" s="283" t="s">
        <v>116</v>
      </c>
    </row>
    <row r="38" spans="1:15" ht="13.5">
      <c r="A38" s="283">
        <v>1032</v>
      </c>
      <c r="B38" s="283" t="s">
        <v>167</v>
      </c>
      <c r="C38" s="283" t="s">
        <v>139</v>
      </c>
      <c r="D38" s="283">
        <v>2.5</v>
      </c>
      <c r="E38" s="283" t="s">
        <v>88</v>
      </c>
      <c r="F38" s="283">
        <v>250</v>
      </c>
      <c r="G38" s="283">
        <v>235</v>
      </c>
      <c r="H38" s="283">
        <v>215</v>
      </c>
      <c r="I38" s="283">
        <v>400</v>
      </c>
      <c r="J38" s="283">
        <v>70</v>
      </c>
      <c r="K38" s="283">
        <v>7</v>
      </c>
      <c r="L38" s="283">
        <v>10</v>
      </c>
      <c r="M38" s="283" t="s">
        <v>119</v>
      </c>
      <c r="N38" s="283" t="s">
        <v>136</v>
      </c>
      <c r="O38" s="283" t="s">
        <v>132</v>
      </c>
    </row>
    <row r="39" spans="1:15" ht="13.5">
      <c r="A39" s="283">
        <v>1033</v>
      </c>
      <c r="B39" s="283" t="s">
        <v>169</v>
      </c>
      <c r="C39" s="283" t="s">
        <v>130</v>
      </c>
      <c r="D39" s="283">
        <v>2</v>
      </c>
      <c r="E39" s="283" t="s">
        <v>126</v>
      </c>
      <c r="F39" s="283">
        <v>170</v>
      </c>
      <c r="G39" s="283">
        <v>200</v>
      </c>
      <c r="H39" s="283">
        <v>110</v>
      </c>
      <c r="I39" s="283">
        <v>155</v>
      </c>
      <c r="J39" s="283">
        <v>280</v>
      </c>
      <c r="K39" s="283">
        <v>13</v>
      </c>
      <c r="L39" s="283">
        <v>13</v>
      </c>
      <c r="M39" s="283" t="s">
        <v>133</v>
      </c>
      <c r="N39" s="283" t="s">
        <v>170</v>
      </c>
      <c r="O39" s="283" t="s">
        <v>116</v>
      </c>
    </row>
    <row r="40" spans="1:15" ht="13.5">
      <c r="A40" s="283">
        <v>1034</v>
      </c>
      <c r="B40" s="283" t="s">
        <v>169</v>
      </c>
      <c r="C40" s="283" t="s">
        <v>139</v>
      </c>
      <c r="D40" s="283">
        <v>2</v>
      </c>
      <c r="E40" s="283" t="s">
        <v>126</v>
      </c>
      <c r="F40" s="283">
        <v>165</v>
      </c>
      <c r="G40" s="283">
        <v>190</v>
      </c>
      <c r="H40" s="283">
        <v>105</v>
      </c>
      <c r="I40" s="283">
        <v>145</v>
      </c>
      <c r="J40" s="283">
        <v>260</v>
      </c>
      <c r="K40" s="283">
        <v>13</v>
      </c>
      <c r="L40" s="283">
        <v>13</v>
      </c>
      <c r="M40" s="283" t="s">
        <v>119</v>
      </c>
      <c r="N40" s="283" t="s">
        <v>162</v>
      </c>
      <c r="O40" s="283" t="s">
        <v>132</v>
      </c>
    </row>
    <row r="41" spans="1:15" ht="13.5">
      <c r="A41" s="283">
        <v>2001</v>
      </c>
      <c r="B41" s="283" t="s">
        <v>171</v>
      </c>
      <c r="C41" s="283" t="s">
        <v>118</v>
      </c>
      <c r="D41" s="283">
        <v>3.5</v>
      </c>
      <c r="E41" s="283" t="s">
        <v>126</v>
      </c>
      <c r="F41" s="283">
        <v>415</v>
      </c>
      <c r="G41" s="283">
        <v>520</v>
      </c>
      <c r="H41" s="283">
        <v>240</v>
      </c>
      <c r="I41" s="283">
        <v>410</v>
      </c>
      <c r="J41" s="283">
        <v>700</v>
      </c>
      <c r="K41" s="283">
        <v>22</v>
      </c>
      <c r="L41" s="283">
        <v>13</v>
      </c>
      <c r="M41" s="283" t="s">
        <v>119</v>
      </c>
      <c r="N41" s="283" t="s">
        <v>172</v>
      </c>
      <c r="O41" s="283" t="s">
        <v>132</v>
      </c>
    </row>
    <row r="42" spans="1:15" ht="13.5">
      <c r="A42" s="283">
        <v>2002</v>
      </c>
      <c r="B42" s="283" t="s">
        <v>173</v>
      </c>
      <c r="C42" s="283" t="s">
        <v>118</v>
      </c>
      <c r="D42" s="283">
        <v>3.5</v>
      </c>
      <c r="E42" s="283" t="s">
        <v>126</v>
      </c>
      <c r="F42" s="283">
        <v>385</v>
      </c>
      <c r="G42" s="283">
        <v>535</v>
      </c>
      <c r="H42" s="283">
        <v>290</v>
      </c>
      <c r="I42" s="283">
        <v>420</v>
      </c>
      <c r="J42" s="283">
        <v>740</v>
      </c>
      <c r="K42" s="283">
        <v>24</v>
      </c>
      <c r="L42" s="283">
        <v>13</v>
      </c>
      <c r="M42" s="283" t="s">
        <v>119</v>
      </c>
      <c r="N42" s="283" t="s">
        <v>174</v>
      </c>
      <c r="O42" s="283" t="s">
        <v>132</v>
      </c>
    </row>
    <row r="43" spans="1:15" ht="13.5">
      <c r="A43" s="283">
        <v>2003</v>
      </c>
      <c r="B43" s="283" t="s">
        <v>175</v>
      </c>
      <c r="C43" s="283" t="s">
        <v>113</v>
      </c>
      <c r="D43" s="283">
        <v>2</v>
      </c>
      <c r="E43" s="283" t="s">
        <v>89</v>
      </c>
      <c r="F43" s="283">
        <v>25</v>
      </c>
      <c r="G43" s="283">
        <v>135</v>
      </c>
      <c r="H43" s="283">
        <v>190</v>
      </c>
      <c r="I43" s="283">
        <v>55</v>
      </c>
      <c r="J43" s="283">
        <v>105</v>
      </c>
      <c r="K43" s="283">
        <v>15</v>
      </c>
      <c r="L43" s="283">
        <v>9</v>
      </c>
      <c r="M43" s="283" t="s">
        <v>133</v>
      </c>
      <c r="N43" s="283" t="s">
        <v>176</v>
      </c>
      <c r="O43" s="283" t="s">
        <v>116</v>
      </c>
    </row>
    <row r="44" spans="1:15" ht="13.5">
      <c r="A44" s="283">
        <v>2004</v>
      </c>
      <c r="B44" s="283" t="s">
        <v>177</v>
      </c>
      <c r="C44" s="283" t="s">
        <v>113</v>
      </c>
      <c r="D44" s="283">
        <v>2.5</v>
      </c>
      <c r="E44" s="283" t="s">
        <v>126</v>
      </c>
      <c r="F44" s="283">
        <v>275</v>
      </c>
      <c r="G44" s="283">
        <v>310</v>
      </c>
      <c r="H44" s="283">
        <v>140</v>
      </c>
      <c r="I44" s="283">
        <v>280</v>
      </c>
      <c r="J44" s="283">
        <v>475</v>
      </c>
      <c r="K44" s="283">
        <v>6</v>
      </c>
      <c r="L44" s="283">
        <v>13</v>
      </c>
      <c r="M44" s="283" t="s">
        <v>119</v>
      </c>
      <c r="N44" s="283" t="s">
        <v>178</v>
      </c>
      <c r="O44" s="283" t="s">
        <v>132</v>
      </c>
    </row>
    <row r="45" spans="1:15" ht="13.5">
      <c r="A45" s="283">
        <v>2005</v>
      </c>
      <c r="B45" s="283" t="s">
        <v>179</v>
      </c>
      <c r="C45" s="283" t="s">
        <v>118</v>
      </c>
      <c r="D45" s="283">
        <v>3</v>
      </c>
      <c r="E45" s="283" t="s">
        <v>126</v>
      </c>
      <c r="F45" s="283">
        <v>320</v>
      </c>
      <c r="G45" s="283">
        <v>390</v>
      </c>
      <c r="H45" s="283">
        <v>170</v>
      </c>
      <c r="I45" s="283">
        <v>330</v>
      </c>
      <c r="J45" s="283">
        <v>595</v>
      </c>
      <c r="K45" s="283">
        <v>11</v>
      </c>
      <c r="L45" s="283">
        <v>13</v>
      </c>
      <c r="M45" s="283" t="s">
        <v>119</v>
      </c>
      <c r="N45" s="283" t="s">
        <v>180</v>
      </c>
      <c r="O45" s="283" t="s">
        <v>116</v>
      </c>
    </row>
    <row r="46" spans="1:15" ht="13.5">
      <c r="A46" s="283">
        <v>2006</v>
      </c>
      <c r="B46" s="283" t="s">
        <v>181</v>
      </c>
      <c r="C46" s="283" t="s">
        <v>113</v>
      </c>
      <c r="D46" s="283">
        <v>2.5</v>
      </c>
      <c r="E46" s="283" t="s">
        <v>126</v>
      </c>
      <c r="F46" s="283">
        <v>270</v>
      </c>
      <c r="G46" s="283">
        <v>315</v>
      </c>
      <c r="H46" s="283">
        <v>145</v>
      </c>
      <c r="I46" s="283">
        <v>285</v>
      </c>
      <c r="J46" s="283">
        <v>480</v>
      </c>
      <c r="K46" s="283">
        <v>8</v>
      </c>
      <c r="L46" s="283">
        <v>13</v>
      </c>
      <c r="M46" s="283" t="s">
        <v>119</v>
      </c>
      <c r="N46" s="283" t="s">
        <v>182</v>
      </c>
      <c r="O46" s="283" t="s">
        <v>132</v>
      </c>
    </row>
    <row r="47" spans="1:15" ht="13.5">
      <c r="A47" s="283">
        <v>2007</v>
      </c>
      <c r="B47" s="283" t="s">
        <v>171</v>
      </c>
      <c r="C47" s="283" t="s">
        <v>113</v>
      </c>
      <c r="D47" s="283">
        <v>3</v>
      </c>
      <c r="E47" s="283" t="s">
        <v>126</v>
      </c>
      <c r="F47" s="283">
        <v>310</v>
      </c>
      <c r="G47" s="283">
        <v>370</v>
      </c>
      <c r="H47" s="283">
        <v>170</v>
      </c>
      <c r="I47" s="283">
        <v>295</v>
      </c>
      <c r="J47" s="283">
        <v>500</v>
      </c>
      <c r="K47" s="283">
        <v>16</v>
      </c>
      <c r="L47" s="283">
        <v>13</v>
      </c>
      <c r="M47" s="283" t="s">
        <v>119</v>
      </c>
      <c r="N47" s="283" t="s">
        <v>183</v>
      </c>
      <c r="O47" s="283" t="s">
        <v>116</v>
      </c>
    </row>
    <row r="48" spans="1:15" ht="13.5">
      <c r="A48" s="283">
        <v>2008</v>
      </c>
      <c r="B48" s="283" t="s">
        <v>171</v>
      </c>
      <c r="C48" s="283" t="s">
        <v>130</v>
      </c>
      <c r="D48" s="283">
        <v>3</v>
      </c>
      <c r="E48" s="283" t="s">
        <v>126</v>
      </c>
      <c r="F48" s="283">
        <v>300</v>
      </c>
      <c r="G48" s="283">
        <v>370</v>
      </c>
      <c r="H48" s="283">
        <v>170</v>
      </c>
      <c r="I48" s="283">
        <v>295</v>
      </c>
      <c r="J48" s="283">
        <v>500</v>
      </c>
      <c r="K48" s="283">
        <v>15</v>
      </c>
      <c r="L48" s="283">
        <v>13</v>
      </c>
      <c r="M48" s="283" t="s">
        <v>119</v>
      </c>
      <c r="N48" s="283" t="s">
        <v>184</v>
      </c>
      <c r="O48" s="283" t="s">
        <v>132</v>
      </c>
    </row>
    <row r="49" spans="1:15" ht="13.5">
      <c r="A49" s="283">
        <v>2009</v>
      </c>
      <c r="B49" s="283" t="s">
        <v>185</v>
      </c>
      <c r="C49" s="283" t="s">
        <v>130</v>
      </c>
      <c r="D49" s="283">
        <v>2.5</v>
      </c>
      <c r="E49" s="283" t="s">
        <v>126</v>
      </c>
      <c r="F49" s="283">
        <v>260</v>
      </c>
      <c r="G49" s="283">
        <v>305</v>
      </c>
      <c r="H49" s="283">
        <v>140</v>
      </c>
      <c r="I49" s="283">
        <v>275</v>
      </c>
      <c r="J49" s="283">
        <v>465</v>
      </c>
      <c r="K49" s="283">
        <v>6</v>
      </c>
      <c r="L49" s="283">
        <v>13</v>
      </c>
      <c r="M49" s="283" t="s">
        <v>119</v>
      </c>
      <c r="N49" s="283" t="s">
        <v>186</v>
      </c>
      <c r="O49" s="283" t="s">
        <v>116</v>
      </c>
    </row>
    <row r="50" spans="1:15" ht="13.5">
      <c r="A50" s="283">
        <v>2010</v>
      </c>
      <c r="B50" s="283" t="s">
        <v>187</v>
      </c>
      <c r="C50" s="283" t="s">
        <v>130</v>
      </c>
      <c r="D50" s="283">
        <v>2.5</v>
      </c>
      <c r="E50" s="283" t="s">
        <v>89</v>
      </c>
      <c r="F50" s="283">
        <v>275</v>
      </c>
      <c r="G50" s="283">
        <v>270</v>
      </c>
      <c r="H50" s="283">
        <v>410</v>
      </c>
      <c r="I50" s="283">
        <v>120</v>
      </c>
      <c r="J50" s="283">
        <v>235</v>
      </c>
      <c r="K50" s="283">
        <v>5</v>
      </c>
      <c r="L50" s="283">
        <v>9</v>
      </c>
      <c r="M50" s="283" t="s">
        <v>119</v>
      </c>
      <c r="N50" s="283" t="s">
        <v>188</v>
      </c>
      <c r="O50" s="283" t="s">
        <v>132</v>
      </c>
    </row>
    <row r="51" spans="1:15" ht="13.5">
      <c r="A51" s="283">
        <v>2011</v>
      </c>
      <c r="B51" s="283" t="s">
        <v>189</v>
      </c>
      <c r="C51" s="283" t="s">
        <v>139</v>
      </c>
      <c r="D51" s="283">
        <v>2.5</v>
      </c>
      <c r="E51" s="283" t="s">
        <v>89</v>
      </c>
      <c r="F51" s="283">
        <v>265</v>
      </c>
      <c r="G51" s="283">
        <v>270</v>
      </c>
      <c r="H51" s="283">
        <v>410</v>
      </c>
      <c r="I51" s="283">
        <v>120</v>
      </c>
      <c r="J51" s="283">
        <v>235</v>
      </c>
      <c r="K51" s="283">
        <v>5</v>
      </c>
      <c r="L51" s="283">
        <v>9</v>
      </c>
      <c r="M51" s="283" t="s">
        <v>119</v>
      </c>
      <c r="N51" s="283" t="s">
        <v>190</v>
      </c>
      <c r="O51" s="283" t="s">
        <v>116</v>
      </c>
    </row>
    <row r="52" spans="1:15" ht="13.5">
      <c r="A52" s="283">
        <v>2012</v>
      </c>
      <c r="B52" s="283" t="s">
        <v>191</v>
      </c>
      <c r="C52" s="283" t="s">
        <v>130</v>
      </c>
      <c r="D52" s="283">
        <v>3</v>
      </c>
      <c r="E52" s="283" t="s">
        <v>88</v>
      </c>
      <c r="F52" s="283">
        <v>230</v>
      </c>
      <c r="G52" s="283">
        <v>390</v>
      </c>
      <c r="H52" s="283">
        <v>340</v>
      </c>
      <c r="I52" s="283">
        <v>665</v>
      </c>
      <c r="J52" s="283">
        <v>120</v>
      </c>
      <c r="K52" s="283">
        <v>3</v>
      </c>
      <c r="L52" s="283">
        <v>10</v>
      </c>
      <c r="M52" s="283" t="s">
        <v>114</v>
      </c>
      <c r="N52" s="283" t="s">
        <v>148</v>
      </c>
      <c r="O52" s="283" t="s">
        <v>132</v>
      </c>
    </row>
    <row r="53" spans="1:15" ht="13.5">
      <c r="A53" s="283">
        <v>2013</v>
      </c>
      <c r="B53" s="283" t="s">
        <v>192</v>
      </c>
      <c r="C53" s="283" t="s">
        <v>113</v>
      </c>
      <c r="D53" s="283">
        <v>3</v>
      </c>
      <c r="E53" s="283" t="s">
        <v>88</v>
      </c>
      <c r="F53" s="283">
        <v>225</v>
      </c>
      <c r="G53" s="283">
        <v>395</v>
      </c>
      <c r="H53" s="283">
        <v>345</v>
      </c>
      <c r="I53" s="283">
        <v>675</v>
      </c>
      <c r="J53" s="283">
        <v>120</v>
      </c>
      <c r="K53" s="283">
        <v>4</v>
      </c>
      <c r="L53" s="283">
        <v>10</v>
      </c>
      <c r="M53" s="283" t="s">
        <v>114</v>
      </c>
      <c r="N53" s="283" t="s">
        <v>193</v>
      </c>
      <c r="O53" s="283" t="s">
        <v>116</v>
      </c>
    </row>
    <row r="54" spans="1:21" ht="13.5">
      <c r="A54" s="283">
        <v>2014</v>
      </c>
      <c r="B54" s="283" t="s">
        <v>194</v>
      </c>
      <c r="C54" s="283" t="s">
        <v>130</v>
      </c>
      <c r="D54" s="283">
        <v>2.5</v>
      </c>
      <c r="E54" s="283" t="s">
        <v>126</v>
      </c>
      <c r="F54" s="283">
        <v>245</v>
      </c>
      <c r="G54" s="283">
        <v>320</v>
      </c>
      <c r="H54" s="283">
        <v>145</v>
      </c>
      <c r="I54" s="283">
        <v>290</v>
      </c>
      <c r="J54" s="283">
        <v>490</v>
      </c>
      <c r="K54" s="283">
        <v>6</v>
      </c>
      <c r="L54" s="283">
        <v>13</v>
      </c>
      <c r="M54" s="283" t="s">
        <v>119</v>
      </c>
      <c r="N54" s="283" t="s">
        <v>151</v>
      </c>
      <c r="O54" s="283" t="s">
        <v>116</v>
      </c>
      <c r="U54" s="287"/>
    </row>
    <row r="55" spans="1:22" ht="13.5">
      <c r="A55" s="283">
        <v>2015</v>
      </c>
      <c r="B55" s="283" t="s">
        <v>194</v>
      </c>
      <c r="C55" s="283" t="s">
        <v>139</v>
      </c>
      <c r="D55" s="283">
        <v>2.5</v>
      </c>
      <c r="E55" s="283" t="s">
        <v>126</v>
      </c>
      <c r="F55" s="283">
        <v>245</v>
      </c>
      <c r="G55" s="283">
        <v>305</v>
      </c>
      <c r="H55" s="283">
        <v>140</v>
      </c>
      <c r="I55" s="283">
        <v>275</v>
      </c>
      <c r="J55" s="283">
        <v>465</v>
      </c>
      <c r="K55" s="283">
        <v>6</v>
      </c>
      <c r="L55" s="283">
        <v>13</v>
      </c>
      <c r="M55" s="283" t="s">
        <v>119</v>
      </c>
      <c r="N55" s="283" t="s">
        <v>152</v>
      </c>
      <c r="O55" s="283" t="s">
        <v>132</v>
      </c>
      <c r="P55" s="283">
        <f>F55*0.094</f>
        <v>23.03</v>
      </c>
      <c r="Q55" s="283">
        <f>G55*0.094</f>
        <v>28.67</v>
      </c>
      <c r="R55" s="283">
        <f>H55*0.094</f>
        <v>13.16</v>
      </c>
      <c r="S55" s="283">
        <f>I55*0.094</f>
        <v>25.85</v>
      </c>
      <c r="T55" s="283">
        <f>J55*0.094</f>
        <v>43.71</v>
      </c>
      <c r="U55" s="288">
        <f>K55*0.0016</f>
        <v>0.009600000000000001</v>
      </c>
      <c r="V55" s="289">
        <f>L55*0.012</f>
        <v>0.156</v>
      </c>
    </row>
    <row r="56" spans="1:22" ht="13.5">
      <c r="A56" s="283">
        <v>2016</v>
      </c>
      <c r="B56" s="283" t="s">
        <v>195</v>
      </c>
      <c r="C56" s="283" t="s">
        <v>130</v>
      </c>
      <c r="D56" s="283">
        <v>2.5</v>
      </c>
      <c r="E56" s="283" t="s">
        <v>88</v>
      </c>
      <c r="F56" s="283">
        <v>275</v>
      </c>
      <c r="G56" s="283">
        <v>320</v>
      </c>
      <c r="H56" s="283">
        <v>245</v>
      </c>
      <c r="I56" s="283">
        <v>440</v>
      </c>
      <c r="J56" s="283">
        <v>175</v>
      </c>
      <c r="K56" s="283">
        <v>9</v>
      </c>
      <c r="L56" s="283">
        <v>10</v>
      </c>
      <c r="M56" s="283" t="s">
        <v>119</v>
      </c>
      <c r="N56" s="283" t="s">
        <v>168</v>
      </c>
      <c r="O56" s="283" t="s">
        <v>132</v>
      </c>
      <c r="U56" s="288"/>
      <c r="V56" s="289"/>
    </row>
    <row r="57" spans="1:15" ht="13.5">
      <c r="A57" s="283">
        <v>2017</v>
      </c>
      <c r="B57" s="283" t="s">
        <v>196</v>
      </c>
      <c r="C57" s="283" t="s">
        <v>130</v>
      </c>
      <c r="D57" s="283">
        <v>2</v>
      </c>
      <c r="E57" s="283" t="s">
        <v>126</v>
      </c>
      <c r="F57" s="283">
        <v>185</v>
      </c>
      <c r="G57" s="283">
        <v>245</v>
      </c>
      <c r="H57" s="283">
        <v>110</v>
      </c>
      <c r="I57" s="283">
        <v>225</v>
      </c>
      <c r="J57" s="283">
        <v>375</v>
      </c>
      <c r="K57" s="283">
        <v>9</v>
      </c>
      <c r="L57" s="283">
        <v>13</v>
      </c>
      <c r="M57" s="283" t="s">
        <v>114</v>
      </c>
      <c r="N57" s="283" t="s">
        <v>148</v>
      </c>
      <c r="O57" s="283" t="s">
        <v>116</v>
      </c>
    </row>
    <row r="58" spans="1:15" ht="13.5">
      <c r="A58" s="283">
        <v>2018</v>
      </c>
      <c r="B58" s="283" t="s">
        <v>196</v>
      </c>
      <c r="C58" s="283" t="s">
        <v>139</v>
      </c>
      <c r="D58" s="283">
        <v>2</v>
      </c>
      <c r="E58" s="283" t="s">
        <v>126</v>
      </c>
      <c r="F58" s="283">
        <v>185</v>
      </c>
      <c r="G58" s="283">
        <v>245</v>
      </c>
      <c r="H58" s="283">
        <v>110</v>
      </c>
      <c r="I58" s="283">
        <v>225</v>
      </c>
      <c r="J58" s="283">
        <v>375</v>
      </c>
      <c r="K58" s="283">
        <v>8</v>
      </c>
      <c r="L58" s="283">
        <v>13</v>
      </c>
      <c r="M58" s="283" t="s">
        <v>119</v>
      </c>
      <c r="N58" s="283" t="s">
        <v>152</v>
      </c>
      <c r="O58" s="283" t="s">
        <v>132</v>
      </c>
    </row>
    <row r="59" spans="1:15" ht="13.5">
      <c r="A59" s="283">
        <v>2019</v>
      </c>
      <c r="B59" s="283" t="s">
        <v>181</v>
      </c>
      <c r="C59" s="283" t="s">
        <v>130</v>
      </c>
      <c r="D59" s="283">
        <v>2.5</v>
      </c>
      <c r="E59" s="283" t="s">
        <v>126</v>
      </c>
      <c r="F59" s="283">
        <v>255</v>
      </c>
      <c r="G59" s="283">
        <v>310</v>
      </c>
      <c r="H59" s="283">
        <v>140</v>
      </c>
      <c r="I59" s="283">
        <v>280</v>
      </c>
      <c r="J59" s="283">
        <v>475</v>
      </c>
      <c r="K59" s="283">
        <v>8</v>
      </c>
      <c r="L59" s="283">
        <v>13</v>
      </c>
      <c r="M59" s="283" t="s">
        <v>119</v>
      </c>
      <c r="N59" s="283" t="s">
        <v>197</v>
      </c>
      <c r="O59" s="283" t="s">
        <v>116</v>
      </c>
    </row>
    <row r="60" spans="1:15" ht="13.5">
      <c r="A60" s="283">
        <v>2020</v>
      </c>
      <c r="B60" s="283" t="s">
        <v>198</v>
      </c>
      <c r="C60" s="283" t="s">
        <v>130</v>
      </c>
      <c r="D60" s="283">
        <v>2</v>
      </c>
      <c r="E60" s="283" t="s">
        <v>89</v>
      </c>
      <c r="F60" s="283">
        <v>180</v>
      </c>
      <c r="G60" s="283">
        <v>235</v>
      </c>
      <c r="H60" s="283">
        <v>360</v>
      </c>
      <c r="I60" s="283">
        <v>105</v>
      </c>
      <c r="J60" s="283">
        <v>205</v>
      </c>
      <c r="K60" s="283">
        <v>9</v>
      </c>
      <c r="L60" s="283">
        <v>9</v>
      </c>
      <c r="M60" s="283" t="s">
        <v>119</v>
      </c>
      <c r="N60" s="283" t="s">
        <v>188</v>
      </c>
      <c r="O60" s="283" t="s">
        <v>132</v>
      </c>
    </row>
    <row r="61" spans="1:15" ht="13.5">
      <c r="A61" s="283">
        <v>2021</v>
      </c>
      <c r="B61" s="283" t="s">
        <v>198</v>
      </c>
      <c r="C61" s="283" t="s">
        <v>139</v>
      </c>
      <c r="D61" s="283">
        <v>2</v>
      </c>
      <c r="E61" s="283" t="s">
        <v>89</v>
      </c>
      <c r="F61" s="283">
        <v>175</v>
      </c>
      <c r="G61" s="283">
        <v>225</v>
      </c>
      <c r="H61" s="283">
        <v>340</v>
      </c>
      <c r="I61" s="283">
        <v>100</v>
      </c>
      <c r="J61" s="283">
        <v>195</v>
      </c>
      <c r="K61" s="283">
        <v>9</v>
      </c>
      <c r="L61" s="283">
        <v>9</v>
      </c>
      <c r="M61" s="283" t="s">
        <v>114</v>
      </c>
      <c r="N61" s="283" t="s">
        <v>199</v>
      </c>
      <c r="O61" s="283" t="s">
        <v>116</v>
      </c>
    </row>
    <row r="62" spans="1:15" ht="13.5">
      <c r="A62" s="283">
        <v>2022</v>
      </c>
      <c r="B62" s="283" t="s">
        <v>200</v>
      </c>
      <c r="C62" s="283" t="s">
        <v>130</v>
      </c>
      <c r="D62" s="283">
        <v>2.5</v>
      </c>
      <c r="E62" s="283" t="s">
        <v>88</v>
      </c>
      <c r="F62" s="283">
        <v>225</v>
      </c>
      <c r="G62" s="283">
        <v>305</v>
      </c>
      <c r="H62" s="283">
        <v>265</v>
      </c>
      <c r="I62" s="283">
        <v>465</v>
      </c>
      <c r="J62" s="283">
        <v>140</v>
      </c>
      <c r="K62" s="283">
        <v>8</v>
      </c>
      <c r="L62" s="283">
        <v>10</v>
      </c>
      <c r="M62" s="283" t="s">
        <v>114</v>
      </c>
      <c r="N62" s="283" t="s">
        <v>148</v>
      </c>
      <c r="O62" s="283" t="s">
        <v>116</v>
      </c>
    </row>
    <row r="63" spans="1:15" ht="13.5">
      <c r="A63" s="283">
        <v>2023</v>
      </c>
      <c r="B63" s="283" t="s">
        <v>200</v>
      </c>
      <c r="C63" s="283" t="s">
        <v>139</v>
      </c>
      <c r="D63" s="283">
        <v>2.5</v>
      </c>
      <c r="E63" s="283" t="s">
        <v>88</v>
      </c>
      <c r="F63" s="283">
        <v>225</v>
      </c>
      <c r="G63" s="283">
        <v>305</v>
      </c>
      <c r="H63" s="283">
        <v>265</v>
      </c>
      <c r="I63" s="283">
        <v>465</v>
      </c>
      <c r="J63" s="283">
        <v>140</v>
      </c>
      <c r="K63" s="283">
        <v>7</v>
      </c>
      <c r="L63" s="283">
        <v>10</v>
      </c>
      <c r="M63" s="283" t="s">
        <v>114</v>
      </c>
      <c r="N63" s="283" t="s">
        <v>149</v>
      </c>
      <c r="O63" s="283" t="s">
        <v>116</v>
      </c>
    </row>
    <row r="64" spans="1:15" ht="13.5">
      <c r="A64" s="283">
        <v>2024</v>
      </c>
      <c r="B64" s="283" t="s">
        <v>201</v>
      </c>
      <c r="C64" s="283" t="s">
        <v>130</v>
      </c>
      <c r="D64" s="283">
        <v>2</v>
      </c>
      <c r="E64" s="283" t="s">
        <v>89</v>
      </c>
      <c r="F64" s="283">
        <v>70</v>
      </c>
      <c r="G64" s="283">
        <v>170</v>
      </c>
      <c r="H64" s="283">
        <v>240</v>
      </c>
      <c r="I64" s="283">
        <v>80</v>
      </c>
      <c r="J64" s="283">
        <v>160</v>
      </c>
      <c r="K64" s="283">
        <v>11</v>
      </c>
      <c r="L64" s="283">
        <v>9</v>
      </c>
      <c r="M64" s="283" t="s">
        <v>133</v>
      </c>
      <c r="N64" s="283" t="s">
        <v>164</v>
      </c>
      <c r="O64" s="283" t="s">
        <v>116</v>
      </c>
    </row>
    <row r="65" spans="1:15" ht="13.5">
      <c r="A65" s="283">
        <v>2025</v>
      </c>
      <c r="B65" s="283" t="s">
        <v>201</v>
      </c>
      <c r="C65" s="283" t="s">
        <v>139</v>
      </c>
      <c r="D65" s="283">
        <v>2</v>
      </c>
      <c r="E65" s="283" t="s">
        <v>89</v>
      </c>
      <c r="F65" s="283">
        <v>70</v>
      </c>
      <c r="G65" s="283">
        <v>150</v>
      </c>
      <c r="H65" s="283">
        <v>220</v>
      </c>
      <c r="I65" s="283">
        <v>70</v>
      </c>
      <c r="J65" s="283">
        <v>145</v>
      </c>
      <c r="K65" s="283">
        <v>11</v>
      </c>
      <c r="L65" s="283">
        <v>9</v>
      </c>
      <c r="M65" s="283" t="s">
        <v>133</v>
      </c>
      <c r="N65" s="283" t="s">
        <v>165</v>
      </c>
      <c r="O65" s="283" t="s">
        <v>132</v>
      </c>
    </row>
    <row r="66" spans="1:15" ht="13.5">
      <c r="A66" s="283">
        <v>2026</v>
      </c>
      <c r="B66" s="283" t="s">
        <v>202</v>
      </c>
      <c r="C66" s="283" t="s">
        <v>130</v>
      </c>
      <c r="D66" s="283">
        <v>2</v>
      </c>
      <c r="E66" s="283" t="s">
        <v>126</v>
      </c>
      <c r="F66" s="283">
        <v>225</v>
      </c>
      <c r="G66" s="283">
        <v>240</v>
      </c>
      <c r="H66" s="283">
        <v>110</v>
      </c>
      <c r="I66" s="283">
        <v>210</v>
      </c>
      <c r="J66" s="283">
        <v>365</v>
      </c>
      <c r="K66" s="283">
        <v>9</v>
      </c>
      <c r="L66" s="283">
        <v>13</v>
      </c>
      <c r="M66" s="283" t="s">
        <v>119</v>
      </c>
      <c r="N66" s="283" t="s">
        <v>151</v>
      </c>
      <c r="O66" s="283" t="s">
        <v>116</v>
      </c>
    </row>
    <row r="67" spans="1:15" ht="13.5">
      <c r="A67" s="283">
        <v>2027</v>
      </c>
      <c r="B67" s="283" t="s">
        <v>203</v>
      </c>
      <c r="C67" s="283" t="s">
        <v>130</v>
      </c>
      <c r="D67" s="283">
        <v>1.5</v>
      </c>
      <c r="E67" s="283" t="s">
        <v>89</v>
      </c>
      <c r="F67" s="283">
        <v>130</v>
      </c>
      <c r="G67" s="283">
        <v>165</v>
      </c>
      <c r="H67" s="283">
        <v>240</v>
      </c>
      <c r="I67" s="283">
        <v>85</v>
      </c>
      <c r="J67" s="283">
        <v>145</v>
      </c>
      <c r="K67" s="283">
        <v>4</v>
      </c>
      <c r="L67" s="283">
        <v>9</v>
      </c>
      <c r="M67" s="283" t="s">
        <v>119</v>
      </c>
      <c r="N67" s="283" t="s">
        <v>204</v>
      </c>
      <c r="O67" s="283" t="s">
        <v>132</v>
      </c>
    </row>
    <row r="68" spans="1:15" ht="13.5">
      <c r="A68" s="283">
        <v>2028</v>
      </c>
      <c r="B68" s="283" t="s">
        <v>203</v>
      </c>
      <c r="C68" s="283" t="s">
        <v>139</v>
      </c>
      <c r="D68" s="283">
        <v>1.5</v>
      </c>
      <c r="E68" s="283" t="s">
        <v>89</v>
      </c>
      <c r="F68" s="283">
        <v>135</v>
      </c>
      <c r="G68" s="283">
        <v>130</v>
      </c>
      <c r="H68" s="283">
        <v>200</v>
      </c>
      <c r="I68" s="283">
        <v>60</v>
      </c>
      <c r="J68" s="283">
        <v>115</v>
      </c>
      <c r="K68" s="283">
        <v>4</v>
      </c>
      <c r="L68" s="283">
        <v>9</v>
      </c>
      <c r="M68" s="283" t="s">
        <v>119</v>
      </c>
      <c r="N68" s="283" t="s">
        <v>205</v>
      </c>
      <c r="O68" s="283" t="s">
        <v>116</v>
      </c>
    </row>
    <row r="69" spans="1:15" ht="13.5">
      <c r="A69" s="283">
        <v>2029</v>
      </c>
      <c r="B69" s="283" t="s">
        <v>206</v>
      </c>
      <c r="C69" s="283" t="s">
        <v>130</v>
      </c>
      <c r="D69" s="283">
        <v>2</v>
      </c>
      <c r="E69" s="283" t="s">
        <v>157</v>
      </c>
      <c r="F69" s="283">
        <v>85</v>
      </c>
      <c r="G69" s="283">
        <v>35</v>
      </c>
      <c r="H69" s="283">
        <v>15</v>
      </c>
      <c r="I69" s="283">
        <v>15</v>
      </c>
      <c r="J69" s="283">
        <v>15</v>
      </c>
      <c r="K69" s="283">
        <v>13</v>
      </c>
      <c r="L69" s="283">
        <v>8</v>
      </c>
      <c r="M69" s="283" t="s">
        <v>133</v>
      </c>
      <c r="N69" s="283" t="s">
        <v>170</v>
      </c>
      <c r="O69" s="283" t="s">
        <v>132</v>
      </c>
    </row>
    <row r="70" spans="1:15" ht="13.5">
      <c r="A70" s="283">
        <v>2030</v>
      </c>
      <c r="B70" s="283" t="s">
        <v>206</v>
      </c>
      <c r="C70" s="283" t="s">
        <v>139</v>
      </c>
      <c r="D70" s="283">
        <v>2</v>
      </c>
      <c r="E70" s="283" t="s">
        <v>157</v>
      </c>
      <c r="F70" s="283">
        <v>85</v>
      </c>
      <c r="G70" s="283">
        <v>35</v>
      </c>
      <c r="H70" s="283">
        <v>15</v>
      </c>
      <c r="I70" s="283">
        <v>15</v>
      </c>
      <c r="J70" s="283">
        <v>15</v>
      </c>
      <c r="K70" s="283">
        <v>12</v>
      </c>
      <c r="L70" s="283">
        <v>8</v>
      </c>
      <c r="M70" s="283" t="s">
        <v>133</v>
      </c>
      <c r="N70" s="283" t="s">
        <v>207</v>
      </c>
      <c r="O70" s="283" t="s">
        <v>116</v>
      </c>
    </row>
    <row r="71" spans="1:15" ht="13.5">
      <c r="A71" s="283">
        <v>2031</v>
      </c>
      <c r="B71" s="283" t="s">
        <v>208</v>
      </c>
      <c r="C71" s="283" t="s">
        <v>130</v>
      </c>
      <c r="D71" s="283">
        <v>2</v>
      </c>
      <c r="E71" s="283" t="s">
        <v>126</v>
      </c>
      <c r="F71" s="283">
        <v>205</v>
      </c>
      <c r="G71" s="283">
        <v>200</v>
      </c>
      <c r="H71" s="283">
        <v>90</v>
      </c>
      <c r="I71" s="283">
        <v>185</v>
      </c>
      <c r="J71" s="283">
        <v>305</v>
      </c>
      <c r="K71" s="283">
        <v>7</v>
      </c>
      <c r="L71" s="283">
        <v>13</v>
      </c>
      <c r="M71" s="283" t="s">
        <v>133</v>
      </c>
      <c r="N71" s="283" t="s">
        <v>209</v>
      </c>
      <c r="O71" s="283" t="s">
        <v>132</v>
      </c>
    </row>
    <row r="72" spans="1:15" ht="13.5">
      <c r="A72" s="283">
        <v>2032</v>
      </c>
      <c r="B72" s="283" t="s">
        <v>208</v>
      </c>
      <c r="C72" s="283" t="s">
        <v>139</v>
      </c>
      <c r="D72" s="283">
        <v>2</v>
      </c>
      <c r="E72" s="283" t="s">
        <v>126</v>
      </c>
      <c r="F72" s="283">
        <v>190</v>
      </c>
      <c r="G72" s="283">
        <v>200</v>
      </c>
      <c r="H72" s="283">
        <v>90</v>
      </c>
      <c r="I72" s="283">
        <v>185</v>
      </c>
      <c r="J72" s="283">
        <v>305</v>
      </c>
      <c r="K72" s="283">
        <v>7</v>
      </c>
      <c r="L72" s="283">
        <v>13</v>
      </c>
      <c r="M72" s="283" t="s">
        <v>133</v>
      </c>
      <c r="N72" s="283" t="s">
        <v>210</v>
      </c>
      <c r="O72" s="283" t="s">
        <v>116</v>
      </c>
    </row>
    <row r="73" spans="1:15" ht="13.5">
      <c r="A73" s="283">
        <v>2033</v>
      </c>
      <c r="B73" s="283" t="s">
        <v>211</v>
      </c>
      <c r="C73" s="283" t="s">
        <v>130</v>
      </c>
      <c r="D73" s="283">
        <v>1.5</v>
      </c>
      <c r="E73" s="283" t="s">
        <v>126</v>
      </c>
      <c r="F73" s="283">
        <v>125</v>
      </c>
      <c r="G73" s="283">
        <v>180</v>
      </c>
      <c r="H73" s="283">
        <v>80</v>
      </c>
      <c r="I73" s="283">
        <v>165</v>
      </c>
      <c r="J73" s="283">
        <v>270</v>
      </c>
      <c r="K73" s="283">
        <v>6</v>
      </c>
      <c r="L73" s="283">
        <v>13</v>
      </c>
      <c r="M73" s="283" t="s">
        <v>114</v>
      </c>
      <c r="N73" s="283" t="s">
        <v>212</v>
      </c>
      <c r="O73" s="283" t="s">
        <v>132</v>
      </c>
    </row>
    <row r="74" spans="1:15" ht="13.5">
      <c r="A74" s="283">
        <v>2034</v>
      </c>
      <c r="B74" s="283" t="s">
        <v>211</v>
      </c>
      <c r="C74" s="283" t="s">
        <v>139</v>
      </c>
      <c r="D74" s="283">
        <v>1.5</v>
      </c>
      <c r="E74" s="283" t="s">
        <v>126</v>
      </c>
      <c r="F74" s="283">
        <v>125</v>
      </c>
      <c r="G74" s="283">
        <v>165</v>
      </c>
      <c r="H74" s="283">
        <v>75</v>
      </c>
      <c r="I74" s="283">
        <v>155</v>
      </c>
      <c r="J74" s="283">
        <v>255</v>
      </c>
      <c r="K74" s="283">
        <v>6</v>
      </c>
      <c r="L74" s="283">
        <v>13</v>
      </c>
      <c r="M74" s="283" t="s">
        <v>114</v>
      </c>
      <c r="N74" s="283" t="s">
        <v>213</v>
      </c>
      <c r="O74" s="283" t="s">
        <v>116</v>
      </c>
    </row>
    <row r="75" spans="1:15" ht="13.5">
      <c r="A75" s="283">
        <v>2035</v>
      </c>
      <c r="B75" s="283" t="s">
        <v>214</v>
      </c>
      <c r="C75" s="283" t="s">
        <v>130</v>
      </c>
      <c r="D75" s="283">
        <v>2.5</v>
      </c>
      <c r="E75" s="283" t="s">
        <v>126</v>
      </c>
      <c r="F75" s="283">
        <v>280</v>
      </c>
      <c r="G75" s="283">
        <v>265</v>
      </c>
      <c r="H75" s="283">
        <v>80</v>
      </c>
      <c r="I75" s="283">
        <v>240</v>
      </c>
      <c r="J75" s="283">
        <v>450</v>
      </c>
      <c r="K75" s="283">
        <v>4</v>
      </c>
      <c r="L75" s="283">
        <v>13</v>
      </c>
      <c r="M75" s="283" t="s">
        <v>119</v>
      </c>
      <c r="N75" s="283" t="s">
        <v>215</v>
      </c>
      <c r="O75" s="283" t="s">
        <v>132</v>
      </c>
    </row>
    <row r="76" spans="1:15" ht="13.5">
      <c r="A76" s="283">
        <v>2036</v>
      </c>
      <c r="B76" s="283" t="s">
        <v>214</v>
      </c>
      <c r="C76" s="283" t="s">
        <v>139</v>
      </c>
      <c r="D76" s="283">
        <v>2.5</v>
      </c>
      <c r="E76" s="283" t="s">
        <v>126</v>
      </c>
      <c r="F76" s="283">
        <v>265</v>
      </c>
      <c r="G76" s="283">
        <v>265</v>
      </c>
      <c r="H76" s="283">
        <v>80</v>
      </c>
      <c r="I76" s="283">
        <v>240</v>
      </c>
      <c r="J76" s="283">
        <v>450</v>
      </c>
      <c r="K76" s="283">
        <v>4</v>
      </c>
      <c r="L76" s="283">
        <v>13</v>
      </c>
      <c r="M76" s="283" t="s">
        <v>119</v>
      </c>
      <c r="N76" s="283" t="s">
        <v>140</v>
      </c>
      <c r="O76" s="283" t="s">
        <v>116</v>
      </c>
    </row>
    <row r="77" spans="1:15" ht="13.5">
      <c r="A77" s="283">
        <v>2037</v>
      </c>
      <c r="B77" s="283" t="s">
        <v>216</v>
      </c>
      <c r="C77" s="283" t="s">
        <v>130</v>
      </c>
      <c r="D77" s="283">
        <v>2</v>
      </c>
      <c r="E77" s="283" t="s">
        <v>126</v>
      </c>
      <c r="F77" s="283">
        <v>215</v>
      </c>
      <c r="G77" s="283">
        <v>225</v>
      </c>
      <c r="H77" s="283">
        <v>100</v>
      </c>
      <c r="I77" s="283">
        <v>205</v>
      </c>
      <c r="J77" s="283">
        <v>340</v>
      </c>
      <c r="K77" s="283">
        <v>7</v>
      </c>
      <c r="L77" s="283">
        <v>13</v>
      </c>
      <c r="M77" s="283" t="s">
        <v>114</v>
      </c>
      <c r="N77" s="283" t="s">
        <v>212</v>
      </c>
      <c r="O77" s="283" t="s">
        <v>116</v>
      </c>
    </row>
    <row r="78" spans="1:15" ht="13.5">
      <c r="A78" s="283">
        <v>2038</v>
      </c>
      <c r="B78" s="283" t="s">
        <v>216</v>
      </c>
      <c r="C78" s="283" t="s">
        <v>139</v>
      </c>
      <c r="D78" s="283">
        <v>2</v>
      </c>
      <c r="E78" s="283" t="s">
        <v>126</v>
      </c>
      <c r="F78" s="283">
        <v>200</v>
      </c>
      <c r="G78" s="283">
        <v>225</v>
      </c>
      <c r="H78" s="283">
        <v>100</v>
      </c>
      <c r="I78" s="283">
        <v>205</v>
      </c>
      <c r="J78" s="283">
        <v>340</v>
      </c>
      <c r="K78" s="283">
        <v>7</v>
      </c>
      <c r="L78" s="283">
        <v>13</v>
      </c>
      <c r="M78" s="283" t="s">
        <v>114</v>
      </c>
      <c r="N78" s="283" t="s">
        <v>213</v>
      </c>
      <c r="O78" s="283" t="s">
        <v>116</v>
      </c>
    </row>
    <row r="79" spans="1:15" ht="13.5">
      <c r="A79" s="283">
        <v>3001</v>
      </c>
      <c r="B79" s="283" t="s">
        <v>217</v>
      </c>
      <c r="C79" s="283" t="s">
        <v>113</v>
      </c>
      <c r="D79" s="283">
        <v>2.5</v>
      </c>
      <c r="E79" s="283" t="s">
        <v>89</v>
      </c>
      <c r="F79" s="283">
        <v>180</v>
      </c>
      <c r="G79" s="283">
        <v>295</v>
      </c>
      <c r="H79" s="283">
        <v>370</v>
      </c>
      <c r="I79" s="283">
        <v>135</v>
      </c>
      <c r="J79" s="283">
        <v>225</v>
      </c>
      <c r="K79" s="283">
        <v>14</v>
      </c>
      <c r="L79" s="283">
        <v>10</v>
      </c>
      <c r="M79" s="283" t="s">
        <v>133</v>
      </c>
      <c r="N79" s="283" t="s">
        <v>218</v>
      </c>
      <c r="O79" s="283" t="s">
        <v>116</v>
      </c>
    </row>
    <row r="80" spans="1:15" ht="13.5">
      <c r="A80" s="283">
        <v>3002</v>
      </c>
      <c r="B80" s="283" t="s">
        <v>219</v>
      </c>
      <c r="C80" s="283" t="s">
        <v>118</v>
      </c>
      <c r="D80" s="283">
        <v>3.5</v>
      </c>
      <c r="E80" s="283" t="s">
        <v>89</v>
      </c>
      <c r="F80" s="283">
        <v>340</v>
      </c>
      <c r="G80" s="283">
        <v>570</v>
      </c>
      <c r="H80" s="283">
        <v>790</v>
      </c>
      <c r="I80" s="283">
        <v>310</v>
      </c>
      <c r="J80" s="283">
        <v>440</v>
      </c>
      <c r="K80" s="283">
        <v>23</v>
      </c>
      <c r="L80" s="283">
        <v>10</v>
      </c>
      <c r="M80" s="283" t="s">
        <v>114</v>
      </c>
      <c r="N80" s="283" t="s">
        <v>220</v>
      </c>
      <c r="O80" s="283" t="s">
        <v>132</v>
      </c>
    </row>
    <row r="81" spans="1:15" ht="13.5">
      <c r="A81" s="283">
        <v>3003</v>
      </c>
      <c r="B81" s="283" t="s">
        <v>221</v>
      </c>
      <c r="C81" s="283" t="s">
        <v>118</v>
      </c>
      <c r="D81" s="283">
        <v>3</v>
      </c>
      <c r="E81" s="283" t="s">
        <v>89</v>
      </c>
      <c r="F81" s="283">
        <v>305</v>
      </c>
      <c r="G81" s="283">
        <v>450</v>
      </c>
      <c r="H81" s="283">
        <v>620</v>
      </c>
      <c r="I81" s="283">
        <v>255</v>
      </c>
      <c r="J81" s="283">
        <v>350</v>
      </c>
      <c r="K81" s="283">
        <v>19</v>
      </c>
      <c r="L81" s="283">
        <v>10</v>
      </c>
      <c r="M81" s="283" t="s">
        <v>114</v>
      </c>
      <c r="N81" s="283" t="s">
        <v>222</v>
      </c>
      <c r="O81" s="283" t="s">
        <v>132</v>
      </c>
    </row>
    <row r="82" spans="1:15" ht="13.5">
      <c r="A82" s="283">
        <v>3004</v>
      </c>
      <c r="B82" s="283" t="s">
        <v>223</v>
      </c>
      <c r="C82" s="283" t="s">
        <v>118</v>
      </c>
      <c r="D82" s="283">
        <v>3</v>
      </c>
      <c r="E82" s="283" t="s">
        <v>126</v>
      </c>
      <c r="F82" s="283">
        <v>350</v>
      </c>
      <c r="G82" s="283">
        <v>385</v>
      </c>
      <c r="H82" s="283">
        <v>175</v>
      </c>
      <c r="I82" s="283">
        <v>295</v>
      </c>
      <c r="J82" s="283">
        <v>485</v>
      </c>
      <c r="K82" s="283">
        <v>9</v>
      </c>
      <c r="L82" s="283">
        <v>13</v>
      </c>
      <c r="M82" s="283" t="s">
        <v>119</v>
      </c>
      <c r="N82" s="283" t="s">
        <v>180</v>
      </c>
      <c r="O82" s="283" t="s">
        <v>132</v>
      </c>
    </row>
    <row r="83" spans="1:15" ht="13.5">
      <c r="A83" s="283">
        <v>3005</v>
      </c>
      <c r="B83" s="283" t="s">
        <v>224</v>
      </c>
      <c r="C83" s="283" t="s">
        <v>113</v>
      </c>
      <c r="D83" s="283">
        <v>3</v>
      </c>
      <c r="E83" s="283" t="s">
        <v>89</v>
      </c>
      <c r="F83" s="283">
        <v>345</v>
      </c>
      <c r="G83" s="283">
        <v>275</v>
      </c>
      <c r="H83" s="283">
        <v>470</v>
      </c>
      <c r="I83" s="283">
        <v>85</v>
      </c>
      <c r="J83" s="283">
        <v>240</v>
      </c>
      <c r="K83" s="283">
        <v>6</v>
      </c>
      <c r="L83" s="283">
        <v>10</v>
      </c>
      <c r="M83" s="283" t="s">
        <v>119</v>
      </c>
      <c r="N83" s="283" t="s">
        <v>225</v>
      </c>
      <c r="O83" s="283" t="s">
        <v>116</v>
      </c>
    </row>
    <row r="84" spans="1:15" ht="13.5">
      <c r="A84" s="283">
        <v>3006</v>
      </c>
      <c r="B84" s="283" t="s">
        <v>226</v>
      </c>
      <c r="C84" s="283" t="s">
        <v>118</v>
      </c>
      <c r="D84" s="283">
        <v>2</v>
      </c>
      <c r="E84" s="283" t="s">
        <v>89</v>
      </c>
      <c r="F84" s="283">
        <v>210</v>
      </c>
      <c r="G84" s="283">
        <v>255</v>
      </c>
      <c r="H84" s="283">
        <v>430</v>
      </c>
      <c r="I84" s="283">
        <v>75</v>
      </c>
      <c r="J84" s="283">
        <v>220</v>
      </c>
      <c r="K84" s="283">
        <v>8</v>
      </c>
      <c r="L84" s="283">
        <v>10</v>
      </c>
      <c r="M84" s="283" t="s">
        <v>114</v>
      </c>
      <c r="N84" s="283" t="s">
        <v>227</v>
      </c>
      <c r="O84" s="283" t="s">
        <v>132</v>
      </c>
    </row>
    <row r="85" spans="1:15" ht="13.5">
      <c r="A85" s="283">
        <v>3007</v>
      </c>
      <c r="B85" s="283" t="s">
        <v>228</v>
      </c>
      <c r="C85" s="283" t="s">
        <v>113</v>
      </c>
      <c r="D85" s="283">
        <v>3</v>
      </c>
      <c r="E85" s="283" t="s">
        <v>88</v>
      </c>
      <c r="F85" s="283">
        <v>320</v>
      </c>
      <c r="G85" s="283">
        <v>370</v>
      </c>
      <c r="H85" s="283">
        <v>320</v>
      </c>
      <c r="I85" s="283">
        <v>560</v>
      </c>
      <c r="J85" s="283">
        <v>165</v>
      </c>
      <c r="K85" s="283">
        <v>15</v>
      </c>
      <c r="L85" s="283">
        <v>10</v>
      </c>
      <c r="M85" s="283" t="s">
        <v>119</v>
      </c>
      <c r="N85" s="283" t="s">
        <v>174</v>
      </c>
      <c r="O85" s="283" t="s">
        <v>116</v>
      </c>
    </row>
    <row r="86" spans="1:15" ht="13.5">
      <c r="A86" s="283">
        <v>3008</v>
      </c>
      <c r="B86" s="283" t="s">
        <v>217</v>
      </c>
      <c r="C86" s="283" t="s">
        <v>130</v>
      </c>
      <c r="D86" s="283">
        <v>2.5</v>
      </c>
      <c r="E86" s="283" t="s">
        <v>89</v>
      </c>
      <c r="F86" s="283">
        <v>180</v>
      </c>
      <c r="G86" s="283">
        <v>295</v>
      </c>
      <c r="H86" s="283">
        <v>370</v>
      </c>
      <c r="I86" s="283">
        <v>135</v>
      </c>
      <c r="J86" s="283">
        <v>225</v>
      </c>
      <c r="K86" s="283">
        <v>12</v>
      </c>
      <c r="L86" s="283">
        <v>10</v>
      </c>
      <c r="M86" s="283" t="s">
        <v>133</v>
      </c>
      <c r="N86" s="283" t="s">
        <v>229</v>
      </c>
      <c r="O86" s="283" t="s">
        <v>116</v>
      </c>
    </row>
    <row r="87" spans="1:22" ht="13.5">
      <c r="A87" s="283">
        <v>3009</v>
      </c>
      <c r="B87" s="283" t="s">
        <v>219</v>
      </c>
      <c r="C87" s="283" t="s">
        <v>130</v>
      </c>
      <c r="D87" s="283">
        <v>2.5</v>
      </c>
      <c r="E87" s="283" t="s">
        <v>89</v>
      </c>
      <c r="F87" s="283">
        <v>200</v>
      </c>
      <c r="G87" s="283">
        <v>365</v>
      </c>
      <c r="H87" s="283">
        <v>505</v>
      </c>
      <c r="I87" s="283">
        <v>200</v>
      </c>
      <c r="J87" s="283">
        <v>280</v>
      </c>
      <c r="K87" s="283">
        <v>14</v>
      </c>
      <c r="L87" s="283">
        <v>10</v>
      </c>
      <c r="M87" s="283" t="s">
        <v>114</v>
      </c>
      <c r="N87" s="283" t="s">
        <v>190</v>
      </c>
      <c r="O87" s="283" t="s">
        <v>132</v>
      </c>
      <c r="P87" s="283">
        <f>F87*0.094</f>
        <v>18.8</v>
      </c>
      <c r="Q87" s="283">
        <f>G87*0.094</f>
        <v>34.31</v>
      </c>
      <c r="R87" s="283">
        <f>H87*0.094</f>
        <v>47.47</v>
      </c>
      <c r="S87" s="283">
        <f>I87*0.094</f>
        <v>18.8</v>
      </c>
      <c r="T87" s="283">
        <f>J87*0.094</f>
        <v>26.32</v>
      </c>
      <c r="U87" s="288">
        <f>K87*0.0016</f>
        <v>0.0224</v>
      </c>
      <c r="V87" s="289">
        <f>L87*0.012</f>
        <v>0.12</v>
      </c>
    </row>
    <row r="88" spans="1:15" ht="13.5">
      <c r="A88" s="283">
        <v>3010</v>
      </c>
      <c r="B88" s="283" t="s">
        <v>219</v>
      </c>
      <c r="C88" s="283" t="s">
        <v>113</v>
      </c>
      <c r="D88" s="283">
        <v>2.5</v>
      </c>
      <c r="E88" s="283" t="s">
        <v>89</v>
      </c>
      <c r="F88" s="283">
        <v>200</v>
      </c>
      <c r="G88" s="283">
        <v>385</v>
      </c>
      <c r="H88" s="283">
        <v>530</v>
      </c>
      <c r="I88" s="283">
        <v>210</v>
      </c>
      <c r="J88" s="283">
        <v>295</v>
      </c>
      <c r="K88" s="283">
        <v>15</v>
      </c>
      <c r="L88" s="283">
        <v>10</v>
      </c>
      <c r="M88" s="283" t="s">
        <v>114</v>
      </c>
      <c r="N88" s="283" t="s">
        <v>230</v>
      </c>
      <c r="O88" s="283" t="s">
        <v>132</v>
      </c>
    </row>
    <row r="89" spans="1:15" ht="13.5">
      <c r="A89" s="283">
        <v>3011</v>
      </c>
      <c r="B89" s="283" t="s">
        <v>231</v>
      </c>
      <c r="C89" s="283" t="s">
        <v>130</v>
      </c>
      <c r="D89" s="283">
        <v>2.5</v>
      </c>
      <c r="E89" s="283" t="s">
        <v>88</v>
      </c>
      <c r="F89" s="283">
        <v>220</v>
      </c>
      <c r="G89" s="283">
        <v>295</v>
      </c>
      <c r="H89" s="283">
        <v>255</v>
      </c>
      <c r="I89" s="283">
        <v>445</v>
      </c>
      <c r="J89" s="283">
        <v>135</v>
      </c>
      <c r="K89" s="283">
        <v>10</v>
      </c>
      <c r="L89" s="283">
        <v>10</v>
      </c>
      <c r="M89" s="283" t="s">
        <v>133</v>
      </c>
      <c r="N89" s="283" t="s">
        <v>232</v>
      </c>
      <c r="O89" s="283" t="s">
        <v>116</v>
      </c>
    </row>
    <row r="90" spans="1:15" ht="13.5">
      <c r="A90" s="283">
        <v>3012</v>
      </c>
      <c r="B90" s="283" t="s">
        <v>231</v>
      </c>
      <c r="C90" s="283" t="s">
        <v>139</v>
      </c>
      <c r="D90" s="283">
        <v>2.5</v>
      </c>
      <c r="E90" s="283" t="s">
        <v>88</v>
      </c>
      <c r="F90" s="283">
        <v>220</v>
      </c>
      <c r="G90" s="283">
        <v>280</v>
      </c>
      <c r="H90" s="283">
        <v>245</v>
      </c>
      <c r="I90" s="283">
        <v>430</v>
      </c>
      <c r="J90" s="283">
        <v>125</v>
      </c>
      <c r="K90" s="283">
        <v>10</v>
      </c>
      <c r="L90" s="283">
        <v>10</v>
      </c>
      <c r="M90" s="283" t="s">
        <v>114</v>
      </c>
      <c r="N90" s="283" t="s">
        <v>149</v>
      </c>
      <c r="O90" s="283" t="s">
        <v>132</v>
      </c>
    </row>
    <row r="91" spans="1:15" ht="13.5">
      <c r="A91" s="283">
        <v>3013</v>
      </c>
      <c r="B91" s="283" t="s">
        <v>233</v>
      </c>
      <c r="C91" s="283" t="s">
        <v>130</v>
      </c>
      <c r="D91" s="283">
        <v>2.5</v>
      </c>
      <c r="E91" s="283" t="s">
        <v>89</v>
      </c>
      <c r="F91" s="283">
        <v>250</v>
      </c>
      <c r="G91" s="283">
        <v>230</v>
      </c>
      <c r="H91" s="283">
        <v>350</v>
      </c>
      <c r="I91" s="283">
        <v>105</v>
      </c>
      <c r="J91" s="283">
        <v>200</v>
      </c>
      <c r="K91" s="283">
        <v>7</v>
      </c>
      <c r="L91" s="283">
        <v>10</v>
      </c>
      <c r="M91" s="283" t="s">
        <v>119</v>
      </c>
      <c r="N91" s="283" t="s">
        <v>234</v>
      </c>
      <c r="O91" s="283" t="s">
        <v>116</v>
      </c>
    </row>
    <row r="92" spans="1:15" ht="13.5">
      <c r="A92" s="283">
        <v>3014</v>
      </c>
      <c r="B92" s="283" t="s">
        <v>235</v>
      </c>
      <c r="C92" s="283" t="s">
        <v>130</v>
      </c>
      <c r="D92" s="283">
        <v>2</v>
      </c>
      <c r="E92" s="283" t="s">
        <v>89</v>
      </c>
      <c r="F92" s="283">
        <v>135</v>
      </c>
      <c r="G92" s="283">
        <v>220</v>
      </c>
      <c r="H92" s="283">
        <v>315</v>
      </c>
      <c r="I92" s="283">
        <v>105</v>
      </c>
      <c r="J92" s="283">
        <v>210</v>
      </c>
      <c r="K92" s="283">
        <v>11</v>
      </c>
      <c r="L92" s="283">
        <v>10</v>
      </c>
      <c r="M92" s="283" t="s">
        <v>133</v>
      </c>
      <c r="N92" s="283" t="s">
        <v>158</v>
      </c>
      <c r="O92" s="283" t="s">
        <v>132</v>
      </c>
    </row>
    <row r="93" spans="1:15" ht="13.5">
      <c r="A93" s="283">
        <v>3015</v>
      </c>
      <c r="B93" s="283" t="s">
        <v>236</v>
      </c>
      <c r="C93" s="283" t="s">
        <v>130</v>
      </c>
      <c r="D93" s="283">
        <v>2</v>
      </c>
      <c r="E93" s="283" t="s">
        <v>89</v>
      </c>
      <c r="F93" s="283">
        <v>135</v>
      </c>
      <c r="G93" s="283">
        <v>230</v>
      </c>
      <c r="H93" s="283">
        <v>350</v>
      </c>
      <c r="I93" s="283">
        <v>105</v>
      </c>
      <c r="J93" s="283">
        <v>200</v>
      </c>
      <c r="K93" s="283">
        <v>9</v>
      </c>
      <c r="L93" s="283">
        <v>10</v>
      </c>
      <c r="M93" s="283" t="s">
        <v>114</v>
      </c>
      <c r="N93" s="283" t="s">
        <v>237</v>
      </c>
      <c r="O93" s="283" t="s">
        <v>116</v>
      </c>
    </row>
    <row r="94" spans="1:15" ht="13.5">
      <c r="A94" s="283">
        <v>3016</v>
      </c>
      <c r="B94" s="283" t="s">
        <v>236</v>
      </c>
      <c r="C94" s="283" t="s">
        <v>139</v>
      </c>
      <c r="D94" s="283">
        <v>2</v>
      </c>
      <c r="E94" s="283" t="s">
        <v>89</v>
      </c>
      <c r="F94" s="283">
        <v>135</v>
      </c>
      <c r="G94" s="283">
        <v>220</v>
      </c>
      <c r="H94" s="283">
        <v>335</v>
      </c>
      <c r="I94" s="283">
        <v>100</v>
      </c>
      <c r="J94" s="283">
        <v>190</v>
      </c>
      <c r="K94" s="283">
        <v>9</v>
      </c>
      <c r="L94" s="283">
        <v>10</v>
      </c>
      <c r="M94" s="283" t="s">
        <v>114</v>
      </c>
      <c r="N94" s="283" t="s">
        <v>199</v>
      </c>
      <c r="O94" s="283" t="s">
        <v>132</v>
      </c>
    </row>
    <row r="95" spans="1:15" ht="13.5">
      <c r="A95" s="283">
        <v>3017</v>
      </c>
      <c r="B95" s="283" t="s">
        <v>238</v>
      </c>
      <c r="C95" s="283" t="s">
        <v>130</v>
      </c>
      <c r="D95" s="283">
        <v>2</v>
      </c>
      <c r="E95" s="283" t="s">
        <v>126</v>
      </c>
      <c r="F95" s="283">
        <v>220</v>
      </c>
      <c r="G95" s="283">
        <v>190</v>
      </c>
      <c r="H95" s="283">
        <v>85</v>
      </c>
      <c r="I95" s="283">
        <v>165</v>
      </c>
      <c r="J95" s="283">
        <v>290</v>
      </c>
      <c r="K95" s="283">
        <v>5</v>
      </c>
      <c r="L95" s="283">
        <v>13</v>
      </c>
      <c r="M95" s="283" t="s">
        <v>119</v>
      </c>
      <c r="N95" s="283" t="s">
        <v>151</v>
      </c>
      <c r="O95" s="283" t="s">
        <v>116</v>
      </c>
    </row>
    <row r="96" spans="1:15" ht="13.5">
      <c r="A96" s="283">
        <v>3018</v>
      </c>
      <c r="B96" s="283" t="s">
        <v>238</v>
      </c>
      <c r="C96" s="283" t="s">
        <v>139</v>
      </c>
      <c r="D96" s="283">
        <v>2</v>
      </c>
      <c r="E96" s="283" t="s">
        <v>126</v>
      </c>
      <c r="F96" s="283">
        <v>210</v>
      </c>
      <c r="G96" s="283">
        <v>185</v>
      </c>
      <c r="H96" s="283">
        <v>85</v>
      </c>
      <c r="I96" s="283">
        <v>160</v>
      </c>
      <c r="J96" s="283">
        <v>265</v>
      </c>
      <c r="K96" s="283">
        <v>5</v>
      </c>
      <c r="L96" s="283">
        <v>13</v>
      </c>
      <c r="M96" s="283" t="s">
        <v>119</v>
      </c>
      <c r="N96" s="283" t="s">
        <v>239</v>
      </c>
      <c r="O96" s="283" t="s">
        <v>132</v>
      </c>
    </row>
    <row r="97" spans="1:15" ht="13.5">
      <c r="A97" s="283">
        <v>3019</v>
      </c>
      <c r="B97" s="283" t="s">
        <v>240</v>
      </c>
      <c r="C97" s="283" t="s">
        <v>130</v>
      </c>
      <c r="D97" s="283">
        <v>2</v>
      </c>
      <c r="E97" s="283" t="s">
        <v>89</v>
      </c>
      <c r="F97" s="283">
        <v>160</v>
      </c>
      <c r="G97" s="283">
        <v>235</v>
      </c>
      <c r="H97" s="283">
        <v>400</v>
      </c>
      <c r="I97" s="283">
        <v>70</v>
      </c>
      <c r="J97" s="283">
        <v>205</v>
      </c>
      <c r="K97" s="283">
        <v>8</v>
      </c>
      <c r="L97" s="283">
        <v>10</v>
      </c>
      <c r="M97" s="283" t="s">
        <v>119</v>
      </c>
      <c r="N97" s="283" t="s">
        <v>188</v>
      </c>
      <c r="O97" s="283" t="s">
        <v>132</v>
      </c>
    </row>
    <row r="98" spans="1:15" ht="13.5">
      <c r="A98" s="283">
        <v>3020</v>
      </c>
      <c r="B98" s="283" t="s">
        <v>240</v>
      </c>
      <c r="C98" s="283" t="s">
        <v>139</v>
      </c>
      <c r="D98" s="283">
        <v>2</v>
      </c>
      <c r="E98" s="283" t="s">
        <v>89</v>
      </c>
      <c r="F98" s="283">
        <v>170</v>
      </c>
      <c r="G98" s="283">
        <v>225</v>
      </c>
      <c r="H98" s="283">
        <v>380</v>
      </c>
      <c r="I98" s="283">
        <v>70</v>
      </c>
      <c r="J98" s="283">
        <v>195</v>
      </c>
      <c r="K98" s="283">
        <v>8</v>
      </c>
      <c r="L98" s="283">
        <v>10</v>
      </c>
      <c r="M98" s="283" t="s">
        <v>119</v>
      </c>
      <c r="N98" s="283" t="s">
        <v>162</v>
      </c>
      <c r="O98" s="283" t="s">
        <v>132</v>
      </c>
    </row>
    <row r="99" spans="1:15" ht="13.5">
      <c r="A99" s="283">
        <v>3021</v>
      </c>
      <c r="B99" s="283" t="s">
        <v>241</v>
      </c>
      <c r="C99" s="283" t="s">
        <v>130</v>
      </c>
      <c r="D99" s="283">
        <v>2</v>
      </c>
      <c r="E99" s="283" t="s">
        <v>157</v>
      </c>
      <c r="F99" s="283">
        <v>125</v>
      </c>
      <c r="G99" s="283">
        <v>105</v>
      </c>
      <c r="H99" s="283">
        <v>50</v>
      </c>
      <c r="I99" s="283">
        <v>50</v>
      </c>
      <c r="J99" s="283">
        <v>50</v>
      </c>
      <c r="K99" s="283">
        <v>12</v>
      </c>
      <c r="L99" s="283">
        <v>8</v>
      </c>
      <c r="M99" s="283" t="s">
        <v>133</v>
      </c>
      <c r="N99" s="283" t="s">
        <v>242</v>
      </c>
      <c r="O99" s="283" t="s">
        <v>116</v>
      </c>
    </row>
    <row r="100" spans="1:15" ht="13.5">
      <c r="A100" s="283">
        <v>3022</v>
      </c>
      <c r="B100" s="283" t="s">
        <v>241</v>
      </c>
      <c r="C100" s="283" t="s">
        <v>139</v>
      </c>
      <c r="D100" s="283">
        <v>2</v>
      </c>
      <c r="E100" s="283" t="s">
        <v>157</v>
      </c>
      <c r="F100" s="283">
        <v>115</v>
      </c>
      <c r="G100" s="283">
        <v>100</v>
      </c>
      <c r="H100" s="283">
        <v>50</v>
      </c>
      <c r="I100" s="283">
        <v>50</v>
      </c>
      <c r="J100" s="283">
        <v>50</v>
      </c>
      <c r="K100" s="283">
        <v>12</v>
      </c>
      <c r="L100" s="283">
        <v>8</v>
      </c>
      <c r="M100" s="283" t="s">
        <v>133</v>
      </c>
      <c r="N100" s="283" t="s">
        <v>243</v>
      </c>
      <c r="O100" s="283" t="s">
        <v>132</v>
      </c>
    </row>
    <row r="101" spans="1:15" ht="13.5">
      <c r="A101" s="283">
        <v>3023</v>
      </c>
      <c r="B101" s="283" t="s">
        <v>244</v>
      </c>
      <c r="C101" s="283" t="s">
        <v>130</v>
      </c>
      <c r="D101" s="283">
        <v>2</v>
      </c>
      <c r="E101" s="283" t="s">
        <v>89</v>
      </c>
      <c r="F101" s="283">
        <v>195</v>
      </c>
      <c r="G101" s="283">
        <v>195</v>
      </c>
      <c r="H101" s="283">
        <v>300</v>
      </c>
      <c r="I101" s="283">
        <v>90</v>
      </c>
      <c r="J101" s="283">
        <v>170</v>
      </c>
      <c r="K101" s="283">
        <v>6</v>
      </c>
      <c r="L101" s="283">
        <v>10</v>
      </c>
      <c r="M101" s="283" t="s">
        <v>119</v>
      </c>
      <c r="N101" s="283" t="s">
        <v>188</v>
      </c>
      <c r="O101" s="283" t="s">
        <v>116</v>
      </c>
    </row>
    <row r="102" spans="1:15" ht="13.5">
      <c r="A102" s="283">
        <v>3024</v>
      </c>
      <c r="B102" s="283" t="s">
        <v>244</v>
      </c>
      <c r="C102" s="283" t="s">
        <v>139</v>
      </c>
      <c r="D102" s="283">
        <v>2</v>
      </c>
      <c r="E102" s="283" t="s">
        <v>89</v>
      </c>
      <c r="F102" s="283">
        <v>185</v>
      </c>
      <c r="G102" s="283">
        <v>190</v>
      </c>
      <c r="H102" s="283">
        <v>290</v>
      </c>
      <c r="I102" s="283">
        <v>85</v>
      </c>
      <c r="J102" s="283">
        <v>165</v>
      </c>
      <c r="K102" s="283">
        <v>6</v>
      </c>
      <c r="L102" s="283">
        <v>10</v>
      </c>
      <c r="M102" s="283" t="s">
        <v>119</v>
      </c>
      <c r="N102" s="283" t="s">
        <v>190</v>
      </c>
      <c r="O102" s="283" t="s">
        <v>132</v>
      </c>
    </row>
    <row r="103" spans="1:15" ht="13.5">
      <c r="A103" s="283">
        <v>3025</v>
      </c>
      <c r="B103" s="283" t="s">
        <v>245</v>
      </c>
      <c r="C103" s="283" t="s">
        <v>130</v>
      </c>
      <c r="D103" s="283">
        <v>1.5</v>
      </c>
      <c r="E103" s="283" t="s">
        <v>126</v>
      </c>
      <c r="F103" s="283">
        <v>150</v>
      </c>
      <c r="G103" s="283">
        <v>100</v>
      </c>
      <c r="H103" s="283">
        <v>45</v>
      </c>
      <c r="I103" s="283">
        <v>85</v>
      </c>
      <c r="J103" s="283">
        <v>150</v>
      </c>
      <c r="K103" s="283">
        <v>2</v>
      </c>
      <c r="L103" s="283">
        <v>13</v>
      </c>
      <c r="M103" s="283" t="s">
        <v>119</v>
      </c>
      <c r="N103" s="283" t="s">
        <v>246</v>
      </c>
      <c r="O103" s="283" t="s">
        <v>116</v>
      </c>
    </row>
    <row r="104" spans="1:15" ht="13.5">
      <c r="A104" s="283">
        <v>3026</v>
      </c>
      <c r="B104" s="283" t="s">
        <v>245</v>
      </c>
      <c r="C104" s="283" t="s">
        <v>139</v>
      </c>
      <c r="D104" s="283">
        <v>1.5</v>
      </c>
      <c r="E104" s="283" t="s">
        <v>126</v>
      </c>
      <c r="F104" s="283">
        <v>140</v>
      </c>
      <c r="G104" s="283">
        <v>100</v>
      </c>
      <c r="H104" s="283">
        <v>45</v>
      </c>
      <c r="I104" s="283">
        <v>85</v>
      </c>
      <c r="J104" s="283">
        <v>150</v>
      </c>
      <c r="K104" s="283">
        <v>2</v>
      </c>
      <c r="L104" s="283">
        <v>13</v>
      </c>
      <c r="M104" s="283" t="s">
        <v>119</v>
      </c>
      <c r="N104" s="283" t="s">
        <v>140</v>
      </c>
      <c r="O104" s="283" t="s">
        <v>116</v>
      </c>
    </row>
    <row r="105" spans="1:15" ht="13.5">
      <c r="A105" s="283">
        <v>3027</v>
      </c>
      <c r="B105" s="283" t="s">
        <v>247</v>
      </c>
      <c r="C105" s="283" t="s">
        <v>130</v>
      </c>
      <c r="D105" s="283">
        <v>1.5</v>
      </c>
      <c r="E105" s="283" t="s">
        <v>89</v>
      </c>
      <c r="F105" s="283">
        <v>110</v>
      </c>
      <c r="G105" s="283">
        <v>160</v>
      </c>
      <c r="H105" s="283">
        <v>245</v>
      </c>
      <c r="I105" s="283">
        <v>70</v>
      </c>
      <c r="J105" s="283">
        <v>140</v>
      </c>
      <c r="K105" s="283">
        <v>5</v>
      </c>
      <c r="L105" s="283">
        <v>10</v>
      </c>
      <c r="M105" s="283" t="s">
        <v>133</v>
      </c>
      <c r="N105" s="283" t="s">
        <v>248</v>
      </c>
      <c r="O105" s="283" t="s">
        <v>116</v>
      </c>
    </row>
    <row r="106" spans="1:15" ht="13.5">
      <c r="A106" s="283">
        <v>3028</v>
      </c>
      <c r="B106" s="283" t="s">
        <v>247</v>
      </c>
      <c r="C106" s="283" t="s">
        <v>139</v>
      </c>
      <c r="D106" s="283">
        <v>1.5</v>
      </c>
      <c r="E106" s="283" t="s">
        <v>89</v>
      </c>
      <c r="F106" s="283">
        <v>110</v>
      </c>
      <c r="G106" s="283">
        <v>150</v>
      </c>
      <c r="H106" s="283">
        <v>230</v>
      </c>
      <c r="I106" s="283">
        <v>65</v>
      </c>
      <c r="J106" s="283">
        <v>130</v>
      </c>
      <c r="K106" s="283">
        <v>5</v>
      </c>
      <c r="L106" s="283">
        <v>10</v>
      </c>
      <c r="M106" s="283" t="s">
        <v>114</v>
      </c>
      <c r="N106" s="283" t="s">
        <v>199</v>
      </c>
      <c r="O106" s="283" t="s">
        <v>132</v>
      </c>
    </row>
    <row r="107" spans="1:15" ht="13.5">
      <c r="A107" s="283">
        <v>3029</v>
      </c>
      <c r="B107" s="283" t="s">
        <v>249</v>
      </c>
      <c r="C107" s="283" t="s">
        <v>130</v>
      </c>
      <c r="D107" s="283">
        <v>1.5</v>
      </c>
      <c r="E107" s="283" t="s">
        <v>88</v>
      </c>
      <c r="F107" s="283">
        <v>160</v>
      </c>
      <c r="G107" s="283">
        <v>160</v>
      </c>
      <c r="H107" s="283">
        <v>140</v>
      </c>
      <c r="I107" s="283">
        <v>245</v>
      </c>
      <c r="J107" s="283">
        <v>70</v>
      </c>
      <c r="K107" s="283">
        <v>4</v>
      </c>
      <c r="L107" s="283">
        <v>10</v>
      </c>
      <c r="M107" s="283" t="s">
        <v>119</v>
      </c>
      <c r="N107" s="283" t="s">
        <v>138</v>
      </c>
      <c r="O107" s="283" t="s">
        <v>116</v>
      </c>
    </row>
    <row r="108" spans="1:15" ht="13.5">
      <c r="A108" s="283">
        <v>3030</v>
      </c>
      <c r="B108" s="283" t="s">
        <v>249</v>
      </c>
      <c r="C108" s="283" t="s">
        <v>139</v>
      </c>
      <c r="D108" s="283">
        <v>1.5</v>
      </c>
      <c r="E108" s="283" t="s">
        <v>88</v>
      </c>
      <c r="F108" s="283">
        <v>150</v>
      </c>
      <c r="G108" s="283">
        <v>160</v>
      </c>
      <c r="H108" s="283">
        <v>140</v>
      </c>
      <c r="I108" s="283">
        <v>245</v>
      </c>
      <c r="J108" s="283">
        <v>70</v>
      </c>
      <c r="K108" s="283">
        <v>4</v>
      </c>
      <c r="L108" s="283">
        <v>10</v>
      </c>
      <c r="M108" s="283" t="s">
        <v>119</v>
      </c>
      <c r="N108" s="283" t="s">
        <v>136</v>
      </c>
      <c r="O108" s="283" t="s">
        <v>116</v>
      </c>
    </row>
    <row r="109" spans="1:15" ht="13.5">
      <c r="A109" s="283">
        <v>4001</v>
      </c>
      <c r="B109" s="283" t="s">
        <v>250</v>
      </c>
      <c r="C109" s="283" t="s">
        <v>118</v>
      </c>
      <c r="D109" s="283">
        <v>4</v>
      </c>
      <c r="E109" s="283" t="s">
        <v>126</v>
      </c>
      <c r="F109" s="283">
        <v>500</v>
      </c>
      <c r="G109" s="283">
        <v>545</v>
      </c>
      <c r="H109" s="283">
        <v>250</v>
      </c>
      <c r="I109" s="283">
        <v>455</v>
      </c>
      <c r="J109" s="283">
        <v>865</v>
      </c>
      <c r="K109" s="283">
        <v>3</v>
      </c>
      <c r="L109" s="283">
        <v>15</v>
      </c>
      <c r="M109" s="283" t="s">
        <v>119</v>
      </c>
      <c r="N109" s="283" t="s">
        <v>251</v>
      </c>
      <c r="O109" s="283" t="s">
        <v>116</v>
      </c>
    </row>
    <row r="110" spans="1:15" ht="13.5">
      <c r="A110" s="283">
        <v>4002</v>
      </c>
      <c r="B110" s="283" t="s">
        <v>252</v>
      </c>
      <c r="C110" s="283" t="s">
        <v>113</v>
      </c>
      <c r="D110" s="283">
        <v>3</v>
      </c>
      <c r="E110" s="283" t="s">
        <v>126</v>
      </c>
      <c r="F110" s="283">
        <v>325</v>
      </c>
      <c r="G110" s="283">
        <v>300</v>
      </c>
      <c r="H110" s="283">
        <v>120</v>
      </c>
      <c r="I110" s="283">
        <v>230</v>
      </c>
      <c r="J110" s="283">
        <v>405</v>
      </c>
      <c r="K110" s="283">
        <v>6</v>
      </c>
      <c r="L110" s="283">
        <v>14</v>
      </c>
      <c r="M110" s="283" t="s">
        <v>119</v>
      </c>
      <c r="N110" s="283" t="s">
        <v>253</v>
      </c>
      <c r="O110" s="283" t="s">
        <v>116</v>
      </c>
    </row>
    <row r="111" spans="1:15" ht="13.5">
      <c r="A111" s="283">
        <v>4003</v>
      </c>
      <c r="B111" s="283" t="s">
        <v>254</v>
      </c>
      <c r="C111" s="283" t="s">
        <v>113</v>
      </c>
      <c r="D111" s="283">
        <v>2.5</v>
      </c>
      <c r="E111" s="283" t="s">
        <v>89</v>
      </c>
      <c r="F111" s="283">
        <v>220</v>
      </c>
      <c r="G111" s="283">
        <v>350</v>
      </c>
      <c r="H111" s="283">
        <v>445</v>
      </c>
      <c r="I111" s="283">
        <v>160</v>
      </c>
      <c r="J111" s="283">
        <v>270</v>
      </c>
      <c r="K111" s="283">
        <v>10</v>
      </c>
      <c r="L111" s="283">
        <v>9</v>
      </c>
      <c r="M111" s="283" t="s">
        <v>119</v>
      </c>
      <c r="N111" s="283" t="s">
        <v>255</v>
      </c>
      <c r="O111" s="283" t="s">
        <v>132</v>
      </c>
    </row>
    <row r="112" spans="1:15" ht="13.5">
      <c r="A112" s="283">
        <v>4004</v>
      </c>
      <c r="B112" s="283" t="s">
        <v>256</v>
      </c>
      <c r="C112" s="283" t="s">
        <v>113</v>
      </c>
      <c r="D112" s="283">
        <v>3</v>
      </c>
      <c r="E112" s="283" t="s">
        <v>126</v>
      </c>
      <c r="F112" s="283">
        <v>315</v>
      </c>
      <c r="G112" s="283">
        <v>345</v>
      </c>
      <c r="H112" s="283">
        <v>160</v>
      </c>
      <c r="I112" s="283">
        <v>265</v>
      </c>
      <c r="J112" s="283">
        <v>435</v>
      </c>
      <c r="K112" s="283">
        <v>8</v>
      </c>
      <c r="L112" s="283">
        <v>13</v>
      </c>
      <c r="M112" s="283" t="s">
        <v>119</v>
      </c>
      <c r="N112" s="283" t="s">
        <v>182</v>
      </c>
      <c r="O112" s="283" t="s">
        <v>116</v>
      </c>
    </row>
    <row r="113" spans="1:15" ht="13.5">
      <c r="A113" s="283">
        <v>4005</v>
      </c>
      <c r="B113" s="283" t="s">
        <v>257</v>
      </c>
      <c r="C113" s="283" t="s">
        <v>113</v>
      </c>
      <c r="D113" s="283">
        <v>2.5</v>
      </c>
      <c r="E113" s="283" t="s">
        <v>88</v>
      </c>
      <c r="F113" s="283">
        <v>235</v>
      </c>
      <c r="G113" s="283">
        <v>210</v>
      </c>
      <c r="H113" s="283">
        <v>160</v>
      </c>
      <c r="I113" s="283">
        <v>265</v>
      </c>
      <c r="J113" s="283">
        <v>95</v>
      </c>
      <c r="K113" s="283">
        <v>8</v>
      </c>
      <c r="L113" s="283">
        <v>10</v>
      </c>
      <c r="M113" s="283" t="s">
        <v>133</v>
      </c>
      <c r="N113" s="283" t="s">
        <v>258</v>
      </c>
      <c r="O113" s="283" t="s">
        <v>132</v>
      </c>
    </row>
    <row r="114" spans="1:15" ht="13.5">
      <c r="A114" s="283">
        <v>4006</v>
      </c>
      <c r="B114" s="283" t="s">
        <v>259</v>
      </c>
      <c r="C114" s="283" t="s">
        <v>130</v>
      </c>
      <c r="D114" s="283">
        <v>2.5</v>
      </c>
      <c r="E114" s="283" t="s">
        <v>88</v>
      </c>
      <c r="F114" s="283">
        <v>270</v>
      </c>
      <c r="G114" s="283">
        <v>240</v>
      </c>
      <c r="H114" s="283">
        <v>210</v>
      </c>
      <c r="I114" s="283">
        <v>410</v>
      </c>
      <c r="J114" s="283">
        <v>75</v>
      </c>
      <c r="K114" s="283">
        <v>4</v>
      </c>
      <c r="L114" s="283">
        <v>10</v>
      </c>
      <c r="M114" s="283" t="s">
        <v>119</v>
      </c>
      <c r="N114" s="283" t="s">
        <v>260</v>
      </c>
      <c r="O114" s="283" t="s">
        <v>116</v>
      </c>
    </row>
    <row r="115" spans="1:15" ht="13.5">
      <c r="A115" s="283">
        <v>4007</v>
      </c>
      <c r="B115" s="283" t="s">
        <v>259</v>
      </c>
      <c r="C115" s="283" t="s">
        <v>139</v>
      </c>
      <c r="D115" s="283">
        <v>2.5</v>
      </c>
      <c r="E115" s="283" t="s">
        <v>88</v>
      </c>
      <c r="F115" s="283">
        <v>255</v>
      </c>
      <c r="G115" s="283">
        <v>240</v>
      </c>
      <c r="H115" s="283">
        <v>210</v>
      </c>
      <c r="I115" s="283">
        <v>410</v>
      </c>
      <c r="J115" s="283">
        <v>75</v>
      </c>
      <c r="K115" s="283">
        <v>4</v>
      </c>
      <c r="L115" s="283">
        <v>10</v>
      </c>
      <c r="M115" s="283" t="s">
        <v>119</v>
      </c>
      <c r="N115" s="283" t="s">
        <v>261</v>
      </c>
      <c r="O115" s="283" t="s">
        <v>132</v>
      </c>
    </row>
    <row r="116" spans="1:15" ht="13.5">
      <c r="A116" s="283">
        <v>4008</v>
      </c>
      <c r="B116" s="283" t="s">
        <v>262</v>
      </c>
      <c r="C116" s="283" t="s">
        <v>130</v>
      </c>
      <c r="D116" s="283">
        <v>2</v>
      </c>
      <c r="E116" s="283" t="s">
        <v>89</v>
      </c>
      <c r="F116" s="283">
        <v>110</v>
      </c>
      <c r="G116" s="283">
        <v>215</v>
      </c>
      <c r="H116" s="283">
        <v>270</v>
      </c>
      <c r="I116" s="283">
        <v>100</v>
      </c>
      <c r="J116" s="283">
        <v>165</v>
      </c>
      <c r="K116" s="283">
        <v>13</v>
      </c>
      <c r="L116" s="283">
        <v>9</v>
      </c>
      <c r="M116" s="283" t="s">
        <v>133</v>
      </c>
      <c r="N116" s="283" t="s">
        <v>263</v>
      </c>
      <c r="O116" s="283" t="s">
        <v>116</v>
      </c>
    </row>
    <row r="117" spans="1:15" ht="13.5">
      <c r="A117" s="283">
        <v>4009</v>
      </c>
      <c r="B117" s="283" t="s">
        <v>262</v>
      </c>
      <c r="C117" s="283" t="s">
        <v>139</v>
      </c>
      <c r="D117" s="283">
        <v>2</v>
      </c>
      <c r="E117" s="283" t="s">
        <v>89</v>
      </c>
      <c r="F117" s="283">
        <v>110</v>
      </c>
      <c r="G117" s="283">
        <v>195</v>
      </c>
      <c r="H117" s="283">
        <v>250</v>
      </c>
      <c r="I117" s="283">
        <v>90</v>
      </c>
      <c r="J117" s="283">
        <v>150</v>
      </c>
      <c r="K117" s="283">
        <v>13</v>
      </c>
      <c r="L117" s="283">
        <v>9</v>
      </c>
      <c r="M117" s="283" t="s">
        <v>114</v>
      </c>
      <c r="N117" s="283" t="s">
        <v>199</v>
      </c>
      <c r="O117" s="283" t="s">
        <v>132</v>
      </c>
    </row>
    <row r="118" spans="1:15" ht="13.5">
      <c r="A118" s="283">
        <v>4010</v>
      </c>
      <c r="B118" s="283" t="s">
        <v>264</v>
      </c>
      <c r="C118" s="283" t="s">
        <v>130</v>
      </c>
      <c r="D118" s="283">
        <v>2</v>
      </c>
      <c r="E118" s="283" t="s">
        <v>89</v>
      </c>
      <c r="F118" s="283">
        <v>95</v>
      </c>
      <c r="G118" s="283">
        <v>175</v>
      </c>
      <c r="H118" s="283">
        <v>225</v>
      </c>
      <c r="I118" s="283">
        <v>80</v>
      </c>
      <c r="J118" s="283">
        <v>135</v>
      </c>
      <c r="K118" s="283">
        <v>14</v>
      </c>
      <c r="L118" s="283">
        <v>9</v>
      </c>
      <c r="M118" s="283" t="s">
        <v>133</v>
      </c>
      <c r="N118" s="283" t="s">
        <v>242</v>
      </c>
      <c r="O118" s="283" t="s">
        <v>116</v>
      </c>
    </row>
    <row r="119" spans="1:15" ht="13.5">
      <c r="A119" s="283">
        <v>4011</v>
      </c>
      <c r="B119" s="283" t="s">
        <v>264</v>
      </c>
      <c r="C119" s="283" t="s">
        <v>139</v>
      </c>
      <c r="D119" s="283">
        <v>2</v>
      </c>
      <c r="E119" s="283" t="s">
        <v>89</v>
      </c>
      <c r="F119" s="283">
        <v>95</v>
      </c>
      <c r="G119" s="283">
        <v>175</v>
      </c>
      <c r="H119" s="283">
        <v>225</v>
      </c>
      <c r="I119" s="283">
        <v>80</v>
      </c>
      <c r="J119" s="283">
        <v>135</v>
      </c>
      <c r="K119" s="283">
        <v>13</v>
      </c>
      <c r="L119" s="283">
        <v>9</v>
      </c>
      <c r="M119" s="283" t="s">
        <v>133</v>
      </c>
      <c r="N119" s="283" t="s">
        <v>243</v>
      </c>
      <c r="O119" s="283" t="s">
        <v>132</v>
      </c>
    </row>
    <row r="120" spans="1:15" ht="13.5">
      <c r="A120" s="283">
        <v>4012</v>
      </c>
      <c r="B120" s="283" t="s">
        <v>265</v>
      </c>
      <c r="C120" s="283" t="s">
        <v>130</v>
      </c>
      <c r="D120" s="283">
        <v>2</v>
      </c>
      <c r="E120" s="283" t="s">
        <v>157</v>
      </c>
      <c r="F120" s="283">
        <v>35</v>
      </c>
      <c r="G120" s="283">
        <v>95</v>
      </c>
      <c r="H120" s="283">
        <v>45</v>
      </c>
      <c r="I120" s="283">
        <v>45</v>
      </c>
      <c r="J120" s="283">
        <v>45</v>
      </c>
      <c r="K120" s="283">
        <v>14</v>
      </c>
      <c r="L120" s="283">
        <v>8</v>
      </c>
      <c r="M120" s="283" t="s">
        <v>133</v>
      </c>
      <c r="N120" s="283" t="s">
        <v>170</v>
      </c>
      <c r="O120" s="283" t="s">
        <v>116</v>
      </c>
    </row>
    <row r="121" spans="1:15" ht="13.5">
      <c r="A121" s="283">
        <v>4013</v>
      </c>
      <c r="B121" s="283" t="s">
        <v>265</v>
      </c>
      <c r="C121" s="283" t="s">
        <v>139</v>
      </c>
      <c r="D121" s="283">
        <v>2</v>
      </c>
      <c r="E121" s="283" t="s">
        <v>157</v>
      </c>
      <c r="F121" s="283">
        <v>35</v>
      </c>
      <c r="G121" s="283">
        <v>95</v>
      </c>
      <c r="H121" s="283">
        <v>45</v>
      </c>
      <c r="I121" s="283">
        <v>45</v>
      </c>
      <c r="J121" s="283">
        <v>45</v>
      </c>
      <c r="K121" s="283">
        <v>13</v>
      </c>
      <c r="L121" s="283">
        <v>8</v>
      </c>
      <c r="M121" s="283" t="s">
        <v>133</v>
      </c>
      <c r="N121" s="283" t="s">
        <v>266</v>
      </c>
      <c r="O121" s="283" t="s">
        <v>132</v>
      </c>
    </row>
    <row r="122" spans="1:15" ht="13.5">
      <c r="A122" s="283">
        <v>4014</v>
      </c>
      <c r="B122" s="283" t="s">
        <v>267</v>
      </c>
      <c r="C122" s="283" t="s">
        <v>130</v>
      </c>
      <c r="D122" s="283">
        <v>1.5</v>
      </c>
      <c r="E122" s="283" t="s">
        <v>89</v>
      </c>
      <c r="F122" s="283">
        <v>105</v>
      </c>
      <c r="G122" s="283">
        <v>155</v>
      </c>
      <c r="H122" s="283">
        <v>235</v>
      </c>
      <c r="I122" s="283">
        <v>70</v>
      </c>
      <c r="J122" s="283">
        <v>135</v>
      </c>
      <c r="K122" s="283">
        <v>3</v>
      </c>
      <c r="L122" s="283">
        <v>9</v>
      </c>
      <c r="M122" s="283" t="s">
        <v>119</v>
      </c>
      <c r="N122" s="283" t="s">
        <v>268</v>
      </c>
      <c r="O122" s="283" t="s">
        <v>116</v>
      </c>
    </row>
    <row r="123" spans="1:15" ht="13.5">
      <c r="A123" s="283">
        <v>4015</v>
      </c>
      <c r="B123" s="283" t="s">
        <v>267</v>
      </c>
      <c r="C123" s="283" t="s">
        <v>139</v>
      </c>
      <c r="D123" s="283">
        <v>1.5</v>
      </c>
      <c r="E123" s="283" t="s">
        <v>89</v>
      </c>
      <c r="F123" s="283">
        <v>105</v>
      </c>
      <c r="G123" s="283">
        <v>145</v>
      </c>
      <c r="H123" s="283">
        <v>245</v>
      </c>
      <c r="I123" s="283">
        <v>45</v>
      </c>
      <c r="J123" s="283">
        <v>125</v>
      </c>
      <c r="K123" s="283">
        <v>3</v>
      </c>
      <c r="L123" s="283">
        <v>9</v>
      </c>
      <c r="M123" s="283" t="s">
        <v>114</v>
      </c>
      <c r="N123" s="283" t="s">
        <v>199</v>
      </c>
      <c r="O123" s="283" t="s">
        <v>132</v>
      </c>
    </row>
    <row r="124" spans="1:15" ht="13.5">
      <c r="A124" s="283">
        <v>4016</v>
      </c>
      <c r="B124" s="283" t="s">
        <v>269</v>
      </c>
      <c r="C124" s="283" t="s">
        <v>130</v>
      </c>
      <c r="D124" s="283">
        <v>1.5</v>
      </c>
      <c r="E124" s="283" t="s">
        <v>88</v>
      </c>
      <c r="F124" s="283">
        <v>120</v>
      </c>
      <c r="G124" s="283">
        <v>80</v>
      </c>
      <c r="H124" s="283">
        <v>70</v>
      </c>
      <c r="I124" s="283">
        <v>125</v>
      </c>
      <c r="J124" s="283">
        <v>35</v>
      </c>
      <c r="K124" s="283">
        <v>2</v>
      </c>
      <c r="L124" s="283">
        <v>10</v>
      </c>
      <c r="M124" s="283" t="s">
        <v>119</v>
      </c>
      <c r="N124" s="283" t="s">
        <v>270</v>
      </c>
      <c r="O124" s="283" t="s">
        <v>116</v>
      </c>
    </row>
    <row r="125" spans="1:15" ht="13.5">
      <c r="A125" s="283">
        <v>4017</v>
      </c>
      <c r="B125" s="283" t="s">
        <v>269</v>
      </c>
      <c r="C125" s="283" t="s">
        <v>139</v>
      </c>
      <c r="D125" s="283">
        <v>1.5</v>
      </c>
      <c r="E125" s="283" t="s">
        <v>88</v>
      </c>
      <c r="F125" s="283">
        <v>110</v>
      </c>
      <c r="G125" s="283">
        <v>80</v>
      </c>
      <c r="H125" s="283">
        <v>70</v>
      </c>
      <c r="I125" s="283">
        <v>125</v>
      </c>
      <c r="J125" s="283">
        <v>35</v>
      </c>
      <c r="K125" s="283">
        <v>2</v>
      </c>
      <c r="L125" s="283">
        <v>10</v>
      </c>
      <c r="M125" s="283" t="s">
        <v>119</v>
      </c>
      <c r="N125" s="283" t="s">
        <v>271</v>
      </c>
      <c r="O125" s="283" t="s">
        <v>132</v>
      </c>
    </row>
    <row r="126" spans="1:15" ht="13.5">
      <c r="A126" s="283">
        <v>4018</v>
      </c>
      <c r="B126" s="283" t="s">
        <v>272</v>
      </c>
      <c r="C126" s="283" t="s">
        <v>130</v>
      </c>
      <c r="D126" s="283">
        <v>2</v>
      </c>
      <c r="E126" s="283" t="s">
        <v>126</v>
      </c>
      <c r="F126" s="283">
        <v>215</v>
      </c>
      <c r="G126" s="283">
        <v>185</v>
      </c>
      <c r="H126" s="283">
        <v>85</v>
      </c>
      <c r="I126" s="283">
        <v>160</v>
      </c>
      <c r="J126" s="283">
        <v>265</v>
      </c>
      <c r="K126" s="283">
        <v>1</v>
      </c>
      <c r="L126" s="283">
        <v>14</v>
      </c>
      <c r="M126" s="283" t="s">
        <v>119</v>
      </c>
      <c r="N126" s="283" t="s">
        <v>273</v>
      </c>
      <c r="O126" s="283" t="s">
        <v>116</v>
      </c>
    </row>
    <row r="127" spans="1:15" ht="13.5">
      <c r="A127" s="283">
        <v>4019</v>
      </c>
      <c r="B127" s="283" t="s">
        <v>272</v>
      </c>
      <c r="C127" s="283" t="s">
        <v>139</v>
      </c>
      <c r="D127" s="283">
        <v>2</v>
      </c>
      <c r="E127" s="283" t="s">
        <v>126</v>
      </c>
      <c r="F127" s="283">
        <v>205</v>
      </c>
      <c r="G127" s="283">
        <v>180</v>
      </c>
      <c r="H127" s="283">
        <v>80</v>
      </c>
      <c r="I127" s="283">
        <v>155</v>
      </c>
      <c r="J127" s="283">
        <v>270</v>
      </c>
      <c r="K127" s="283">
        <v>1</v>
      </c>
      <c r="L127" s="283">
        <v>14</v>
      </c>
      <c r="M127" s="283" t="s">
        <v>119</v>
      </c>
      <c r="N127" s="283" t="s">
        <v>162</v>
      </c>
      <c r="O127" s="283" t="s">
        <v>116</v>
      </c>
    </row>
    <row r="128" spans="1:15" ht="13.5">
      <c r="A128" s="283">
        <v>4020</v>
      </c>
      <c r="B128" s="283" t="s">
        <v>274</v>
      </c>
      <c r="C128" s="283" t="s">
        <v>130</v>
      </c>
      <c r="D128" s="283">
        <v>2.5</v>
      </c>
      <c r="E128" s="283" t="s">
        <v>89</v>
      </c>
      <c r="F128" s="283">
        <v>275</v>
      </c>
      <c r="G128" s="283">
        <v>155</v>
      </c>
      <c r="H128" s="283">
        <v>265</v>
      </c>
      <c r="I128" s="283">
        <v>45</v>
      </c>
      <c r="J128" s="283">
        <v>135</v>
      </c>
      <c r="K128" s="283">
        <v>3</v>
      </c>
      <c r="L128" s="283">
        <v>9</v>
      </c>
      <c r="M128" s="283" t="s">
        <v>119</v>
      </c>
      <c r="N128" s="283" t="s">
        <v>275</v>
      </c>
      <c r="O128" s="283" t="s">
        <v>116</v>
      </c>
    </row>
    <row r="129" spans="1:15" ht="13.5">
      <c r="A129" s="283">
        <v>4021</v>
      </c>
      <c r="B129" s="283" t="s">
        <v>274</v>
      </c>
      <c r="C129" s="283" t="s">
        <v>139</v>
      </c>
      <c r="D129" s="283">
        <v>2.5</v>
      </c>
      <c r="E129" s="283" t="s">
        <v>89</v>
      </c>
      <c r="F129" s="283">
        <v>260</v>
      </c>
      <c r="G129" s="283">
        <v>155</v>
      </c>
      <c r="H129" s="283">
        <v>265</v>
      </c>
      <c r="I129" s="283">
        <v>45</v>
      </c>
      <c r="J129" s="283">
        <v>135</v>
      </c>
      <c r="K129" s="283">
        <v>3</v>
      </c>
      <c r="L129" s="283">
        <v>9</v>
      </c>
      <c r="M129" s="283" t="s">
        <v>119</v>
      </c>
      <c r="N129" s="283" t="s">
        <v>276</v>
      </c>
      <c r="O129" s="283" t="s">
        <v>116</v>
      </c>
    </row>
    <row r="130" spans="1:15" ht="13.5">
      <c r="A130" s="283">
        <v>4022</v>
      </c>
      <c r="B130" s="283" t="s">
        <v>277</v>
      </c>
      <c r="C130" s="283" t="s">
        <v>130</v>
      </c>
      <c r="D130" s="283">
        <v>2</v>
      </c>
      <c r="E130" s="283" t="s">
        <v>126</v>
      </c>
      <c r="F130" s="283">
        <v>200</v>
      </c>
      <c r="G130" s="283">
        <v>205</v>
      </c>
      <c r="H130" s="283">
        <v>95</v>
      </c>
      <c r="I130" s="283">
        <v>180</v>
      </c>
      <c r="J130" s="283">
        <v>315</v>
      </c>
      <c r="K130" s="283">
        <v>2</v>
      </c>
      <c r="L130" s="283">
        <v>14</v>
      </c>
      <c r="M130" s="283" t="s">
        <v>119</v>
      </c>
      <c r="N130" s="283" t="s">
        <v>151</v>
      </c>
      <c r="O130" s="283" t="s">
        <v>116</v>
      </c>
    </row>
    <row r="131" spans="1:15" ht="13.5">
      <c r="A131" s="283">
        <v>4023</v>
      </c>
      <c r="B131" s="283" t="s">
        <v>277</v>
      </c>
      <c r="C131" s="283" t="s">
        <v>139</v>
      </c>
      <c r="D131" s="283">
        <v>2</v>
      </c>
      <c r="E131" s="283" t="s">
        <v>126</v>
      </c>
      <c r="F131" s="283">
        <v>195</v>
      </c>
      <c r="G131" s="283">
        <v>195</v>
      </c>
      <c r="H131" s="283">
        <v>90</v>
      </c>
      <c r="I131" s="283">
        <v>170</v>
      </c>
      <c r="J131" s="283">
        <v>300</v>
      </c>
      <c r="K131" s="283">
        <v>2</v>
      </c>
      <c r="L131" s="283">
        <v>14</v>
      </c>
      <c r="M131" s="283" t="s">
        <v>114</v>
      </c>
      <c r="N131" s="283" t="s">
        <v>213</v>
      </c>
      <c r="O131" s="283" t="s">
        <v>116</v>
      </c>
    </row>
  </sheetData>
  <mergeCells count="2">
    <mergeCell ref="A5:E5"/>
    <mergeCell ref="F5:N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ブラウザ三国志wiki有志</dc:creator>
  <cp:keywords/>
  <dc:description/>
  <cp:lastModifiedBy/>
  <dcterms:created xsi:type="dcterms:W3CDTF">2009-07-19T14:53:04Z</dcterms:created>
  <dcterms:modified xsi:type="dcterms:W3CDTF">2009-10-29T05:54:07Z</dcterms:modified>
  <cp:category/>
  <cp:version/>
  <cp:contentType/>
  <cp:contentStatus/>
  <cp:revision>16</cp:revision>
</cp:coreProperties>
</file>